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EstaPastaDeTrabalh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S:\REVISÃO\Concessionárias de Distribuição\2022\07 - D57 - Hidropan (Deveth)\Versão Final\Estrutura\"/>
    </mc:Choice>
  </mc:AlternateContent>
  <xr:revisionPtr revIDLastSave="0" documentId="13_ncr:1_{FE46599D-D220-4E9D-88DF-083AC450D912}" xr6:coauthVersionLast="47" xr6:coauthVersionMax="47" xr10:uidLastSave="{00000000-0000-0000-0000-000000000000}"/>
  <bookViews>
    <workbookView xWindow="-120" yWindow="-120" windowWidth="20700" windowHeight="9000" firstSheet="21" activeTab="23" xr2:uid="{B990ED36-BB2D-4D8C-ACC5-0593500031A8}"/>
  </bookViews>
  <sheets>
    <sheet name="Mercado_Receita" sheetId="1" r:id="rId1"/>
    <sheet name="EVENTOS" sheetId="2" r:id="rId2"/>
    <sheet name="TAR FIN" sheetId="43" r:id="rId3"/>
    <sheet name="MERCADO TUSD" sheetId="3" r:id="rId4"/>
    <sheet name="MERCADO TE" sheetId="4" r:id="rId5"/>
    <sheet name="CUSTOS" sheetId="5" r:id="rId6"/>
    <sheet name="TRANSICAO" sheetId="36" r:id="rId7"/>
    <sheet name="TR TUSD" sheetId="28" r:id="rId8"/>
    <sheet name="TUSD BE" sheetId="29" r:id="rId9"/>
    <sheet name="TUSD BF" sheetId="30" r:id="rId10"/>
    <sheet name="TUSD CVA" sheetId="31" r:id="rId11"/>
    <sheet name="TR TE" sheetId="32" r:id="rId12"/>
    <sheet name="TE BE" sheetId="33" r:id="rId13"/>
    <sheet name="TE BF" sheetId="34" r:id="rId14"/>
    <sheet name="TE CVA" sheetId="35" r:id="rId15"/>
    <sheet name="EFEITO" sheetId="44" r:id="rId16"/>
    <sheet name="SUBSIDIO" sheetId="45" r:id="rId17"/>
    <sheet name="TabDinEfeito" sheetId="46" r:id="rId18"/>
    <sheet name="TabDinSubsidio" sheetId="47" r:id="rId19"/>
    <sheet name="TABELAS REH" sheetId="65" r:id="rId20"/>
    <sheet name="CONSISTENCIA" sheetId="63" r:id="rId21"/>
    <sheet name="TUSD" sheetId="54" r:id="rId22"/>
    <sheet name="TE" sheetId="55" r:id="rId23"/>
    <sheet name="RESUMO TUSD" sheetId="56" r:id="rId24"/>
    <sheet name="RESUMO TE" sheetId="57" r:id="rId25"/>
    <sheet name="TUSD BF_350" sheetId="50" r:id="rId26"/>
    <sheet name="TE BF_350" sheetId="51" r:id="rId27"/>
    <sheet name="EFEITO_350" sheetId="52" r:id="rId28"/>
    <sheet name="TarifaMedia" sheetId="49" r:id="rId29"/>
    <sheet name="Descontos" sheetId="20" r:id="rId30"/>
    <sheet name="ERD" sheetId="64" r:id="rId31"/>
    <sheet name="TA - Aplicação" sheetId="66" r:id="rId32"/>
    <sheet name="TA - BE" sheetId="67" r:id="rId33"/>
    <sheet name="TA - CVA" sheetId="68" r:id="rId34"/>
  </sheets>
  <definedNames>
    <definedName name="_xlnm._FilterDatabase" localSheetId="20" hidden="1">CONSISTENCIA!$A$1:$W$629</definedName>
    <definedName name="_xlnm._FilterDatabase" localSheetId="15" hidden="1">EFEITO!$A$1:$U$629</definedName>
    <definedName name="_xlnm._FilterDatabase" localSheetId="27" hidden="1">EFEITO_350!$A$1:$U$629</definedName>
    <definedName name="_xlnm._FilterDatabase" localSheetId="0" hidden="1">Mercado_Receita!$A$1:$W$629</definedName>
    <definedName name="_xlnm._FilterDatabase" localSheetId="16" hidden="1">SUBSIDIO!$A$1:$U$284</definedName>
    <definedName name="DadosExternos_1" localSheetId="31" hidden="1">'TA - Aplicação'!$B$3:$AR$50</definedName>
    <definedName name="DadosExternos_1" localSheetId="32" hidden="1">'TA - BE'!$B$3:$AR$50</definedName>
    <definedName name="DadosExternos_1" localSheetId="33" hidden="1">'TA - CVA'!$B$3:$AR$50</definedName>
  </definedNames>
  <calcPr calcId="191029" iterate="1"/>
  <pivotCaches>
    <pivotCache cacheId="0" r:id="rId35"/>
    <pivotCache cacheId="1" r:id="rId3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3" i="65" l="1"/>
  <c r="V32" i="65"/>
  <c r="V31" i="65"/>
  <c r="V30" i="65"/>
  <c r="V29" i="65"/>
  <c r="V28" i="65"/>
  <c r="V27" i="65"/>
  <c r="V26" i="65"/>
  <c r="V21" i="65"/>
  <c r="V16" i="65"/>
  <c r="V25" i="65"/>
  <c r="V20" i="65"/>
  <c r="V15" i="65"/>
  <c r="V24" i="65"/>
  <c r="V23" i="65"/>
  <c r="V22" i="65"/>
  <c r="V19" i="65"/>
  <c r="V18" i="65"/>
  <c r="V17" i="65"/>
  <c r="V14" i="65"/>
  <c r="V13" i="65"/>
  <c r="V12" i="65"/>
  <c r="V11" i="65"/>
  <c r="V9" i="65"/>
  <c r="V10" i="65"/>
  <c r="V8" i="65"/>
  <c r="V7" i="65"/>
  <c r="V6" i="65"/>
  <c r="V5" i="65"/>
  <c r="J11" i="65"/>
  <c r="J10" i="65"/>
  <c r="J6" i="65"/>
  <c r="J5" i="65"/>
  <c r="I3" i="64"/>
  <c r="B2" i="64"/>
  <c r="C2" i="64"/>
  <c r="D2" i="64"/>
  <c r="E2" i="64"/>
  <c r="F2" i="64"/>
  <c r="G2" i="64"/>
  <c r="H2" i="64"/>
  <c r="I2" i="64"/>
  <c r="J2" i="64"/>
  <c r="K2" i="64"/>
  <c r="L2" i="64"/>
  <c r="B11" i="64"/>
  <c r="AE13" i="63" l="1"/>
  <c r="AD13" i="63"/>
  <c r="AC13" i="63"/>
  <c r="AB13" i="63"/>
  <c r="AA13" i="63"/>
  <c r="W13" i="63"/>
  <c r="V13" i="63"/>
  <c r="U13" i="63"/>
  <c r="AI13" i="63" s="1"/>
  <c r="T13" i="63"/>
  <c r="S13" i="63"/>
  <c r="Y13" i="63" s="1"/>
  <c r="R13" i="63"/>
  <c r="AE12" i="63"/>
  <c r="AD12" i="63"/>
  <c r="AE8" i="63"/>
  <c r="AD8" i="63"/>
  <c r="AC8" i="63"/>
  <c r="AB8" i="63"/>
  <c r="AA8" i="63"/>
  <c r="W8" i="63"/>
  <c r="V8" i="63"/>
  <c r="U8" i="63"/>
  <c r="AI8" i="63" s="1"/>
  <c r="T8" i="63"/>
  <c r="S8" i="63"/>
  <c r="R8" i="63"/>
  <c r="X8" i="63" s="1"/>
  <c r="AF8" i="63" s="1"/>
  <c r="AE6" i="63"/>
  <c r="AD6" i="63"/>
  <c r="AC6" i="63"/>
  <c r="AB6" i="63"/>
  <c r="AA6" i="63"/>
  <c r="W6" i="63"/>
  <c r="V6" i="63"/>
  <c r="U6" i="63"/>
  <c r="AI6" i="63" s="1"/>
  <c r="T6" i="63"/>
  <c r="S6" i="63"/>
  <c r="R6" i="63"/>
  <c r="AE5" i="63"/>
  <c r="AD5" i="63"/>
  <c r="AC5" i="63"/>
  <c r="AB5" i="63"/>
  <c r="AA5" i="63"/>
  <c r="W5" i="63"/>
  <c r="V5" i="63"/>
  <c r="U5" i="63"/>
  <c r="T5" i="63"/>
  <c r="S5" i="63"/>
  <c r="Y5" i="63" s="1"/>
  <c r="AG5" i="63" s="1"/>
  <c r="R5" i="63"/>
  <c r="AE4" i="63"/>
  <c r="AD4" i="63"/>
  <c r="AC4" i="63"/>
  <c r="AB4" i="63"/>
  <c r="AA4" i="63"/>
  <c r="W4" i="63"/>
  <c r="V4" i="63"/>
  <c r="U4" i="63"/>
  <c r="T4" i="63"/>
  <c r="S4" i="63"/>
  <c r="R4" i="63"/>
  <c r="AE3" i="63"/>
  <c r="AD3" i="63"/>
  <c r="AC3" i="63"/>
  <c r="AB3" i="63"/>
  <c r="AA3" i="63"/>
  <c r="W3" i="63"/>
  <c r="V3" i="63"/>
  <c r="U3" i="63"/>
  <c r="T3" i="63"/>
  <c r="S3" i="63"/>
  <c r="R3" i="63"/>
  <c r="J617" i="63"/>
  <c r="J616" i="63"/>
  <c r="M616" i="63" s="1"/>
  <c r="J615" i="63"/>
  <c r="M615" i="63" s="1"/>
  <c r="J614" i="63"/>
  <c r="J613" i="63"/>
  <c r="M613" i="63" s="1"/>
  <c r="J612" i="63"/>
  <c r="J611" i="63"/>
  <c r="M611" i="63" s="1"/>
  <c r="J610" i="63"/>
  <c r="J609" i="63"/>
  <c r="J608" i="63"/>
  <c r="J607" i="63"/>
  <c r="M607" i="63" s="1"/>
  <c r="J606" i="63"/>
  <c r="J349" i="63"/>
  <c r="J348" i="63"/>
  <c r="M348" i="63" s="1"/>
  <c r="J347" i="63"/>
  <c r="M347" i="63" s="1"/>
  <c r="J346" i="63"/>
  <c r="J345" i="63"/>
  <c r="J344" i="63"/>
  <c r="M344" i="63" s="1"/>
  <c r="J343" i="63"/>
  <c r="M343" i="63" s="1"/>
  <c r="J342" i="63"/>
  <c r="J341" i="63"/>
  <c r="J340" i="63"/>
  <c r="M340" i="63" s="1"/>
  <c r="J339" i="63"/>
  <c r="M339" i="63" s="1"/>
  <c r="J338" i="63"/>
  <c r="L337" i="63"/>
  <c r="K337" i="63"/>
  <c r="N337" i="63" s="1"/>
  <c r="L336" i="63"/>
  <c r="O336" i="63" s="1"/>
  <c r="K336" i="63"/>
  <c r="L335" i="63"/>
  <c r="K335" i="63"/>
  <c r="N335" i="63" s="1"/>
  <c r="L334" i="63"/>
  <c r="O334" i="63" s="1"/>
  <c r="K334" i="63"/>
  <c r="L333" i="63"/>
  <c r="K333" i="63"/>
  <c r="N333" i="63" s="1"/>
  <c r="L332" i="63"/>
  <c r="O332" i="63" s="1"/>
  <c r="K332" i="63"/>
  <c r="L331" i="63"/>
  <c r="K331" i="63"/>
  <c r="N331" i="63" s="1"/>
  <c r="L330" i="63"/>
  <c r="O330" i="63" s="1"/>
  <c r="K330" i="63"/>
  <c r="L329" i="63"/>
  <c r="K329" i="63"/>
  <c r="N329" i="63" s="1"/>
  <c r="L328" i="63"/>
  <c r="O328" i="63" s="1"/>
  <c r="K328" i="63"/>
  <c r="L327" i="63"/>
  <c r="K327" i="63"/>
  <c r="N327" i="63" s="1"/>
  <c r="L326" i="63"/>
  <c r="O326" i="63" s="1"/>
  <c r="K326" i="63"/>
  <c r="J325" i="63"/>
  <c r="J324" i="63"/>
  <c r="M324" i="63" s="1"/>
  <c r="J323" i="63"/>
  <c r="M323" i="63" s="1"/>
  <c r="J322" i="63"/>
  <c r="J321" i="63"/>
  <c r="J320" i="63"/>
  <c r="M320" i="63" s="1"/>
  <c r="J319" i="63"/>
  <c r="M319" i="63" s="1"/>
  <c r="J318" i="63"/>
  <c r="J317" i="63"/>
  <c r="J316" i="63"/>
  <c r="M316" i="63" s="1"/>
  <c r="J315" i="63"/>
  <c r="M315" i="63" s="1"/>
  <c r="J314" i="63"/>
  <c r="J313" i="63"/>
  <c r="J312" i="63"/>
  <c r="M312" i="63" s="1"/>
  <c r="J311" i="63"/>
  <c r="M311" i="63" s="1"/>
  <c r="J310" i="63"/>
  <c r="J309" i="63"/>
  <c r="J308" i="63"/>
  <c r="M308" i="63" s="1"/>
  <c r="J307" i="63"/>
  <c r="M307" i="63" s="1"/>
  <c r="J306" i="63"/>
  <c r="J305" i="63"/>
  <c r="J304" i="63"/>
  <c r="M304" i="63" s="1"/>
  <c r="J303" i="63"/>
  <c r="M303" i="63" s="1"/>
  <c r="J302" i="63"/>
  <c r="L301" i="63"/>
  <c r="K301" i="63"/>
  <c r="N301" i="63" s="1"/>
  <c r="L300" i="63"/>
  <c r="O300" i="63" s="1"/>
  <c r="K300" i="63"/>
  <c r="L299" i="63"/>
  <c r="K299" i="63"/>
  <c r="N299" i="63" s="1"/>
  <c r="L298" i="63"/>
  <c r="O298" i="63" s="1"/>
  <c r="K298" i="63"/>
  <c r="L297" i="63"/>
  <c r="K297" i="63"/>
  <c r="N297" i="63" s="1"/>
  <c r="L296" i="63"/>
  <c r="O296" i="63" s="1"/>
  <c r="K296" i="63"/>
  <c r="L295" i="63"/>
  <c r="K295" i="63"/>
  <c r="N295" i="63" s="1"/>
  <c r="L294" i="63"/>
  <c r="O294" i="63" s="1"/>
  <c r="K294" i="63"/>
  <c r="L293" i="63"/>
  <c r="K293" i="63"/>
  <c r="N293" i="63" s="1"/>
  <c r="L292" i="63"/>
  <c r="O292" i="63" s="1"/>
  <c r="K292" i="63"/>
  <c r="L291" i="63"/>
  <c r="K291" i="63"/>
  <c r="N291" i="63" s="1"/>
  <c r="L290" i="63"/>
  <c r="O290" i="63" s="1"/>
  <c r="K290" i="63"/>
  <c r="J289" i="63"/>
  <c r="J288" i="63"/>
  <c r="M288" i="63" s="1"/>
  <c r="J287" i="63"/>
  <c r="M287" i="63" s="1"/>
  <c r="J286" i="63"/>
  <c r="J285" i="63"/>
  <c r="J284" i="63"/>
  <c r="M284" i="63" s="1"/>
  <c r="J283" i="63"/>
  <c r="M283" i="63" s="1"/>
  <c r="J282" i="63"/>
  <c r="J281" i="63"/>
  <c r="J280" i="63"/>
  <c r="M280" i="63" s="1"/>
  <c r="J279" i="63"/>
  <c r="M279" i="63" s="1"/>
  <c r="J278" i="63"/>
  <c r="J277" i="63"/>
  <c r="J276" i="63"/>
  <c r="M276" i="63" s="1"/>
  <c r="J275" i="63"/>
  <c r="M275" i="63" s="1"/>
  <c r="J274" i="63"/>
  <c r="J273" i="63"/>
  <c r="J272" i="63"/>
  <c r="M272" i="63" s="1"/>
  <c r="J271" i="63"/>
  <c r="M271" i="63" s="1"/>
  <c r="J270" i="63"/>
  <c r="J269" i="63"/>
  <c r="J268" i="63"/>
  <c r="M268" i="63" s="1"/>
  <c r="J267" i="63"/>
  <c r="M267" i="63" s="1"/>
  <c r="J266" i="63"/>
  <c r="L25" i="63"/>
  <c r="K25" i="63"/>
  <c r="J25" i="63"/>
  <c r="L24" i="63"/>
  <c r="K24" i="63"/>
  <c r="J24" i="63"/>
  <c r="L23" i="63"/>
  <c r="K23" i="63"/>
  <c r="J23" i="63"/>
  <c r="L22" i="63"/>
  <c r="K22" i="63"/>
  <c r="J22" i="63"/>
  <c r="L21" i="63"/>
  <c r="K21" i="63"/>
  <c r="J21" i="63"/>
  <c r="L20" i="63"/>
  <c r="K20" i="63"/>
  <c r="J20" i="63"/>
  <c r="L19" i="63"/>
  <c r="K19" i="63"/>
  <c r="J19" i="63"/>
  <c r="L18" i="63"/>
  <c r="K18" i="63"/>
  <c r="J18" i="63"/>
  <c r="L17" i="63"/>
  <c r="K17" i="63"/>
  <c r="J17" i="63"/>
  <c r="L16" i="63"/>
  <c r="K16" i="63"/>
  <c r="J16" i="63"/>
  <c r="L15" i="63"/>
  <c r="K15" i="63"/>
  <c r="J15" i="63"/>
  <c r="L14" i="63"/>
  <c r="K14" i="63"/>
  <c r="J14" i="63"/>
  <c r="L13" i="63"/>
  <c r="K13" i="63"/>
  <c r="J13" i="63"/>
  <c r="L12" i="63"/>
  <c r="K12" i="63"/>
  <c r="J12" i="63"/>
  <c r="L11" i="63"/>
  <c r="K11" i="63"/>
  <c r="J11" i="63"/>
  <c r="L10" i="63"/>
  <c r="K10" i="63"/>
  <c r="J10" i="63"/>
  <c r="L9" i="63"/>
  <c r="K9" i="63"/>
  <c r="J9" i="63"/>
  <c r="L8" i="63"/>
  <c r="K8" i="63"/>
  <c r="J8" i="63"/>
  <c r="L7" i="63"/>
  <c r="K7" i="63"/>
  <c r="J7" i="63"/>
  <c r="L6" i="63"/>
  <c r="K6" i="63"/>
  <c r="J6" i="63"/>
  <c r="L5" i="63"/>
  <c r="K5" i="63"/>
  <c r="J5" i="63"/>
  <c r="L4" i="63"/>
  <c r="K4" i="63"/>
  <c r="J4" i="63"/>
  <c r="L3" i="63"/>
  <c r="K3" i="63"/>
  <c r="J3" i="63"/>
  <c r="L2" i="63"/>
  <c r="T7" i="63" s="1"/>
  <c r="K2" i="63"/>
  <c r="S7" i="63" s="1"/>
  <c r="J2" i="63"/>
  <c r="R7" i="63" s="1"/>
  <c r="J629" i="63"/>
  <c r="M629" i="63" s="1"/>
  <c r="J628" i="63"/>
  <c r="M628" i="63" s="1"/>
  <c r="J627" i="63"/>
  <c r="M627" i="63" s="1"/>
  <c r="J626" i="63"/>
  <c r="M626" i="63" s="1"/>
  <c r="J625" i="63"/>
  <c r="M625" i="63" s="1"/>
  <c r="J624" i="63"/>
  <c r="M624" i="63" s="1"/>
  <c r="J623" i="63"/>
  <c r="M623" i="63" s="1"/>
  <c r="J622" i="63"/>
  <c r="M622" i="63" s="1"/>
  <c r="J621" i="63"/>
  <c r="M621" i="63" s="1"/>
  <c r="M620" i="63"/>
  <c r="J620" i="63"/>
  <c r="J619" i="63"/>
  <c r="M619" i="63" s="1"/>
  <c r="J618" i="63"/>
  <c r="M617" i="63"/>
  <c r="M614" i="63"/>
  <c r="M612" i="63"/>
  <c r="M610" i="63"/>
  <c r="M609" i="63"/>
  <c r="M608" i="63"/>
  <c r="M606" i="63"/>
  <c r="J605" i="63"/>
  <c r="M605" i="63" s="1"/>
  <c r="M604" i="63"/>
  <c r="J604" i="63"/>
  <c r="J603" i="63"/>
  <c r="M603" i="63" s="1"/>
  <c r="J602" i="63"/>
  <c r="M602" i="63" s="1"/>
  <c r="J601" i="63"/>
  <c r="M601" i="63" s="1"/>
  <c r="J600" i="63"/>
  <c r="M600" i="63" s="1"/>
  <c r="J599" i="63"/>
  <c r="M599" i="63" s="1"/>
  <c r="J598" i="63"/>
  <c r="M598" i="63" s="1"/>
  <c r="J597" i="63"/>
  <c r="M597" i="63" s="1"/>
  <c r="J596" i="63"/>
  <c r="M596" i="63" s="1"/>
  <c r="J595" i="63"/>
  <c r="M595" i="63" s="1"/>
  <c r="J594" i="63"/>
  <c r="M594" i="63" s="1"/>
  <c r="J593" i="63"/>
  <c r="M593" i="63" s="1"/>
  <c r="J592" i="63"/>
  <c r="M592" i="63" s="1"/>
  <c r="J591" i="63"/>
  <c r="M591" i="63" s="1"/>
  <c r="J590" i="63"/>
  <c r="M590" i="63" s="1"/>
  <c r="J589" i="63"/>
  <c r="M589" i="63" s="1"/>
  <c r="J588" i="63"/>
  <c r="M588" i="63" s="1"/>
  <c r="J587" i="63"/>
  <c r="M587" i="63" s="1"/>
  <c r="J586" i="63"/>
  <c r="M586" i="63" s="1"/>
  <c r="J585" i="63"/>
  <c r="M585" i="63" s="1"/>
  <c r="J584" i="63"/>
  <c r="M584" i="63" s="1"/>
  <c r="J583" i="63"/>
  <c r="M583" i="63" s="1"/>
  <c r="J582" i="63"/>
  <c r="M582" i="63" s="1"/>
  <c r="J581" i="63"/>
  <c r="M581" i="63" s="1"/>
  <c r="J580" i="63"/>
  <c r="M580" i="63" s="1"/>
  <c r="J579" i="63"/>
  <c r="M579" i="63" s="1"/>
  <c r="J578" i="63"/>
  <c r="M578" i="63" s="1"/>
  <c r="J577" i="63"/>
  <c r="M577" i="63" s="1"/>
  <c r="J576" i="63"/>
  <c r="M576" i="63" s="1"/>
  <c r="J575" i="63"/>
  <c r="M575" i="63" s="1"/>
  <c r="J574" i="63"/>
  <c r="M574" i="63" s="1"/>
  <c r="J573" i="63"/>
  <c r="M573" i="63" s="1"/>
  <c r="M572" i="63"/>
  <c r="J572" i="63"/>
  <c r="J571" i="63"/>
  <c r="M571" i="63" s="1"/>
  <c r="J570" i="63"/>
  <c r="M570" i="63" s="1"/>
  <c r="J569" i="63"/>
  <c r="M569" i="63" s="1"/>
  <c r="J568" i="63"/>
  <c r="M568" i="63" s="1"/>
  <c r="J567" i="63"/>
  <c r="M567" i="63" s="1"/>
  <c r="J566" i="63"/>
  <c r="M566" i="63" s="1"/>
  <c r="J565" i="63"/>
  <c r="M565" i="63" s="1"/>
  <c r="J564" i="63"/>
  <c r="M564" i="63" s="1"/>
  <c r="J563" i="63"/>
  <c r="M563" i="63" s="1"/>
  <c r="J562" i="63"/>
  <c r="M562" i="63" s="1"/>
  <c r="J561" i="63"/>
  <c r="M561" i="63" s="1"/>
  <c r="J560" i="63"/>
  <c r="M560" i="63" s="1"/>
  <c r="J559" i="63"/>
  <c r="M559" i="63" s="1"/>
  <c r="J558" i="63"/>
  <c r="M558" i="63" s="1"/>
  <c r="J557" i="63"/>
  <c r="M557" i="63" s="1"/>
  <c r="J556" i="63"/>
  <c r="M556" i="63" s="1"/>
  <c r="J555" i="63"/>
  <c r="M555" i="63" s="1"/>
  <c r="J554" i="63"/>
  <c r="M554" i="63" s="1"/>
  <c r="J553" i="63"/>
  <c r="M553" i="63" s="1"/>
  <c r="J552" i="63"/>
  <c r="M552" i="63" s="1"/>
  <c r="J551" i="63"/>
  <c r="M551" i="63" s="1"/>
  <c r="J550" i="63"/>
  <c r="M550" i="63" s="1"/>
  <c r="J549" i="63"/>
  <c r="M549" i="63" s="1"/>
  <c r="J548" i="63"/>
  <c r="M548" i="63" s="1"/>
  <c r="J547" i="63"/>
  <c r="M547" i="63" s="1"/>
  <c r="J546" i="63"/>
  <c r="M546" i="63" s="1"/>
  <c r="J545" i="63"/>
  <c r="M545" i="63" s="1"/>
  <c r="J544" i="63"/>
  <c r="M544" i="63" s="1"/>
  <c r="J543" i="63"/>
  <c r="M543" i="63" s="1"/>
  <c r="J542" i="63"/>
  <c r="M542" i="63" s="1"/>
  <c r="J541" i="63"/>
  <c r="M541" i="63" s="1"/>
  <c r="M540" i="63"/>
  <c r="J540" i="63"/>
  <c r="J539" i="63"/>
  <c r="M539" i="63" s="1"/>
  <c r="J538" i="63"/>
  <c r="M538" i="63" s="1"/>
  <c r="J537" i="63"/>
  <c r="M537" i="63" s="1"/>
  <c r="J536" i="63"/>
  <c r="M536" i="63" s="1"/>
  <c r="J535" i="63"/>
  <c r="M535" i="63" s="1"/>
  <c r="J534" i="63"/>
  <c r="M534" i="63" s="1"/>
  <c r="J533" i="63"/>
  <c r="M533" i="63" s="1"/>
  <c r="J532" i="63"/>
  <c r="M532" i="63" s="1"/>
  <c r="J531" i="63"/>
  <c r="M531" i="63" s="1"/>
  <c r="J530" i="63"/>
  <c r="M530" i="63" s="1"/>
  <c r="J529" i="63"/>
  <c r="M529" i="63" s="1"/>
  <c r="J528" i="63"/>
  <c r="M528" i="63" s="1"/>
  <c r="J527" i="63"/>
  <c r="M527" i="63" s="1"/>
  <c r="J526" i="63"/>
  <c r="M526" i="63" s="1"/>
  <c r="J525" i="63"/>
  <c r="M525" i="63" s="1"/>
  <c r="J524" i="63"/>
  <c r="M524" i="63" s="1"/>
  <c r="J523" i="63"/>
  <c r="M523" i="63" s="1"/>
  <c r="J522" i="63"/>
  <c r="M522" i="63" s="1"/>
  <c r="J521" i="63"/>
  <c r="J520" i="63"/>
  <c r="M520" i="63" s="1"/>
  <c r="J519" i="63"/>
  <c r="M519" i="63" s="1"/>
  <c r="J518" i="63"/>
  <c r="M518" i="63" s="1"/>
  <c r="J517" i="63"/>
  <c r="M517" i="63" s="1"/>
  <c r="J516" i="63"/>
  <c r="M516" i="63" s="1"/>
  <c r="J515" i="63"/>
  <c r="M515" i="63" s="1"/>
  <c r="J514" i="63"/>
  <c r="M514" i="63" s="1"/>
  <c r="J513" i="63"/>
  <c r="M513" i="63" s="1"/>
  <c r="J512" i="63"/>
  <c r="M512" i="63" s="1"/>
  <c r="J511" i="63"/>
  <c r="M511" i="63" s="1"/>
  <c r="J510" i="63"/>
  <c r="M510" i="63" s="1"/>
  <c r="J509" i="63"/>
  <c r="M509" i="63" s="1"/>
  <c r="J508" i="63"/>
  <c r="M508" i="63" s="1"/>
  <c r="J507" i="63"/>
  <c r="M507" i="63" s="1"/>
  <c r="J506" i="63"/>
  <c r="M506" i="63" s="1"/>
  <c r="J505" i="63"/>
  <c r="M505" i="63" s="1"/>
  <c r="J504" i="63"/>
  <c r="M504" i="63" s="1"/>
  <c r="J503" i="63"/>
  <c r="M503" i="63" s="1"/>
  <c r="J502" i="63"/>
  <c r="M502" i="63" s="1"/>
  <c r="J501" i="63"/>
  <c r="M501" i="63" s="1"/>
  <c r="J500" i="63"/>
  <c r="M500" i="63" s="1"/>
  <c r="J499" i="63"/>
  <c r="M499" i="63" s="1"/>
  <c r="J498" i="63"/>
  <c r="M498" i="63" s="1"/>
  <c r="J497" i="63"/>
  <c r="M497" i="63" s="1"/>
  <c r="J496" i="63"/>
  <c r="M496" i="63" s="1"/>
  <c r="J495" i="63"/>
  <c r="M495" i="63" s="1"/>
  <c r="J494" i="63"/>
  <c r="M494" i="63" s="1"/>
  <c r="J493" i="63"/>
  <c r="M493" i="63" s="1"/>
  <c r="J492" i="63"/>
  <c r="M492" i="63" s="1"/>
  <c r="J491" i="63"/>
  <c r="M491" i="63" s="1"/>
  <c r="J490" i="63"/>
  <c r="M490" i="63" s="1"/>
  <c r="J489" i="63"/>
  <c r="M489" i="63" s="1"/>
  <c r="J488" i="63"/>
  <c r="M488" i="63" s="1"/>
  <c r="J487" i="63"/>
  <c r="M487" i="63" s="1"/>
  <c r="J486" i="63"/>
  <c r="M486" i="63" s="1"/>
  <c r="J485" i="63"/>
  <c r="M485" i="63" s="1"/>
  <c r="J484" i="63"/>
  <c r="M484" i="63" s="1"/>
  <c r="J483" i="63"/>
  <c r="M483" i="63" s="1"/>
  <c r="J482" i="63"/>
  <c r="M482" i="63" s="1"/>
  <c r="J481" i="63"/>
  <c r="M481" i="63" s="1"/>
  <c r="J480" i="63"/>
  <c r="M480" i="63" s="1"/>
  <c r="J479" i="63"/>
  <c r="J478" i="63"/>
  <c r="M478" i="63" s="1"/>
  <c r="J477" i="63"/>
  <c r="M477" i="63" s="1"/>
  <c r="J476" i="63"/>
  <c r="M476" i="63" s="1"/>
  <c r="J475" i="63"/>
  <c r="M475" i="63" s="1"/>
  <c r="J474" i="63"/>
  <c r="M474" i="63" s="1"/>
  <c r="J473" i="63"/>
  <c r="M473" i="63" s="1"/>
  <c r="J472" i="63"/>
  <c r="M472" i="63" s="1"/>
  <c r="J471" i="63"/>
  <c r="M471" i="63" s="1"/>
  <c r="J470" i="63"/>
  <c r="M470" i="63" s="1"/>
  <c r="J469" i="63"/>
  <c r="M469" i="63" s="1"/>
  <c r="J468" i="63"/>
  <c r="M468" i="63" s="1"/>
  <c r="J467" i="63"/>
  <c r="M467" i="63" s="1"/>
  <c r="J466" i="63"/>
  <c r="M466" i="63" s="1"/>
  <c r="J465" i="63"/>
  <c r="M465" i="63" s="1"/>
  <c r="J464" i="63"/>
  <c r="M464" i="63" s="1"/>
  <c r="J463" i="63"/>
  <c r="M463" i="63" s="1"/>
  <c r="J462" i="63"/>
  <c r="M462" i="63" s="1"/>
  <c r="J461" i="63"/>
  <c r="M461" i="63" s="1"/>
  <c r="J460" i="63"/>
  <c r="M460" i="63" s="1"/>
  <c r="J459" i="63"/>
  <c r="M459" i="63" s="1"/>
  <c r="J458" i="63"/>
  <c r="M458" i="63" s="1"/>
  <c r="J457" i="63"/>
  <c r="M457" i="63" s="1"/>
  <c r="J456" i="63"/>
  <c r="M456" i="63" s="1"/>
  <c r="J455" i="63"/>
  <c r="M455" i="63" s="1"/>
  <c r="J454" i="63"/>
  <c r="M454" i="63" s="1"/>
  <c r="J453" i="63"/>
  <c r="M453" i="63" s="1"/>
  <c r="J452" i="63"/>
  <c r="M452" i="63" s="1"/>
  <c r="J451" i="63"/>
  <c r="M451" i="63" s="1"/>
  <c r="J450" i="63"/>
  <c r="M450" i="63" s="1"/>
  <c r="J449" i="63"/>
  <c r="M449" i="63" s="1"/>
  <c r="J448" i="63"/>
  <c r="M448" i="63" s="1"/>
  <c r="J447" i="63"/>
  <c r="M447" i="63" s="1"/>
  <c r="J446" i="63"/>
  <c r="M446" i="63" s="1"/>
  <c r="J445" i="63"/>
  <c r="M445" i="63" s="1"/>
  <c r="J444" i="63"/>
  <c r="M444" i="63" s="1"/>
  <c r="J443" i="63"/>
  <c r="M443" i="63" s="1"/>
  <c r="J442" i="63"/>
  <c r="M442" i="63" s="1"/>
  <c r="J441" i="63"/>
  <c r="M441" i="63" s="1"/>
  <c r="J440" i="63"/>
  <c r="M440" i="63" s="1"/>
  <c r="J439" i="63"/>
  <c r="M439" i="63" s="1"/>
  <c r="J438" i="63"/>
  <c r="M438" i="63" s="1"/>
  <c r="J437" i="63"/>
  <c r="M437" i="63" s="1"/>
  <c r="J436" i="63"/>
  <c r="M436" i="63" s="1"/>
  <c r="J435" i="63"/>
  <c r="M435" i="63" s="1"/>
  <c r="J434" i="63"/>
  <c r="M434" i="63" s="1"/>
  <c r="J433" i="63"/>
  <c r="M433" i="63" s="1"/>
  <c r="J432" i="63"/>
  <c r="M432" i="63" s="1"/>
  <c r="J431" i="63"/>
  <c r="M431" i="63" s="1"/>
  <c r="J430" i="63"/>
  <c r="M430" i="63" s="1"/>
  <c r="J429" i="63"/>
  <c r="M429" i="63" s="1"/>
  <c r="J428" i="63"/>
  <c r="M428" i="63" s="1"/>
  <c r="J427" i="63"/>
  <c r="M427" i="63" s="1"/>
  <c r="J426" i="63"/>
  <c r="M426" i="63" s="1"/>
  <c r="J425" i="63"/>
  <c r="M425" i="63" s="1"/>
  <c r="J424" i="63"/>
  <c r="M424" i="63" s="1"/>
  <c r="J423" i="63"/>
  <c r="M423" i="63" s="1"/>
  <c r="J422" i="63"/>
  <c r="M422" i="63" s="1"/>
  <c r="J421" i="63"/>
  <c r="M421" i="63" s="1"/>
  <c r="J420" i="63"/>
  <c r="M420" i="63" s="1"/>
  <c r="J419" i="63"/>
  <c r="M419" i="63" s="1"/>
  <c r="J418" i="63"/>
  <c r="M418" i="63" s="1"/>
  <c r="J417" i="63"/>
  <c r="M417" i="63" s="1"/>
  <c r="J416" i="63"/>
  <c r="M416" i="63" s="1"/>
  <c r="J415" i="63"/>
  <c r="M415" i="63" s="1"/>
  <c r="J414" i="63"/>
  <c r="M414" i="63" s="1"/>
  <c r="J413" i="63"/>
  <c r="M413" i="63" s="1"/>
  <c r="J412" i="63"/>
  <c r="M412" i="63" s="1"/>
  <c r="J411" i="63"/>
  <c r="M411" i="63" s="1"/>
  <c r="J410" i="63"/>
  <c r="M410" i="63" s="1"/>
  <c r="J409" i="63"/>
  <c r="M409" i="63" s="1"/>
  <c r="J408" i="63"/>
  <c r="M408" i="63" s="1"/>
  <c r="J407" i="63"/>
  <c r="M407" i="63" s="1"/>
  <c r="J406" i="63"/>
  <c r="M406" i="63" s="1"/>
  <c r="J405" i="63"/>
  <c r="M405" i="63" s="1"/>
  <c r="J404" i="63"/>
  <c r="M404" i="63" s="1"/>
  <c r="J403" i="63"/>
  <c r="M403" i="63" s="1"/>
  <c r="M402" i="63"/>
  <c r="J402" i="63"/>
  <c r="J401" i="63"/>
  <c r="M401" i="63" s="1"/>
  <c r="J400" i="63"/>
  <c r="M400" i="63" s="1"/>
  <c r="J399" i="63"/>
  <c r="M399" i="63" s="1"/>
  <c r="J398" i="63"/>
  <c r="M398" i="63" s="1"/>
  <c r="J397" i="63"/>
  <c r="M397" i="63" s="1"/>
  <c r="J396" i="63"/>
  <c r="M396" i="63" s="1"/>
  <c r="J395" i="63"/>
  <c r="M395" i="63" s="1"/>
  <c r="J394" i="63"/>
  <c r="M394" i="63" s="1"/>
  <c r="J393" i="63"/>
  <c r="M393" i="63" s="1"/>
  <c r="J392" i="63"/>
  <c r="M392" i="63" s="1"/>
  <c r="J391" i="63"/>
  <c r="M391" i="63" s="1"/>
  <c r="J390" i="63"/>
  <c r="M390" i="63" s="1"/>
  <c r="J389" i="63"/>
  <c r="M389" i="63" s="1"/>
  <c r="J388" i="63"/>
  <c r="M388" i="63" s="1"/>
  <c r="J387" i="63"/>
  <c r="M387" i="63" s="1"/>
  <c r="J386" i="63"/>
  <c r="M386" i="63" s="1"/>
  <c r="J385" i="63"/>
  <c r="M385" i="63" s="1"/>
  <c r="J384" i="63"/>
  <c r="M384" i="63" s="1"/>
  <c r="J383" i="63"/>
  <c r="M383" i="63" s="1"/>
  <c r="J382" i="63"/>
  <c r="M382" i="63" s="1"/>
  <c r="J381" i="63"/>
  <c r="M381" i="63" s="1"/>
  <c r="J380" i="63"/>
  <c r="M380" i="63" s="1"/>
  <c r="J379" i="63"/>
  <c r="M379" i="63" s="1"/>
  <c r="J378" i="63"/>
  <c r="M378" i="63" s="1"/>
  <c r="J377" i="63"/>
  <c r="M377" i="63" s="1"/>
  <c r="J376" i="63"/>
  <c r="M376" i="63" s="1"/>
  <c r="J375" i="63"/>
  <c r="M375" i="63" s="1"/>
  <c r="J374" i="63"/>
  <c r="M374" i="63" s="1"/>
  <c r="J373" i="63"/>
  <c r="M373" i="63" s="1"/>
  <c r="J372" i="63"/>
  <c r="M372" i="63" s="1"/>
  <c r="J371" i="63"/>
  <c r="M371" i="63" s="1"/>
  <c r="J370" i="63"/>
  <c r="M370" i="63" s="1"/>
  <c r="J369" i="63"/>
  <c r="M369" i="63" s="1"/>
  <c r="J368" i="63"/>
  <c r="M368" i="63" s="1"/>
  <c r="J367" i="63"/>
  <c r="M367" i="63" s="1"/>
  <c r="J366" i="63"/>
  <c r="M366" i="63" s="1"/>
  <c r="J365" i="63"/>
  <c r="M365" i="63" s="1"/>
  <c r="J364" i="63"/>
  <c r="M364" i="63" s="1"/>
  <c r="J363" i="63"/>
  <c r="M363" i="63" s="1"/>
  <c r="J362" i="63"/>
  <c r="M362" i="63" s="1"/>
  <c r="J361" i="63"/>
  <c r="M361" i="63" s="1"/>
  <c r="J360" i="63"/>
  <c r="M360" i="63" s="1"/>
  <c r="J359" i="63"/>
  <c r="M359" i="63" s="1"/>
  <c r="J358" i="63"/>
  <c r="M358" i="63" s="1"/>
  <c r="J357" i="63"/>
  <c r="M357" i="63" s="1"/>
  <c r="J356" i="63"/>
  <c r="M356" i="63" s="1"/>
  <c r="J355" i="63"/>
  <c r="M355" i="63" s="1"/>
  <c r="J354" i="63"/>
  <c r="M354" i="63" s="1"/>
  <c r="J353" i="63"/>
  <c r="M353" i="63" s="1"/>
  <c r="J352" i="63"/>
  <c r="M352" i="63" s="1"/>
  <c r="J351" i="63"/>
  <c r="M351" i="63" s="1"/>
  <c r="J350" i="63"/>
  <c r="M350" i="63" s="1"/>
  <c r="M349" i="63"/>
  <c r="M346" i="63"/>
  <c r="M345" i="63"/>
  <c r="M342" i="63"/>
  <c r="M341" i="63"/>
  <c r="M338" i="63"/>
  <c r="O337" i="63"/>
  <c r="N336" i="63"/>
  <c r="O335" i="63"/>
  <c r="N334" i="63"/>
  <c r="O333" i="63"/>
  <c r="N332" i="63"/>
  <c r="O331" i="63"/>
  <c r="N330" i="63"/>
  <c r="O329" i="63"/>
  <c r="N328" i="63"/>
  <c r="O327" i="63"/>
  <c r="N326" i="63"/>
  <c r="M325" i="63"/>
  <c r="M322" i="63"/>
  <c r="M321" i="63"/>
  <c r="M318" i="63"/>
  <c r="M317" i="63"/>
  <c r="M314" i="63"/>
  <c r="M313" i="63"/>
  <c r="M310" i="63"/>
  <c r="M309" i="63"/>
  <c r="M306" i="63"/>
  <c r="M305" i="63"/>
  <c r="M302" i="63"/>
  <c r="O301" i="63"/>
  <c r="N300" i="63"/>
  <c r="O299" i="63"/>
  <c r="N298" i="63"/>
  <c r="O297" i="63"/>
  <c r="N296" i="63"/>
  <c r="O295" i="63"/>
  <c r="N294" i="63"/>
  <c r="O293" i="63"/>
  <c r="N292" i="63"/>
  <c r="O291" i="63"/>
  <c r="N290" i="63"/>
  <c r="M289" i="63"/>
  <c r="M286" i="63"/>
  <c r="M285" i="63"/>
  <c r="M282" i="63"/>
  <c r="M281" i="63"/>
  <c r="M278" i="63"/>
  <c r="M277" i="63"/>
  <c r="M274" i="63"/>
  <c r="M273" i="63"/>
  <c r="M270" i="63"/>
  <c r="M269" i="63"/>
  <c r="M266" i="63"/>
  <c r="J265" i="63"/>
  <c r="M265" i="63" s="1"/>
  <c r="J264" i="63"/>
  <c r="M264" i="63" s="1"/>
  <c r="J263" i="63"/>
  <c r="M263" i="63" s="1"/>
  <c r="J262" i="63"/>
  <c r="M262" i="63" s="1"/>
  <c r="J261" i="63"/>
  <c r="M261" i="63" s="1"/>
  <c r="J260" i="63"/>
  <c r="M260" i="63" s="1"/>
  <c r="J259" i="63"/>
  <c r="M259" i="63" s="1"/>
  <c r="J258" i="63"/>
  <c r="M258" i="63" s="1"/>
  <c r="J257" i="63"/>
  <c r="M257" i="63" s="1"/>
  <c r="J256" i="63"/>
  <c r="M256" i="63" s="1"/>
  <c r="J255" i="63"/>
  <c r="M255" i="63" s="1"/>
  <c r="J254" i="63"/>
  <c r="M254" i="63" s="1"/>
  <c r="L253" i="63"/>
  <c r="O253" i="63" s="1"/>
  <c r="K253" i="63"/>
  <c r="N253" i="63" s="1"/>
  <c r="L252" i="63"/>
  <c r="O252" i="63" s="1"/>
  <c r="K252" i="63"/>
  <c r="N252" i="63" s="1"/>
  <c r="L251" i="63"/>
  <c r="O251" i="63" s="1"/>
  <c r="K251" i="63"/>
  <c r="N251" i="63" s="1"/>
  <c r="L250" i="63"/>
  <c r="O250" i="63" s="1"/>
  <c r="K250" i="63"/>
  <c r="N250" i="63" s="1"/>
  <c r="L249" i="63"/>
  <c r="O249" i="63" s="1"/>
  <c r="K249" i="63"/>
  <c r="N249" i="63" s="1"/>
  <c r="N248" i="63"/>
  <c r="L248" i="63"/>
  <c r="O248" i="63" s="1"/>
  <c r="K248" i="63"/>
  <c r="N247" i="63"/>
  <c r="L247" i="63"/>
  <c r="O247" i="63" s="1"/>
  <c r="K247" i="63"/>
  <c r="L246" i="63"/>
  <c r="O246" i="63" s="1"/>
  <c r="K246" i="63"/>
  <c r="N246" i="63" s="1"/>
  <c r="L245" i="63"/>
  <c r="O245" i="63" s="1"/>
  <c r="K245" i="63"/>
  <c r="N245" i="63" s="1"/>
  <c r="L244" i="63"/>
  <c r="O244" i="63" s="1"/>
  <c r="K244" i="63"/>
  <c r="N244" i="63" s="1"/>
  <c r="L243" i="63"/>
  <c r="O243" i="63" s="1"/>
  <c r="K243" i="63"/>
  <c r="N243" i="63" s="1"/>
  <c r="L242" i="63"/>
  <c r="O242" i="63" s="1"/>
  <c r="K242" i="63"/>
  <c r="N242" i="63" s="1"/>
  <c r="J241" i="63"/>
  <c r="M241" i="63" s="1"/>
  <c r="J240" i="63"/>
  <c r="M240" i="63" s="1"/>
  <c r="J239" i="63"/>
  <c r="M239" i="63" s="1"/>
  <c r="J238" i="63"/>
  <c r="M238" i="63" s="1"/>
  <c r="J237" i="63"/>
  <c r="M237" i="63" s="1"/>
  <c r="J236" i="63"/>
  <c r="M236" i="63" s="1"/>
  <c r="J235" i="63"/>
  <c r="M235" i="63" s="1"/>
  <c r="J234" i="63"/>
  <c r="M234" i="63" s="1"/>
  <c r="J233" i="63"/>
  <c r="M233" i="63" s="1"/>
  <c r="J232" i="63"/>
  <c r="M232" i="63" s="1"/>
  <c r="J231" i="63"/>
  <c r="M231" i="63" s="1"/>
  <c r="J230" i="63"/>
  <c r="M230" i="63" s="1"/>
  <c r="J229" i="63"/>
  <c r="M229" i="63" s="1"/>
  <c r="J228" i="63"/>
  <c r="M228" i="63" s="1"/>
  <c r="J227" i="63"/>
  <c r="M227" i="63" s="1"/>
  <c r="J226" i="63"/>
  <c r="M226" i="63" s="1"/>
  <c r="J225" i="63"/>
  <c r="M225" i="63" s="1"/>
  <c r="J224" i="63"/>
  <c r="M224" i="63" s="1"/>
  <c r="J223" i="63"/>
  <c r="M223" i="63" s="1"/>
  <c r="J222" i="63"/>
  <c r="M222" i="63" s="1"/>
  <c r="J221" i="63"/>
  <c r="M221" i="63" s="1"/>
  <c r="J220" i="63"/>
  <c r="M220" i="63" s="1"/>
  <c r="J219" i="63"/>
  <c r="M219" i="63" s="1"/>
  <c r="J218" i="63"/>
  <c r="M218" i="63" s="1"/>
  <c r="J217" i="63"/>
  <c r="M217" i="63" s="1"/>
  <c r="J216" i="63"/>
  <c r="M216" i="63" s="1"/>
  <c r="J215" i="63"/>
  <c r="M215" i="63" s="1"/>
  <c r="J214" i="63"/>
  <c r="M214" i="63" s="1"/>
  <c r="J213" i="63"/>
  <c r="M213" i="63" s="1"/>
  <c r="J212" i="63"/>
  <c r="M212" i="63" s="1"/>
  <c r="J211" i="63"/>
  <c r="M211" i="63" s="1"/>
  <c r="J210" i="63"/>
  <c r="M210" i="63" s="1"/>
  <c r="J209" i="63"/>
  <c r="M209" i="63" s="1"/>
  <c r="J208" i="63"/>
  <c r="M208" i="63" s="1"/>
  <c r="J207" i="63"/>
  <c r="M207" i="63" s="1"/>
  <c r="J206" i="63"/>
  <c r="M206" i="63" s="1"/>
  <c r="N205" i="63"/>
  <c r="L205" i="63"/>
  <c r="O205" i="63" s="1"/>
  <c r="K205" i="63"/>
  <c r="N204" i="63"/>
  <c r="L204" i="63"/>
  <c r="O204" i="63" s="1"/>
  <c r="K204" i="63"/>
  <c r="L203" i="63"/>
  <c r="O203" i="63" s="1"/>
  <c r="K203" i="63"/>
  <c r="N203" i="63" s="1"/>
  <c r="L202" i="63"/>
  <c r="O202" i="63" s="1"/>
  <c r="K202" i="63"/>
  <c r="N202" i="63" s="1"/>
  <c r="L201" i="63"/>
  <c r="O201" i="63" s="1"/>
  <c r="K201" i="63"/>
  <c r="N201" i="63" s="1"/>
  <c r="L200" i="63"/>
  <c r="O200" i="63" s="1"/>
  <c r="K200" i="63"/>
  <c r="N200" i="63" s="1"/>
  <c r="L199" i="63"/>
  <c r="O199" i="63" s="1"/>
  <c r="K199" i="63"/>
  <c r="N199" i="63" s="1"/>
  <c r="L198" i="63"/>
  <c r="O198" i="63" s="1"/>
  <c r="K198" i="63"/>
  <c r="N198" i="63" s="1"/>
  <c r="L197" i="63"/>
  <c r="O197" i="63" s="1"/>
  <c r="K197" i="63"/>
  <c r="N197" i="63" s="1"/>
  <c r="O196" i="63"/>
  <c r="L196" i="63"/>
  <c r="K196" i="63"/>
  <c r="N196" i="63" s="1"/>
  <c r="N195" i="63"/>
  <c r="L195" i="63"/>
  <c r="O195" i="63" s="1"/>
  <c r="K195" i="63"/>
  <c r="N194" i="63"/>
  <c r="L194" i="63"/>
  <c r="O194" i="63" s="1"/>
  <c r="K194" i="63"/>
  <c r="L193" i="63"/>
  <c r="O193" i="63" s="1"/>
  <c r="K193" i="63"/>
  <c r="N193" i="63" s="1"/>
  <c r="L192" i="63"/>
  <c r="O192" i="63" s="1"/>
  <c r="K192" i="63"/>
  <c r="N192" i="63" s="1"/>
  <c r="L191" i="63"/>
  <c r="O191" i="63" s="1"/>
  <c r="K191" i="63"/>
  <c r="N191" i="63" s="1"/>
  <c r="O190" i="63"/>
  <c r="L190" i="63"/>
  <c r="K190" i="63"/>
  <c r="N190" i="63" s="1"/>
  <c r="N189" i="63"/>
  <c r="L189" i="63"/>
  <c r="O189" i="63" s="1"/>
  <c r="K189" i="63"/>
  <c r="N188" i="63"/>
  <c r="L188" i="63"/>
  <c r="O188" i="63" s="1"/>
  <c r="K188" i="63"/>
  <c r="L187" i="63"/>
  <c r="O187" i="63" s="1"/>
  <c r="K187" i="63"/>
  <c r="N187" i="63" s="1"/>
  <c r="L186" i="63"/>
  <c r="O186" i="63" s="1"/>
  <c r="K186" i="63"/>
  <c r="N186" i="63" s="1"/>
  <c r="L185" i="63"/>
  <c r="O185" i="63" s="1"/>
  <c r="K185" i="63"/>
  <c r="N185" i="63" s="1"/>
  <c r="L184" i="63"/>
  <c r="O184" i="63" s="1"/>
  <c r="K184" i="63"/>
  <c r="N184" i="63" s="1"/>
  <c r="L183" i="63"/>
  <c r="O183" i="63" s="1"/>
  <c r="K183" i="63"/>
  <c r="N183" i="63" s="1"/>
  <c r="L182" i="63"/>
  <c r="O182" i="63" s="1"/>
  <c r="K182" i="63"/>
  <c r="N182" i="63" s="1"/>
  <c r="J181" i="63"/>
  <c r="M181" i="63" s="1"/>
  <c r="J180" i="63"/>
  <c r="M180" i="63" s="1"/>
  <c r="J179" i="63"/>
  <c r="M179" i="63" s="1"/>
  <c r="J178" i="63"/>
  <c r="M178" i="63" s="1"/>
  <c r="J177" i="63"/>
  <c r="M177" i="63" s="1"/>
  <c r="J176" i="63"/>
  <c r="M176" i="63" s="1"/>
  <c r="J175" i="63"/>
  <c r="M175" i="63" s="1"/>
  <c r="J174" i="63"/>
  <c r="M174" i="63" s="1"/>
  <c r="J173" i="63"/>
  <c r="M173" i="63" s="1"/>
  <c r="J172" i="63"/>
  <c r="M172" i="63" s="1"/>
  <c r="J171" i="63"/>
  <c r="M171" i="63" s="1"/>
  <c r="J170" i="63"/>
  <c r="M170" i="63" s="1"/>
  <c r="J169" i="63"/>
  <c r="M169" i="63" s="1"/>
  <c r="J168" i="63"/>
  <c r="M168" i="63" s="1"/>
  <c r="J167" i="63"/>
  <c r="M167" i="63" s="1"/>
  <c r="J166" i="63"/>
  <c r="M166" i="63" s="1"/>
  <c r="J165" i="63"/>
  <c r="M165" i="63" s="1"/>
  <c r="J164" i="63"/>
  <c r="M164" i="63" s="1"/>
  <c r="J163" i="63"/>
  <c r="M163" i="63" s="1"/>
  <c r="J162" i="63"/>
  <c r="M162" i="63" s="1"/>
  <c r="J161" i="63"/>
  <c r="M161" i="63" s="1"/>
  <c r="J160" i="63"/>
  <c r="M160" i="63" s="1"/>
  <c r="J159" i="63"/>
  <c r="M159" i="63" s="1"/>
  <c r="J158" i="63"/>
  <c r="M158" i="63" s="1"/>
  <c r="M157" i="63"/>
  <c r="L157" i="63"/>
  <c r="O157" i="63" s="1"/>
  <c r="J157" i="63"/>
  <c r="L156" i="63"/>
  <c r="O156" i="63" s="1"/>
  <c r="J156" i="63"/>
  <c r="M156" i="63" s="1"/>
  <c r="L155" i="63"/>
  <c r="O155" i="63" s="1"/>
  <c r="J155" i="63"/>
  <c r="M155" i="63" s="1"/>
  <c r="L154" i="63"/>
  <c r="O154" i="63" s="1"/>
  <c r="J154" i="63"/>
  <c r="M154" i="63" s="1"/>
  <c r="L153" i="63"/>
  <c r="O153" i="63" s="1"/>
  <c r="J153" i="63"/>
  <c r="M153" i="63" s="1"/>
  <c r="L152" i="63"/>
  <c r="O152" i="63" s="1"/>
  <c r="J152" i="63"/>
  <c r="M152" i="63" s="1"/>
  <c r="L151" i="63"/>
  <c r="O151" i="63" s="1"/>
  <c r="J151" i="63"/>
  <c r="M151" i="63" s="1"/>
  <c r="O150" i="63"/>
  <c r="L150" i="63"/>
  <c r="J150" i="63"/>
  <c r="M150" i="63" s="1"/>
  <c r="M149" i="63"/>
  <c r="L149" i="63"/>
  <c r="O149" i="63" s="1"/>
  <c r="J149" i="63"/>
  <c r="L148" i="63"/>
  <c r="O148" i="63" s="1"/>
  <c r="J148" i="63"/>
  <c r="M148" i="63" s="1"/>
  <c r="L147" i="63"/>
  <c r="O147" i="63" s="1"/>
  <c r="J147" i="63"/>
  <c r="M147" i="63" s="1"/>
  <c r="L146" i="63"/>
  <c r="O146" i="63" s="1"/>
  <c r="J146" i="63"/>
  <c r="M146" i="63" s="1"/>
  <c r="L145" i="63"/>
  <c r="O145" i="63" s="1"/>
  <c r="K145" i="63"/>
  <c r="N145" i="63" s="1"/>
  <c r="O144" i="63"/>
  <c r="L144" i="63"/>
  <c r="K144" i="63"/>
  <c r="N144" i="63" s="1"/>
  <c r="N143" i="63"/>
  <c r="L143" i="63"/>
  <c r="O143" i="63" s="1"/>
  <c r="K143" i="63"/>
  <c r="N142" i="63"/>
  <c r="L142" i="63"/>
  <c r="O142" i="63" s="1"/>
  <c r="K142" i="63"/>
  <c r="L141" i="63"/>
  <c r="O141" i="63" s="1"/>
  <c r="K141" i="63"/>
  <c r="N141" i="63" s="1"/>
  <c r="L140" i="63"/>
  <c r="O140" i="63" s="1"/>
  <c r="K140" i="63"/>
  <c r="N140" i="63" s="1"/>
  <c r="L139" i="63"/>
  <c r="O139" i="63" s="1"/>
  <c r="K139" i="63"/>
  <c r="N139" i="63" s="1"/>
  <c r="O138" i="63"/>
  <c r="L138" i="63"/>
  <c r="K138" i="63"/>
  <c r="N138" i="63" s="1"/>
  <c r="N137" i="63"/>
  <c r="L137" i="63"/>
  <c r="O137" i="63" s="1"/>
  <c r="K137" i="63"/>
  <c r="N136" i="63"/>
  <c r="L136" i="63"/>
  <c r="O136" i="63" s="1"/>
  <c r="K136" i="63"/>
  <c r="L135" i="63"/>
  <c r="O135" i="63" s="1"/>
  <c r="K135" i="63"/>
  <c r="N135" i="63" s="1"/>
  <c r="L134" i="63"/>
  <c r="O134" i="63" s="1"/>
  <c r="K134" i="63"/>
  <c r="N134" i="63" s="1"/>
  <c r="L133" i="63"/>
  <c r="O133" i="63" s="1"/>
  <c r="J133" i="63"/>
  <c r="M133" i="63" s="1"/>
  <c r="L132" i="63"/>
  <c r="O132" i="63" s="1"/>
  <c r="J132" i="63"/>
  <c r="M132" i="63" s="1"/>
  <c r="L131" i="63"/>
  <c r="O131" i="63" s="1"/>
  <c r="J131" i="63"/>
  <c r="M131" i="63" s="1"/>
  <c r="L130" i="63"/>
  <c r="O130" i="63" s="1"/>
  <c r="J130" i="63"/>
  <c r="M130" i="63" s="1"/>
  <c r="L129" i="63"/>
  <c r="O129" i="63" s="1"/>
  <c r="J129" i="63"/>
  <c r="M129" i="63" s="1"/>
  <c r="O128" i="63"/>
  <c r="L128" i="63"/>
  <c r="J128" i="63"/>
  <c r="M128" i="63" s="1"/>
  <c r="M127" i="63"/>
  <c r="L127" i="63"/>
  <c r="O127" i="63" s="1"/>
  <c r="J127" i="63"/>
  <c r="L126" i="63"/>
  <c r="O126" i="63" s="1"/>
  <c r="J126" i="63"/>
  <c r="M126" i="63" s="1"/>
  <c r="L125" i="63"/>
  <c r="O125" i="63" s="1"/>
  <c r="J125" i="63"/>
  <c r="M125" i="63" s="1"/>
  <c r="L124" i="63"/>
  <c r="O124" i="63" s="1"/>
  <c r="J124" i="63"/>
  <c r="M124" i="63" s="1"/>
  <c r="L123" i="63"/>
  <c r="O123" i="63" s="1"/>
  <c r="J123" i="63"/>
  <c r="M123" i="63" s="1"/>
  <c r="L122" i="63"/>
  <c r="O122" i="63" s="1"/>
  <c r="J122" i="63"/>
  <c r="M122" i="63" s="1"/>
  <c r="J121" i="63"/>
  <c r="M121" i="63" s="1"/>
  <c r="J120" i="63"/>
  <c r="M120" i="63" s="1"/>
  <c r="M119" i="63"/>
  <c r="J119" i="63"/>
  <c r="J118" i="63"/>
  <c r="M118" i="63" s="1"/>
  <c r="J117" i="63"/>
  <c r="M117" i="63" s="1"/>
  <c r="J116" i="63"/>
  <c r="M116" i="63" s="1"/>
  <c r="J115" i="63"/>
  <c r="M115" i="63" s="1"/>
  <c r="J114" i="63"/>
  <c r="M114" i="63" s="1"/>
  <c r="J113" i="63"/>
  <c r="M113" i="63" s="1"/>
  <c r="J112" i="63"/>
  <c r="M112" i="63" s="1"/>
  <c r="J111" i="63"/>
  <c r="M111" i="63" s="1"/>
  <c r="J110" i="63"/>
  <c r="M110" i="63" s="1"/>
  <c r="J109" i="63"/>
  <c r="M109" i="63" s="1"/>
  <c r="J108" i="63"/>
  <c r="M108" i="63" s="1"/>
  <c r="J107" i="63"/>
  <c r="M107" i="63" s="1"/>
  <c r="J106" i="63"/>
  <c r="M106" i="63" s="1"/>
  <c r="J105" i="63"/>
  <c r="M105" i="63" s="1"/>
  <c r="J104" i="63"/>
  <c r="M104" i="63" s="1"/>
  <c r="M103" i="63"/>
  <c r="J103" i="63"/>
  <c r="J102" i="63"/>
  <c r="M102" i="63" s="1"/>
  <c r="J101" i="63"/>
  <c r="M101" i="63" s="1"/>
  <c r="J100" i="63"/>
  <c r="M100" i="63" s="1"/>
  <c r="J99" i="63"/>
  <c r="M99" i="63" s="1"/>
  <c r="J98" i="63"/>
  <c r="M98" i="63" s="1"/>
  <c r="L97" i="63"/>
  <c r="O97" i="63" s="1"/>
  <c r="K97" i="63"/>
  <c r="N97" i="63" s="1"/>
  <c r="L96" i="63"/>
  <c r="O96" i="63" s="1"/>
  <c r="K96" i="63"/>
  <c r="N96" i="63" s="1"/>
  <c r="L95" i="63"/>
  <c r="O95" i="63" s="1"/>
  <c r="K95" i="63"/>
  <c r="N95" i="63" s="1"/>
  <c r="L94" i="63"/>
  <c r="O94" i="63" s="1"/>
  <c r="K94" i="63"/>
  <c r="N94" i="63" s="1"/>
  <c r="L93" i="63"/>
  <c r="O93" i="63" s="1"/>
  <c r="K93" i="63"/>
  <c r="N93" i="63" s="1"/>
  <c r="O92" i="63"/>
  <c r="L92" i="63"/>
  <c r="K92" i="63"/>
  <c r="N92" i="63" s="1"/>
  <c r="N91" i="63"/>
  <c r="L91" i="63"/>
  <c r="O91" i="63" s="1"/>
  <c r="K91" i="63"/>
  <c r="N90" i="63"/>
  <c r="L90" i="63"/>
  <c r="O90" i="63" s="1"/>
  <c r="K90" i="63"/>
  <c r="L89" i="63"/>
  <c r="O89" i="63" s="1"/>
  <c r="K89" i="63"/>
  <c r="N89" i="63" s="1"/>
  <c r="L88" i="63"/>
  <c r="O88" i="63" s="1"/>
  <c r="K88" i="63"/>
  <c r="N88" i="63" s="1"/>
  <c r="L87" i="63"/>
  <c r="O87" i="63" s="1"/>
  <c r="K87" i="63"/>
  <c r="N87" i="63" s="1"/>
  <c r="O86" i="63"/>
  <c r="L86" i="63"/>
  <c r="K86" i="63"/>
  <c r="N86" i="63" s="1"/>
  <c r="N85" i="63"/>
  <c r="L85" i="63"/>
  <c r="O85" i="63" s="1"/>
  <c r="K85" i="63"/>
  <c r="N84" i="63"/>
  <c r="L84" i="63"/>
  <c r="O84" i="63" s="1"/>
  <c r="K84" i="63"/>
  <c r="L83" i="63"/>
  <c r="O83" i="63" s="1"/>
  <c r="K83" i="63"/>
  <c r="N83" i="63" s="1"/>
  <c r="L82" i="63"/>
  <c r="O82" i="63" s="1"/>
  <c r="K82" i="63"/>
  <c r="N82" i="63" s="1"/>
  <c r="L81" i="63"/>
  <c r="O81" i="63" s="1"/>
  <c r="K81" i="63"/>
  <c r="N81" i="63" s="1"/>
  <c r="L80" i="63"/>
  <c r="O80" i="63" s="1"/>
  <c r="K80" i="63"/>
  <c r="N80" i="63" s="1"/>
  <c r="L79" i="63"/>
  <c r="O79" i="63" s="1"/>
  <c r="K79" i="63"/>
  <c r="N79" i="63" s="1"/>
  <c r="L78" i="63"/>
  <c r="O78" i="63" s="1"/>
  <c r="K78" i="63"/>
  <c r="N78" i="63" s="1"/>
  <c r="L77" i="63"/>
  <c r="O77" i="63" s="1"/>
  <c r="K77" i="63"/>
  <c r="N77" i="63" s="1"/>
  <c r="O76" i="63"/>
  <c r="L76" i="63"/>
  <c r="K76" i="63"/>
  <c r="N76" i="63" s="1"/>
  <c r="N75" i="63"/>
  <c r="L75" i="63"/>
  <c r="O75" i="63" s="1"/>
  <c r="K75" i="63"/>
  <c r="N74" i="63"/>
  <c r="L74" i="63"/>
  <c r="O74" i="63" s="1"/>
  <c r="K74" i="63"/>
  <c r="J73" i="63"/>
  <c r="M73" i="63" s="1"/>
  <c r="J72" i="63"/>
  <c r="M72" i="63" s="1"/>
  <c r="M71" i="63"/>
  <c r="J71" i="63"/>
  <c r="J70" i="63"/>
  <c r="M70" i="63" s="1"/>
  <c r="J69" i="63"/>
  <c r="M69" i="63" s="1"/>
  <c r="J68" i="63"/>
  <c r="M68" i="63" s="1"/>
  <c r="J67" i="63"/>
  <c r="M67" i="63" s="1"/>
  <c r="J66" i="63"/>
  <c r="M66" i="63" s="1"/>
  <c r="J65" i="63"/>
  <c r="M65" i="63" s="1"/>
  <c r="J64" i="63"/>
  <c r="M64" i="63" s="1"/>
  <c r="J63" i="63"/>
  <c r="M63" i="63" s="1"/>
  <c r="J62" i="63"/>
  <c r="M62" i="63" s="1"/>
  <c r="J61" i="63"/>
  <c r="M61" i="63" s="1"/>
  <c r="J60" i="63"/>
  <c r="M60" i="63" s="1"/>
  <c r="J59" i="63"/>
  <c r="M59" i="63" s="1"/>
  <c r="J58" i="63"/>
  <c r="M58" i="63" s="1"/>
  <c r="J57" i="63"/>
  <c r="M57" i="63" s="1"/>
  <c r="J56" i="63"/>
  <c r="M56" i="63" s="1"/>
  <c r="M55" i="63"/>
  <c r="J55" i="63"/>
  <c r="J54" i="63"/>
  <c r="M54" i="63" s="1"/>
  <c r="J53" i="63"/>
  <c r="M53" i="63" s="1"/>
  <c r="J52" i="63"/>
  <c r="M52" i="63" s="1"/>
  <c r="J51" i="63"/>
  <c r="M51" i="63" s="1"/>
  <c r="J50" i="63"/>
  <c r="M50" i="63" s="1"/>
  <c r="L49" i="63"/>
  <c r="O49" i="63" s="1"/>
  <c r="K49" i="63"/>
  <c r="N49" i="63" s="1"/>
  <c r="L48" i="63"/>
  <c r="O48" i="63" s="1"/>
  <c r="K48" i="63"/>
  <c r="N48" i="63" s="1"/>
  <c r="L47" i="63"/>
  <c r="O47" i="63" s="1"/>
  <c r="K47" i="63"/>
  <c r="N47" i="63" s="1"/>
  <c r="L46" i="63"/>
  <c r="O46" i="63" s="1"/>
  <c r="K46" i="63"/>
  <c r="N46" i="63" s="1"/>
  <c r="L45" i="63"/>
  <c r="O45" i="63" s="1"/>
  <c r="K45" i="63"/>
  <c r="N45" i="63" s="1"/>
  <c r="O44" i="63"/>
  <c r="L44" i="63"/>
  <c r="K44" i="63"/>
  <c r="N44" i="63" s="1"/>
  <c r="N43" i="63"/>
  <c r="L43" i="63"/>
  <c r="O43" i="63" s="1"/>
  <c r="K43" i="63"/>
  <c r="N42" i="63"/>
  <c r="L42" i="63"/>
  <c r="O42" i="63" s="1"/>
  <c r="K42" i="63"/>
  <c r="L41" i="63"/>
  <c r="O41" i="63" s="1"/>
  <c r="K41" i="63"/>
  <c r="N41" i="63" s="1"/>
  <c r="L40" i="63"/>
  <c r="O40" i="63" s="1"/>
  <c r="K40" i="63"/>
  <c r="N40" i="63" s="1"/>
  <c r="L39" i="63"/>
  <c r="O39" i="63" s="1"/>
  <c r="K39" i="63"/>
  <c r="N39" i="63" s="1"/>
  <c r="O38" i="63"/>
  <c r="L38" i="63"/>
  <c r="K38" i="63"/>
  <c r="N38" i="63" s="1"/>
  <c r="N37" i="63"/>
  <c r="L37" i="63"/>
  <c r="O37" i="63" s="1"/>
  <c r="K37" i="63"/>
  <c r="L36" i="63"/>
  <c r="O36" i="63" s="1"/>
  <c r="K36" i="63"/>
  <c r="N36" i="63" s="1"/>
  <c r="L35" i="63"/>
  <c r="O35" i="63" s="1"/>
  <c r="K35" i="63"/>
  <c r="N35" i="63" s="1"/>
  <c r="L34" i="63"/>
  <c r="O34" i="63" s="1"/>
  <c r="K34" i="63"/>
  <c r="N34" i="63" s="1"/>
  <c r="L33" i="63"/>
  <c r="O33" i="63" s="1"/>
  <c r="K33" i="63"/>
  <c r="N33" i="63" s="1"/>
  <c r="N32" i="63"/>
  <c r="L32" i="63"/>
  <c r="O32" i="63" s="1"/>
  <c r="K32" i="63"/>
  <c r="L31" i="63"/>
  <c r="O31" i="63" s="1"/>
  <c r="K31" i="63"/>
  <c r="N31" i="63" s="1"/>
  <c r="L30" i="63"/>
  <c r="O30" i="63" s="1"/>
  <c r="K30" i="63"/>
  <c r="N30" i="63" s="1"/>
  <c r="N29" i="63"/>
  <c r="L29" i="63"/>
  <c r="O29" i="63" s="1"/>
  <c r="K29" i="63"/>
  <c r="L28" i="63"/>
  <c r="O28" i="63" s="1"/>
  <c r="K28" i="63"/>
  <c r="N28" i="63" s="1"/>
  <c r="L27" i="63"/>
  <c r="O27" i="63" s="1"/>
  <c r="K27" i="63"/>
  <c r="N27" i="63" s="1"/>
  <c r="L26" i="63"/>
  <c r="O26" i="63" s="1"/>
  <c r="K26" i="63"/>
  <c r="N26" i="63" s="1"/>
  <c r="P11" i="5"/>
  <c r="R11" i="5" s="1"/>
  <c r="P10" i="5"/>
  <c r="R10" i="5" s="1"/>
  <c r="P9" i="5"/>
  <c r="R9" i="5" s="1"/>
  <c r="F44" i="5"/>
  <c r="E44" i="5"/>
  <c r="D44" i="5"/>
  <c r="F26" i="5"/>
  <c r="E26" i="5"/>
  <c r="D26" i="5"/>
  <c r="F25" i="5"/>
  <c r="E25" i="5"/>
  <c r="D25" i="5"/>
  <c r="F24" i="5"/>
  <c r="E24" i="5"/>
  <c r="D24" i="5"/>
  <c r="D13" i="5"/>
  <c r="F39" i="5"/>
  <c r="F17" i="5"/>
  <c r="F16" i="5"/>
  <c r="F12" i="5"/>
  <c r="F11" i="5"/>
  <c r="M15" i="5"/>
  <c r="M7" i="5"/>
  <c r="D36" i="5" s="1"/>
  <c r="Z3" i="63" l="1"/>
  <c r="AH3" i="63" s="1"/>
  <c r="X4" i="63"/>
  <c r="AF4" i="63" s="1"/>
  <c r="X6" i="63"/>
  <c r="AF6" i="63" s="1"/>
  <c r="Y8" i="63"/>
  <c r="AG8" i="63" s="1"/>
  <c r="X13" i="63"/>
  <c r="AF13" i="63" s="1"/>
  <c r="AG13" i="63"/>
  <c r="Y4" i="63"/>
  <c r="AG4" i="63" s="1"/>
  <c r="Z5" i="63"/>
  <c r="AH5" i="63" s="1"/>
  <c r="Z6" i="63"/>
  <c r="AH6" i="63" s="1"/>
  <c r="AI4" i="63"/>
  <c r="AI5" i="63"/>
  <c r="X3" i="63"/>
  <c r="AF3" i="63" s="1"/>
  <c r="AJ6" i="63"/>
  <c r="AJ8" i="63"/>
  <c r="AI3" i="63"/>
  <c r="AJ4" i="63"/>
  <c r="Z4" i="63"/>
  <c r="AH4" i="63" s="1"/>
  <c r="Z13" i="63"/>
  <c r="AH13" i="63" s="1"/>
  <c r="AJ3" i="63"/>
  <c r="Z8" i="63"/>
  <c r="AH8" i="63" s="1"/>
  <c r="AJ5" i="63"/>
  <c r="AJ13" i="63"/>
  <c r="U9" i="63"/>
  <c r="R10" i="63"/>
  <c r="M479" i="63"/>
  <c r="U10" i="63" s="1"/>
  <c r="R9" i="63"/>
  <c r="R12" i="63"/>
  <c r="M618" i="63"/>
  <c r="U12" i="63" s="1"/>
  <c r="AI12" i="63" s="1"/>
  <c r="R11" i="63"/>
  <c r="M521" i="63"/>
  <c r="U11" i="63" s="1"/>
  <c r="Y3" i="63"/>
  <c r="AG3" i="63" s="1"/>
  <c r="X5" i="63"/>
  <c r="AF5" i="63" s="1"/>
  <c r="Y6" i="63"/>
  <c r="AG6" i="63" s="1"/>
  <c r="E36" i="5"/>
  <c r="D30" i="5" s="1"/>
  <c r="F36" i="5"/>
  <c r="L5" i="57"/>
  <c r="K5" i="57"/>
  <c r="J5" i="57"/>
  <c r="I5" i="57"/>
  <c r="H5" i="57"/>
  <c r="G5" i="57"/>
  <c r="F5" i="57"/>
  <c r="E5" i="57"/>
  <c r="D5" i="57"/>
  <c r="C5" i="57"/>
  <c r="B5" i="57"/>
  <c r="I2" i="57"/>
  <c r="W5" i="56"/>
  <c r="V5" i="56"/>
  <c r="U5" i="56"/>
  <c r="T5" i="56"/>
  <c r="S5" i="56"/>
  <c r="R5" i="56"/>
  <c r="Q5" i="56"/>
  <c r="P5" i="56"/>
  <c r="O5" i="56"/>
  <c r="N5" i="56"/>
  <c r="M5" i="56"/>
  <c r="L5" i="56"/>
  <c r="K5" i="56"/>
  <c r="J5" i="56"/>
  <c r="I5" i="56"/>
  <c r="H5" i="56"/>
  <c r="G5" i="56"/>
  <c r="F5" i="56"/>
  <c r="E5" i="56"/>
  <c r="D5" i="56"/>
  <c r="C5" i="56"/>
  <c r="B5" i="56"/>
  <c r="I2" i="56"/>
  <c r="U8" i="55"/>
  <c r="AE629" i="52"/>
  <c r="X629" i="52"/>
  <c r="AD629" i="52" s="1"/>
  <c r="W629" i="52"/>
  <c r="AC629" i="52" s="1"/>
  <c r="V629" i="52"/>
  <c r="AB629" i="52" s="1"/>
  <c r="AE628" i="52"/>
  <c r="X628" i="52"/>
  <c r="AD628" i="52" s="1"/>
  <c r="W628" i="52"/>
  <c r="AC628" i="52" s="1"/>
  <c r="V628" i="52"/>
  <c r="AB628" i="52" s="1"/>
  <c r="AE627" i="52"/>
  <c r="X627" i="52"/>
  <c r="AD627" i="52" s="1"/>
  <c r="W627" i="52"/>
  <c r="AC627" i="52" s="1"/>
  <c r="V627" i="52"/>
  <c r="AB627" i="52" s="1"/>
  <c r="AE626" i="52"/>
  <c r="AB626" i="52"/>
  <c r="X626" i="52"/>
  <c r="AD626" i="52" s="1"/>
  <c r="W626" i="52"/>
  <c r="AC626" i="52" s="1"/>
  <c r="V626" i="52"/>
  <c r="AE625" i="52"/>
  <c r="X625" i="52"/>
  <c r="AD625" i="52" s="1"/>
  <c r="W625" i="52"/>
  <c r="AC625" i="52" s="1"/>
  <c r="V625" i="52"/>
  <c r="AB625" i="52" s="1"/>
  <c r="AE624" i="52"/>
  <c r="X624" i="52"/>
  <c r="AD624" i="52" s="1"/>
  <c r="W624" i="52"/>
  <c r="AC624" i="52" s="1"/>
  <c r="V624" i="52"/>
  <c r="AB624" i="52" s="1"/>
  <c r="AE623" i="52"/>
  <c r="X623" i="52"/>
  <c r="AD623" i="52" s="1"/>
  <c r="W623" i="52"/>
  <c r="AC623" i="52" s="1"/>
  <c r="V623" i="52"/>
  <c r="AB623" i="52" s="1"/>
  <c r="AE622" i="52"/>
  <c r="X622" i="52"/>
  <c r="AD622" i="52" s="1"/>
  <c r="W622" i="52"/>
  <c r="AC622" i="52" s="1"/>
  <c r="V622" i="52"/>
  <c r="AB622" i="52" s="1"/>
  <c r="AE621" i="52"/>
  <c r="X621" i="52"/>
  <c r="AD621" i="52" s="1"/>
  <c r="W621" i="52"/>
  <c r="AC621" i="52" s="1"/>
  <c r="V621" i="52"/>
  <c r="AB621" i="52" s="1"/>
  <c r="AE620" i="52"/>
  <c r="X620" i="52"/>
  <c r="AD620" i="52" s="1"/>
  <c r="W620" i="52"/>
  <c r="AC620" i="52" s="1"/>
  <c r="V620" i="52"/>
  <c r="AB620" i="52" s="1"/>
  <c r="AE619" i="52"/>
  <c r="X619" i="52"/>
  <c r="AD619" i="52" s="1"/>
  <c r="W619" i="52"/>
  <c r="AC619" i="52" s="1"/>
  <c r="V619" i="52"/>
  <c r="AB619" i="52" s="1"/>
  <c r="AE618" i="52"/>
  <c r="X618" i="52"/>
  <c r="AD618" i="52" s="1"/>
  <c r="W618" i="52"/>
  <c r="AC618" i="52" s="1"/>
  <c r="V618" i="52"/>
  <c r="AB618" i="52" s="1"/>
  <c r="AE617" i="52"/>
  <c r="X617" i="52"/>
  <c r="AD617" i="52" s="1"/>
  <c r="W617" i="52"/>
  <c r="AC617" i="52" s="1"/>
  <c r="V617" i="52"/>
  <c r="AB617" i="52" s="1"/>
  <c r="AE616" i="52"/>
  <c r="X616" i="52"/>
  <c r="AD616" i="52" s="1"/>
  <c r="W616" i="52"/>
  <c r="AC616" i="52" s="1"/>
  <c r="V616" i="52"/>
  <c r="AB616" i="52" s="1"/>
  <c r="AE615" i="52"/>
  <c r="X615" i="52"/>
  <c r="AD615" i="52" s="1"/>
  <c r="W615" i="52"/>
  <c r="AC615" i="52" s="1"/>
  <c r="V615" i="52"/>
  <c r="AB615" i="52" s="1"/>
  <c r="AE614" i="52"/>
  <c r="AB614" i="52"/>
  <c r="X614" i="52"/>
  <c r="AD614" i="52" s="1"/>
  <c r="W614" i="52"/>
  <c r="AC614" i="52" s="1"/>
  <c r="V614" i="52"/>
  <c r="AE613" i="52"/>
  <c r="X613" i="52"/>
  <c r="AD613" i="52" s="1"/>
  <c r="W613" i="52"/>
  <c r="AC613" i="52" s="1"/>
  <c r="V613" i="52"/>
  <c r="AB613" i="52" s="1"/>
  <c r="AE612" i="52"/>
  <c r="X612" i="52"/>
  <c r="AD612" i="52" s="1"/>
  <c r="W612" i="52"/>
  <c r="AC612" i="52" s="1"/>
  <c r="V612" i="52"/>
  <c r="AB612" i="52" s="1"/>
  <c r="AE611" i="52"/>
  <c r="X611" i="52"/>
  <c r="AD611" i="52" s="1"/>
  <c r="W611" i="52"/>
  <c r="AC611" i="52" s="1"/>
  <c r="V611" i="52"/>
  <c r="AB611" i="52" s="1"/>
  <c r="AE610" i="52"/>
  <c r="X610" i="52"/>
  <c r="AD610" i="52" s="1"/>
  <c r="W610" i="52"/>
  <c r="AC610" i="52" s="1"/>
  <c r="V610" i="52"/>
  <c r="AB610" i="52" s="1"/>
  <c r="AE609" i="52"/>
  <c r="X609" i="52"/>
  <c r="AD609" i="52" s="1"/>
  <c r="W609" i="52"/>
  <c r="AC609" i="52" s="1"/>
  <c r="V609" i="52"/>
  <c r="AB609" i="52" s="1"/>
  <c r="AE608" i="52"/>
  <c r="X608" i="52"/>
  <c r="AD608" i="52" s="1"/>
  <c r="W608" i="52"/>
  <c r="AC608" i="52" s="1"/>
  <c r="V608" i="52"/>
  <c r="AB608" i="52" s="1"/>
  <c r="AE607" i="52"/>
  <c r="X607" i="52"/>
  <c r="AD607" i="52" s="1"/>
  <c r="W607" i="52"/>
  <c r="AC607" i="52" s="1"/>
  <c r="V607" i="52"/>
  <c r="AB607" i="52" s="1"/>
  <c r="AE606" i="52"/>
  <c r="X606" i="52"/>
  <c r="AD606" i="52" s="1"/>
  <c r="W606" i="52"/>
  <c r="AC606" i="52" s="1"/>
  <c r="V606" i="52"/>
  <c r="AB606" i="52" s="1"/>
  <c r="AE605" i="52"/>
  <c r="X605" i="52"/>
  <c r="AD605" i="52" s="1"/>
  <c r="W605" i="52"/>
  <c r="AC605" i="52" s="1"/>
  <c r="V605" i="52"/>
  <c r="AB605" i="52" s="1"/>
  <c r="AE604" i="52"/>
  <c r="X604" i="52"/>
  <c r="AD604" i="52" s="1"/>
  <c r="W604" i="52"/>
  <c r="AC604" i="52" s="1"/>
  <c r="V604" i="52"/>
  <c r="AB604" i="52" s="1"/>
  <c r="AE603" i="52"/>
  <c r="X603" i="52"/>
  <c r="AD603" i="52" s="1"/>
  <c r="W603" i="52"/>
  <c r="AC603" i="52" s="1"/>
  <c r="V603" i="52"/>
  <c r="AB603" i="52" s="1"/>
  <c r="AE602" i="52"/>
  <c r="AB602" i="52"/>
  <c r="X602" i="52"/>
  <c r="AD602" i="52" s="1"/>
  <c r="W602" i="52"/>
  <c r="AC602" i="52" s="1"/>
  <c r="V602" i="52"/>
  <c r="AE601" i="52"/>
  <c r="X601" i="52"/>
  <c r="AD601" i="52" s="1"/>
  <c r="W601" i="52"/>
  <c r="AC601" i="52" s="1"/>
  <c r="V601" i="52"/>
  <c r="AB601" i="52" s="1"/>
  <c r="AE600" i="52"/>
  <c r="X600" i="52"/>
  <c r="AD600" i="52" s="1"/>
  <c r="W600" i="52"/>
  <c r="AC600" i="52" s="1"/>
  <c r="V600" i="52"/>
  <c r="AB600" i="52" s="1"/>
  <c r="AE599" i="52"/>
  <c r="X599" i="52"/>
  <c r="AD599" i="52" s="1"/>
  <c r="W599" i="52"/>
  <c r="AC599" i="52" s="1"/>
  <c r="V599" i="52"/>
  <c r="AB599" i="52" s="1"/>
  <c r="AE598" i="52"/>
  <c r="AB598" i="52"/>
  <c r="X598" i="52"/>
  <c r="AD598" i="52" s="1"/>
  <c r="W598" i="52"/>
  <c r="AC598" i="52" s="1"/>
  <c r="V598" i="52"/>
  <c r="AE597" i="52"/>
  <c r="X597" i="52"/>
  <c r="AD597" i="52" s="1"/>
  <c r="W597" i="52"/>
  <c r="AC597" i="52" s="1"/>
  <c r="V597" i="52"/>
  <c r="AB597" i="52" s="1"/>
  <c r="AE596" i="52"/>
  <c r="X596" i="52"/>
  <c r="AD596" i="52" s="1"/>
  <c r="W596" i="52"/>
  <c r="AC596" i="52" s="1"/>
  <c r="V596" i="52"/>
  <c r="AB596" i="52" s="1"/>
  <c r="AE595" i="52"/>
  <c r="X595" i="52"/>
  <c r="AD595" i="52" s="1"/>
  <c r="W595" i="52"/>
  <c r="AC595" i="52" s="1"/>
  <c r="V595" i="52"/>
  <c r="AB595" i="52" s="1"/>
  <c r="AE594" i="52"/>
  <c r="AB594" i="52"/>
  <c r="X594" i="52"/>
  <c r="AD594" i="52" s="1"/>
  <c r="W594" i="52"/>
  <c r="AC594" i="52" s="1"/>
  <c r="V594" i="52"/>
  <c r="AE593" i="52"/>
  <c r="X593" i="52"/>
  <c r="AD593" i="52" s="1"/>
  <c r="W593" i="52"/>
  <c r="AC593" i="52" s="1"/>
  <c r="V593" i="52"/>
  <c r="AB593" i="52" s="1"/>
  <c r="AE592" i="52"/>
  <c r="X592" i="52"/>
  <c r="AD592" i="52" s="1"/>
  <c r="W592" i="52"/>
  <c r="AC592" i="52" s="1"/>
  <c r="V592" i="52"/>
  <c r="AB592" i="52" s="1"/>
  <c r="AE591" i="52"/>
  <c r="X591" i="52"/>
  <c r="AD591" i="52" s="1"/>
  <c r="W591" i="52"/>
  <c r="AC591" i="52" s="1"/>
  <c r="V591" i="52"/>
  <c r="AB591" i="52" s="1"/>
  <c r="AE590" i="52"/>
  <c r="X590" i="52"/>
  <c r="AD590" i="52" s="1"/>
  <c r="W590" i="52"/>
  <c r="AC590" i="52" s="1"/>
  <c r="V590" i="52"/>
  <c r="AB590" i="52" s="1"/>
  <c r="AE589" i="52"/>
  <c r="X589" i="52"/>
  <c r="AD589" i="52" s="1"/>
  <c r="W589" i="52"/>
  <c r="AC589" i="52" s="1"/>
  <c r="V589" i="52"/>
  <c r="AB589" i="52" s="1"/>
  <c r="AE588" i="52"/>
  <c r="X588" i="52"/>
  <c r="AD588" i="52" s="1"/>
  <c r="W588" i="52"/>
  <c r="AC588" i="52" s="1"/>
  <c r="V588" i="52"/>
  <c r="AB588" i="52" s="1"/>
  <c r="AE587" i="52"/>
  <c r="X587" i="52"/>
  <c r="AD587" i="52" s="1"/>
  <c r="W587" i="52"/>
  <c r="AC587" i="52" s="1"/>
  <c r="V587" i="52"/>
  <c r="AB587" i="52" s="1"/>
  <c r="AE586" i="52"/>
  <c r="X586" i="52"/>
  <c r="AD586" i="52" s="1"/>
  <c r="W586" i="52"/>
  <c r="AC586" i="52" s="1"/>
  <c r="V586" i="52"/>
  <c r="AB586" i="52" s="1"/>
  <c r="AE585" i="52"/>
  <c r="X585" i="52"/>
  <c r="AD585" i="52" s="1"/>
  <c r="W585" i="52"/>
  <c r="AC585" i="52" s="1"/>
  <c r="V585" i="52"/>
  <c r="AB585" i="52" s="1"/>
  <c r="AE584" i="52"/>
  <c r="X584" i="52"/>
  <c r="AD584" i="52" s="1"/>
  <c r="W584" i="52"/>
  <c r="AC584" i="52" s="1"/>
  <c r="V584" i="52"/>
  <c r="AB584" i="52" s="1"/>
  <c r="AE583" i="52"/>
  <c r="X583" i="52"/>
  <c r="AD583" i="52" s="1"/>
  <c r="W583" i="52"/>
  <c r="AC583" i="52" s="1"/>
  <c r="V583" i="52"/>
  <c r="AB583" i="52" s="1"/>
  <c r="AE582" i="52"/>
  <c r="AB582" i="52"/>
  <c r="X582" i="52"/>
  <c r="AD582" i="52" s="1"/>
  <c r="W582" i="52"/>
  <c r="AC582" i="52" s="1"/>
  <c r="V582" i="52"/>
  <c r="AE581" i="52"/>
  <c r="X581" i="52"/>
  <c r="AD581" i="52" s="1"/>
  <c r="W581" i="52"/>
  <c r="AC581" i="52" s="1"/>
  <c r="V581" i="52"/>
  <c r="AB581" i="52" s="1"/>
  <c r="AE580" i="52"/>
  <c r="X580" i="52"/>
  <c r="AD580" i="52" s="1"/>
  <c r="W580" i="52"/>
  <c r="AC580" i="52" s="1"/>
  <c r="V580" i="52"/>
  <c r="AB580" i="52" s="1"/>
  <c r="AE579" i="52"/>
  <c r="X579" i="52"/>
  <c r="AD579" i="52" s="1"/>
  <c r="W579" i="52"/>
  <c r="AC579" i="52" s="1"/>
  <c r="V579" i="52"/>
  <c r="AB579" i="52" s="1"/>
  <c r="AE578" i="52"/>
  <c r="AB578" i="52"/>
  <c r="X578" i="52"/>
  <c r="AD578" i="52" s="1"/>
  <c r="W578" i="52"/>
  <c r="AC578" i="52" s="1"/>
  <c r="V578" i="52"/>
  <c r="AE577" i="52"/>
  <c r="X577" i="52"/>
  <c r="AD577" i="52" s="1"/>
  <c r="W577" i="52"/>
  <c r="AC577" i="52" s="1"/>
  <c r="V577" i="52"/>
  <c r="AB577" i="52" s="1"/>
  <c r="AE576" i="52"/>
  <c r="X576" i="52"/>
  <c r="AD576" i="52" s="1"/>
  <c r="W576" i="52"/>
  <c r="AC576" i="52" s="1"/>
  <c r="V576" i="52"/>
  <c r="AB576" i="52" s="1"/>
  <c r="AE575" i="52"/>
  <c r="X575" i="52"/>
  <c r="AD575" i="52" s="1"/>
  <c r="W575" i="52"/>
  <c r="AC575" i="52" s="1"/>
  <c r="V575" i="52"/>
  <c r="AB575" i="52" s="1"/>
  <c r="AE574" i="52"/>
  <c r="X574" i="52"/>
  <c r="AD574" i="52" s="1"/>
  <c r="W574" i="52"/>
  <c r="AC574" i="52" s="1"/>
  <c r="V574" i="52"/>
  <c r="AB574" i="52" s="1"/>
  <c r="AE573" i="52"/>
  <c r="X573" i="52"/>
  <c r="AD573" i="52" s="1"/>
  <c r="W573" i="52"/>
  <c r="AC573" i="52" s="1"/>
  <c r="V573" i="52"/>
  <c r="AB573" i="52" s="1"/>
  <c r="AE572" i="52"/>
  <c r="X572" i="52"/>
  <c r="AD572" i="52" s="1"/>
  <c r="W572" i="52"/>
  <c r="AC572" i="52" s="1"/>
  <c r="V572" i="52"/>
  <c r="AB572" i="52" s="1"/>
  <c r="AE571" i="52"/>
  <c r="X571" i="52"/>
  <c r="AD571" i="52" s="1"/>
  <c r="W571" i="52"/>
  <c r="AC571" i="52" s="1"/>
  <c r="V571" i="52"/>
  <c r="AB571" i="52" s="1"/>
  <c r="AE570" i="52"/>
  <c r="AB570" i="52"/>
  <c r="X570" i="52"/>
  <c r="AD570" i="52" s="1"/>
  <c r="W570" i="52"/>
  <c r="AC570" i="52" s="1"/>
  <c r="V570" i="52"/>
  <c r="AE569" i="52"/>
  <c r="X569" i="52"/>
  <c r="AD569" i="52" s="1"/>
  <c r="W569" i="52"/>
  <c r="AC569" i="52" s="1"/>
  <c r="V569" i="52"/>
  <c r="AB569" i="52" s="1"/>
  <c r="AE568" i="52"/>
  <c r="X568" i="52"/>
  <c r="AD568" i="52" s="1"/>
  <c r="W568" i="52"/>
  <c r="AC568" i="52" s="1"/>
  <c r="V568" i="52"/>
  <c r="AB568" i="52" s="1"/>
  <c r="AE567" i="52"/>
  <c r="X567" i="52"/>
  <c r="AD567" i="52" s="1"/>
  <c r="W567" i="52"/>
  <c r="AC567" i="52" s="1"/>
  <c r="V567" i="52"/>
  <c r="AB567" i="52" s="1"/>
  <c r="AE566" i="52"/>
  <c r="X566" i="52"/>
  <c r="AD566" i="52" s="1"/>
  <c r="W566" i="52"/>
  <c r="AC566" i="52" s="1"/>
  <c r="V566" i="52"/>
  <c r="AB566" i="52" s="1"/>
  <c r="AE565" i="52"/>
  <c r="X565" i="52"/>
  <c r="AD565" i="52" s="1"/>
  <c r="W565" i="52"/>
  <c r="AC565" i="52" s="1"/>
  <c r="V565" i="52"/>
  <c r="AB565" i="52" s="1"/>
  <c r="AE564" i="52"/>
  <c r="X564" i="52"/>
  <c r="AD564" i="52" s="1"/>
  <c r="W564" i="52"/>
  <c r="AC564" i="52" s="1"/>
  <c r="V564" i="52"/>
  <c r="AB564" i="52" s="1"/>
  <c r="AE563" i="52"/>
  <c r="X563" i="52"/>
  <c r="AD563" i="52" s="1"/>
  <c r="W563" i="52"/>
  <c r="AC563" i="52" s="1"/>
  <c r="V563" i="52"/>
  <c r="AB563" i="52" s="1"/>
  <c r="AE562" i="52"/>
  <c r="X562" i="52"/>
  <c r="AD562" i="52" s="1"/>
  <c r="W562" i="52"/>
  <c r="AC562" i="52" s="1"/>
  <c r="V562" i="52"/>
  <c r="AB562" i="52" s="1"/>
  <c r="AE561" i="52"/>
  <c r="X561" i="52"/>
  <c r="AD561" i="52" s="1"/>
  <c r="W561" i="52"/>
  <c r="AC561" i="52" s="1"/>
  <c r="V561" i="52"/>
  <c r="AB561" i="52" s="1"/>
  <c r="AE560" i="52"/>
  <c r="X560" i="52"/>
  <c r="AD560" i="52" s="1"/>
  <c r="W560" i="52"/>
  <c r="AC560" i="52" s="1"/>
  <c r="V560" i="52"/>
  <c r="AB560" i="52" s="1"/>
  <c r="AE559" i="52"/>
  <c r="X559" i="52"/>
  <c r="AD559" i="52" s="1"/>
  <c r="W559" i="52"/>
  <c r="AC559" i="52" s="1"/>
  <c r="V559" i="52"/>
  <c r="AB559" i="52" s="1"/>
  <c r="AE558" i="52"/>
  <c r="X558" i="52"/>
  <c r="AD558" i="52" s="1"/>
  <c r="W558" i="52"/>
  <c r="AC558" i="52" s="1"/>
  <c r="V558" i="52"/>
  <c r="AB558" i="52" s="1"/>
  <c r="AE557" i="52"/>
  <c r="X557" i="52"/>
  <c r="AD557" i="52" s="1"/>
  <c r="W557" i="52"/>
  <c r="AC557" i="52" s="1"/>
  <c r="V557" i="52"/>
  <c r="AB557" i="52" s="1"/>
  <c r="AE556" i="52"/>
  <c r="X556" i="52"/>
  <c r="AD556" i="52" s="1"/>
  <c r="W556" i="52"/>
  <c r="AC556" i="52" s="1"/>
  <c r="V556" i="52"/>
  <c r="AB556" i="52" s="1"/>
  <c r="AE555" i="52"/>
  <c r="X555" i="52"/>
  <c r="AD555" i="52" s="1"/>
  <c r="W555" i="52"/>
  <c r="AC555" i="52" s="1"/>
  <c r="V555" i="52"/>
  <c r="AB555" i="52" s="1"/>
  <c r="AE554" i="52"/>
  <c r="AB554" i="52"/>
  <c r="X554" i="52"/>
  <c r="AD554" i="52" s="1"/>
  <c r="W554" i="52"/>
  <c r="AC554" i="52" s="1"/>
  <c r="V554" i="52"/>
  <c r="AE553" i="52"/>
  <c r="X553" i="52"/>
  <c r="AD553" i="52" s="1"/>
  <c r="W553" i="52"/>
  <c r="AC553" i="52" s="1"/>
  <c r="V553" i="52"/>
  <c r="AB553" i="52" s="1"/>
  <c r="AE552" i="52"/>
  <c r="X552" i="52"/>
  <c r="AD552" i="52" s="1"/>
  <c r="W552" i="52"/>
  <c r="AC552" i="52" s="1"/>
  <c r="V552" i="52"/>
  <c r="AB552" i="52" s="1"/>
  <c r="AE551" i="52"/>
  <c r="X551" i="52"/>
  <c r="AD551" i="52" s="1"/>
  <c r="W551" i="52"/>
  <c r="AC551" i="52" s="1"/>
  <c r="V551" i="52"/>
  <c r="AB551" i="52" s="1"/>
  <c r="AE550" i="52"/>
  <c r="X550" i="52"/>
  <c r="AD550" i="52" s="1"/>
  <c r="W550" i="52"/>
  <c r="AC550" i="52" s="1"/>
  <c r="V550" i="52"/>
  <c r="AB550" i="52" s="1"/>
  <c r="AE549" i="52"/>
  <c r="X549" i="52"/>
  <c r="AD549" i="52" s="1"/>
  <c r="W549" i="52"/>
  <c r="AC549" i="52" s="1"/>
  <c r="V549" i="52"/>
  <c r="AB549" i="52" s="1"/>
  <c r="AE548" i="52"/>
  <c r="X548" i="52"/>
  <c r="AD548" i="52" s="1"/>
  <c r="W548" i="52"/>
  <c r="AC548" i="52" s="1"/>
  <c r="V548" i="52"/>
  <c r="AB548" i="52" s="1"/>
  <c r="AE547" i="52"/>
  <c r="X547" i="52"/>
  <c r="AD547" i="52" s="1"/>
  <c r="W547" i="52"/>
  <c r="AC547" i="52" s="1"/>
  <c r="V547" i="52"/>
  <c r="AB547" i="52" s="1"/>
  <c r="AE546" i="52"/>
  <c r="X546" i="52"/>
  <c r="AD546" i="52" s="1"/>
  <c r="W546" i="52"/>
  <c r="AC546" i="52" s="1"/>
  <c r="V546" i="52"/>
  <c r="AB546" i="52" s="1"/>
  <c r="AE545" i="52"/>
  <c r="X545" i="52"/>
  <c r="AD545" i="52" s="1"/>
  <c r="W545" i="52"/>
  <c r="AC545" i="52" s="1"/>
  <c r="V545" i="52"/>
  <c r="AB545" i="52" s="1"/>
  <c r="AE544" i="52"/>
  <c r="X544" i="52"/>
  <c r="AD544" i="52" s="1"/>
  <c r="W544" i="52"/>
  <c r="AC544" i="52" s="1"/>
  <c r="V544" i="52"/>
  <c r="AB544" i="52" s="1"/>
  <c r="AE543" i="52"/>
  <c r="X543" i="52"/>
  <c r="AD543" i="52" s="1"/>
  <c r="W543" i="52"/>
  <c r="AC543" i="52" s="1"/>
  <c r="V543" i="52"/>
  <c r="AB543" i="52" s="1"/>
  <c r="AE542" i="52"/>
  <c r="X542" i="52"/>
  <c r="AD542" i="52" s="1"/>
  <c r="W542" i="52"/>
  <c r="AC542" i="52" s="1"/>
  <c r="V542" i="52"/>
  <c r="AB542" i="52" s="1"/>
  <c r="AE541" i="52"/>
  <c r="X541" i="52"/>
  <c r="AD541" i="52" s="1"/>
  <c r="W541" i="52"/>
  <c r="AC541" i="52" s="1"/>
  <c r="V541" i="52"/>
  <c r="AB541" i="52" s="1"/>
  <c r="AE540" i="52"/>
  <c r="X540" i="52"/>
  <c r="AD540" i="52" s="1"/>
  <c r="W540" i="52"/>
  <c r="AC540" i="52" s="1"/>
  <c r="V540" i="52"/>
  <c r="AB540" i="52" s="1"/>
  <c r="AE539" i="52"/>
  <c r="X539" i="52"/>
  <c r="AD539" i="52" s="1"/>
  <c r="W539" i="52"/>
  <c r="AC539" i="52" s="1"/>
  <c r="V539" i="52"/>
  <c r="AB539" i="52" s="1"/>
  <c r="AE538" i="52"/>
  <c r="AB538" i="52"/>
  <c r="X538" i="52"/>
  <c r="AD538" i="52" s="1"/>
  <c r="W538" i="52"/>
  <c r="AC538" i="52" s="1"/>
  <c r="V538" i="52"/>
  <c r="AE537" i="52"/>
  <c r="X537" i="52"/>
  <c r="AD537" i="52" s="1"/>
  <c r="W537" i="52"/>
  <c r="AC537" i="52" s="1"/>
  <c r="V537" i="52"/>
  <c r="AB537" i="52" s="1"/>
  <c r="AE536" i="52"/>
  <c r="X536" i="52"/>
  <c r="AD536" i="52" s="1"/>
  <c r="W536" i="52"/>
  <c r="AC536" i="52" s="1"/>
  <c r="V536" i="52"/>
  <c r="AB536" i="52" s="1"/>
  <c r="AE535" i="52"/>
  <c r="X535" i="52"/>
  <c r="AD535" i="52" s="1"/>
  <c r="W535" i="52"/>
  <c r="AC535" i="52" s="1"/>
  <c r="V535" i="52"/>
  <c r="AB535" i="52" s="1"/>
  <c r="AE534" i="52"/>
  <c r="X534" i="52"/>
  <c r="AD534" i="52" s="1"/>
  <c r="W534" i="52"/>
  <c r="AC534" i="52" s="1"/>
  <c r="V534" i="52"/>
  <c r="AB534" i="52" s="1"/>
  <c r="AE533" i="52"/>
  <c r="X533" i="52"/>
  <c r="AD533" i="52" s="1"/>
  <c r="W533" i="52"/>
  <c r="AC533" i="52" s="1"/>
  <c r="V533" i="52"/>
  <c r="AB533" i="52" s="1"/>
  <c r="AE532" i="52"/>
  <c r="X532" i="52"/>
  <c r="AD532" i="52" s="1"/>
  <c r="W532" i="52"/>
  <c r="AC532" i="52" s="1"/>
  <c r="V532" i="52"/>
  <c r="AB532" i="52" s="1"/>
  <c r="AE531" i="52"/>
  <c r="X531" i="52"/>
  <c r="AD531" i="52" s="1"/>
  <c r="W531" i="52"/>
  <c r="AC531" i="52" s="1"/>
  <c r="V531" i="52"/>
  <c r="AB531" i="52" s="1"/>
  <c r="AE530" i="52"/>
  <c r="X530" i="52"/>
  <c r="AD530" i="52" s="1"/>
  <c r="W530" i="52"/>
  <c r="AC530" i="52" s="1"/>
  <c r="V530" i="52"/>
  <c r="AB530" i="52" s="1"/>
  <c r="AE529" i="52"/>
  <c r="X529" i="52"/>
  <c r="AD529" i="52" s="1"/>
  <c r="W529" i="52"/>
  <c r="AC529" i="52" s="1"/>
  <c r="V529" i="52"/>
  <c r="AB529" i="52" s="1"/>
  <c r="AE528" i="52"/>
  <c r="X528" i="52"/>
  <c r="AD528" i="52" s="1"/>
  <c r="W528" i="52"/>
  <c r="AC528" i="52" s="1"/>
  <c r="V528" i="52"/>
  <c r="AB528" i="52" s="1"/>
  <c r="AE527" i="52"/>
  <c r="X527" i="52"/>
  <c r="AD527" i="52" s="1"/>
  <c r="W527" i="52"/>
  <c r="AC527" i="52" s="1"/>
  <c r="V527" i="52"/>
  <c r="AB527" i="52" s="1"/>
  <c r="AE526" i="52"/>
  <c r="X526" i="52"/>
  <c r="AD526" i="52" s="1"/>
  <c r="W526" i="52"/>
  <c r="AC526" i="52" s="1"/>
  <c r="V526" i="52"/>
  <c r="AB526" i="52" s="1"/>
  <c r="AE525" i="52"/>
  <c r="X525" i="52"/>
  <c r="AD525" i="52" s="1"/>
  <c r="W525" i="52"/>
  <c r="AC525" i="52" s="1"/>
  <c r="V525" i="52"/>
  <c r="AB525" i="52" s="1"/>
  <c r="AE524" i="52"/>
  <c r="X524" i="52"/>
  <c r="AD524" i="52" s="1"/>
  <c r="W524" i="52"/>
  <c r="AC524" i="52" s="1"/>
  <c r="V524" i="52"/>
  <c r="AB524" i="52" s="1"/>
  <c r="AE523" i="52"/>
  <c r="X523" i="52"/>
  <c r="AD523" i="52" s="1"/>
  <c r="W523" i="52"/>
  <c r="AC523" i="52" s="1"/>
  <c r="V523" i="52"/>
  <c r="AB523" i="52" s="1"/>
  <c r="AE522" i="52"/>
  <c r="AB522" i="52"/>
  <c r="X522" i="52"/>
  <c r="AD522" i="52" s="1"/>
  <c r="W522" i="52"/>
  <c r="AC522" i="52" s="1"/>
  <c r="V522" i="52"/>
  <c r="AE521" i="52"/>
  <c r="X521" i="52"/>
  <c r="AD521" i="52" s="1"/>
  <c r="W521" i="52"/>
  <c r="AC521" i="52" s="1"/>
  <c r="V521" i="52"/>
  <c r="AB521" i="52" s="1"/>
  <c r="AE520" i="52"/>
  <c r="X520" i="52"/>
  <c r="AD520" i="52" s="1"/>
  <c r="W520" i="52"/>
  <c r="AC520" i="52" s="1"/>
  <c r="V520" i="52"/>
  <c r="AB520" i="52" s="1"/>
  <c r="AE519" i="52"/>
  <c r="AD519" i="52"/>
  <c r="X519" i="52"/>
  <c r="W519" i="52"/>
  <c r="AC519" i="52" s="1"/>
  <c r="V519" i="52"/>
  <c r="AB519" i="52" s="1"/>
  <c r="AE518" i="52"/>
  <c r="AD518" i="52"/>
  <c r="X518" i="52"/>
  <c r="W518" i="52"/>
  <c r="AC518" i="52" s="1"/>
  <c r="V518" i="52"/>
  <c r="AB518" i="52" s="1"/>
  <c r="AE517" i="52"/>
  <c r="X517" i="52"/>
  <c r="AD517" i="52" s="1"/>
  <c r="W517" i="52"/>
  <c r="AC517" i="52" s="1"/>
  <c r="V517" i="52"/>
  <c r="AB517" i="52" s="1"/>
  <c r="AE516" i="52"/>
  <c r="X516" i="52"/>
  <c r="AD516" i="52" s="1"/>
  <c r="W516" i="52"/>
  <c r="AC516" i="52" s="1"/>
  <c r="V516" i="52"/>
  <c r="AB516" i="52" s="1"/>
  <c r="AE515" i="52"/>
  <c r="X515" i="52"/>
  <c r="AD515" i="52" s="1"/>
  <c r="W515" i="52"/>
  <c r="AC515" i="52" s="1"/>
  <c r="V515" i="52"/>
  <c r="AB515" i="52" s="1"/>
  <c r="AE514" i="52"/>
  <c r="X514" i="52"/>
  <c r="AD514" i="52" s="1"/>
  <c r="W514" i="52"/>
  <c r="AC514" i="52" s="1"/>
  <c r="V514" i="52"/>
  <c r="AB514" i="52" s="1"/>
  <c r="AE513" i="52"/>
  <c r="AD513" i="52"/>
  <c r="X513" i="52"/>
  <c r="W513" i="52"/>
  <c r="AC513" i="52" s="1"/>
  <c r="V513" i="52"/>
  <c r="AB513" i="52" s="1"/>
  <c r="AE512" i="52"/>
  <c r="X512" i="52"/>
  <c r="AD512" i="52" s="1"/>
  <c r="W512" i="52"/>
  <c r="AC512" i="52" s="1"/>
  <c r="V512" i="52"/>
  <c r="AB512" i="52" s="1"/>
  <c r="AE511" i="52"/>
  <c r="X511" i="52"/>
  <c r="AD511" i="52" s="1"/>
  <c r="W511" i="52"/>
  <c r="AC511" i="52" s="1"/>
  <c r="V511" i="52"/>
  <c r="AB511" i="52" s="1"/>
  <c r="AE510" i="52"/>
  <c r="X510" i="52"/>
  <c r="AD510" i="52" s="1"/>
  <c r="W510" i="52"/>
  <c r="AC510" i="52" s="1"/>
  <c r="V510" i="52"/>
  <c r="AB510" i="52" s="1"/>
  <c r="AE509" i="52"/>
  <c r="X509" i="52"/>
  <c r="AD509" i="52" s="1"/>
  <c r="W509" i="52"/>
  <c r="AC509" i="52" s="1"/>
  <c r="V509" i="52"/>
  <c r="AB509" i="52" s="1"/>
  <c r="AE508" i="52"/>
  <c r="X508" i="52"/>
  <c r="AD508" i="52" s="1"/>
  <c r="W508" i="52"/>
  <c r="AC508" i="52" s="1"/>
  <c r="V508" i="52"/>
  <c r="AB508" i="52" s="1"/>
  <c r="AE507" i="52"/>
  <c r="X507" i="52"/>
  <c r="AD507" i="52" s="1"/>
  <c r="W507" i="52"/>
  <c r="AC507" i="52" s="1"/>
  <c r="V507" i="52"/>
  <c r="AB507" i="52" s="1"/>
  <c r="AE506" i="52"/>
  <c r="X506" i="52"/>
  <c r="AD506" i="52" s="1"/>
  <c r="W506" i="52"/>
  <c r="AC506" i="52" s="1"/>
  <c r="V506" i="52"/>
  <c r="AB506" i="52" s="1"/>
  <c r="AE505" i="52"/>
  <c r="X505" i="52"/>
  <c r="AD505" i="52" s="1"/>
  <c r="W505" i="52"/>
  <c r="AC505" i="52" s="1"/>
  <c r="V505" i="52"/>
  <c r="AB505" i="52" s="1"/>
  <c r="AE504" i="52"/>
  <c r="X504" i="52"/>
  <c r="AD504" i="52" s="1"/>
  <c r="W504" i="52"/>
  <c r="AC504" i="52" s="1"/>
  <c r="V504" i="52"/>
  <c r="AB504" i="52" s="1"/>
  <c r="AE503" i="52"/>
  <c r="AB503" i="52"/>
  <c r="X503" i="52"/>
  <c r="AD503" i="52" s="1"/>
  <c r="W503" i="52"/>
  <c r="AC503" i="52" s="1"/>
  <c r="V503" i="52"/>
  <c r="AE502" i="52"/>
  <c r="X502" i="52"/>
  <c r="AD502" i="52" s="1"/>
  <c r="W502" i="52"/>
  <c r="AC502" i="52" s="1"/>
  <c r="V502" i="52"/>
  <c r="AB502" i="52" s="1"/>
  <c r="AE501" i="52"/>
  <c r="AD501" i="52"/>
  <c r="X501" i="52"/>
  <c r="W501" i="52"/>
  <c r="AC501" i="52" s="1"/>
  <c r="V501" i="52"/>
  <c r="AB501" i="52" s="1"/>
  <c r="AE500" i="52"/>
  <c r="X500" i="52"/>
  <c r="AD500" i="52" s="1"/>
  <c r="W500" i="52"/>
  <c r="AC500" i="52" s="1"/>
  <c r="V500" i="52"/>
  <c r="AB500" i="52" s="1"/>
  <c r="AE499" i="52"/>
  <c r="X499" i="52"/>
  <c r="AD499" i="52" s="1"/>
  <c r="W499" i="52"/>
  <c r="AC499" i="52" s="1"/>
  <c r="V499" i="52"/>
  <c r="AB499" i="52" s="1"/>
  <c r="AE498" i="52"/>
  <c r="X498" i="52"/>
  <c r="AD498" i="52" s="1"/>
  <c r="W498" i="52"/>
  <c r="AC498" i="52" s="1"/>
  <c r="V498" i="52"/>
  <c r="AB498" i="52" s="1"/>
  <c r="AE497" i="52"/>
  <c r="X497" i="52"/>
  <c r="AD497" i="52" s="1"/>
  <c r="W497" i="52"/>
  <c r="AC497" i="52" s="1"/>
  <c r="V497" i="52"/>
  <c r="AB497" i="52" s="1"/>
  <c r="AE496" i="52"/>
  <c r="AD496" i="52"/>
  <c r="X496" i="52"/>
  <c r="W496" i="52"/>
  <c r="AC496" i="52" s="1"/>
  <c r="V496" i="52"/>
  <c r="AB496" i="52" s="1"/>
  <c r="AE495" i="52"/>
  <c r="X495" i="52"/>
  <c r="AD495" i="52" s="1"/>
  <c r="W495" i="52"/>
  <c r="AC495" i="52" s="1"/>
  <c r="V495" i="52"/>
  <c r="AB495" i="52" s="1"/>
  <c r="AE494" i="52"/>
  <c r="X494" i="52"/>
  <c r="AD494" i="52" s="1"/>
  <c r="W494" i="52"/>
  <c r="AC494" i="52" s="1"/>
  <c r="V494" i="52"/>
  <c r="AB494" i="52" s="1"/>
  <c r="AE493" i="52"/>
  <c r="X493" i="52"/>
  <c r="AD493" i="52" s="1"/>
  <c r="W493" i="52"/>
  <c r="AC493" i="52" s="1"/>
  <c r="V493" i="52"/>
  <c r="AB493" i="52" s="1"/>
  <c r="AE492" i="52"/>
  <c r="X492" i="52"/>
  <c r="AD492" i="52" s="1"/>
  <c r="W492" i="52"/>
  <c r="AC492" i="52" s="1"/>
  <c r="V492" i="52"/>
  <c r="AB492" i="52" s="1"/>
  <c r="AE491" i="52"/>
  <c r="AB491" i="52"/>
  <c r="X491" i="52"/>
  <c r="AD491" i="52" s="1"/>
  <c r="W491" i="52"/>
  <c r="AC491" i="52" s="1"/>
  <c r="V491" i="52"/>
  <c r="AE490" i="52"/>
  <c r="X490" i="52"/>
  <c r="AD490" i="52" s="1"/>
  <c r="W490" i="52"/>
  <c r="AC490" i="52" s="1"/>
  <c r="V490" i="52"/>
  <c r="AB490" i="52" s="1"/>
  <c r="AE489" i="52"/>
  <c r="X489" i="52"/>
  <c r="AD489" i="52" s="1"/>
  <c r="W489" i="52"/>
  <c r="AC489" i="52" s="1"/>
  <c r="V489" i="52"/>
  <c r="AB489" i="52" s="1"/>
  <c r="AE488" i="52"/>
  <c r="X488" i="52"/>
  <c r="AD488" i="52" s="1"/>
  <c r="W488" i="52"/>
  <c r="AC488" i="52" s="1"/>
  <c r="V488" i="52"/>
  <c r="AB488" i="52" s="1"/>
  <c r="AE487" i="52"/>
  <c r="X487" i="52"/>
  <c r="AD487" i="52" s="1"/>
  <c r="W487" i="52"/>
  <c r="AC487" i="52" s="1"/>
  <c r="V487" i="52"/>
  <c r="AB487" i="52" s="1"/>
  <c r="AE486" i="52"/>
  <c r="X486" i="52"/>
  <c r="AD486" i="52" s="1"/>
  <c r="W486" i="52"/>
  <c r="AC486" i="52" s="1"/>
  <c r="V486" i="52"/>
  <c r="AB486" i="52" s="1"/>
  <c r="AE485" i="52"/>
  <c r="X485" i="52"/>
  <c r="AD485" i="52" s="1"/>
  <c r="W485" i="52"/>
  <c r="AC485" i="52" s="1"/>
  <c r="V485" i="52"/>
  <c r="AB485" i="52" s="1"/>
  <c r="AE484" i="52"/>
  <c r="AB484" i="52"/>
  <c r="X484" i="52"/>
  <c r="AD484" i="52" s="1"/>
  <c r="W484" i="52"/>
  <c r="AC484" i="52" s="1"/>
  <c r="V484" i="52"/>
  <c r="AE483" i="52"/>
  <c r="X483" i="52"/>
  <c r="AD483" i="52" s="1"/>
  <c r="W483" i="52"/>
  <c r="AC483" i="52" s="1"/>
  <c r="V483" i="52"/>
  <c r="AB483" i="52" s="1"/>
  <c r="AE482" i="52"/>
  <c r="X482" i="52"/>
  <c r="AD482" i="52" s="1"/>
  <c r="W482" i="52"/>
  <c r="AC482" i="52" s="1"/>
  <c r="V482" i="52"/>
  <c r="AB482" i="52" s="1"/>
  <c r="AE481" i="52"/>
  <c r="X481" i="52"/>
  <c r="AD481" i="52" s="1"/>
  <c r="W481" i="52"/>
  <c r="AC481" i="52" s="1"/>
  <c r="V481" i="52"/>
  <c r="AB481" i="52" s="1"/>
  <c r="AE480" i="52"/>
  <c r="AB480" i="52"/>
  <c r="X480" i="52"/>
  <c r="AD480" i="52" s="1"/>
  <c r="W480" i="52"/>
  <c r="AC480" i="52" s="1"/>
  <c r="V480" i="52"/>
  <c r="AE479" i="52"/>
  <c r="X479" i="52"/>
  <c r="AD479" i="52" s="1"/>
  <c r="W479" i="52"/>
  <c r="AC479" i="52" s="1"/>
  <c r="V479" i="52"/>
  <c r="AB479" i="52" s="1"/>
  <c r="AE478" i="52"/>
  <c r="X478" i="52"/>
  <c r="AD478" i="52" s="1"/>
  <c r="W478" i="52"/>
  <c r="AC478" i="52" s="1"/>
  <c r="V478" i="52"/>
  <c r="AB478" i="52" s="1"/>
  <c r="AE477" i="52"/>
  <c r="X477" i="52"/>
  <c r="AD477" i="52" s="1"/>
  <c r="W477" i="52"/>
  <c r="AC477" i="52" s="1"/>
  <c r="V477" i="52"/>
  <c r="AB477" i="52" s="1"/>
  <c r="AE476" i="52"/>
  <c r="X476" i="52"/>
  <c r="AD476" i="52" s="1"/>
  <c r="W476" i="52"/>
  <c r="AC476" i="52" s="1"/>
  <c r="V476" i="52"/>
  <c r="AB476" i="52" s="1"/>
  <c r="AE475" i="52"/>
  <c r="X475" i="52"/>
  <c r="AD475" i="52" s="1"/>
  <c r="W475" i="52"/>
  <c r="AC475" i="52" s="1"/>
  <c r="V475" i="52"/>
  <c r="AB475" i="52" s="1"/>
  <c r="AE474" i="52"/>
  <c r="X474" i="52"/>
  <c r="AD474" i="52" s="1"/>
  <c r="W474" i="52"/>
  <c r="AC474" i="52" s="1"/>
  <c r="V474" i="52"/>
  <c r="AB474" i="52" s="1"/>
  <c r="AE473" i="52"/>
  <c r="X473" i="52"/>
  <c r="AD473" i="52" s="1"/>
  <c r="W473" i="52"/>
  <c r="AC473" i="52" s="1"/>
  <c r="V473" i="52"/>
  <c r="AB473" i="52" s="1"/>
  <c r="AE472" i="52"/>
  <c r="X472" i="52"/>
  <c r="AD472" i="52" s="1"/>
  <c r="W472" i="52"/>
  <c r="AC472" i="52" s="1"/>
  <c r="V472" i="52"/>
  <c r="AB472" i="52" s="1"/>
  <c r="AE471" i="52"/>
  <c r="AB471" i="52"/>
  <c r="X471" i="52"/>
  <c r="AD471" i="52" s="1"/>
  <c r="W471" i="52"/>
  <c r="AC471" i="52" s="1"/>
  <c r="V471" i="52"/>
  <c r="AE470" i="52"/>
  <c r="X470" i="52"/>
  <c r="AD470" i="52" s="1"/>
  <c r="W470" i="52"/>
  <c r="AC470" i="52" s="1"/>
  <c r="V470" i="52"/>
  <c r="AB470" i="52" s="1"/>
  <c r="AE469" i="52"/>
  <c r="X469" i="52"/>
  <c r="AD469" i="52" s="1"/>
  <c r="W469" i="52"/>
  <c r="AC469" i="52" s="1"/>
  <c r="V469" i="52"/>
  <c r="AB469" i="52" s="1"/>
  <c r="AE468" i="52"/>
  <c r="X468" i="52"/>
  <c r="AD468" i="52" s="1"/>
  <c r="W468" i="52"/>
  <c r="AC468" i="52" s="1"/>
  <c r="V468" i="52"/>
  <c r="AB468" i="52" s="1"/>
  <c r="AE467" i="52"/>
  <c r="X467" i="52"/>
  <c r="AD467" i="52" s="1"/>
  <c r="W467" i="52"/>
  <c r="AC467" i="52" s="1"/>
  <c r="V467" i="52"/>
  <c r="AB467" i="52" s="1"/>
  <c r="AE466" i="52"/>
  <c r="X466" i="52"/>
  <c r="AD466" i="52" s="1"/>
  <c r="W466" i="52"/>
  <c r="AC466" i="52" s="1"/>
  <c r="V466" i="52"/>
  <c r="AB466" i="52" s="1"/>
  <c r="AE465" i="52"/>
  <c r="X465" i="52"/>
  <c r="AD465" i="52" s="1"/>
  <c r="W465" i="52"/>
  <c r="AC465" i="52" s="1"/>
  <c r="V465" i="52"/>
  <c r="AB465" i="52" s="1"/>
  <c r="AE464" i="52"/>
  <c r="X464" i="52"/>
  <c r="AD464" i="52" s="1"/>
  <c r="W464" i="52"/>
  <c r="AC464" i="52" s="1"/>
  <c r="V464" i="52"/>
  <c r="AB464" i="52" s="1"/>
  <c r="AE463" i="52"/>
  <c r="X463" i="52"/>
  <c r="AD463" i="52" s="1"/>
  <c r="W463" i="52"/>
  <c r="AC463" i="52" s="1"/>
  <c r="V463" i="52"/>
  <c r="AB463" i="52" s="1"/>
  <c r="AE462" i="52"/>
  <c r="X462" i="52"/>
  <c r="AD462" i="52" s="1"/>
  <c r="W462" i="52"/>
  <c r="AC462" i="52" s="1"/>
  <c r="V462" i="52"/>
  <c r="AB462" i="52" s="1"/>
  <c r="AE461" i="52"/>
  <c r="AC461" i="52"/>
  <c r="X461" i="52"/>
  <c r="AD461" i="52" s="1"/>
  <c r="W461" i="52"/>
  <c r="V461" i="52"/>
  <c r="AB461" i="52" s="1"/>
  <c r="AE460" i="52"/>
  <c r="X460" i="52"/>
  <c r="AD460" i="52" s="1"/>
  <c r="W460" i="52"/>
  <c r="AC460" i="52" s="1"/>
  <c r="V460" i="52"/>
  <c r="AB460" i="52" s="1"/>
  <c r="AE459" i="52"/>
  <c r="X459" i="52"/>
  <c r="AD459" i="52" s="1"/>
  <c r="W459" i="52"/>
  <c r="AC459" i="52" s="1"/>
  <c r="V459" i="52"/>
  <c r="AB459" i="52" s="1"/>
  <c r="AE458" i="52"/>
  <c r="X458" i="52"/>
  <c r="AD458" i="52" s="1"/>
  <c r="W458" i="52"/>
  <c r="AC458" i="52" s="1"/>
  <c r="V458" i="52"/>
  <c r="AB458" i="52" s="1"/>
  <c r="AE457" i="52"/>
  <c r="X457" i="52"/>
  <c r="AD457" i="52" s="1"/>
  <c r="W457" i="52"/>
  <c r="AC457" i="52" s="1"/>
  <c r="V457" i="52"/>
  <c r="AB457" i="52" s="1"/>
  <c r="AE456" i="52"/>
  <c r="AB456" i="52"/>
  <c r="X456" i="52"/>
  <c r="AD456" i="52" s="1"/>
  <c r="W456" i="52"/>
  <c r="AC456" i="52" s="1"/>
  <c r="V456" i="52"/>
  <c r="AE455" i="52"/>
  <c r="X455" i="52"/>
  <c r="AD455" i="52" s="1"/>
  <c r="W455" i="52"/>
  <c r="AC455" i="52" s="1"/>
  <c r="V455" i="52"/>
  <c r="AB455" i="52" s="1"/>
  <c r="AE454" i="52"/>
  <c r="X454" i="52"/>
  <c r="AD454" i="52" s="1"/>
  <c r="W454" i="52"/>
  <c r="AC454" i="52" s="1"/>
  <c r="V454" i="52"/>
  <c r="AB454" i="52" s="1"/>
  <c r="AE453" i="52"/>
  <c r="X453" i="52"/>
  <c r="AD453" i="52" s="1"/>
  <c r="W453" i="52"/>
  <c r="AC453" i="52" s="1"/>
  <c r="V453" i="52"/>
  <c r="AB453" i="52" s="1"/>
  <c r="AE452" i="52"/>
  <c r="X452" i="52"/>
  <c r="AD452" i="52" s="1"/>
  <c r="W452" i="52"/>
  <c r="AC452" i="52" s="1"/>
  <c r="V452" i="52"/>
  <c r="AB452" i="52" s="1"/>
  <c r="AE451" i="52"/>
  <c r="X451" i="52"/>
  <c r="AD451" i="52" s="1"/>
  <c r="W451" i="52"/>
  <c r="AC451" i="52" s="1"/>
  <c r="V451" i="52"/>
  <c r="AB451" i="52" s="1"/>
  <c r="AE450" i="52"/>
  <c r="AD450" i="52"/>
  <c r="AC450" i="52"/>
  <c r="X450" i="52"/>
  <c r="W450" i="52"/>
  <c r="V450" i="52"/>
  <c r="AB450" i="52" s="1"/>
  <c r="AE449" i="52"/>
  <c r="X449" i="52"/>
  <c r="AD449" i="52" s="1"/>
  <c r="W449" i="52"/>
  <c r="AC449" i="52" s="1"/>
  <c r="V449" i="52"/>
  <c r="AB449" i="52" s="1"/>
  <c r="AE448" i="52"/>
  <c r="X448" i="52"/>
  <c r="AD448" i="52" s="1"/>
  <c r="W448" i="52"/>
  <c r="AC448" i="52" s="1"/>
  <c r="V448" i="52"/>
  <c r="AB448" i="52" s="1"/>
  <c r="AE447" i="52"/>
  <c r="X447" i="52"/>
  <c r="AD447" i="52" s="1"/>
  <c r="W447" i="52"/>
  <c r="AC447" i="52" s="1"/>
  <c r="V447" i="52"/>
  <c r="AB447" i="52" s="1"/>
  <c r="AE446" i="52"/>
  <c r="X446" i="52"/>
  <c r="AD446" i="52" s="1"/>
  <c r="W446" i="52"/>
  <c r="AC446" i="52" s="1"/>
  <c r="V446" i="52"/>
  <c r="AB446" i="52" s="1"/>
  <c r="AE445" i="52"/>
  <c r="X445" i="52"/>
  <c r="AD445" i="52" s="1"/>
  <c r="W445" i="52"/>
  <c r="AC445" i="52" s="1"/>
  <c r="V445" i="52"/>
  <c r="AB445" i="52" s="1"/>
  <c r="AE444" i="52"/>
  <c r="AB444" i="52"/>
  <c r="X444" i="52"/>
  <c r="AD444" i="52" s="1"/>
  <c r="W444" i="52"/>
  <c r="AC444" i="52" s="1"/>
  <c r="V444" i="52"/>
  <c r="AE443" i="52"/>
  <c r="X443" i="52"/>
  <c r="AD443" i="52" s="1"/>
  <c r="W443" i="52"/>
  <c r="AC443" i="52" s="1"/>
  <c r="V443" i="52"/>
  <c r="AB443" i="52" s="1"/>
  <c r="AE442" i="52"/>
  <c r="AC442" i="52"/>
  <c r="X442" i="52"/>
  <c r="AD442" i="52" s="1"/>
  <c r="W442" i="52"/>
  <c r="V442" i="52"/>
  <c r="AB442" i="52" s="1"/>
  <c r="AE441" i="52"/>
  <c r="AD441" i="52"/>
  <c r="X441" i="52"/>
  <c r="W441" i="52"/>
  <c r="AC441" i="52" s="1"/>
  <c r="V441" i="52"/>
  <c r="AB441" i="52" s="1"/>
  <c r="AE440" i="52"/>
  <c r="X440" i="52"/>
  <c r="AD440" i="52" s="1"/>
  <c r="W440" i="52"/>
  <c r="AC440" i="52" s="1"/>
  <c r="V440" i="52"/>
  <c r="AB440" i="52" s="1"/>
  <c r="AE439" i="52"/>
  <c r="X439" i="52"/>
  <c r="AD439" i="52" s="1"/>
  <c r="W439" i="52"/>
  <c r="AC439" i="52" s="1"/>
  <c r="V439" i="52"/>
  <c r="AB439" i="52" s="1"/>
  <c r="AE438" i="52"/>
  <c r="X438" i="52"/>
  <c r="AD438" i="52" s="1"/>
  <c r="W438" i="52"/>
  <c r="AC438" i="52" s="1"/>
  <c r="V438" i="52"/>
  <c r="AB438" i="52" s="1"/>
  <c r="AE437" i="52"/>
  <c r="AD437" i="52"/>
  <c r="X437" i="52"/>
  <c r="W437" i="52"/>
  <c r="AC437" i="52" s="1"/>
  <c r="V437" i="52"/>
  <c r="AB437" i="52" s="1"/>
  <c r="AE436" i="52"/>
  <c r="X436" i="52"/>
  <c r="AD436" i="52" s="1"/>
  <c r="W436" i="52"/>
  <c r="AC436" i="52" s="1"/>
  <c r="V436" i="52"/>
  <c r="AB436" i="52" s="1"/>
  <c r="AE435" i="52"/>
  <c r="X435" i="52"/>
  <c r="AD435" i="52" s="1"/>
  <c r="W435" i="52"/>
  <c r="AC435" i="52" s="1"/>
  <c r="V435" i="52"/>
  <c r="AB435" i="52" s="1"/>
  <c r="AE434" i="52"/>
  <c r="X434" i="52"/>
  <c r="AD434" i="52" s="1"/>
  <c r="W434" i="52"/>
  <c r="AC434" i="52" s="1"/>
  <c r="V434" i="52"/>
  <c r="AB434" i="52" s="1"/>
  <c r="AE433" i="52"/>
  <c r="X433" i="52"/>
  <c r="AD433" i="52" s="1"/>
  <c r="W433" i="52"/>
  <c r="AC433" i="52" s="1"/>
  <c r="V433" i="52"/>
  <c r="AB433" i="52" s="1"/>
  <c r="AE432" i="52"/>
  <c r="X432" i="52"/>
  <c r="AD432" i="52" s="1"/>
  <c r="W432" i="52"/>
  <c r="AC432" i="52" s="1"/>
  <c r="V432" i="52"/>
  <c r="AB432" i="52" s="1"/>
  <c r="AE431" i="52"/>
  <c r="AB431" i="52"/>
  <c r="X431" i="52"/>
  <c r="AD431" i="52" s="1"/>
  <c r="W431" i="52"/>
  <c r="AC431" i="52" s="1"/>
  <c r="V431" i="52"/>
  <c r="AE430" i="52"/>
  <c r="X430" i="52"/>
  <c r="AD430" i="52" s="1"/>
  <c r="W430" i="52"/>
  <c r="AC430" i="52" s="1"/>
  <c r="V430" i="52"/>
  <c r="AB430" i="52" s="1"/>
  <c r="AE429" i="52"/>
  <c r="X429" i="52"/>
  <c r="AD429" i="52" s="1"/>
  <c r="W429" i="52"/>
  <c r="AC429" i="52" s="1"/>
  <c r="V429" i="52"/>
  <c r="AB429" i="52" s="1"/>
  <c r="AE428" i="52"/>
  <c r="X428" i="52"/>
  <c r="AD428" i="52" s="1"/>
  <c r="W428" i="52"/>
  <c r="AC428" i="52" s="1"/>
  <c r="V428" i="52"/>
  <c r="AB428" i="52" s="1"/>
  <c r="AE427" i="52"/>
  <c r="X427" i="52"/>
  <c r="AD427" i="52" s="1"/>
  <c r="W427" i="52"/>
  <c r="AC427" i="52" s="1"/>
  <c r="V427" i="52"/>
  <c r="AB427" i="52" s="1"/>
  <c r="AE426" i="52"/>
  <c r="AD426" i="52"/>
  <c r="X426" i="52"/>
  <c r="W426" i="52"/>
  <c r="AC426" i="52" s="1"/>
  <c r="V426" i="52"/>
  <c r="AB426" i="52" s="1"/>
  <c r="AE425" i="52"/>
  <c r="X425" i="52"/>
  <c r="AD425" i="52" s="1"/>
  <c r="W425" i="52"/>
  <c r="AC425" i="52" s="1"/>
  <c r="V425" i="52"/>
  <c r="AB425" i="52" s="1"/>
  <c r="AE424" i="52"/>
  <c r="X424" i="52"/>
  <c r="AD424" i="52" s="1"/>
  <c r="W424" i="52"/>
  <c r="AC424" i="52" s="1"/>
  <c r="V424" i="52"/>
  <c r="AB424" i="52" s="1"/>
  <c r="AE423" i="52"/>
  <c r="X423" i="52"/>
  <c r="AD423" i="52" s="1"/>
  <c r="W423" i="52"/>
  <c r="AC423" i="52" s="1"/>
  <c r="V423" i="52"/>
  <c r="AB423" i="52" s="1"/>
  <c r="AE422" i="52"/>
  <c r="AC422" i="52"/>
  <c r="X422" i="52"/>
  <c r="AD422" i="52" s="1"/>
  <c r="W422" i="52"/>
  <c r="V422" i="52"/>
  <c r="AB422" i="52" s="1"/>
  <c r="AE421" i="52"/>
  <c r="X421" i="52"/>
  <c r="AD421" i="52" s="1"/>
  <c r="W421" i="52"/>
  <c r="AC421" i="52" s="1"/>
  <c r="V421" i="52"/>
  <c r="AB421" i="52" s="1"/>
  <c r="AE420" i="52"/>
  <c r="AD420" i="52"/>
  <c r="X420" i="52"/>
  <c r="W420" i="52"/>
  <c r="AC420" i="52" s="1"/>
  <c r="V420" i="52"/>
  <c r="AB420" i="52" s="1"/>
  <c r="AE419" i="52"/>
  <c r="X419" i="52"/>
  <c r="AD419" i="52" s="1"/>
  <c r="W419" i="52"/>
  <c r="AC419" i="52" s="1"/>
  <c r="V419" i="52"/>
  <c r="AB419" i="52" s="1"/>
  <c r="AE418" i="52"/>
  <c r="X418" i="52"/>
  <c r="AD418" i="52" s="1"/>
  <c r="W418" i="52"/>
  <c r="AC418" i="52" s="1"/>
  <c r="V418" i="52"/>
  <c r="AB418" i="52" s="1"/>
  <c r="AE417" i="52"/>
  <c r="AD417" i="52"/>
  <c r="X417" i="52"/>
  <c r="W417" i="52"/>
  <c r="AC417" i="52" s="1"/>
  <c r="V417" i="52"/>
  <c r="AB417" i="52" s="1"/>
  <c r="AE416" i="52"/>
  <c r="X416" i="52"/>
  <c r="AD416" i="52" s="1"/>
  <c r="W416" i="52"/>
  <c r="AC416" i="52" s="1"/>
  <c r="V416" i="52"/>
  <c r="AB416" i="52" s="1"/>
  <c r="AE415" i="52"/>
  <c r="X415" i="52"/>
  <c r="AD415" i="52" s="1"/>
  <c r="W415" i="52"/>
  <c r="AC415" i="52" s="1"/>
  <c r="V415" i="52"/>
  <c r="AB415" i="52" s="1"/>
  <c r="AE414" i="52"/>
  <c r="AC414" i="52"/>
  <c r="X414" i="52"/>
  <c r="AD414" i="52" s="1"/>
  <c r="W414" i="52"/>
  <c r="V414" i="52"/>
  <c r="AB414" i="52" s="1"/>
  <c r="AE413" i="52"/>
  <c r="AD413" i="52"/>
  <c r="X413" i="52"/>
  <c r="W413" i="52"/>
  <c r="AC413" i="52" s="1"/>
  <c r="V413" i="52"/>
  <c r="AB413" i="52" s="1"/>
  <c r="AE412" i="52"/>
  <c r="X412" i="52"/>
  <c r="AD412" i="52" s="1"/>
  <c r="W412" i="52"/>
  <c r="AC412" i="52" s="1"/>
  <c r="V412" i="52"/>
  <c r="AB412" i="52" s="1"/>
  <c r="AE411" i="52"/>
  <c r="X411" i="52"/>
  <c r="AD411" i="52" s="1"/>
  <c r="W411" i="52"/>
  <c r="AC411" i="52" s="1"/>
  <c r="V411" i="52"/>
  <c r="AB411" i="52" s="1"/>
  <c r="AE410" i="52"/>
  <c r="X410" i="52"/>
  <c r="AD410" i="52" s="1"/>
  <c r="W410" i="52"/>
  <c r="AC410" i="52" s="1"/>
  <c r="V410" i="52"/>
  <c r="AB410" i="52" s="1"/>
  <c r="AE409" i="52"/>
  <c r="AD409" i="52"/>
  <c r="X409" i="52"/>
  <c r="W409" i="52"/>
  <c r="AC409" i="52" s="1"/>
  <c r="V409" i="52"/>
  <c r="AB409" i="52" s="1"/>
  <c r="AE408" i="52"/>
  <c r="X408" i="52"/>
  <c r="AD408" i="52" s="1"/>
  <c r="W408" i="52"/>
  <c r="AC408" i="52" s="1"/>
  <c r="V408" i="52"/>
  <c r="AB408" i="52" s="1"/>
  <c r="AE407" i="52"/>
  <c r="X407" i="52"/>
  <c r="AD407" i="52" s="1"/>
  <c r="W407" i="52"/>
  <c r="AC407" i="52" s="1"/>
  <c r="V407" i="52"/>
  <c r="AB407" i="52" s="1"/>
  <c r="AE406" i="52"/>
  <c r="X406" i="52"/>
  <c r="AD406" i="52" s="1"/>
  <c r="W406" i="52"/>
  <c r="AC406" i="52" s="1"/>
  <c r="V406" i="52"/>
  <c r="AB406" i="52" s="1"/>
  <c r="AE405" i="52"/>
  <c r="X405" i="52"/>
  <c r="AD405" i="52" s="1"/>
  <c r="W405" i="52"/>
  <c r="AC405" i="52" s="1"/>
  <c r="V405" i="52"/>
  <c r="AB405" i="52" s="1"/>
  <c r="AE404" i="52"/>
  <c r="X404" i="52"/>
  <c r="AD404" i="52" s="1"/>
  <c r="W404" i="52"/>
  <c r="AC404" i="52" s="1"/>
  <c r="V404" i="52"/>
  <c r="AB404" i="52" s="1"/>
  <c r="AE403" i="52"/>
  <c r="X403" i="52"/>
  <c r="AD403" i="52" s="1"/>
  <c r="W403" i="52"/>
  <c r="AC403" i="52" s="1"/>
  <c r="V403" i="52"/>
  <c r="AB403" i="52" s="1"/>
  <c r="AE402" i="52"/>
  <c r="X402" i="52"/>
  <c r="AD402" i="52" s="1"/>
  <c r="W402" i="52"/>
  <c r="AC402" i="52" s="1"/>
  <c r="V402" i="52"/>
  <c r="AB402" i="52" s="1"/>
  <c r="AE401" i="52"/>
  <c r="X401" i="52"/>
  <c r="AD401" i="52" s="1"/>
  <c r="W401" i="52"/>
  <c r="AC401" i="52" s="1"/>
  <c r="V401" i="52"/>
  <c r="AB401" i="52" s="1"/>
  <c r="AE400" i="52"/>
  <c r="X400" i="52"/>
  <c r="AD400" i="52" s="1"/>
  <c r="W400" i="52"/>
  <c r="AC400" i="52" s="1"/>
  <c r="V400" i="52"/>
  <c r="AB400" i="52" s="1"/>
  <c r="AE399" i="52"/>
  <c r="X399" i="52"/>
  <c r="AD399" i="52" s="1"/>
  <c r="W399" i="52"/>
  <c r="AC399" i="52" s="1"/>
  <c r="V399" i="52"/>
  <c r="AB399" i="52" s="1"/>
  <c r="AE398" i="52"/>
  <c r="X398" i="52"/>
  <c r="AD398" i="52" s="1"/>
  <c r="W398" i="52"/>
  <c r="AC398" i="52" s="1"/>
  <c r="V398" i="52"/>
  <c r="AB398" i="52" s="1"/>
  <c r="AE397" i="52"/>
  <c r="X397" i="52"/>
  <c r="AD397" i="52" s="1"/>
  <c r="W397" i="52"/>
  <c r="AC397" i="52" s="1"/>
  <c r="V397" i="52"/>
  <c r="AB397" i="52" s="1"/>
  <c r="AE396" i="52"/>
  <c r="AB396" i="52"/>
  <c r="X396" i="52"/>
  <c r="AD396" i="52" s="1"/>
  <c r="W396" i="52"/>
  <c r="AC396" i="52" s="1"/>
  <c r="V396" i="52"/>
  <c r="AE395" i="52"/>
  <c r="X395" i="52"/>
  <c r="AD395" i="52" s="1"/>
  <c r="W395" i="52"/>
  <c r="AC395" i="52" s="1"/>
  <c r="V395" i="52"/>
  <c r="AB395" i="52" s="1"/>
  <c r="AE394" i="52"/>
  <c r="X394" i="52"/>
  <c r="AD394" i="52" s="1"/>
  <c r="W394" i="52"/>
  <c r="AC394" i="52" s="1"/>
  <c r="V394" i="52"/>
  <c r="AB394" i="52" s="1"/>
  <c r="AE393" i="52"/>
  <c r="X393" i="52"/>
  <c r="AD393" i="52" s="1"/>
  <c r="W393" i="52"/>
  <c r="AC393" i="52" s="1"/>
  <c r="V393" i="52"/>
  <c r="AB393" i="52" s="1"/>
  <c r="AE392" i="52"/>
  <c r="X392" i="52"/>
  <c r="AD392" i="52" s="1"/>
  <c r="W392" i="52"/>
  <c r="AC392" i="52" s="1"/>
  <c r="V392" i="52"/>
  <c r="AB392" i="52" s="1"/>
  <c r="AE391" i="52"/>
  <c r="X391" i="52"/>
  <c r="AD391" i="52" s="1"/>
  <c r="W391" i="52"/>
  <c r="AC391" i="52" s="1"/>
  <c r="V391" i="52"/>
  <c r="AB391" i="52" s="1"/>
  <c r="AE390" i="52"/>
  <c r="AD390" i="52"/>
  <c r="AC390" i="52"/>
  <c r="X390" i="52"/>
  <c r="W390" i="52"/>
  <c r="V390" i="52"/>
  <c r="AB390" i="52" s="1"/>
  <c r="AE389" i="52"/>
  <c r="X389" i="52"/>
  <c r="AD389" i="52" s="1"/>
  <c r="W389" i="52"/>
  <c r="AC389" i="52" s="1"/>
  <c r="V389" i="52"/>
  <c r="AB389" i="52" s="1"/>
  <c r="AE388" i="52"/>
  <c r="X388" i="52"/>
  <c r="AD388" i="52" s="1"/>
  <c r="W388" i="52"/>
  <c r="AC388" i="52" s="1"/>
  <c r="V388" i="52"/>
  <c r="AB388" i="52" s="1"/>
  <c r="AE387" i="52"/>
  <c r="X387" i="52"/>
  <c r="AD387" i="52" s="1"/>
  <c r="W387" i="52"/>
  <c r="AC387" i="52" s="1"/>
  <c r="V387" i="52"/>
  <c r="AB387" i="52" s="1"/>
  <c r="AE386" i="52"/>
  <c r="X386" i="52"/>
  <c r="AD386" i="52" s="1"/>
  <c r="W386" i="52"/>
  <c r="AC386" i="52" s="1"/>
  <c r="V386" i="52"/>
  <c r="AB386" i="52" s="1"/>
  <c r="AE385" i="52"/>
  <c r="X385" i="52"/>
  <c r="AD385" i="52" s="1"/>
  <c r="W385" i="52"/>
  <c r="AC385" i="52" s="1"/>
  <c r="V385" i="52"/>
  <c r="AB385" i="52" s="1"/>
  <c r="AE384" i="52"/>
  <c r="X384" i="52"/>
  <c r="AD384" i="52" s="1"/>
  <c r="W384" i="52"/>
  <c r="AC384" i="52" s="1"/>
  <c r="V384" i="52"/>
  <c r="AB384" i="52" s="1"/>
  <c r="AE383" i="52"/>
  <c r="X383" i="52"/>
  <c r="AD383" i="52" s="1"/>
  <c r="W383" i="52"/>
  <c r="AC383" i="52" s="1"/>
  <c r="V383" i="52"/>
  <c r="AB383" i="52" s="1"/>
  <c r="AE382" i="52"/>
  <c r="AC382" i="52"/>
  <c r="X382" i="52"/>
  <c r="AD382" i="52" s="1"/>
  <c r="W382" i="52"/>
  <c r="V382" i="52"/>
  <c r="AB382" i="52" s="1"/>
  <c r="AE381" i="52"/>
  <c r="X381" i="52"/>
  <c r="AD381" i="52" s="1"/>
  <c r="W381" i="52"/>
  <c r="AC381" i="52" s="1"/>
  <c r="V381" i="52"/>
  <c r="AB381" i="52" s="1"/>
  <c r="AE380" i="52"/>
  <c r="AB380" i="52"/>
  <c r="X380" i="52"/>
  <c r="AD380" i="52" s="1"/>
  <c r="W380" i="52"/>
  <c r="AC380" i="52" s="1"/>
  <c r="V380" i="52"/>
  <c r="AE379" i="52"/>
  <c r="X379" i="52"/>
  <c r="AD379" i="52" s="1"/>
  <c r="W379" i="52"/>
  <c r="AC379" i="52" s="1"/>
  <c r="V379" i="52"/>
  <c r="AB379" i="52" s="1"/>
  <c r="AE378" i="52"/>
  <c r="X378" i="52"/>
  <c r="AD378" i="52" s="1"/>
  <c r="W378" i="52"/>
  <c r="AC378" i="52" s="1"/>
  <c r="V378" i="52"/>
  <c r="AB378" i="52" s="1"/>
  <c r="AE377" i="52"/>
  <c r="X377" i="52"/>
  <c r="AD377" i="52" s="1"/>
  <c r="W377" i="52"/>
  <c r="AC377" i="52" s="1"/>
  <c r="V377" i="52"/>
  <c r="AB377" i="52" s="1"/>
  <c r="AE376" i="52"/>
  <c r="X376" i="52"/>
  <c r="AD376" i="52" s="1"/>
  <c r="W376" i="52"/>
  <c r="AC376" i="52" s="1"/>
  <c r="V376" i="52"/>
  <c r="AB376" i="52" s="1"/>
  <c r="AE375" i="52"/>
  <c r="X375" i="52"/>
  <c r="AD375" i="52" s="1"/>
  <c r="W375" i="52"/>
  <c r="AC375" i="52" s="1"/>
  <c r="V375" i="52"/>
  <c r="AB375" i="52" s="1"/>
  <c r="AE374" i="52"/>
  <c r="X374" i="52"/>
  <c r="AD374" i="52" s="1"/>
  <c r="W374" i="52"/>
  <c r="AC374" i="52" s="1"/>
  <c r="V374" i="52"/>
  <c r="AB374" i="52" s="1"/>
  <c r="AE373" i="52"/>
  <c r="X373" i="52"/>
  <c r="AD373" i="52" s="1"/>
  <c r="W373" i="52"/>
  <c r="AC373" i="52" s="1"/>
  <c r="V373" i="52"/>
  <c r="AB373" i="52" s="1"/>
  <c r="AE372" i="52"/>
  <c r="X372" i="52"/>
  <c r="AD372" i="52" s="1"/>
  <c r="W372" i="52"/>
  <c r="AC372" i="52" s="1"/>
  <c r="V372" i="52"/>
  <c r="AB372" i="52" s="1"/>
  <c r="AE371" i="52"/>
  <c r="X371" i="52"/>
  <c r="AD371" i="52" s="1"/>
  <c r="W371" i="52"/>
  <c r="AC371" i="52" s="1"/>
  <c r="V371" i="52"/>
  <c r="AB371" i="52" s="1"/>
  <c r="AE370" i="52"/>
  <c r="X370" i="52"/>
  <c r="AD370" i="52" s="1"/>
  <c r="W370" i="52"/>
  <c r="AC370" i="52" s="1"/>
  <c r="V370" i="52"/>
  <c r="AB370" i="52" s="1"/>
  <c r="AE369" i="52"/>
  <c r="X369" i="52"/>
  <c r="AD369" i="52" s="1"/>
  <c r="W369" i="52"/>
  <c r="AC369" i="52" s="1"/>
  <c r="V369" i="52"/>
  <c r="AB369" i="52" s="1"/>
  <c r="AE368" i="52"/>
  <c r="X368" i="52"/>
  <c r="AD368" i="52" s="1"/>
  <c r="W368" i="52"/>
  <c r="AC368" i="52" s="1"/>
  <c r="V368" i="52"/>
  <c r="AB368" i="52" s="1"/>
  <c r="AE367" i="52"/>
  <c r="X367" i="52"/>
  <c r="AD367" i="52" s="1"/>
  <c r="W367" i="52"/>
  <c r="AC367" i="52" s="1"/>
  <c r="V367" i="52"/>
  <c r="AB367" i="52" s="1"/>
  <c r="AE366" i="52"/>
  <c r="X366" i="52"/>
  <c r="AD366" i="52" s="1"/>
  <c r="W366" i="52"/>
  <c r="AC366" i="52" s="1"/>
  <c r="V366" i="52"/>
  <c r="AB366" i="52" s="1"/>
  <c r="AE365" i="52"/>
  <c r="AC365" i="52"/>
  <c r="X365" i="52"/>
  <c r="AD365" i="52" s="1"/>
  <c r="W365" i="52"/>
  <c r="V365" i="52"/>
  <c r="AB365" i="52" s="1"/>
  <c r="AE364" i="52"/>
  <c r="X364" i="52"/>
  <c r="AD364" i="52" s="1"/>
  <c r="W364" i="52"/>
  <c r="AC364" i="52" s="1"/>
  <c r="V364" i="52"/>
  <c r="AB364" i="52" s="1"/>
  <c r="AE363" i="52"/>
  <c r="X363" i="52"/>
  <c r="AD363" i="52" s="1"/>
  <c r="W363" i="52"/>
  <c r="AC363" i="52" s="1"/>
  <c r="V363" i="52"/>
  <c r="AB363" i="52" s="1"/>
  <c r="AE362" i="52"/>
  <c r="X362" i="52"/>
  <c r="AD362" i="52" s="1"/>
  <c r="W362" i="52"/>
  <c r="AC362" i="52" s="1"/>
  <c r="V362" i="52"/>
  <c r="AB362" i="52" s="1"/>
  <c r="AE361" i="52"/>
  <c r="X361" i="52"/>
  <c r="AD361" i="52" s="1"/>
  <c r="W361" i="52"/>
  <c r="AC361" i="52" s="1"/>
  <c r="V361" i="52"/>
  <c r="AB361" i="52" s="1"/>
  <c r="AE360" i="52"/>
  <c r="AB360" i="52"/>
  <c r="X360" i="52"/>
  <c r="AD360" i="52" s="1"/>
  <c r="W360" i="52"/>
  <c r="AC360" i="52" s="1"/>
  <c r="V360" i="52"/>
  <c r="AE359" i="52"/>
  <c r="X359" i="52"/>
  <c r="AD359" i="52" s="1"/>
  <c r="W359" i="52"/>
  <c r="AC359" i="52" s="1"/>
  <c r="V359" i="52"/>
  <c r="AB359" i="52" s="1"/>
  <c r="AE358" i="52"/>
  <c r="X358" i="52"/>
  <c r="AD358" i="52" s="1"/>
  <c r="W358" i="52"/>
  <c r="AC358" i="52" s="1"/>
  <c r="V358" i="52"/>
  <c r="AB358" i="52" s="1"/>
  <c r="AE357" i="52"/>
  <c r="X357" i="52"/>
  <c r="AD357" i="52" s="1"/>
  <c r="W357" i="52"/>
  <c r="AC357" i="52" s="1"/>
  <c r="V357" i="52"/>
  <c r="AB357" i="52" s="1"/>
  <c r="AE356" i="52"/>
  <c r="X356" i="52"/>
  <c r="AD356" i="52" s="1"/>
  <c r="W356" i="52"/>
  <c r="AC356" i="52" s="1"/>
  <c r="V356" i="52"/>
  <c r="AB356" i="52" s="1"/>
  <c r="AE355" i="52"/>
  <c r="X355" i="52"/>
  <c r="AD355" i="52" s="1"/>
  <c r="W355" i="52"/>
  <c r="AC355" i="52" s="1"/>
  <c r="V355" i="52"/>
  <c r="AB355" i="52" s="1"/>
  <c r="AE354" i="52"/>
  <c r="AC354" i="52"/>
  <c r="X354" i="52"/>
  <c r="AD354" i="52" s="1"/>
  <c r="W354" i="52"/>
  <c r="V354" i="52"/>
  <c r="AB354" i="52" s="1"/>
  <c r="AE353" i="52"/>
  <c r="X353" i="52"/>
  <c r="AD353" i="52" s="1"/>
  <c r="W353" i="52"/>
  <c r="AC353" i="52" s="1"/>
  <c r="V353" i="52"/>
  <c r="AB353" i="52" s="1"/>
  <c r="AE352" i="52"/>
  <c r="AB352" i="52"/>
  <c r="X352" i="52"/>
  <c r="AD352" i="52" s="1"/>
  <c r="W352" i="52"/>
  <c r="AC352" i="52" s="1"/>
  <c r="V352" i="52"/>
  <c r="AE351" i="52"/>
  <c r="X351" i="52"/>
  <c r="AD351" i="52" s="1"/>
  <c r="W351" i="52"/>
  <c r="AC351" i="52" s="1"/>
  <c r="V351" i="52"/>
  <c r="AB351" i="52" s="1"/>
  <c r="AE350" i="52"/>
  <c r="X350" i="52"/>
  <c r="AD350" i="52" s="1"/>
  <c r="W350" i="52"/>
  <c r="AC350" i="52" s="1"/>
  <c r="V350" i="52"/>
  <c r="AB350" i="52" s="1"/>
  <c r="AE349" i="52"/>
  <c r="X349" i="52"/>
  <c r="AD349" i="52" s="1"/>
  <c r="W349" i="52"/>
  <c r="AC349" i="52" s="1"/>
  <c r="V349" i="52"/>
  <c r="AB349" i="52" s="1"/>
  <c r="AE348" i="52"/>
  <c r="X348" i="52"/>
  <c r="AD348" i="52" s="1"/>
  <c r="W348" i="52"/>
  <c r="AC348" i="52" s="1"/>
  <c r="V348" i="52"/>
  <c r="AB348" i="52" s="1"/>
  <c r="AE347" i="52"/>
  <c r="X347" i="52"/>
  <c r="AD347" i="52" s="1"/>
  <c r="W347" i="52"/>
  <c r="AC347" i="52" s="1"/>
  <c r="V347" i="52"/>
  <c r="AB347" i="52" s="1"/>
  <c r="AE346" i="52"/>
  <c r="X346" i="52"/>
  <c r="AD346" i="52" s="1"/>
  <c r="W346" i="52"/>
  <c r="AC346" i="52" s="1"/>
  <c r="V346" i="52"/>
  <c r="AB346" i="52" s="1"/>
  <c r="AE345" i="52"/>
  <c r="X345" i="52"/>
  <c r="AD345" i="52" s="1"/>
  <c r="W345" i="52"/>
  <c r="AC345" i="52" s="1"/>
  <c r="V345" i="52"/>
  <c r="AB345" i="52" s="1"/>
  <c r="AE344" i="52"/>
  <c r="X344" i="52"/>
  <c r="AD344" i="52" s="1"/>
  <c r="W344" i="52"/>
  <c r="AC344" i="52" s="1"/>
  <c r="V344" i="52"/>
  <c r="AB344" i="52" s="1"/>
  <c r="AE343" i="52"/>
  <c r="AB343" i="52"/>
  <c r="X343" i="52"/>
  <c r="AD343" i="52" s="1"/>
  <c r="W343" i="52"/>
  <c r="AC343" i="52" s="1"/>
  <c r="V343" i="52"/>
  <c r="AE342" i="52"/>
  <c r="AC342" i="52"/>
  <c r="X342" i="52"/>
  <c r="AD342" i="52" s="1"/>
  <c r="W342" i="52"/>
  <c r="V342" i="52"/>
  <c r="AB342" i="52" s="1"/>
  <c r="AE341" i="52"/>
  <c r="AD341" i="52"/>
  <c r="X341" i="52"/>
  <c r="W341" i="52"/>
  <c r="AC341" i="52" s="1"/>
  <c r="V341" i="52"/>
  <c r="AB341" i="52" s="1"/>
  <c r="AE340" i="52"/>
  <c r="X340" i="52"/>
  <c r="AD340" i="52" s="1"/>
  <c r="W340" i="52"/>
  <c r="AC340" i="52" s="1"/>
  <c r="V340" i="52"/>
  <c r="AB340" i="52" s="1"/>
  <c r="AE339" i="52"/>
  <c r="X339" i="52"/>
  <c r="AD339" i="52" s="1"/>
  <c r="W339" i="52"/>
  <c r="AC339" i="52" s="1"/>
  <c r="V339" i="52"/>
  <c r="AB339" i="52" s="1"/>
  <c r="AE338" i="52"/>
  <c r="X338" i="52"/>
  <c r="AD338" i="52" s="1"/>
  <c r="W338" i="52"/>
  <c r="AC338" i="52" s="1"/>
  <c r="V338" i="52"/>
  <c r="AB338" i="52" s="1"/>
  <c r="AG337" i="52"/>
  <c r="AF337" i="52"/>
  <c r="X337" i="52"/>
  <c r="AD337" i="52" s="1"/>
  <c r="W337" i="52"/>
  <c r="AC337" i="52" s="1"/>
  <c r="V337" i="52"/>
  <c r="AB337" i="52" s="1"/>
  <c r="AG336" i="52"/>
  <c r="AF336" i="52"/>
  <c r="X336" i="52"/>
  <c r="AD336" i="52" s="1"/>
  <c r="W336" i="52"/>
  <c r="AC336" i="52" s="1"/>
  <c r="V336" i="52"/>
  <c r="AB336" i="52" s="1"/>
  <c r="AG335" i="52"/>
  <c r="AF335" i="52"/>
  <c r="X335" i="52"/>
  <c r="AD335" i="52" s="1"/>
  <c r="W335" i="52"/>
  <c r="AC335" i="52" s="1"/>
  <c r="V335" i="52"/>
  <c r="AB335" i="52" s="1"/>
  <c r="AG334" i="52"/>
  <c r="AF334" i="52"/>
  <c r="X334" i="52"/>
  <c r="AD334" i="52" s="1"/>
  <c r="W334" i="52"/>
  <c r="AC334" i="52" s="1"/>
  <c r="V334" i="52"/>
  <c r="AB334" i="52" s="1"/>
  <c r="AG333" i="52"/>
  <c r="AF333" i="52"/>
  <c r="X333" i="52"/>
  <c r="AD333" i="52" s="1"/>
  <c r="W333" i="52"/>
  <c r="AC333" i="52" s="1"/>
  <c r="V333" i="52"/>
  <c r="AB333" i="52" s="1"/>
  <c r="AG332" i="52"/>
  <c r="AF332" i="52"/>
  <c r="X332" i="52"/>
  <c r="AD332" i="52" s="1"/>
  <c r="W332" i="52"/>
  <c r="AC332" i="52" s="1"/>
  <c r="V332" i="52"/>
  <c r="AB332" i="52" s="1"/>
  <c r="AG331" i="52"/>
  <c r="AF331" i="52"/>
  <c r="X331" i="52"/>
  <c r="AD331" i="52" s="1"/>
  <c r="W331" i="52"/>
  <c r="AC331" i="52" s="1"/>
  <c r="V331" i="52"/>
  <c r="AB331" i="52" s="1"/>
  <c r="AG330" i="52"/>
  <c r="AF330" i="52"/>
  <c r="X330" i="52"/>
  <c r="AD330" i="52" s="1"/>
  <c r="W330" i="52"/>
  <c r="AC330" i="52" s="1"/>
  <c r="V330" i="52"/>
  <c r="AB330" i="52" s="1"/>
  <c r="AG329" i="52"/>
  <c r="AF329" i="52"/>
  <c r="X329" i="52"/>
  <c r="AD329" i="52" s="1"/>
  <c r="W329" i="52"/>
  <c r="AC329" i="52" s="1"/>
  <c r="V329" i="52"/>
  <c r="AB329" i="52" s="1"/>
  <c r="AG328" i="52"/>
  <c r="AF328" i="52"/>
  <c r="X328" i="52"/>
  <c r="AD328" i="52" s="1"/>
  <c r="W328" i="52"/>
  <c r="AC328" i="52" s="1"/>
  <c r="V328" i="52"/>
  <c r="AB328" i="52" s="1"/>
  <c r="AG327" i="52"/>
  <c r="AF327" i="52"/>
  <c r="X327" i="52"/>
  <c r="AD327" i="52" s="1"/>
  <c r="W327" i="52"/>
  <c r="AC327" i="52" s="1"/>
  <c r="V327" i="52"/>
  <c r="AB327" i="52" s="1"/>
  <c r="AG326" i="52"/>
  <c r="AF326" i="52"/>
  <c r="X326" i="52"/>
  <c r="AD326" i="52" s="1"/>
  <c r="W326" i="52"/>
  <c r="AC326" i="52" s="1"/>
  <c r="V326" i="52"/>
  <c r="AB326" i="52" s="1"/>
  <c r="AE325" i="52"/>
  <c r="AC325" i="52"/>
  <c r="X325" i="52"/>
  <c r="AD325" i="52" s="1"/>
  <c r="W325" i="52"/>
  <c r="V325" i="52"/>
  <c r="AB325" i="52" s="1"/>
  <c r="AE324" i="52"/>
  <c r="X324" i="52"/>
  <c r="AD324" i="52" s="1"/>
  <c r="W324" i="52"/>
  <c r="AC324" i="52" s="1"/>
  <c r="V324" i="52"/>
  <c r="AB324" i="52" s="1"/>
  <c r="AE323" i="52"/>
  <c r="AB323" i="52"/>
  <c r="X323" i="52"/>
  <c r="AD323" i="52" s="1"/>
  <c r="W323" i="52"/>
  <c r="AC323" i="52" s="1"/>
  <c r="V323" i="52"/>
  <c r="AE322" i="52"/>
  <c r="X322" i="52"/>
  <c r="AD322" i="52" s="1"/>
  <c r="W322" i="52"/>
  <c r="AC322" i="52" s="1"/>
  <c r="V322" i="52"/>
  <c r="AB322" i="52" s="1"/>
  <c r="AE321" i="52"/>
  <c r="X321" i="52"/>
  <c r="AD321" i="52" s="1"/>
  <c r="W321" i="52"/>
  <c r="AC321" i="52" s="1"/>
  <c r="V321" i="52"/>
  <c r="AB321" i="52" s="1"/>
  <c r="AE320" i="52"/>
  <c r="X320" i="52"/>
  <c r="AD320" i="52" s="1"/>
  <c r="W320" i="52"/>
  <c r="AC320" i="52" s="1"/>
  <c r="V320" i="52"/>
  <c r="AB320" i="52" s="1"/>
  <c r="AE319" i="52"/>
  <c r="X319" i="52"/>
  <c r="AD319" i="52" s="1"/>
  <c r="W319" i="52"/>
  <c r="AC319" i="52" s="1"/>
  <c r="V319" i="52"/>
  <c r="AB319" i="52" s="1"/>
  <c r="AE318" i="52"/>
  <c r="X318" i="52"/>
  <c r="AD318" i="52" s="1"/>
  <c r="W318" i="52"/>
  <c r="AC318" i="52" s="1"/>
  <c r="V318" i="52"/>
  <c r="AB318" i="52" s="1"/>
  <c r="AE317" i="52"/>
  <c r="X317" i="52"/>
  <c r="AD317" i="52" s="1"/>
  <c r="W317" i="52"/>
  <c r="AC317" i="52" s="1"/>
  <c r="V317" i="52"/>
  <c r="AB317" i="52" s="1"/>
  <c r="AE316" i="52"/>
  <c r="X316" i="52"/>
  <c r="AD316" i="52" s="1"/>
  <c r="W316" i="52"/>
  <c r="AC316" i="52" s="1"/>
  <c r="V316" i="52"/>
  <c r="AB316" i="52" s="1"/>
  <c r="AE315" i="52"/>
  <c r="AC315" i="52"/>
  <c r="X315" i="52"/>
  <c r="AD315" i="52" s="1"/>
  <c r="W315" i="52"/>
  <c r="V315" i="52"/>
  <c r="AB315" i="52" s="1"/>
  <c r="AE314" i="52"/>
  <c r="AD314" i="52"/>
  <c r="X314" i="52"/>
  <c r="W314" i="52"/>
  <c r="AC314" i="52" s="1"/>
  <c r="V314" i="52"/>
  <c r="AB314" i="52" s="1"/>
  <c r="AE313" i="52"/>
  <c r="X313" i="52"/>
  <c r="AD313" i="52" s="1"/>
  <c r="W313" i="52"/>
  <c r="AC313" i="52" s="1"/>
  <c r="V313" i="52"/>
  <c r="AB313" i="52" s="1"/>
  <c r="AE312" i="52"/>
  <c r="X312" i="52"/>
  <c r="AD312" i="52" s="1"/>
  <c r="W312" i="52"/>
  <c r="AC312" i="52" s="1"/>
  <c r="V312" i="52"/>
  <c r="AB312" i="52" s="1"/>
  <c r="AE311" i="52"/>
  <c r="X311" i="52"/>
  <c r="AD311" i="52" s="1"/>
  <c r="W311" i="52"/>
  <c r="AC311" i="52" s="1"/>
  <c r="V311" i="52"/>
  <c r="AB311" i="52" s="1"/>
  <c r="AE310" i="52"/>
  <c r="X310" i="52"/>
  <c r="AD310" i="52" s="1"/>
  <c r="W310" i="52"/>
  <c r="AC310" i="52" s="1"/>
  <c r="V310" i="52"/>
  <c r="AB310" i="52" s="1"/>
  <c r="AE309" i="52"/>
  <c r="X309" i="52"/>
  <c r="AD309" i="52" s="1"/>
  <c r="W309" i="52"/>
  <c r="AC309" i="52" s="1"/>
  <c r="V309" i="52"/>
  <c r="AB309" i="52" s="1"/>
  <c r="AE308" i="52"/>
  <c r="X308" i="52"/>
  <c r="AD308" i="52" s="1"/>
  <c r="W308" i="52"/>
  <c r="AC308" i="52" s="1"/>
  <c r="V308" i="52"/>
  <c r="AB308" i="52" s="1"/>
  <c r="AE307" i="52"/>
  <c r="X307" i="52"/>
  <c r="AD307" i="52" s="1"/>
  <c r="W307" i="52"/>
  <c r="AC307" i="52" s="1"/>
  <c r="V307" i="52"/>
  <c r="AB307" i="52" s="1"/>
  <c r="AE306" i="52"/>
  <c r="AD306" i="52"/>
  <c r="X306" i="52"/>
  <c r="W306" i="52"/>
  <c r="AC306" i="52" s="1"/>
  <c r="V306" i="52"/>
  <c r="AB306" i="52" s="1"/>
  <c r="AE305" i="52"/>
  <c r="X305" i="52"/>
  <c r="AD305" i="52" s="1"/>
  <c r="W305" i="52"/>
  <c r="AC305" i="52" s="1"/>
  <c r="V305" i="52"/>
  <c r="AB305" i="52" s="1"/>
  <c r="AE304" i="52"/>
  <c r="X304" i="52"/>
  <c r="AD304" i="52" s="1"/>
  <c r="W304" i="52"/>
  <c r="AC304" i="52" s="1"/>
  <c r="V304" i="52"/>
  <c r="AB304" i="52" s="1"/>
  <c r="AE303" i="52"/>
  <c r="X303" i="52"/>
  <c r="AD303" i="52" s="1"/>
  <c r="W303" i="52"/>
  <c r="AC303" i="52" s="1"/>
  <c r="V303" i="52"/>
  <c r="AB303" i="52" s="1"/>
  <c r="AE302" i="52"/>
  <c r="X302" i="52"/>
  <c r="AD302" i="52" s="1"/>
  <c r="W302" i="52"/>
  <c r="AC302" i="52" s="1"/>
  <c r="V302" i="52"/>
  <c r="AB302" i="52" s="1"/>
  <c r="AG301" i="52"/>
  <c r="AF301" i="52"/>
  <c r="AD301" i="52"/>
  <c r="X301" i="52"/>
  <c r="W301" i="52"/>
  <c r="AC301" i="52" s="1"/>
  <c r="V301" i="52"/>
  <c r="AB301" i="52" s="1"/>
  <c r="AG300" i="52"/>
  <c r="AF300" i="52"/>
  <c r="X300" i="52"/>
  <c r="AD300" i="52" s="1"/>
  <c r="W300" i="52"/>
  <c r="AC300" i="52" s="1"/>
  <c r="V300" i="52"/>
  <c r="AB300" i="52" s="1"/>
  <c r="AG299" i="52"/>
  <c r="AF299" i="52"/>
  <c r="X299" i="52"/>
  <c r="AD299" i="52" s="1"/>
  <c r="W299" i="52"/>
  <c r="AC299" i="52" s="1"/>
  <c r="V299" i="52"/>
  <c r="AB299" i="52" s="1"/>
  <c r="AG298" i="52"/>
  <c r="AF298" i="52"/>
  <c r="X298" i="52"/>
  <c r="AD298" i="52" s="1"/>
  <c r="W298" i="52"/>
  <c r="AC298" i="52" s="1"/>
  <c r="V298" i="52"/>
  <c r="AB298" i="52" s="1"/>
  <c r="AG297" i="52"/>
  <c r="AF297" i="52"/>
  <c r="AC297" i="52"/>
  <c r="X297" i="52"/>
  <c r="AD297" i="52" s="1"/>
  <c r="W297" i="52"/>
  <c r="V297" i="52"/>
  <c r="AB297" i="52" s="1"/>
  <c r="AG296" i="52"/>
  <c r="AF296" i="52"/>
  <c r="X296" i="52"/>
  <c r="AD296" i="52" s="1"/>
  <c r="W296" i="52"/>
  <c r="AC296" i="52" s="1"/>
  <c r="V296" i="52"/>
  <c r="AB296" i="52" s="1"/>
  <c r="AG295" i="52"/>
  <c r="AF295" i="52"/>
  <c r="X295" i="52"/>
  <c r="AD295" i="52" s="1"/>
  <c r="W295" i="52"/>
  <c r="AC295" i="52" s="1"/>
  <c r="V295" i="52"/>
  <c r="AB295" i="52" s="1"/>
  <c r="AG294" i="52"/>
  <c r="AF294" i="52"/>
  <c r="X294" i="52"/>
  <c r="AD294" i="52" s="1"/>
  <c r="W294" i="52"/>
  <c r="AC294" i="52" s="1"/>
  <c r="V294" i="52"/>
  <c r="AB294" i="52" s="1"/>
  <c r="AG293" i="52"/>
  <c r="AF293" i="52"/>
  <c r="X293" i="52"/>
  <c r="AD293" i="52" s="1"/>
  <c r="W293" i="52"/>
  <c r="AC293" i="52" s="1"/>
  <c r="V293" i="52"/>
  <c r="AB293" i="52" s="1"/>
  <c r="AG292" i="52"/>
  <c r="AF292" i="52"/>
  <c r="X292" i="52"/>
  <c r="AD292" i="52" s="1"/>
  <c r="W292" i="52"/>
  <c r="AC292" i="52" s="1"/>
  <c r="V292" i="52"/>
  <c r="AB292" i="52" s="1"/>
  <c r="AG291" i="52"/>
  <c r="AF291" i="52"/>
  <c r="AC291" i="52"/>
  <c r="X291" i="52"/>
  <c r="AD291" i="52" s="1"/>
  <c r="W291" i="52"/>
  <c r="V291" i="52"/>
  <c r="AB291" i="52" s="1"/>
  <c r="AG290" i="52"/>
  <c r="AF290" i="52"/>
  <c r="X290" i="52"/>
  <c r="AD290" i="52" s="1"/>
  <c r="W290" i="52"/>
  <c r="AC290" i="52" s="1"/>
  <c r="V290" i="52"/>
  <c r="AB290" i="52" s="1"/>
  <c r="AE289" i="52"/>
  <c r="X289" i="52"/>
  <c r="AD289" i="52" s="1"/>
  <c r="W289" i="52"/>
  <c r="AC289" i="52" s="1"/>
  <c r="V289" i="52"/>
  <c r="AB289" i="52" s="1"/>
  <c r="AE288" i="52"/>
  <c r="X288" i="52"/>
  <c r="AD288" i="52" s="1"/>
  <c r="W288" i="52"/>
  <c r="AC288" i="52" s="1"/>
  <c r="V288" i="52"/>
  <c r="AB288" i="52" s="1"/>
  <c r="AE287" i="52"/>
  <c r="X287" i="52"/>
  <c r="AD287" i="52" s="1"/>
  <c r="W287" i="52"/>
  <c r="AC287" i="52" s="1"/>
  <c r="V287" i="52"/>
  <c r="AB287" i="52" s="1"/>
  <c r="AE286" i="52"/>
  <c r="AD286" i="52"/>
  <c r="X286" i="52"/>
  <c r="W286" i="52"/>
  <c r="AC286" i="52" s="1"/>
  <c r="V286" i="52"/>
  <c r="AB286" i="52" s="1"/>
  <c r="AE285" i="52"/>
  <c r="X285" i="52"/>
  <c r="AD285" i="52" s="1"/>
  <c r="W285" i="52"/>
  <c r="AC285" i="52" s="1"/>
  <c r="V285" i="52"/>
  <c r="AB285" i="52" s="1"/>
  <c r="AE284" i="52"/>
  <c r="X284" i="52"/>
  <c r="AD284" i="52" s="1"/>
  <c r="W284" i="52"/>
  <c r="AC284" i="52" s="1"/>
  <c r="V284" i="52"/>
  <c r="AB284" i="52" s="1"/>
  <c r="AE283" i="52"/>
  <c r="X283" i="52"/>
  <c r="AD283" i="52" s="1"/>
  <c r="W283" i="52"/>
  <c r="AC283" i="52" s="1"/>
  <c r="V283" i="52"/>
  <c r="AB283" i="52" s="1"/>
  <c r="AE282" i="52"/>
  <c r="AB282" i="52"/>
  <c r="X282" i="52"/>
  <c r="AD282" i="52" s="1"/>
  <c r="W282" i="52"/>
  <c r="AC282" i="52" s="1"/>
  <c r="V282" i="52"/>
  <c r="AE281" i="52"/>
  <c r="X281" i="52"/>
  <c r="AD281" i="52" s="1"/>
  <c r="W281" i="52"/>
  <c r="AC281" i="52" s="1"/>
  <c r="V281" i="52"/>
  <c r="AB281" i="52" s="1"/>
  <c r="AE280" i="52"/>
  <c r="AD280" i="52"/>
  <c r="X280" i="52"/>
  <c r="W280" i="52"/>
  <c r="AC280" i="52" s="1"/>
  <c r="V280" i="52"/>
  <c r="AB280" i="52" s="1"/>
  <c r="AE279" i="52"/>
  <c r="X279" i="52"/>
  <c r="AD279" i="52" s="1"/>
  <c r="W279" i="52"/>
  <c r="AC279" i="52" s="1"/>
  <c r="V279" i="52"/>
  <c r="AB279" i="52" s="1"/>
  <c r="AE278" i="52"/>
  <c r="X278" i="52"/>
  <c r="AD278" i="52" s="1"/>
  <c r="W278" i="52"/>
  <c r="AC278" i="52" s="1"/>
  <c r="V278" i="52"/>
  <c r="AB278" i="52" s="1"/>
  <c r="AE277" i="52"/>
  <c r="X277" i="52"/>
  <c r="AD277" i="52" s="1"/>
  <c r="W277" i="52"/>
  <c r="AC277" i="52" s="1"/>
  <c r="V277" i="52"/>
  <c r="AB277" i="52" s="1"/>
  <c r="AE276" i="52"/>
  <c r="AB276" i="52"/>
  <c r="X276" i="52"/>
  <c r="AD276" i="52" s="1"/>
  <c r="W276" i="52"/>
  <c r="AC276" i="52" s="1"/>
  <c r="V276" i="52"/>
  <c r="AE275" i="52"/>
  <c r="X275" i="52"/>
  <c r="AD275" i="52" s="1"/>
  <c r="W275" i="52"/>
  <c r="AC275" i="52" s="1"/>
  <c r="V275" i="52"/>
  <c r="AB275" i="52" s="1"/>
  <c r="AE274" i="52"/>
  <c r="X274" i="52"/>
  <c r="AD274" i="52" s="1"/>
  <c r="W274" i="52"/>
  <c r="AC274" i="52" s="1"/>
  <c r="V274" i="52"/>
  <c r="AB274" i="52" s="1"/>
  <c r="AE273" i="52"/>
  <c r="X273" i="52"/>
  <c r="AD273" i="52" s="1"/>
  <c r="W273" i="52"/>
  <c r="AC273" i="52" s="1"/>
  <c r="V273" i="52"/>
  <c r="AB273" i="52" s="1"/>
  <c r="AE272" i="52"/>
  <c r="X272" i="52"/>
  <c r="AD272" i="52" s="1"/>
  <c r="W272" i="52"/>
  <c r="AC272" i="52" s="1"/>
  <c r="V272" i="52"/>
  <c r="AB272" i="52" s="1"/>
  <c r="AE271" i="52"/>
  <c r="AC271" i="52"/>
  <c r="X271" i="52"/>
  <c r="AD271" i="52" s="1"/>
  <c r="W271" i="52"/>
  <c r="V271" i="52"/>
  <c r="AB271" i="52" s="1"/>
  <c r="AE270" i="52"/>
  <c r="AD270" i="52"/>
  <c r="X270" i="52"/>
  <c r="W270" i="52"/>
  <c r="AC270" i="52" s="1"/>
  <c r="V270" i="52"/>
  <c r="AB270" i="52" s="1"/>
  <c r="AE269" i="52"/>
  <c r="X269" i="52"/>
  <c r="AD269" i="52" s="1"/>
  <c r="W269" i="52"/>
  <c r="AC269" i="52" s="1"/>
  <c r="V269" i="52"/>
  <c r="AB269" i="52" s="1"/>
  <c r="AE268" i="52"/>
  <c r="X268" i="52"/>
  <c r="AD268" i="52" s="1"/>
  <c r="W268" i="52"/>
  <c r="AC268" i="52" s="1"/>
  <c r="V268" i="52"/>
  <c r="AB268" i="52" s="1"/>
  <c r="AE267" i="52"/>
  <c r="X267" i="52"/>
  <c r="AD267" i="52" s="1"/>
  <c r="W267" i="52"/>
  <c r="AC267" i="52" s="1"/>
  <c r="V267" i="52"/>
  <c r="AB267" i="52" s="1"/>
  <c r="AE266" i="52"/>
  <c r="X266" i="52"/>
  <c r="AD266" i="52" s="1"/>
  <c r="W266" i="52"/>
  <c r="AC266" i="52" s="1"/>
  <c r="V266" i="52"/>
  <c r="AB266" i="52" s="1"/>
  <c r="AE265" i="52"/>
  <c r="X265" i="52"/>
  <c r="AD265" i="52" s="1"/>
  <c r="W265" i="52"/>
  <c r="AC265" i="52" s="1"/>
  <c r="V265" i="52"/>
  <c r="AB265" i="52" s="1"/>
  <c r="AE264" i="52"/>
  <c r="X264" i="52"/>
  <c r="AD264" i="52" s="1"/>
  <c r="W264" i="52"/>
  <c r="AC264" i="52" s="1"/>
  <c r="V264" i="52"/>
  <c r="AB264" i="52" s="1"/>
  <c r="AE263" i="52"/>
  <c r="X263" i="52"/>
  <c r="AD263" i="52" s="1"/>
  <c r="W263" i="52"/>
  <c r="AC263" i="52" s="1"/>
  <c r="V263" i="52"/>
  <c r="AB263" i="52" s="1"/>
  <c r="AE262" i="52"/>
  <c r="AB262" i="52"/>
  <c r="X262" i="52"/>
  <c r="AD262" i="52" s="1"/>
  <c r="W262" i="52"/>
  <c r="AC262" i="52" s="1"/>
  <c r="V262" i="52"/>
  <c r="AE261" i="52"/>
  <c r="X261" i="52"/>
  <c r="AD261" i="52" s="1"/>
  <c r="W261" i="52"/>
  <c r="AC261" i="52" s="1"/>
  <c r="V261" i="52"/>
  <c r="AB261" i="52" s="1"/>
  <c r="AE260" i="52"/>
  <c r="AD260" i="52"/>
  <c r="X260" i="52"/>
  <c r="W260" i="52"/>
  <c r="AC260" i="52" s="1"/>
  <c r="V260" i="52"/>
  <c r="AB260" i="52" s="1"/>
  <c r="AE259" i="52"/>
  <c r="X259" i="52"/>
  <c r="AD259" i="52" s="1"/>
  <c r="W259" i="52"/>
  <c r="AC259" i="52" s="1"/>
  <c r="V259" i="52"/>
  <c r="AB259" i="52" s="1"/>
  <c r="AE258" i="52"/>
  <c r="X258" i="52"/>
  <c r="AD258" i="52" s="1"/>
  <c r="W258" i="52"/>
  <c r="AC258" i="52" s="1"/>
  <c r="V258" i="52"/>
  <c r="AB258" i="52" s="1"/>
  <c r="AE257" i="52"/>
  <c r="X257" i="52"/>
  <c r="AD257" i="52" s="1"/>
  <c r="W257" i="52"/>
  <c r="AC257" i="52" s="1"/>
  <c r="V257" i="52"/>
  <c r="AB257" i="52" s="1"/>
  <c r="AE256" i="52"/>
  <c r="X256" i="52"/>
  <c r="AD256" i="52" s="1"/>
  <c r="W256" i="52"/>
  <c r="AC256" i="52" s="1"/>
  <c r="V256" i="52"/>
  <c r="AB256" i="52" s="1"/>
  <c r="AE255" i="52"/>
  <c r="X255" i="52"/>
  <c r="AD255" i="52" s="1"/>
  <c r="W255" i="52"/>
  <c r="AC255" i="52" s="1"/>
  <c r="V255" i="52"/>
  <c r="AB255" i="52" s="1"/>
  <c r="AE254" i="52"/>
  <c r="X254" i="52"/>
  <c r="AD254" i="52" s="1"/>
  <c r="W254" i="52"/>
  <c r="AC254" i="52" s="1"/>
  <c r="V254" i="52"/>
  <c r="AB254" i="52" s="1"/>
  <c r="AG253" i="52"/>
  <c r="AF253" i="52"/>
  <c r="X253" i="52"/>
  <c r="AD253" i="52" s="1"/>
  <c r="W253" i="52"/>
  <c r="AC253" i="52" s="1"/>
  <c r="V253" i="52"/>
  <c r="AB253" i="52" s="1"/>
  <c r="AG252" i="52"/>
  <c r="AF252" i="52"/>
  <c r="X252" i="52"/>
  <c r="AD252" i="52" s="1"/>
  <c r="W252" i="52"/>
  <c r="AC252" i="52" s="1"/>
  <c r="V252" i="52"/>
  <c r="AB252" i="52" s="1"/>
  <c r="AG251" i="52"/>
  <c r="AF251" i="52"/>
  <c r="X251" i="52"/>
  <c r="AD251" i="52" s="1"/>
  <c r="W251" i="52"/>
  <c r="AC251" i="52" s="1"/>
  <c r="V251" i="52"/>
  <c r="AB251" i="52" s="1"/>
  <c r="AG250" i="52"/>
  <c r="AF250" i="52"/>
  <c r="AB250" i="52"/>
  <c r="X250" i="52"/>
  <c r="AD250" i="52" s="1"/>
  <c r="W250" i="52"/>
  <c r="AC250" i="52" s="1"/>
  <c r="V250" i="52"/>
  <c r="AG249" i="52"/>
  <c r="AF249" i="52"/>
  <c r="X249" i="52"/>
  <c r="AD249" i="52" s="1"/>
  <c r="W249" i="52"/>
  <c r="AC249" i="52" s="1"/>
  <c r="V249" i="52"/>
  <c r="AB249" i="52" s="1"/>
  <c r="AG248" i="52"/>
  <c r="AF248" i="52"/>
  <c r="X248" i="52"/>
  <c r="AD248" i="52" s="1"/>
  <c r="W248" i="52"/>
  <c r="AC248" i="52" s="1"/>
  <c r="V248" i="52"/>
  <c r="AB248" i="52" s="1"/>
  <c r="AG247" i="52"/>
  <c r="AF247" i="52"/>
  <c r="X247" i="52"/>
  <c r="AD247" i="52" s="1"/>
  <c r="W247" i="52"/>
  <c r="AC247" i="52" s="1"/>
  <c r="V247" i="52"/>
  <c r="AB247" i="52" s="1"/>
  <c r="AG246" i="52"/>
  <c r="AF246" i="52"/>
  <c r="X246" i="52"/>
  <c r="AD246" i="52" s="1"/>
  <c r="W246" i="52"/>
  <c r="AC246" i="52" s="1"/>
  <c r="V246" i="52"/>
  <c r="AB246" i="52" s="1"/>
  <c r="AG245" i="52"/>
  <c r="AF245" i="52"/>
  <c r="X245" i="52"/>
  <c r="AD245" i="52" s="1"/>
  <c r="W245" i="52"/>
  <c r="AC245" i="52" s="1"/>
  <c r="V245" i="52"/>
  <c r="AB245" i="52" s="1"/>
  <c r="AG244" i="52"/>
  <c r="AF244" i="52"/>
  <c r="X244" i="52"/>
  <c r="AD244" i="52" s="1"/>
  <c r="W244" i="52"/>
  <c r="AC244" i="52" s="1"/>
  <c r="V244" i="52"/>
  <c r="AB244" i="52" s="1"/>
  <c r="AG243" i="52"/>
  <c r="AF243" i="52"/>
  <c r="X243" i="52"/>
  <c r="AD243" i="52" s="1"/>
  <c r="W243" i="52"/>
  <c r="AC243" i="52" s="1"/>
  <c r="V243" i="52"/>
  <c r="AB243" i="52" s="1"/>
  <c r="AG242" i="52"/>
  <c r="AF242" i="52"/>
  <c r="X242" i="52"/>
  <c r="AD242" i="52" s="1"/>
  <c r="W242" i="52"/>
  <c r="AC242" i="52" s="1"/>
  <c r="V242" i="52"/>
  <c r="AB242" i="52" s="1"/>
  <c r="AE241" i="52"/>
  <c r="X241" i="52"/>
  <c r="AD241" i="52" s="1"/>
  <c r="W241" i="52"/>
  <c r="AC241" i="52" s="1"/>
  <c r="V241" i="52"/>
  <c r="AB241" i="52" s="1"/>
  <c r="AE240" i="52"/>
  <c r="X240" i="52"/>
  <c r="AD240" i="52" s="1"/>
  <c r="W240" i="52"/>
  <c r="AC240" i="52" s="1"/>
  <c r="V240" i="52"/>
  <c r="AB240" i="52" s="1"/>
  <c r="AE239" i="52"/>
  <c r="X239" i="52"/>
  <c r="AD239" i="52" s="1"/>
  <c r="W239" i="52"/>
  <c r="AC239" i="52" s="1"/>
  <c r="V239" i="52"/>
  <c r="AB239" i="52" s="1"/>
  <c r="AE238" i="52"/>
  <c r="X238" i="52"/>
  <c r="AD238" i="52" s="1"/>
  <c r="W238" i="52"/>
  <c r="AC238" i="52" s="1"/>
  <c r="V238" i="52"/>
  <c r="AB238" i="52" s="1"/>
  <c r="AE237" i="52"/>
  <c r="X237" i="52"/>
  <c r="AD237" i="52" s="1"/>
  <c r="W237" i="52"/>
  <c r="AC237" i="52" s="1"/>
  <c r="V237" i="52"/>
  <c r="AB237" i="52" s="1"/>
  <c r="AE236" i="52"/>
  <c r="X236" i="52"/>
  <c r="AD236" i="52" s="1"/>
  <c r="W236" i="52"/>
  <c r="AC236" i="52" s="1"/>
  <c r="V236" i="52"/>
  <c r="AB236" i="52" s="1"/>
  <c r="AE235" i="52"/>
  <c r="X235" i="52"/>
  <c r="AD235" i="52" s="1"/>
  <c r="W235" i="52"/>
  <c r="AC235" i="52" s="1"/>
  <c r="V235" i="52"/>
  <c r="AB235" i="52" s="1"/>
  <c r="AE234" i="52"/>
  <c r="X234" i="52"/>
  <c r="AD234" i="52" s="1"/>
  <c r="W234" i="52"/>
  <c r="AC234" i="52" s="1"/>
  <c r="V234" i="52"/>
  <c r="AB234" i="52" s="1"/>
  <c r="AE233" i="52"/>
  <c r="X233" i="52"/>
  <c r="AD233" i="52" s="1"/>
  <c r="W233" i="52"/>
  <c r="AC233" i="52" s="1"/>
  <c r="V233" i="52"/>
  <c r="AB233" i="52" s="1"/>
  <c r="AE232" i="52"/>
  <c r="X232" i="52"/>
  <c r="AD232" i="52" s="1"/>
  <c r="W232" i="52"/>
  <c r="AC232" i="52" s="1"/>
  <c r="V232" i="52"/>
  <c r="AB232" i="52" s="1"/>
  <c r="AE231" i="52"/>
  <c r="AC231" i="52"/>
  <c r="X231" i="52"/>
  <c r="AD231" i="52" s="1"/>
  <c r="W231" i="52"/>
  <c r="V231" i="52"/>
  <c r="AB231" i="52" s="1"/>
  <c r="AE230" i="52"/>
  <c r="X230" i="52"/>
  <c r="AD230" i="52" s="1"/>
  <c r="W230" i="52"/>
  <c r="AC230" i="52" s="1"/>
  <c r="V230" i="52"/>
  <c r="AB230" i="52" s="1"/>
  <c r="AE229" i="52"/>
  <c r="X229" i="52"/>
  <c r="AD229" i="52" s="1"/>
  <c r="W229" i="52"/>
  <c r="AC229" i="52" s="1"/>
  <c r="V229" i="52"/>
  <c r="AB229" i="52" s="1"/>
  <c r="AE228" i="52"/>
  <c r="AD228" i="52"/>
  <c r="X228" i="52"/>
  <c r="W228" i="52"/>
  <c r="AC228" i="52" s="1"/>
  <c r="V228" i="52"/>
  <c r="AB228" i="52" s="1"/>
  <c r="AE227" i="52"/>
  <c r="X227" i="52"/>
  <c r="AD227" i="52" s="1"/>
  <c r="W227" i="52"/>
  <c r="AC227" i="52" s="1"/>
  <c r="V227" i="52"/>
  <c r="AB227" i="52" s="1"/>
  <c r="AE226" i="52"/>
  <c r="X226" i="52"/>
  <c r="AD226" i="52" s="1"/>
  <c r="W226" i="52"/>
  <c r="AC226" i="52" s="1"/>
  <c r="V226" i="52"/>
  <c r="AB226" i="52" s="1"/>
  <c r="AE225" i="52"/>
  <c r="X225" i="52"/>
  <c r="AD225" i="52" s="1"/>
  <c r="W225" i="52"/>
  <c r="AC225" i="52" s="1"/>
  <c r="V225" i="52"/>
  <c r="AB225" i="52" s="1"/>
  <c r="AE224" i="52"/>
  <c r="X224" i="52"/>
  <c r="AD224" i="52" s="1"/>
  <c r="W224" i="52"/>
  <c r="AC224" i="52" s="1"/>
  <c r="V224" i="52"/>
  <c r="AB224" i="52" s="1"/>
  <c r="AE223" i="52"/>
  <c r="X223" i="52"/>
  <c r="AD223" i="52" s="1"/>
  <c r="W223" i="52"/>
  <c r="AC223" i="52" s="1"/>
  <c r="V223" i="52"/>
  <c r="AB223" i="52" s="1"/>
  <c r="AE222" i="52"/>
  <c r="X222" i="52"/>
  <c r="AD222" i="52" s="1"/>
  <c r="W222" i="52"/>
  <c r="AC222" i="52" s="1"/>
  <c r="V222" i="52"/>
  <c r="AB222" i="52" s="1"/>
  <c r="AE221" i="52"/>
  <c r="X221" i="52"/>
  <c r="AD221" i="52" s="1"/>
  <c r="W221" i="52"/>
  <c r="AC221" i="52" s="1"/>
  <c r="V221" i="52"/>
  <c r="AB221" i="52" s="1"/>
  <c r="AE220" i="52"/>
  <c r="AD220" i="52"/>
  <c r="X220" i="52"/>
  <c r="W220" i="52"/>
  <c r="AC220" i="52" s="1"/>
  <c r="V220" i="52"/>
  <c r="AB220" i="52" s="1"/>
  <c r="AE219" i="52"/>
  <c r="X219" i="52"/>
  <c r="AD219" i="52" s="1"/>
  <c r="W219" i="52"/>
  <c r="AC219" i="52" s="1"/>
  <c r="V219" i="52"/>
  <c r="AB219" i="52" s="1"/>
  <c r="AE218" i="52"/>
  <c r="X218" i="52"/>
  <c r="AD218" i="52" s="1"/>
  <c r="W218" i="52"/>
  <c r="AC218" i="52" s="1"/>
  <c r="V218" i="52"/>
  <c r="AB218" i="52" s="1"/>
  <c r="AE217" i="52"/>
  <c r="X217" i="52"/>
  <c r="AD217" i="52" s="1"/>
  <c r="W217" i="52"/>
  <c r="AC217" i="52" s="1"/>
  <c r="V217" i="52"/>
  <c r="AB217" i="52" s="1"/>
  <c r="AE216" i="52"/>
  <c r="X216" i="52"/>
  <c r="AD216" i="52" s="1"/>
  <c r="W216" i="52"/>
  <c r="AC216" i="52" s="1"/>
  <c r="V216" i="52"/>
  <c r="AB216" i="52" s="1"/>
  <c r="AE215" i="52"/>
  <c r="AD215" i="52"/>
  <c r="X215" i="52"/>
  <c r="W215" i="52"/>
  <c r="AC215" i="52" s="1"/>
  <c r="V215" i="52"/>
  <c r="AB215" i="52" s="1"/>
  <c r="AE214" i="52"/>
  <c r="X214" i="52"/>
  <c r="AD214" i="52" s="1"/>
  <c r="W214" i="52"/>
  <c r="AC214" i="52" s="1"/>
  <c r="V214" i="52"/>
  <c r="AB214" i="52" s="1"/>
  <c r="AE213" i="52"/>
  <c r="X213" i="52"/>
  <c r="AD213" i="52" s="1"/>
  <c r="W213" i="52"/>
  <c r="AC213" i="52" s="1"/>
  <c r="V213" i="52"/>
  <c r="AB213" i="52" s="1"/>
  <c r="AE212" i="52"/>
  <c r="X212" i="52"/>
  <c r="AD212" i="52" s="1"/>
  <c r="W212" i="52"/>
  <c r="AC212" i="52" s="1"/>
  <c r="V212" i="52"/>
  <c r="AB212" i="52" s="1"/>
  <c r="AE211" i="52"/>
  <c r="X211" i="52"/>
  <c r="AD211" i="52" s="1"/>
  <c r="W211" i="52"/>
  <c r="AC211" i="52" s="1"/>
  <c r="V211" i="52"/>
  <c r="AB211" i="52" s="1"/>
  <c r="AE210" i="52"/>
  <c r="X210" i="52"/>
  <c r="AD210" i="52" s="1"/>
  <c r="W210" i="52"/>
  <c r="AC210" i="52" s="1"/>
  <c r="V210" i="52"/>
  <c r="AB210" i="52" s="1"/>
  <c r="AE209" i="52"/>
  <c r="X209" i="52"/>
  <c r="AD209" i="52" s="1"/>
  <c r="W209" i="52"/>
  <c r="AC209" i="52" s="1"/>
  <c r="V209" i="52"/>
  <c r="AB209" i="52" s="1"/>
  <c r="AE208" i="52"/>
  <c r="X208" i="52"/>
  <c r="AD208" i="52" s="1"/>
  <c r="W208" i="52"/>
  <c r="AC208" i="52" s="1"/>
  <c r="V208" i="52"/>
  <c r="AB208" i="52" s="1"/>
  <c r="AE207" i="52"/>
  <c r="X207" i="52"/>
  <c r="AD207" i="52" s="1"/>
  <c r="W207" i="52"/>
  <c r="AC207" i="52" s="1"/>
  <c r="V207" i="52"/>
  <c r="AB207" i="52" s="1"/>
  <c r="AE206" i="52"/>
  <c r="X206" i="52"/>
  <c r="AD206" i="52" s="1"/>
  <c r="W206" i="52"/>
  <c r="AC206" i="52" s="1"/>
  <c r="V206" i="52"/>
  <c r="AB206" i="52" s="1"/>
  <c r="AG205" i="52"/>
  <c r="AF205" i="52"/>
  <c r="AB205" i="52"/>
  <c r="X205" i="52"/>
  <c r="AD205" i="52" s="1"/>
  <c r="W205" i="52"/>
  <c r="AC205" i="52" s="1"/>
  <c r="V205" i="52"/>
  <c r="AG204" i="52"/>
  <c r="AF204" i="52"/>
  <c r="X204" i="52"/>
  <c r="AD204" i="52" s="1"/>
  <c r="W204" i="52"/>
  <c r="AC204" i="52" s="1"/>
  <c r="V204" i="52"/>
  <c r="AB204" i="52" s="1"/>
  <c r="AG203" i="52"/>
  <c r="AF203" i="52"/>
  <c r="X203" i="52"/>
  <c r="AD203" i="52" s="1"/>
  <c r="W203" i="52"/>
  <c r="AC203" i="52" s="1"/>
  <c r="V203" i="52"/>
  <c r="AB203" i="52" s="1"/>
  <c r="AG202" i="52"/>
  <c r="AF202" i="52"/>
  <c r="AC202" i="52"/>
  <c r="X202" i="52"/>
  <c r="AD202" i="52" s="1"/>
  <c r="W202" i="52"/>
  <c r="V202" i="52"/>
  <c r="AB202" i="52" s="1"/>
  <c r="AG201" i="52"/>
  <c r="AF201" i="52"/>
  <c r="X201" i="52"/>
  <c r="AD201" i="52" s="1"/>
  <c r="W201" i="52"/>
  <c r="AC201" i="52" s="1"/>
  <c r="V201" i="52"/>
  <c r="AB201" i="52" s="1"/>
  <c r="AG200" i="52"/>
  <c r="AF200" i="52"/>
  <c r="X200" i="52"/>
  <c r="AD200" i="52" s="1"/>
  <c r="W200" i="52"/>
  <c r="AC200" i="52" s="1"/>
  <c r="V200" i="52"/>
  <c r="AB200" i="52" s="1"/>
  <c r="AG199" i="52"/>
  <c r="AF199" i="52"/>
  <c r="X199" i="52"/>
  <c r="AD199" i="52" s="1"/>
  <c r="W199" i="52"/>
  <c r="AC199" i="52" s="1"/>
  <c r="V199" i="52"/>
  <c r="AB199" i="52" s="1"/>
  <c r="AG198" i="52"/>
  <c r="AF198" i="52"/>
  <c r="X198" i="52"/>
  <c r="AD198" i="52" s="1"/>
  <c r="W198" i="52"/>
  <c r="AC198" i="52" s="1"/>
  <c r="V198" i="52"/>
  <c r="AB198" i="52" s="1"/>
  <c r="AG197" i="52"/>
  <c r="AF197" i="52"/>
  <c r="AB197" i="52"/>
  <c r="X197" i="52"/>
  <c r="AD197" i="52" s="1"/>
  <c r="W197" i="52"/>
  <c r="AC197" i="52" s="1"/>
  <c r="V197" i="52"/>
  <c r="AG196" i="52"/>
  <c r="AF196" i="52"/>
  <c r="X196" i="52"/>
  <c r="AD196" i="52" s="1"/>
  <c r="W196" i="52"/>
  <c r="AC196" i="52" s="1"/>
  <c r="V196" i="52"/>
  <c r="AB196" i="52" s="1"/>
  <c r="AG195" i="52"/>
  <c r="AF195" i="52"/>
  <c r="X195" i="52"/>
  <c r="AD195" i="52" s="1"/>
  <c r="W195" i="52"/>
  <c r="AC195" i="52" s="1"/>
  <c r="V195" i="52"/>
  <c r="AB195" i="52" s="1"/>
  <c r="AG194" i="52"/>
  <c r="AF194" i="52"/>
  <c r="X194" i="52"/>
  <c r="AD194" i="52" s="1"/>
  <c r="W194" i="52"/>
  <c r="AC194" i="52" s="1"/>
  <c r="V194" i="52"/>
  <c r="AB194" i="52" s="1"/>
  <c r="AG193" i="52"/>
  <c r="AF193" i="52"/>
  <c r="X193" i="52"/>
  <c r="AD193" i="52" s="1"/>
  <c r="W193" i="52"/>
  <c r="AC193" i="52" s="1"/>
  <c r="V193" i="52"/>
  <c r="AB193" i="52" s="1"/>
  <c r="AG192" i="52"/>
  <c r="AF192" i="52"/>
  <c r="X192" i="52"/>
  <c r="AD192" i="52" s="1"/>
  <c r="W192" i="52"/>
  <c r="AC192" i="52" s="1"/>
  <c r="V192" i="52"/>
  <c r="AB192" i="52" s="1"/>
  <c r="AG191" i="52"/>
  <c r="AF191" i="52"/>
  <c r="X191" i="52"/>
  <c r="AD191" i="52" s="1"/>
  <c r="W191" i="52"/>
  <c r="AC191" i="52" s="1"/>
  <c r="V191" i="52"/>
  <c r="AB191" i="52" s="1"/>
  <c r="AG190" i="52"/>
  <c r="AF190" i="52"/>
  <c r="X190" i="52"/>
  <c r="AD190" i="52" s="1"/>
  <c r="W190" i="52"/>
  <c r="AC190" i="52" s="1"/>
  <c r="V190" i="52"/>
  <c r="AB190" i="52" s="1"/>
  <c r="AG189" i="52"/>
  <c r="AF189" i="52"/>
  <c r="X189" i="52"/>
  <c r="AD189" i="52" s="1"/>
  <c r="W189" i="52"/>
  <c r="AC189" i="52" s="1"/>
  <c r="V189" i="52"/>
  <c r="AB189" i="52" s="1"/>
  <c r="AG188" i="52"/>
  <c r="AF188" i="52"/>
  <c r="X188" i="52"/>
  <c r="AD188" i="52" s="1"/>
  <c r="W188" i="52"/>
  <c r="AC188" i="52" s="1"/>
  <c r="V188" i="52"/>
  <c r="AB188" i="52" s="1"/>
  <c r="AG187" i="52"/>
  <c r="AF187" i="52"/>
  <c r="X187" i="52"/>
  <c r="AD187" i="52" s="1"/>
  <c r="W187" i="52"/>
  <c r="AC187" i="52" s="1"/>
  <c r="V187" i="52"/>
  <c r="AB187" i="52" s="1"/>
  <c r="AG186" i="52"/>
  <c r="AF186" i="52"/>
  <c r="AC186" i="52"/>
  <c r="X186" i="52"/>
  <c r="AD186" i="52" s="1"/>
  <c r="W186" i="52"/>
  <c r="V186" i="52"/>
  <c r="AB186" i="52" s="1"/>
  <c r="AG185" i="52"/>
  <c r="AF185" i="52"/>
  <c r="X185" i="52"/>
  <c r="AD185" i="52" s="1"/>
  <c r="W185" i="52"/>
  <c r="AC185" i="52" s="1"/>
  <c r="V185" i="52"/>
  <c r="AB185" i="52" s="1"/>
  <c r="AG184" i="52"/>
  <c r="AF184" i="52"/>
  <c r="AC184" i="52"/>
  <c r="X184" i="52"/>
  <c r="AD184" i="52" s="1"/>
  <c r="W184" i="52"/>
  <c r="V184" i="52"/>
  <c r="AB184" i="52" s="1"/>
  <c r="AG183" i="52"/>
  <c r="AF183" i="52"/>
  <c r="X183" i="52"/>
  <c r="AD183" i="52" s="1"/>
  <c r="W183" i="52"/>
  <c r="AC183" i="52" s="1"/>
  <c r="V183" i="52"/>
  <c r="AB183" i="52" s="1"/>
  <c r="AG182" i="52"/>
  <c r="AF182" i="52"/>
  <c r="X182" i="52"/>
  <c r="AD182" i="52" s="1"/>
  <c r="W182" i="52"/>
  <c r="AC182" i="52" s="1"/>
  <c r="V182" i="52"/>
  <c r="AB182" i="52" s="1"/>
  <c r="AE181" i="52"/>
  <c r="X181" i="52"/>
  <c r="AD181" i="52" s="1"/>
  <c r="W181" i="52"/>
  <c r="AC181" i="52" s="1"/>
  <c r="V181" i="52"/>
  <c r="AB181" i="52" s="1"/>
  <c r="AE180" i="52"/>
  <c r="X180" i="52"/>
  <c r="AD180" i="52" s="1"/>
  <c r="W180" i="52"/>
  <c r="AC180" i="52" s="1"/>
  <c r="V180" i="52"/>
  <c r="AB180" i="52" s="1"/>
  <c r="AE179" i="52"/>
  <c r="X179" i="52"/>
  <c r="AD179" i="52" s="1"/>
  <c r="W179" i="52"/>
  <c r="AC179" i="52" s="1"/>
  <c r="V179" i="52"/>
  <c r="AB179" i="52" s="1"/>
  <c r="AE178" i="52"/>
  <c r="AC178" i="52"/>
  <c r="X178" i="52"/>
  <c r="AD178" i="52" s="1"/>
  <c r="W178" i="52"/>
  <c r="V178" i="52"/>
  <c r="AB178" i="52" s="1"/>
  <c r="AE177" i="52"/>
  <c r="X177" i="52"/>
  <c r="AD177" i="52" s="1"/>
  <c r="W177" i="52"/>
  <c r="AC177" i="52" s="1"/>
  <c r="V177" i="52"/>
  <c r="AB177" i="52" s="1"/>
  <c r="AE176" i="52"/>
  <c r="X176" i="52"/>
  <c r="AD176" i="52" s="1"/>
  <c r="W176" i="52"/>
  <c r="AC176" i="52" s="1"/>
  <c r="V176" i="52"/>
  <c r="AB176" i="52" s="1"/>
  <c r="AE175" i="52"/>
  <c r="X175" i="52"/>
  <c r="AD175" i="52" s="1"/>
  <c r="W175" i="52"/>
  <c r="AC175" i="52" s="1"/>
  <c r="V175" i="52"/>
  <c r="AB175" i="52" s="1"/>
  <c r="AE174" i="52"/>
  <c r="X174" i="52"/>
  <c r="AD174" i="52" s="1"/>
  <c r="W174" i="52"/>
  <c r="AC174" i="52" s="1"/>
  <c r="V174" i="52"/>
  <c r="AB174" i="52" s="1"/>
  <c r="AE173" i="52"/>
  <c r="X173" i="52"/>
  <c r="AD173" i="52" s="1"/>
  <c r="W173" i="52"/>
  <c r="AC173" i="52" s="1"/>
  <c r="V173" i="52"/>
  <c r="AB173" i="52" s="1"/>
  <c r="AE172" i="52"/>
  <c r="AC172" i="52"/>
  <c r="X172" i="52"/>
  <c r="AD172" i="52" s="1"/>
  <c r="W172" i="52"/>
  <c r="V172" i="52"/>
  <c r="AB172" i="52" s="1"/>
  <c r="AE171" i="52"/>
  <c r="X171" i="52"/>
  <c r="AD171" i="52" s="1"/>
  <c r="W171" i="52"/>
  <c r="AC171" i="52" s="1"/>
  <c r="V171" i="52"/>
  <c r="AB171" i="52" s="1"/>
  <c r="AE170" i="52"/>
  <c r="X170" i="52"/>
  <c r="AD170" i="52" s="1"/>
  <c r="W170" i="52"/>
  <c r="AC170" i="52" s="1"/>
  <c r="V170" i="52"/>
  <c r="AB170" i="52" s="1"/>
  <c r="AE169" i="52"/>
  <c r="X169" i="52"/>
  <c r="AD169" i="52" s="1"/>
  <c r="W169" i="52"/>
  <c r="AC169" i="52" s="1"/>
  <c r="V169" i="52"/>
  <c r="AB169" i="52" s="1"/>
  <c r="AE168" i="52"/>
  <c r="X168" i="52"/>
  <c r="AD168" i="52" s="1"/>
  <c r="W168" i="52"/>
  <c r="AC168" i="52" s="1"/>
  <c r="V168" i="52"/>
  <c r="AB168" i="52" s="1"/>
  <c r="AE167" i="52"/>
  <c r="AD167" i="52"/>
  <c r="X167" i="52"/>
  <c r="W167" i="52"/>
  <c r="AC167" i="52" s="1"/>
  <c r="V167" i="52"/>
  <c r="AB167" i="52" s="1"/>
  <c r="AE166" i="52"/>
  <c r="X166" i="52"/>
  <c r="AD166" i="52" s="1"/>
  <c r="W166" i="52"/>
  <c r="AC166" i="52" s="1"/>
  <c r="V166" i="52"/>
  <c r="AB166" i="52" s="1"/>
  <c r="AE165" i="52"/>
  <c r="X165" i="52"/>
  <c r="AD165" i="52" s="1"/>
  <c r="W165" i="52"/>
  <c r="AC165" i="52" s="1"/>
  <c r="V165" i="52"/>
  <c r="AB165" i="52" s="1"/>
  <c r="AE164" i="52"/>
  <c r="X164" i="52"/>
  <c r="AD164" i="52" s="1"/>
  <c r="W164" i="52"/>
  <c r="AC164" i="52" s="1"/>
  <c r="V164" i="52"/>
  <c r="AB164" i="52" s="1"/>
  <c r="AE163" i="52"/>
  <c r="X163" i="52"/>
  <c r="AD163" i="52" s="1"/>
  <c r="W163" i="52"/>
  <c r="AC163" i="52" s="1"/>
  <c r="V163" i="52"/>
  <c r="AB163" i="52" s="1"/>
  <c r="AE162" i="52"/>
  <c r="X162" i="52"/>
  <c r="AD162" i="52" s="1"/>
  <c r="W162" i="52"/>
  <c r="AC162" i="52" s="1"/>
  <c r="V162" i="52"/>
  <c r="AB162" i="52" s="1"/>
  <c r="AE161" i="52"/>
  <c r="X161" i="52"/>
  <c r="AD161" i="52" s="1"/>
  <c r="W161" i="52"/>
  <c r="AC161" i="52" s="1"/>
  <c r="V161" i="52"/>
  <c r="AB161" i="52" s="1"/>
  <c r="AE160" i="52"/>
  <c r="X160" i="52"/>
  <c r="AD160" i="52" s="1"/>
  <c r="W160" i="52"/>
  <c r="AC160" i="52" s="1"/>
  <c r="V160" i="52"/>
  <c r="AB160" i="52" s="1"/>
  <c r="AE159" i="52"/>
  <c r="X159" i="52"/>
  <c r="AD159" i="52" s="1"/>
  <c r="W159" i="52"/>
  <c r="AC159" i="52" s="1"/>
  <c r="V159" i="52"/>
  <c r="AB159" i="52" s="1"/>
  <c r="AE158" i="52"/>
  <c r="X158" i="52"/>
  <c r="AD158" i="52" s="1"/>
  <c r="W158" i="52"/>
  <c r="AC158" i="52" s="1"/>
  <c r="V158" i="52"/>
  <c r="AB158" i="52" s="1"/>
  <c r="AG157" i="52"/>
  <c r="AE157" i="52"/>
  <c r="AB157" i="52"/>
  <c r="X157" i="52"/>
  <c r="AD157" i="52" s="1"/>
  <c r="W157" i="52"/>
  <c r="AC157" i="52" s="1"/>
  <c r="V157" i="52"/>
  <c r="AG156" i="52"/>
  <c r="AE156" i="52"/>
  <c r="X156" i="52"/>
  <c r="AD156" i="52" s="1"/>
  <c r="W156" i="52"/>
  <c r="AC156" i="52" s="1"/>
  <c r="V156" i="52"/>
  <c r="AB156" i="52" s="1"/>
  <c r="AG155" i="52"/>
  <c r="AE155" i="52"/>
  <c r="X155" i="52"/>
  <c r="AD155" i="52" s="1"/>
  <c r="W155" i="52"/>
  <c r="AC155" i="52" s="1"/>
  <c r="V155" i="52"/>
  <c r="AB155" i="52" s="1"/>
  <c r="AG154" i="52"/>
  <c r="AE154" i="52"/>
  <c r="X154" i="52"/>
  <c r="AD154" i="52" s="1"/>
  <c r="W154" i="52"/>
  <c r="AC154" i="52" s="1"/>
  <c r="V154" i="52"/>
  <c r="AB154" i="52" s="1"/>
  <c r="AG153" i="52"/>
  <c r="AE153" i="52"/>
  <c r="X153" i="52"/>
  <c r="AD153" i="52" s="1"/>
  <c r="W153" i="52"/>
  <c r="AC153" i="52" s="1"/>
  <c r="V153" i="52"/>
  <c r="AB153" i="52" s="1"/>
  <c r="AG152" i="52"/>
  <c r="AE152" i="52"/>
  <c r="X152" i="52"/>
  <c r="AD152" i="52" s="1"/>
  <c r="W152" i="52"/>
  <c r="AC152" i="52" s="1"/>
  <c r="V152" i="52"/>
  <c r="AB152" i="52" s="1"/>
  <c r="AG151" i="52"/>
  <c r="AE151" i="52"/>
  <c r="X151" i="52"/>
  <c r="AD151" i="52" s="1"/>
  <c r="W151" i="52"/>
  <c r="AC151" i="52" s="1"/>
  <c r="V151" i="52"/>
  <c r="AB151" i="52" s="1"/>
  <c r="AG150" i="52"/>
  <c r="AE150" i="52"/>
  <c r="X150" i="52"/>
  <c r="AD150" i="52" s="1"/>
  <c r="W150" i="52"/>
  <c r="AC150" i="52" s="1"/>
  <c r="V150" i="52"/>
  <c r="AB150" i="52" s="1"/>
  <c r="AG149" i="52"/>
  <c r="AE149" i="52"/>
  <c r="X149" i="52"/>
  <c r="AD149" i="52" s="1"/>
  <c r="W149" i="52"/>
  <c r="AC149" i="52" s="1"/>
  <c r="V149" i="52"/>
  <c r="AB149" i="52" s="1"/>
  <c r="AG148" i="52"/>
  <c r="AE148" i="52"/>
  <c r="X148" i="52"/>
  <c r="AD148" i="52" s="1"/>
  <c r="W148" i="52"/>
  <c r="AC148" i="52" s="1"/>
  <c r="V148" i="52"/>
  <c r="AB148" i="52" s="1"/>
  <c r="AG147" i="52"/>
  <c r="AE147" i="52"/>
  <c r="X147" i="52"/>
  <c r="AD147" i="52" s="1"/>
  <c r="W147" i="52"/>
  <c r="AC147" i="52" s="1"/>
  <c r="V147" i="52"/>
  <c r="AB147" i="52" s="1"/>
  <c r="AG146" i="52"/>
  <c r="AE146" i="52"/>
  <c r="X146" i="52"/>
  <c r="AD146" i="52" s="1"/>
  <c r="W146" i="52"/>
  <c r="AC146" i="52" s="1"/>
  <c r="V146" i="52"/>
  <c r="AB146" i="52" s="1"/>
  <c r="AG145" i="52"/>
  <c r="AF145" i="52"/>
  <c r="X145" i="52"/>
  <c r="AD145" i="52" s="1"/>
  <c r="W145" i="52"/>
  <c r="AC145" i="52" s="1"/>
  <c r="V145" i="52"/>
  <c r="AB145" i="52" s="1"/>
  <c r="AG144" i="52"/>
  <c r="AF144" i="52"/>
  <c r="X144" i="52"/>
  <c r="AD144" i="52" s="1"/>
  <c r="W144" i="52"/>
  <c r="AC144" i="52" s="1"/>
  <c r="V144" i="52"/>
  <c r="AB144" i="52" s="1"/>
  <c r="AG143" i="52"/>
  <c r="AF143" i="52"/>
  <c r="X143" i="52"/>
  <c r="AD143" i="52" s="1"/>
  <c r="W143" i="52"/>
  <c r="AC143" i="52" s="1"/>
  <c r="V143" i="52"/>
  <c r="AB143" i="52" s="1"/>
  <c r="AG142" i="52"/>
  <c r="AF142" i="52"/>
  <c r="X142" i="52"/>
  <c r="AD142" i="52" s="1"/>
  <c r="W142" i="52"/>
  <c r="AC142" i="52" s="1"/>
  <c r="V142" i="52"/>
  <c r="AB142" i="52" s="1"/>
  <c r="AG141" i="52"/>
  <c r="AF141" i="52"/>
  <c r="X141" i="52"/>
  <c r="AD141" i="52" s="1"/>
  <c r="W141" i="52"/>
  <c r="AC141" i="52" s="1"/>
  <c r="V141" i="52"/>
  <c r="AB141" i="52" s="1"/>
  <c r="AG140" i="52"/>
  <c r="AF140" i="52"/>
  <c r="X140" i="52"/>
  <c r="AD140" i="52" s="1"/>
  <c r="W140" i="52"/>
  <c r="AC140" i="52" s="1"/>
  <c r="V140" i="52"/>
  <c r="AB140" i="52" s="1"/>
  <c r="AG139" i="52"/>
  <c r="AF139" i="52"/>
  <c r="X139" i="52"/>
  <c r="AD139" i="52" s="1"/>
  <c r="W139" i="52"/>
  <c r="AC139" i="52" s="1"/>
  <c r="V139" i="52"/>
  <c r="AB139" i="52" s="1"/>
  <c r="AG138" i="52"/>
  <c r="AF138" i="52"/>
  <c r="X138" i="52"/>
  <c r="AD138" i="52" s="1"/>
  <c r="W138" i="52"/>
  <c r="AC138" i="52" s="1"/>
  <c r="V138" i="52"/>
  <c r="AB138" i="52" s="1"/>
  <c r="AG137" i="52"/>
  <c r="AF137" i="52"/>
  <c r="X137" i="52"/>
  <c r="AD137" i="52" s="1"/>
  <c r="W137" i="52"/>
  <c r="AC137" i="52" s="1"/>
  <c r="V137" i="52"/>
  <c r="AB137" i="52" s="1"/>
  <c r="AG136" i="52"/>
  <c r="AF136" i="52"/>
  <c r="X136" i="52"/>
  <c r="AD136" i="52" s="1"/>
  <c r="W136" i="52"/>
  <c r="AC136" i="52" s="1"/>
  <c r="V136" i="52"/>
  <c r="AB136" i="52" s="1"/>
  <c r="AG135" i="52"/>
  <c r="AF135" i="52"/>
  <c r="X135" i="52"/>
  <c r="AD135" i="52" s="1"/>
  <c r="W135" i="52"/>
  <c r="AC135" i="52" s="1"/>
  <c r="V135" i="52"/>
  <c r="AB135" i="52" s="1"/>
  <c r="AG134" i="52"/>
  <c r="AF134" i="52"/>
  <c r="X134" i="52"/>
  <c r="AD134" i="52" s="1"/>
  <c r="W134" i="52"/>
  <c r="AC134" i="52" s="1"/>
  <c r="V134" i="52"/>
  <c r="AB134" i="52" s="1"/>
  <c r="AG133" i="52"/>
  <c r="AE133" i="52"/>
  <c r="AB133" i="52"/>
  <c r="X133" i="52"/>
  <c r="AD133" i="52" s="1"/>
  <c r="W133" i="52"/>
  <c r="AC133" i="52" s="1"/>
  <c r="V133" i="52"/>
  <c r="AG132" i="52"/>
  <c r="AE132" i="52"/>
  <c r="X132" i="52"/>
  <c r="AD132" i="52" s="1"/>
  <c r="W132" i="52"/>
  <c r="AC132" i="52" s="1"/>
  <c r="V132" i="52"/>
  <c r="AB132" i="52" s="1"/>
  <c r="AG131" i="52"/>
  <c r="AE131" i="52"/>
  <c r="X131" i="52"/>
  <c r="AD131" i="52" s="1"/>
  <c r="W131" i="52"/>
  <c r="AC131" i="52" s="1"/>
  <c r="V131" i="52"/>
  <c r="AB131" i="52" s="1"/>
  <c r="AG130" i="52"/>
  <c r="AE130" i="52"/>
  <c r="X130" i="52"/>
  <c r="AD130" i="52" s="1"/>
  <c r="W130" i="52"/>
  <c r="AC130" i="52" s="1"/>
  <c r="V130" i="52"/>
  <c r="AB130" i="52" s="1"/>
  <c r="AG129" i="52"/>
  <c r="AE129" i="52"/>
  <c r="X129" i="52"/>
  <c r="AD129" i="52" s="1"/>
  <c r="W129" i="52"/>
  <c r="AC129" i="52" s="1"/>
  <c r="V129" i="52"/>
  <c r="AB129" i="52" s="1"/>
  <c r="AG128" i="52"/>
  <c r="AE128" i="52"/>
  <c r="X128" i="52"/>
  <c r="AD128" i="52" s="1"/>
  <c r="W128" i="52"/>
  <c r="AC128" i="52" s="1"/>
  <c r="V128" i="52"/>
  <c r="AB128" i="52" s="1"/>
  <c r="AG127" i="52"/>
  <c r="AE127" i="52"/>
  <c r="X127" i="52"/>
  <c r="AD127" i="52" s="1"/>
  <c r="W127" i="52"/>
  <c r="AC127" i="52" s="1"/>
  <c r="V127" i="52"/>
  <c r="AB127" i="52" s="1"/>
  <c r="AG126" i="52"/>
  <c r="AE126" i="52"/>
  <c r="X126" i="52"/>
  <c r="AD126" i="52" s="1"/>
  <c r="W126" i="52"/>
  <c r="AC126" i="52" s="1"/>
  <c r="V126" i="52"/>
  <c r="AB126" i="52" s="1"/>
  <c r="AG125" i="52"/>
  <c r="AE125" i="52"/>
  <c r="AB125" i="52"/>
  <c r="X125" i="52"/>
  <c r="AD125" i="52" s="1"/>
  <c r="W125" i="52"/>
  <c r="AC125" i="52" s="1"/>
  <c r="V125" i="52"/>
  <c r="AG124" i="52"/>
  <c r="AE124" i="52"/>
  <c r="X124" i="52"/>
  <c r="AD124" i="52" s="1"/>
  <c r="W124" i="52"/>
  <c r="AC124" i="52" s="1"/>
  <c r="V124" i="52"/>
  <c r="AB124" i="52" s="1"/>
  <c r="AG123" i="52"/>
  <c r="AE123" i="52"/>
  <c r="X123" i="52"/>
  <c r="AD123" i="52" s="1"/>
  <c r="W123" i="52"/>
  <c r="AC123" i="52" s="1"/>
  <c r="V123" i="52"/>
  <c r="AB123" i="52" s="1"/>
  <c r="AG122" i="52"/>
  <c r="AE122" i="52"/>
  <c r="X122" i="52"/>
  <c r="AD122" i="52" s="1"/>
  <c r="W122" i="52"/>
  <c r="AC122" i="52" s="1"/>
  <c r="V122" i="52"/>
  <c r="AB122" i="52" s="1"/>
  <c r="AE121" i="52"/>
  <c r="AD121" i="52"/>
  <c r="X121" i="52"/>
  <c r="W121" i="52"/>
  <c r="AC121" i="52" s="1"/>
  <c r="V121" i="52"/>
  <c r="AB121" i="52" s="1"/>
  <c r="AE120" i="52"/>
  <c r="X120" i="52"/>
  <c r="AD120" i="52" s="1"/>
  <c r="W120" i="52"/>
  <c r="AC120" i="52" s="1"/>
  <c r="V120" i="52"/>
  <c r="AB120" i="52" s="1"/>
  <c r="AE119" i="52"/>
  <c r="X119" i="52"/>
  <c r="AD119" i="52" s="1"/>
  <c r="W119" i="52"/>
  <c r="AC119" i="52" s="1"/>
  <c r="V119" i="52"/>
  <c r="AB119" i="52" s="1"/>
  <c r="AE118" i="52"/>
  <c r="X118" i="52"/>
  <c r="AD118" i="52" s="1"/>
  <c r="W118" i="52"/>
  <c r="AC118" i="52" s="1"/>
  <c r="V118" i="52"/>
  <c r="AB118" i="52" s="1"/>
  <c r="AE117" i="52"/>
  <c r="X117" i="52"/>
  <c r="AD117" i="52" s="1"/>
  <c r="W117" i="52"/>
  <c r="AC117" i="52" s="1"/>
  <c r="V117" i="52"/>
  <c r="AB117" i="52" s="1"/>
  <c r="AE116" i="52"/>
  <c r="X116" i="52"/>
  <c r="AD116" i="52" s="1"/>
  <c r="W116" i="52"/>
  <c r="AC116" i="52" s="1"/>
  <c r="V116" i="52"/>
  <c r="AB116" i="52" s="1"/>
  <c r="AE115" i="52"/>
  <c r="X115" i="52"/>
  <c r="AD115" i="52" s="1"/>
  <c r="W115" i="52"/>
  <c r="AC115" i="52" s="1"/>
  <c r="V115" i="52"/>
  <c r="AB115" i="52" s="1"/>
  <c r="AE114" i="52"/>
  <c r="AC114" i="52"/>
  <c r="X114" i="52"/>
  <c r="AD114" i="52" s="1"/>
  <c r="W114" i="52"/>
  <c r="V114" i="52"/>
  <c r="AB114" i="52" s="1"/>
  <c r="AE113" i="52"/>
  <c r="AD113" i="52"/>
  <c r="X113" i="52"/>
  <c r="W113" i="52"/>
  <c r="AC113" i="52" s="1"/>
  <c r="V113" i="52"/>
  <c r="AB113" i="52" s="1"/>
  <c r="AE112" i="52"/>
  <c r="X112" i="52"/>
  <c r="AD112" i="52" s="1"/>
  <c r="W112" i="52"/>
  <c r="AC112" i="52" s="1"/>
  <c r="V112" i="52"/>
  <c r="AB112" i="52" s="1"/>
  <c r="AE111" i="52"/>
  <c r="X111" i="52"/>
  <c r="AD111" i="52" s="1"/>
  <c r="W111" i="52"/>
  <c r="AC111" i="52" s="1"/>
  <c r="V111" i="52"/>
  <c r="AB111" i="52" s="1"/>
  <c r="AE110" i="52"/>
  <c r="X110" i="52"/>
  <c r="AD110" i="52" s="1"/>
  <c r="W110" i="52"/>
  <c r="AC110" i="52" s="1"/>
  <c r="V110" i="52"/>
  <c r="AB110" i="52" s="1"/>
  <c r="AE109" i="52"/>
  <c r="X109" i="52"/>
  <c r="AD109" i="52" s="1"/>
  <c r="W109" i="52"/>
  <c r="AC109" i="52" s="1"/>
  <c r="V109" i="52"/>
  <c r="AB109" i="52" s="1"/>
  <c r="AE108" i="52"/>
  <c r="X108" i="52"/>
  <c r="AD108" i="52" s="1"/>
  <c r="W108" i="52"/>
  <c r="AC108" i="52" s="1"/>
  <c r="V108" i="52"/>
  <c r="AB108" i="52" s="1"/>
  <c r="AE107" i="52"/>
  <c r="AB107" i="52"/>
  <c r="X107" i="52"/>
  <c r="AD107" i="52" s="1"/>
  <c r="W107" i="52"/>
  <c r="AC107" i="52" s="1"/>
  <c r="V107" i="52"/>
  <c r="AE106" i="52"/>
  <c r="X106" i="52"/>
  <c r="AD106" i="52" s="1"/>
  <c r="W106" i="52"/>
  <c r="AC106" i="52" s="1"/>
  <c r="V106" i="52"/>
  <c r="AB106" i="52" s="1"/>
  <c r="AE105" i="52"/>
  <c r="AD105" i="52"/>
  <c r="X105" i="52"/>
  <c r="W105" i="52"/>
  <c r="AC105" i="52" s="1"/>
  <c r="V105" i="52"/>
  <c r="AB105" i="52" s="1"/>
  <c r="AE104" i="52"/>
  <c r="X104" i="52"/>
  <c r="AD104" i="52" s="1"/>
  <c r="W104" i="52"/>
  <c r="AC104" i="52" s="1"/>
  <c r="V104" i="52"/>
  <c r="AB104" i="52" s="1"/>
  <c r="AE103" i="52"/>
  <c r="X103" i="52"/>
  <c r="AD103" i="52" s="1"/>
  <c r="W103" i="52"/>
  <c r="AC103" i="52" s="1"/>
  <c r="V103" i="52"/>
  <c r="AB103" i="52" s="1"/>
  <c r="AE102" i="52"/>
  <c r="X102" i="52"/>
  <c r="AD102" i="52" s="1"/>
  <c r="W102" i="52"/>
  <c r="AC102" i="52" s="1"/>
  <c r="V102" i="52"/>
  <c r="AB102" i="52" s="1"/>
  <c r="AE101" i="52"/>
  <c r="X101" i="52"/>
  <c r="AD101" i="52" s="1"/>
  <c r="W101" i="52"/>
  <c r="AC101" i="52" s="1"/>
  <c r="V101" i="52"/>
  <c r="AB101" i="52" s="1"/>
  <c r="AE100" i="52"/>
  <c r="X100" i="52"/>
  <c r="AD100" i="52" s="1"/>
  <c r="W100" i="52"/>
  <c r="AC100" i="52" s="1"/>
  <c r="V100" i="52"/>
  <c r="AB100" i="52" s="1"/>
  <c r="AE99" i="52"/>
  <c r="AB99" i="52"/>
  <c r="X99" i="52"/>
  <c r="AD99" i="52" s="1"/>
  <c r="W99" i="52"/>
  <c r="AC99" i="52" s="1"/>
  <c r="V99" i="52"/>
  <c r="AE98" i="52"/>
  <c r="AC98" i="52"/>
  <c r="X98" i="52"/>
  <c r="AD98" i="52" s="1"/>
  <c r="W98" i="52"/>
  <c r="V98" i="52"/>
  <c r="AB98" i="52" s="1"/>
  <c r="AG97" i="52"/>
  <c r="AF97" i="52"/>
  <c r="X97" i="52"/>
  <c r="AD97" i="52" s="1"/>
  <c r="W97" i="52"/>
  <c r="AC97" i="52" s="1"/>
  <c r="V97" i="52"/>
  <c r="AB97" i="52" s="1"/>
  <c r="AG96" i="52"/>
  <c r="AF96" i="52"/>
  <c r="X96" i="52"/>
  <c r="AD96" i="52" s="1"/>
  <c r="W96" i="52"/>
  <c r="AC96" i="52" s="1"/>
  <c r="V96" i="52"/>
  <c r="AB96" i="52" s="1"/>
  <c r="AG95" i="52"/>
  <c r="AF95" i="52"/>
  <c r="X95" i="52"/>
  <c r="AD95" i="52" s="1"/>
  <c r="W95" i="52"/>
  <c r="AC95" i="52" s="1"/>
  <c r="V95" i="52"/>
  <c r="AB95" i="52" s="1"/>
  <c r="AG94" i="52"/>
  <c r="AF94" i="52"/>
  <c r="X94" i="52"/>
  <c r="AD94" i="52" s="1"/>
  <c r="W94" i="52"/>
  <c r="AC94" i="52" s="1"/>
  <c r="V94" i="52"/>
  <c r="AB94" i="52" s="1"/>
  <c r="AG93" i="52"/>
  <c r="AF93" i="52"/>
  <c r="X93" i="52"/>
  <c r="AD93" i="52" s="1"/>
  <c r="W93" i="52"/>
  <c r="AC93" i="52" s="1"/>
  <c r="V93" i="52"/>
  <c r="AB93" i="52" s="1"/>
  <c r="AG92" i="52"/>
  <c r="AF92" i="52"/>
  <c r="X92" i="52"/>
  <c r="AD92" i="52" s="1"/>
  <c r="W92" i="52"/>
  <c r="AC92" i="52" s="1"/>
  <c r="V92" i="52"/>
  <c r="AB92" i="52" s="1"/>
  <c r="AG91" i="52"/>
  <c r="AF91" i="52"/>
  <c r="X91" i="52"/>
  <c r="AD91" i="52" s="1"/>
  <c r="W91" i="52"/>
  <c r="AC91" i="52" s="1"/>
  <c r="V91" i="52"/>
  <c r="AB91" i="52" s="1"/>
  <c r="AG90" i="52"/>
  <c r="AF90" i="52"/>
  <c r="X90" i="52"/>
  <c r="AD90" i="52" s="1"/>
  <c r="W90" i="52"/>
  <c r="AC90" i="52" s="1"/>
  <c r="V90" i="52"/>
  <c r="AB90" i="52" s="1"/>
  <c r="AG89" i="52"/>
  <c r="AF89" i="52"/>
  <c r="X89" i="52"/>
  <c r="AD89" i="52" s="1"/>
  <c r="W89" i="52"/>
  <c r="AC89" i="52" s="1"/>
  <c r="V89" i="52"/>
  <c r="AB89" i="52" s="1"/>
  <c r="AG88" i="52"/>
  <c r="AF88" i="52"/>
  <c r="X88" i="52"/>
  <c r="AD88" i="52" s="1"/>
  <c r="W88" i="52"/>
  <c r="AC88" i="52" s="1"/>
  <c r="V88" i="52"/>
  <c r="AB88" i="52" s="1"/>
  <c r="AG87" i="52"/>
  <c r="AF87" i="52"/>
  <c r="X87" i="52"/>
  <c r="AD87" i="52" s="1"/>
  <c r="W87" i="52"/>
  <c r="AC87" i="52" s="1"/>
  <c r="V87" i="52"/>
  <c r="AB87" i="52" s="1"/>
  <c r="AG86" i="52"/>
  <c r="AF86" i="52"/>
  <c r="X86" i="52"/>
  <c r="AD86" i="52" s="1"/>
  <c r="W86" i="52"/>
  <c r="AC86" i="52" s="1"/>
  <c r="V86" i="52"/>
  <c r="AB86" i="52" s="1"/>
  <c r="AG85" i="52"/>
  <c r="AF85" i="52"/>
  <c r="AB85" i="52"/>
  <c r="X85" i="52"/>
  <c r="AD85" i="52" s="1"/>
  <c r="W85" i="52"/>
  <c r="AC85" i="52" s="1"/>
  <c r="V85" i="52"/>
  <c r="AG84" i="52"/>
  <c r="AF84" i="52"/>
  <c r="X84" i="52"/>
  <c r="AD84" i="52" s="1"/>
  <c r="W84" i="52"/>
  <c r="AC84" i="52" s="1"/>
  <c r="V84" i="52"/>
  <c r="AB84" i="52" s="1"/>
  <c r="AG83" i="52"/>
  <c r="AF83" i="52"/>
  <c r="X83" i="52"/>
  <c r="AD83" i="52" s="1"/>
  <c r="W83" i="52"/>
  <c r="AC83" i="52" s="1"/>
  <c r="V83" i="52"/>
  <c r="AB83" i="52" s="1"/>
  <c r="AG82" i="52"/>
  <c r="AF82" i="52"/>
  <c r="X82" i="52"/>
  <c r="AD82" i="52" s="1"/>
  <c r="W82" i="52"/>
  <c r="AC82" i="52" s="1"/>
  <c r="V82" i="52"/>
  <c r="AB82" i="52" s="1"/>
  <c r="AG81" i="52"/>
  <c r="AF81" i="52"/>
  <c r="X81" i="52"/>
  <c r="AD81" i="52" s="1"/>
  <c r="W81" i="52"/>
  <c r="AC81" i="52" s="1"/>
  <c r="V81" i="52"/>
  <c r="AB81" i="52" s="1"/>
  <c r="AG80" i="52"/>
  <c r="AF80" i="52"/>
  <c r="X80" i="52"/>
  <c r="AD80" i="52" s="1"/>
  <c r="W80" i="52"/>
  <c r="AC80" i="52" s="1"/>
  <c r="V80" i="52"/>
  <c r="AB80" i="52" s="1"/>
  <c r="AG79" i="52"/>
  <c r="AF79" i="52"/>
  <c r="X79" i="52"/>
  <c r="AD79" i="52" s="1"/>
  <c r="W79" i="52"/>
  <c r="AC79" i="52" s="1"/>
  <c r="V79" i="52"/>
  <c r="AB79" i="52" s="1"/>
  <c r="AG78" i="52"/>
  <c r="AF78" i="52"/>
  <c r="X78" i="52"/>
  <c r="AD78" i="52" s="1"/>
  <c r="W78" i="52"/>
  <c r="AC78" i="52" s="1"/>
  <c r="V78" i="52"/>
  <c r="AB78" i="52" s="1"/>
  <c r="AG77" i="52"/>
  <c r="AF77" i="52"/>
  <c r="X77" i="52"/>
  <c r="AD77" i="52" s="1"/>
  <c r="W77" i="52"/>
  <c r="AC77" i="52" s="1"/>
  <c r="V77" i="52"/>
  <c r="AB77" i="52" s="1"/>
  <c r="AG76" i="52"/>
  <c r="AF76" i="52"/>
  <c r="X76" i="52"/>
  <c r="AD76" i="52" s="1"/>
  <c r="W76" i="52"/>
  <c r="AC76" i="52" s="1"/>
  <c r="V76" i="52"/>
  <c r="AB76" i="52" s="1"/>
  <c r="AG75" i="52"/>
  <c r="AF75" i="52"/>
  <c r="X75" i="52"/>
  <c r="AD75" i="52" s="1"/>
  <c r="W75" i="52"/>
  <c r="AC75" i="52" s="1"/>
  <c r="V75" i="52"/>
  <c r="AB75" i="52" s="1"/>
  <c r="AG74" i="52"/>
  <c r="AF74" i="52"/>
  <c r="X74" i="52"/>
  <c r="AD74" i="52" s="1"/>
  <c r="W74" i="52"/>
  <c r="AC74" i="52" s="1"/>
  <c r="V74" i="52"/>
  <c r="AB74" i="52" s="1"/>
  <c r="AE73" i="52"/>
  <c r="X73" i="52"/>
  <c r="AD73" i="52" s="1"/>
  <c r="W73" i="52"/>
  <c r="AC73" i="52" s="1"/>
  <c r="V73" i="52"/>
  <c r="AB73" i="52" s="1"/>
  <c r="AE72" i="52"/>
  <c r="X72" i="52"/>
  <c r="AD72" i="52" s="1"/>
  <c r="W72" i="52"/>
  <c r="AC72" i="52" s="1"/>
  <c r="V72" i="52"/>
  <c r="AB72" i="52" s="1"/>
  <c r="AE71" i="52"/>
  <c r="X71" i="52"/>
  <c r="AD71" i="52" s="1"/>
  <c r="W71" i="52"/>
  <c r="AC71" i="52" s="1"/>
  <c r="V71" i="52"/>
  <c r="AB71" i="52" s="1"/>
  <c r="AE70" i="52"/>
  <c r="X70" i="52"/>
  <c r="AD70" i="52" s="1"/>
  <c r="W70" i="52"/>
  <c r="AC70" i="52" s="1"/>
  <c r="V70" i="52"/>
  <c r="AB70" i="52" s="1"/>
  <c r="AE69" i="52"/>
  <c r="X69" i="52"/>
  <c r="AD69" i="52" s="1"/>
  <c r="W69" i="52"/>
  <c r="AC69" i="52" s="1"/>
  <c r="V69" i="52"/>
  <c r="AB69" i="52" s="1"/>
  <c r="AE68" i="52"/>
  <c r="X68" i="52"/>
  <c r="AD68" i="52" s="1"/>
  <c r="W68" i="52"/>
  <c r="AC68" i="52" s="1"/>
  <c r="V68" i="52"/>
  <c r="AB68" i="52" s="1"/>
  <c r="AE67" i="52"/>
  <c r="AB67" i="52"/>
  <c r="X67" i="52"/>
  <c r="AD67" i="52" s="1"/>
  <c r="W67" i="52"/>
  <c r="AC67" i="52" s="1"/>
  <c r="V67" i="52"/>
  <c r="AE66" i="52"/>
  <c r="AC66" i="52"/>
  <c r="X66" i="52"/>
  <c r="AD66" i="52" s="1"/>
  <c r="W66" i="52"/>
  <c r="V66" i="52"/>
  <c r="AB66" i="52" s="1"/>
  <c r="AE65" i="52"/>
  <c r="AD65" i="52"/>
  <c r="X65" i="52"/>
  <c r="W65" i="52"/>
  <c r="AC65" i="52" s="1"/>
  <c r="V65" i="52"/>
  <c r="AB65" i="52" s="1"/>
  <c r="AE64" i="52"/>
  <c r="X64" i="52"/>
  <c r="AD64" i="52" s="1"/>
  <c r="W64" i="52"/>
  <c r="AC64" i="52" s="1"/>
  <c r="V64" i="52"/>
  <c r="AB64" i="52" s="1"/>
  <c r="AE63" i="52"/>
  <c r="X63" i="52"/>
  <c r="AD63" i="52" s="1"/>
  <c r="W63" i="52"/>
  <c r="AC63" i="52" s="1"/>
  <c r="V63" i="52"/>
  <c r="AB63" i="52" s="1"/>
  <c r="AE62" i="52"/>
  <c r="X62" i="52"/>
  <c r="AD62" i="52" s="1"/>
  <c r="W62" i="52"/>
  <c r="AC62" i="52" s="1"/>
  <c r="V62" i="52"/>
  <c r="AB62" i="52" s="1"/>
  <c r="AE61" i="52"/>
  <c r="X61" i="52"/>
  <c r="AD61" i="52" s="1"/>
  <c r="W61" i="52"/>
  <c r="AC61" i="52" s="1"/>
  <c r="V61" i="52"/>
  <c r="AB61" i="52" s="1"/>
  <c r="AE60" i="52"/>
  <c r="AC60" i="52"/>
  <c r="X60" i="52"/>
  <c r="AD60" i="52" s="1"/>
  <c r="W60" i="52"/>
  <c r="V60" i="52"/>
  <c r="AB60" i="52" s="1"/>
  <c r="AE59" i="52"/>
  <c r="X59" i="52"/>
  <c r="AD59" i="52" s="1"/>
  <c r="W59" i="52"/>
  <c r="AC59" i="52" s="1"/>
  <c r="V59" i="52"/>
  <c r="AB59" i="52" s="1"/>
  <c r="AE58" i="52"/>
  <c r="X58" i="52"/>
  <c r="AD58" i="52" s="1"/>
  <c r="W58" i="52"/>
  <c r="AC58" i="52" s="1"/>
  <c r="V58" i="52"/>
  <c r="AB58" i="52" s="1"/>
  <c r="AE57" i="52"/>
  <c r="AD57" i="52"/>
  <c r="X57" i="52"/>
  <c r="W57" i="52"/>
  <c r="AC57" i="52" s="1"/>
  <c r="V57" i="52"/>
  <c r="AB57" i="52" s="1"/>
  <c r="AE56" i="52"/>
  <c r="X56" i="52"/>
  <c r="AD56" i="52" s="1"/>
  <c r="W56" i="52"/>
  <c r="AC56" i="52" s="1"/>
  <c r="V56" i="52"/>
  <c r="AB56" i="52" s="1"/>
  <c r="AE55" i="52"/>
  <c r="AB55" i="52"/>
  <c r="X55" i="52"/>
  <c r="AD55" i="52" s="1"/>
  <c r="W55" i="52"/>
  <c r="AC55" i="52" s="1"/>
  <c r="V55" i="52"/>
  <c r="AE54" i="52"/>
  <c r="X54" i="52"/>
  <c r="AD54" i="52" s="1"/>
  <c r="W54" i="52"/>
  <c r="AC54" i="52" s="1"/>
  <c r="V54" i="52"/>
  <c r="AB54" i="52" s="1"/>
  <c r="AE53" i="52"/>
  <c r="X53" i="52"/>
  <c r="AD53" i="52" s="1"/>
  <c r="W53" i="52"/>
  <c r="AC53" i="52" s="1"/>
  <c r="V53" i="52"/>
  <c r="AB53" i="52" s="1"/>
  <c r="AE52" i="52"/>
  <c r="X52" i="52"/>
  <c r="AD52" i="52" s="1"/>
  <c r="W52" i="52"/>
  <c r="AC52" i="52" s="1"/>
  <c r="V52" i="52"/>
  <c r="AB52" i="52" s="1"/>
  <c r="AE51" i="52"/>
  <c r="X51" i="52"/>
  <c r="AD51" i="52" s="1"/>
  <c r="W51" i="52"/>
  <c r="AC51" i="52" s="1"/>
  <c r="V51" i="52"/>
  <c r="AB51" i="52" s="1"/>
  <c r="AE50" i="52"/>
  <c r="X50" i="52"/>
  <c r="AD50" i="52" s="1"/>
  <c r="W50" i="52"/>
  <c r="AC50" i="52" s="1"/>
  <c r="V50" i="52"/>
  <c r="AB50" i="52" s="1"/>
  <c r="AG49" i="52"/>
  <c r="AF49" i="52"/>
  <c r="X49" i="52"/>
  <c r="AD49" i="52" s="1"/>
  <c r="W49" i="52"/>
  <c r="AC49" i="52" s="1"/>
  <c r="V49" i="52"/>
  <c r="AB49" i="52" s="1"/>
  <c r="AG48" i="52"/>
  <c r="AF48" i="52"/>
  <c r="AC48" i="52"/>
  <c r="X48" i="52"/>
  <c r="AD48" i="52" s="1"/>
  <c r="W48" i="52"/>
  <c r="V48" i="52"/>
  <c r="AB48" i="52" s="1"/>
  <c r="AG47" i="52"/>
  <c r="AF47" i="52"/>
  <c r="X47" i="52"/>
  <c r="AD47" i="52" s="1"/>
  <c r="W47" i="52"/>
  <c r="AC47" i="52" s="1"/>
  <c r="V47" i="52"/>
  <c r="AB47" i="52" s="1"/>
  <c r="AG46" i="52"/>
  <c r="AF46" i="52"/>
  <c r="X46" i="52"/>
  <c r="AD46" i="52" s="1"/>
  <c r="W46" i="52"/>
  <c r="AC46" i="52" s="1"/>
  <c r="V46" i="52"/>
  <c r="AB46" i="52" s="1"/>
  <c r="AG45" i="52"/>
  <c r="AF45" i="52"/>
  <c r="AD45" i="52"/>
  <c r="AB45" i="52"/>
  <c r="X45" i="52"/>
  <c r="W45" i="52"/>
  <c r="AC45" i="52" s="1"/>
  <c r="V45" i="52"/>
  <c r="AG44" i="52"/>
  <c r="AF44" i="52"/>
  <c r="X44" i="52"/>
  <c r="AD44" i="52" s="1"/>
  <c r="W44" i="52"/>
  <c r="AC44" i="52" s="1"/>
  <c r="V44" i="52"/>
  <c r="AB44" i="52" s="1"/>
  <c r="AG43" i="52"/>
  <c r="AF43" i="52"/>
  <c r="X43" i="52"/>
  <c r="AD43" i="52" s="1"/>
  <c r="W43" i="52"/>
  <c r="AC43" i="52" s="1"/>
  <c r="V43" i="52"/>
  <c r="AB43" i="52" s="1"/>
  <c r="AG42" i="52"/>
  <c r="AF42" i="52"/>
  <c r="X42" i="52"/>
  <c r="AD42" i="52" s="1"/>
  <c r="W42" i="52"/>
  <c r="AC42" i="52" s="1"/>
  <c r="V42" i="52"/>
  <c r="AB42" i="52" s="1"/>
  <c r="AG41" i="52"/>
  <c r="AF41" i="52"/>
  <c r="X41" i="52"/>
  <c r="AD41" i="52" s="1"/>
  <c r="W41" i="52"/>
  <c r="AC41" i="52" s="1"/>
  <c r="V41" i="52"/>
  <c r="AB41" i="52" s="1"/>
  <c r="AG40" i="52"/>
  <c r="AF40" i="52"/>
  <c r="X40" i="52"/>
  <c r="AD40" i="52" s="1"/>
  <c r="W40" i="52"/>
  <c r="AC40" i="52" s="1"/>
  <c r="V40" i="52"/>
  <c r="AB40" i="52" s="1"/>
  <c r="AG39" i="52"/>
  <c r="AF39" i="52"/>
  <c r="X39" i="52"/>
  <c r="AD39" i="52" s="1"/>
  <c r="W39" i="52"/>
  <c r="AC39" i="52" s="1"/>
  <c r="V39" i="52"/>
  <c r="AB39" i="52" s="1"/>
  <c r="AG38" i="52"/>
  <c r="AF38" i="52"/>
  <c r="X38" i="52"/>
  <c r="AD38" i="52" s="1"/>
  <c r="W38" i="52"/>
  <c r="AC38" i="52" s="1"/>
  <c r="V38" i="52"/>
  <c r="AB38" i="52" s="1"/>
  <c r="AG37" i="52"/>
  <c r="AF37" i="52"/>
  <c r="X37" i="52"/>
  <c r="AD37" i="52" s="1"/>
  <c r="W37" i="52"/>
  <c r="AC37" i="52" s="1"/>
  <c r="V37" i="52"/>
  <c r="AB37" i="52" s="1"/>
  <c r="AG36" i="52"/>
  <c r="AF36" i="52"/>
  <c r="X36" i="52"/>
  <c r="AD36" i="52" s="1"/>
  <c r="W36" i="52"/>
  <c r="AC36" i="52" s="1"/>
  <c r="V36" i="52"/>
  <c r="AB36" i="52" s="1"/>
  <c r="AG35" i="52"/>
  <c r="AF35" i="52"/>
  <c r="X35" i="52"/>
  <c r="AD35" i="52" s="1"/>
  <c r="W35" i="52"/>
  <c r="AC35" i="52" s="1"/>
  <c r="V35" i="52"/>
  <c r="AB35" i="52" s="1"/>
  <c r="AG34" i="52"/>
  <c r="AF34" i="52"/>
  <c r="X34" i="52"/>
  <c r="AD34" i="52" s="1"/>
  <c r="W34" i="52"/>
  <c r="AC34" i="52" s="1"/>
  <c r="V34" i="52"/>
  <c r="AB34" i="52" s="1"/>
  <c r="AG33" i="52"/>
  <c r="AF33" i="52"/>
  <c r="X33" i="52"/>
  <c r="AD33" i="52" s="1"/>
  <c r="W33" i="52"/>
  <c r="AC33" i="52" s="1"/>
  <c r="V33" i="52"/>
  <c r="AB33" i="52" s="1"/>
  <c r="AG32" i="52"/>
  <c r="AF32" i="52"/>
  <c r="X32" i="52"/>
  <c r="AD32" i="52" s="1"/>
  <c r="W32" i="52"/>
  <c r="AC32" i="52" s="1"/>
  <c r="V32" i="52"/>
  <c r="AB32" i="52" s="1"/>
  <c r="AG31" i="52"/>
  <c r="AF31" i="52"/>
  <c r="X31" i="52"/>
  <c r="AD31" i="52" s="1"/>
  <c r="W31" i="52"/>
  <c r="AC31" i="52" s="1"/>
  <c r="V31" i="52"/>
  <c r="AB31" i="52" s="1"/>
  <c r="AG30" i="52"/>
  <c r="AF30" i="52"/>
  <c r="X30" i="52"/>
  <c r="AD30" i="52" s="1"/>
  <c r="W30" i="52"/>
  <c r="AC30" i="52" s="1"/>
  <c r="V30" i="52"/>
  <c r="AB30" i="52" s="1"/>
  <c r="AG29" i="52"/>
  <c r="AF29" i="52"/>
  <c r="X29" i="52"/>
  <c r="AD29" i="52" s="1"/>
  <c r="W29" i="52"/>
  <c r="AC29" i="52" s="1"/>
  <c r="V29" i="52"/>
  <c r="AB29" i="52" s="1"/>
  <c r="AG28" i="52"/>
  <c r="AF28" i="52"/>
  <c r="X28" i="52"/>
  <c r="AD28" i="52" s="1"/>
  <c r="W28" i="52"/>
  <c r="AC28" i="52" s="1"/>
  <c r="V28" i="52"/>
  <c r="AB28" i="52" s="1"/>
  <c r="AG27" i="52"/>
  <c r="AF27" i="52"/>
  <c r="AD27" i="52"/>
  <c r="X27" i="52"/>
  <c r="W27" i="52"/>
  <c r="AC27" i="52" s="1"/>
  <c r="V27" i="52"/>
  <c r="AB27" i="52" s="1"/>
  <c r="AG26" i="52"/>
  <c r="AF26" i="52"/>
  <c r="X26" i="52"/>
  <c r="AD26" i="52" s="1"/>
  <c r="W26" i="52"/>
  <c r="AC26" i="52" s="1"/>
  <c r="V26" i="52"/>
  <c r="AB26" i="52" s="1"/>
  <c r="AD25" i="52"/>
  <c r="X25" i="52"/>
  <c r="W25" i="52"/>
  <c r="AC25" i="52" s="1"/>
  <c r="V25" i="52"/>
  <c r="AB25" i="52" s="1"/>
  <c r="X24" i="52"/>
  <c r="AD24" i="52" s="1"/>
  <c r="W24" i="52"/>
  <c r="AC24" i="52" s="1"/>
  <c r="V24" i="52"/>
  <c r="AB24" i="52" s="1"/>
  <c r="X23" i="52"/>
  <c r="AD23" i="52" s="1"/>
  <c r="W23" i="52"/>
  <c r="AC23" i="52" s="1"/>
  <c r="V23" i="52"/>
  <c r="AB23" i="52" s="1"/>
  <c r="X22" i="52"/>
  <c r="AD22" i="52" s="1"/>
  <c r="W22" i="52"/>
  <c r="AC22" i="52" s="1"/>
  <c r="V22" i="52"/>
  <c r="AB22" i="52" s="1"/>
  <c r="AB21" i="52"/>
  <c r="X21" i="52"/>
  <c r="AD21" i="52" s="1"/>
  <c r="W21" i="52"/>
  <c r="AC21" i="52" s="1"/>
  <c r="V21" i="52"/>
  <c r="X20" i="52"/>
  <c r="AD20" i="52" s="1"/>
  <c r="W20" i="52"/>
  <c r="AC20" i="52" s="1"/>
  <c r="V20" i="52"/>
  <c r="AB20" i="52" s="1"/>
  <c r="X19" i="52"/>
  <c r="AD19" i="52" s="1"/>
  <c r="W19" i="52"/>
  <c r="AC19" i="52" s="1"/>
  <c r="V19" i="52"/>
  <c r="AB19" i="52" s="1"/>
  <c r="X18" i="52"/>
  <c r="AD18" i="52" s="1"/>
  <c r="W18" i="52"/>
  <c r="AC18" i="52" s="1"/>
  <c r="V18" i="52"/>
  <c r="AB18" i="52" s="1"/>
  <c r="X17" i="52"/>
  <c r="AD17" i="52" s="1"/>
  <c r="W17" i="52"/>
  <c r="AC17" i="52" s="1"/>
  <c r="V17" i="52"/>
  <c r="AB17" i="52" s="1"/>
  <c r="X16" i="52"/>
  <c r="AD16" i="52" s="1"/>
  <c r="W16" i="52"/>
  <c r="AC16" i="52" s="1"/>
  <c r="V16" i="52"/>
  <c r="AB16" i="52" s="1"/>
  <c r="X15" i="52"/>
  <c r="AD15" i="52" s="1"/>
  <c r="W15" i="52"/>
  <c r="AC15" i="52" s="1"/>
  <c r="V15" i="52"/>
  <c r="AB15" i="52" s="1"/>
  <c r="X14" i="52"/>
  <c r="AD14" i="52" s="1"/>
  <c r="W14" i="52"/>
  <c r="AC14" i="52" s="1"/>
  <c r="V14" i="52"/>
  <c r="AB14" i="52" s="1"/>
  <c r="X13" i="52"/>
  <c r="AD13" i="52" s="1"/>
  <c r="W13" i="52"/>
  <c r="AC13" i="52" s="1"/>
  <c r="V13" i="52"/>
  <c r="AB13" i="52" s="1"/>
  <c r="X12" i="52"/>
  <c r="AD12" i="52" s="1"/>
  <c r="W12" i="52"/>
  <c r="AC12" i="52" s="1"/>
  <c r="V12" i="52"/>
  <c r="AB12" i="52" s="1"/>
  <c r="AB11" i="52"/>
  <c r="X11" i="52"/>
  <c r="AD11" i="52" s="1"/>
  <c r="W11" i="52"/>
  <c r="AC11" i="52" s="1"/>
  <c r="V11" i="52"/>
  <c r="X10" i="52"/>
  <c r="AD10" i="52" s="1"/>
  <c r="W10" i="52"/>
  <c r="AC10" i="52" s="1"/>
  <c r="V10" i="52"/>
  <c r="AB10" i="52" s="1"/>
  <c r="X9" i="52"/>
  <c r="AD9" i="52" s="1"/>
  <c r="W9" i="52"/>
  <c r="AC9" i="52" s="1"/>
  <c r="V9" i="52"/>
  <c r="AB9" i="52" s="1"/>
  <c r="X8" i="52"/>
  <c r="AD8" i="52" s="1"/>
  <c r="W8" i="52"/>
  <c r="AC8" i="52" s="1"/>
  <c r="V8" i="52"/>
  <c r="AB8" i="52" s="1"/>
  <c r="X7" i="52"/>
  <c r="AD7" i="52" s="1"/>
  <c r="W7" i="52"/>
  <c r="AC7" i="52" s="1"/>
  <c r="V7" i="52"/>
  <c r="AB7" i="52" s="1"/>
  <c r="X6" i="52"/>
  <c r="AD6" i="52" s="1"/>
  <c r="W6" i="52"/>
  <c r="AC6" i="52" s="1"/>
  <c r="V6" i="52"/>
  <c r="AB6" i="52" s="1"/>
  <c r="AO5" i="52"/>
  <c r="X5" i="52"/>
  <c r="AD5" i="52" s="1"/>
  <c r="W5" i="52"/>
  <c r="AC5" i="52" s="1"/>
  <c r="V5" i="52"/>
  <c r="AB5" i="52" s="1"/>
  <c r="X4" i="52"/>
  <c r="AD4" i="52" s="1"/>
  <c r="W4" i="52"/>
  <c r="AC4" i="52" s="1"/>
  <c r="V4" i="52"/>
  <c r="AB4" i="52" s="1"/>
  <c r="X3" i="52"/>
  <c r="AD3" i="52" s="1"/>
  <c r="W3" i="52"/>
  <c r="AC3" i="52" s="1"/>
  <c r="V3" i="52"/>
  <c r="AB3" i="52" s="1"/>
  <c r="X2" i="52"/>
  <c r="AD2" i="52" s="1"/>
  <c r="W2" i="52"/>
  <c r="AC2" i="52" s="1"/>
  <c r="V2" i="52"/>
  <c r="AB2" i="52" s="1"/>
  <c r="AG43" i="51"/>
  <c r="AF43" i="51"/>
  <c r="AG42" i="51"/>
  <c r="AF42" i="51"/>
  <c r="AE42" i="51"/>
  <c r="AE43" i="51" s="1"/>
  <c r="AD42" i="51"/>
  <c r="AD43" i="51" s="1"/>
  <c r="AC42" i="51"/>
  <c r="AC43" i="51" s="1"/>
  <c r="AG41" i="51"/>
  <c r="AF41" i="51"/>
  <c r="AE41" i="51"/>
  <c r="AD41" i="51"/>
  <c r="AG40" i="51"/>
  <c r="AF40" i="51"/>
  <c r="AE40" i="51"/>
  <c r="AD40" i="51"/>
  <c r="AG37" i="51"/>
  <c r="AG38" i="51" s="1"/>
  <c r="AG39" i="51" s="1"/>
  <c r="AF37" i="51"/>
  <c r="AF38" i="51" s="1"/>
  <c r="AF39" i="51" s="1"/>
  <c r="AE37" i="51"/>
  <c r="AE38" i="51" s="1"/>
  <c r="AE39" i="51" s="1"/>
  <c r="AD37" i="51"/>
  <c r="AD38" i="51" s="1"/>
  <c r="AD39" i="51" s="1"/>
  <c r="AC37" i="51"/>
  <c r="AC38" i="51" s="1"/>
  <c r="AC39" i="51" s="1"/>
  <c r="AC40" i="51" s="1"/>
  <c r="AC41" i="51" s="1"/>
  <c r="AG36" i="51"/>
  <c r="AF36" i="51"/>
  <c r="AG35" i="51"/>
  <c r="AF35" i="51"/>
  <c r="AG34" i="51"/>
  <c r="AF34" i="51"/>
  <c r="AE34" i="51"/>
  <c r="AE35" i="51" s="1"/>
  <c r="AE36" i="51" s="1"/>
  <c r="AD34" i="51"/>
  <c r="AD35" i="51" s="1"/>
  <c r="AD36" i="51" s="1"/>
  <c r="AG33" i="51"/>
  <c r="AF33" i="51"/>
  <c r="AE33" i="51"/>
  <c r="AD33" i="51"/>
  <c r="AG30" i="51"/>
  <c r="AG31" i="51" s="1"/>
  <c r="AG32" i="51" s="1"/>
  <c r="AF30" i="51"/>
  <c r="AF31" i="51" s="1"/>
  <c r="AF32" i="51" s="1"/>
  <c r="AE30" i="51"/>
  <c r="AE31" i="51" s="1"/>
  <c r="AE32" i="51" s="1"/>
  <c r="AD30" i="51"/>
  <c r="AD31" i="51" s="1"/>
  <c r="AD32" i="51" s="1"/>
  <c r="AG29" i="51"/>
  <c r="AF29" i="51"/>
  <c r="AE29" i="51"/>
  <c r="AD29" i="51"/>
  <c r="AG26" i="51"/>
  <c r="AG27" i="51" s="1"/>
  <c r="AG28" i="51" s="1"/>
  <c r="AF26" i="51"/>
  <c r="AF27" i="51" s="1"/>
  <c r="AF28" i="51" s="1"/>
  <c r="AE26" i="51"/>
  <c r="AE27" i="51" s="1"/>
  <c r="AE28" i="51" s="1"/>
  <c r="AD26" i="51"/>
  <c r="AD27" i="51" s="1"/>
  <c r="AD28" i="51" s="1"/>
  <c r="AG25" i="51"/>
  <c r="AF25" i="51"/>
  <c r="AE25" i="51"/>
  <c r="AD25" i="51"/>
  <c r="AG22" i="51"/>
  <c r="AG23" i="51" s="1"/>
  <c r="AG24" i="51" s="1"/>
  <c r="AF22" i="51"/>
  <c r="AF23" i="51" s="1"/>
  <c r="AF24" i="51" s="1"/>
  <c r="AE22" i="51"/>
  <c r="AE23" i="51" s="1"/>
  <c r="AE24" i="51" s="1"/>
  <c r="AD22" i="51"/>
  <c r="AD23" i="51" s="1"/>
  <c r="AD24" i="51" s="1"/>
  <c r="AC22" i="51"/>
  <c r="AC23" i="51" s="1"/>
  <c r="AC24" i="51" s="1"/>
  <c r="AC25" i="51" s="1"/>
  <c r="AC26" i="51" s="1"/>
  <c r="AC27" i="51" s="1"/>
  <c r="AC28" i="51" s="1"/>
  <c r="AC29" i="51" s="1"/>
  <c r="AC30" i="51" s="1"/>
  <c r="AC31" i="51" s="1"/>
  <c r="AC32" i="51" s="1"/>
  <c r="AC33" i="51" s="1"/>
  <c r="AC34" i="51" s="1"/>
  <c r="AC35" i="51" s="1"/>
  <c r="AC36" i="51" s="1"/>
  <c r="AG21" i="51"/>
  <c r="AF21" i="51"/>
  <c r="AG20" i="51"/>
  <c r="AF20" i="51"/>
  <c r="AG19" i="51"/>
  <c r="AF19" i="51"/>
  <c r="AG18" i="51"/>
  <c r="AF18" i="51"/>
  <c r="AG17" i="51"/>
  <c r="AF17" i="51"/>
  <c r="AE17" i="51"/>
  <c r="AE18" i="51" s="1"/>
  <c r="AE19" i="51" s="1"/>
  <c r="AE20" i="51" s="1"/>
  <c r="AE21" i="51" s="1"/>
  <c r="AD17" i="51"/>
  <c r="AD18" i="51" s="1"/>
  <c r="AD19" i="51" s="1"/>
  <c r="AD20" i="51" s="1"/>
  <c r="AD21" i="51" s="1"/>
  <c r="AG16" i="51"/>
  <c r="AF16" i="51"/>
  <c r="AG15" i="51"/>
  <c r="AF15" i="51"/>
  <c r="AG14" i="51"/>
  <c r="AF14" i="51"/>
  <c r="AG13" i="51"/>
  <c r="AF13" i="51"/>
  <c r="AG12" i="51"/>
  <c r="AF12" i="51"/>
  <c r="AE12" i="51"/>
  <c r="AE13" i="51" s="1"/>
  <c r="AE14" i="51" s="1"/>
  <c r="AE15" i="51" s="1"/>
  <c r="AE16" i="51" s="1"/>
  <c r="AD12" i="51"/>
  <c r="AD13" i="51" s="1"/>
  <c r="AD14" i="51" s="1"/>
  <c r="AD15" i="51" s="1"/>
  <c r="AD16" i="51" s="1"/>
  <c r="AG9" i="51"/>
  <c r="AG10" i="51" s="1"/>
  <c r="AG11" i="51" s="1"/>
  <c r="AF9" i="51"/>
  <c r="AF10" i="51" s="1"/>
  <c r="AF11" i="51" s="1"/>
  <c r="AE9" i="51"/>
  <c r="AE10" i="51" s="1"/>
  <c r="AE11" i="51" s="1"/>
  <c r="AD9" i="51"/>
  <c r="AD10" i="51" s="1"/>
  <c r="AD11" i="51" s="1"/>
  <c r="AC9" i="51"/>
  <c r="AC10" i="51" s="1"/>
  <c r="AC11" i="51" s="1"/>
  <c r="AC12" i="51" s="1"/>
  <c r="AC13" i="51" s="1"/>
  <c r="AC14" i="51" s="1"/>
  <c r="AC15" i="51" s="1"/>
  <c r="AC16" i="51" s="1"/>
  <c r="AC17" i="51" s="1"/>
  <c r="AC18" i="51" s="1"/>
  <c r="AC19" i="51" s="1"/>
  <c r="AC20" i="51" s="1"/>
  <c r="AC21" i="51" s="1"/>
  <c r="AG8" i="51"/>
  <c r="AF8" i="51"/>
  <c r="AE8" i="51"/>
  <c r="AD8" i="51"/>
  <c r="AG7" i="51"/>
  <c r="AF7" i="51"/>
  <c r="AE7" i="51"/>
  <c r="AD7" i="51"/>
  <c r="AG5" i="51"/>
  <c r="AG6" i="51" s="1"/>
  <c r="AF5" i="51"/>
  <c r="AF6" i="51" s="1"/>
  <c r="AE5" i="51"/>
  <c r="AE6" i="51" s="1"/>
  <c r="AD5" i="51"/>
  <c r="AD6" i="51" s="1"/>
  <c r="AC5" i="51"/>
  <c r="AC6" i="51" s="1"/>
  <c r="X48" i="51"/>
  <c r="V48" i="51"/>
  <c r="T48" i="51"/>
  <c r="P48" i="51"/>
  <c r="O48" i="51"/>
  <c r="N48" i="51"/>
  <c r="M48" i="51"/>
  <c r="V47" i="51"/>
  <c r="U47" i="51"/>
  <c r="T47" i="51"/>
  <c r="P47" i="51"/>
  <c r="O47" i="51"/>
  <c r="N47" i="51"/>
  <c r="M47" i="51"/>
  <c r="X46" i="51"/>
  <c r="V46" i="51"/>
  <c r="V50" i="51" s="1"/>
  <c r="U46" i="51"/>
  <c r="U50" i="51" s="1"/>
  <c r="T46" i="51"/>
  <c r="T50" i="51" s="1"/>
  <c r="P46" i="51"/>
  <c r="P50" i="51" s="1"/>
  <c r="O46" i="51"/>
  <c r="N46" i="51"/>
  <c r="N50" i="51" s="1"/>
  <c r="M46" i="51"/>
  <c r="M50" i="51" s="1"/>
  <c r="Y8" i="51"/>
  <c r="AU51" i="50"/>
  <c r="AT51" i="50"/>
  <c r="AU50" i="50"/>
  <c r="AT50" i="50"/>
  <c r="AS50" i="50"/>
  <c r="AS51" i="50" s="1"/>
  <c r="AR50" i="50"/>
  <c r="AQ50" i="50"/>
  <c r="AQ51" i="50" s="1"/>
  <c r="AU49" i="50"/>
  <c r="AT49" i="50"/>
  <c r="AS49" i="50"/>
  <c r="AR49" i="50"/>
  <c r="AV49" i="50" s="1"/>
  <c r="AU48" i="50"/>
  <c r="AT48" i="50"/>
  <c r="AS48" i="50"/>
  <c r="AR48" i="50"/>
  <c r="AV48" i="50" s="1"/>
  <c r="AU45" i="50"/>
  <c r="AU46" i="50" s="1"/>
  <c r="AU47" i="50" s="1"/>
  <c r="AT45" i="50"/>
  <c r="AT46" i="50" s="1"/>
  <c r="AT47" i="50" s="1"/>
  <c r="AS45" i="50"/>
  <c r="AS46" i="50" s="1"/>
  <c r="AS47" i="50" s="1"/>
  <c r="AR45" i="50"/>
  <c r="AR46" i="50" s="1"/>
  <c r="AV46" i="50" s="1"/>
  <c r="AQ45" i="50"/>
  <c r="AQ46" i="50" s="1"/>
  <c r="AQ47" i="50" s="1"/>
  <c r="AQ48" i="50" s="1"/>
  <c r="AQ49" i="50" s="1"/>
  <c r="AU44" i="50"/>
  <c r="AT44" i="50"/>
  <c r="AU43" i="50"/>
  <c r="AT43" i="50"/>
  <c r="AU42" i="50"/>
  <c r="AT42" i="50"/>
  <c r="AS42" i="50"/>
  <c r="AS43" i="50" s="1"/>
  <c r="AS44" i="50" s="1"/>
  <c r="AR42" i="50"/>
  <c r="AV42" i="50" s="1"/>
  <c r="AU41" i="50"/>
  <c r="AT41" i="50"/>
  <c r="AS41" i="50"/>
  <c r="AR41" i="50"/>
  <c r="AV41" i="50" s="1"/>
  <c r="AT39" i="50"/>
  <c r="AT40" i="50" s="1"/>
  <c r="AU38" i="50"/>
  <c r="AU39" i="50" s="1"/>
  <c r="AU40" i="50" s="1"/>
  <c r="AT38" i="50"/>
  <c r="AS38" i="50"/>
  <c r="AS39" i="50" s="1"/>
  <c r="AS40" i="50" s="1"/>
  <c r="AR38" i="50"/>
  <c r="AV38" i="50" s="1"/>
  <c r="AU37" i="50"/>
  <c r="AT37" i="50"/>
  <c r="AS37" i="50"/>
  <c r="AR37" i="50"/>
  <c r="AV37" i="50" s="1"/>
  <c r="AU34" i="50"/>
  <c r="AU35" i="50" s="1"/>
  <c r="AU36" i="50" s="1"/>
  <c r="AT34" i="50"/>
  <c r="AT35" i="50" s="1"/>
  <c r="AT36" i="50" s="1"/>
  <c r="AS34" i="50"/>
  <c r="AS35" i="50" s="1"/>
  <c r="AS36" i="50" s="1"/>
  <c r="AR34" i="50"/>
  <c r="AR35" i="50" s="1"/>
  <c r="AU33" i="50"/>
  <c r="AT33" i="50"/>
  <c r="AS33" i="50"/>
  <c r="AR33" i="50"/>
  <c r="AV33" i="50" s="1"/>
  <c r="AU30" i="50"/>
  <c r="AU31" i="50" s="1"/>
  <c r="AU32" i="50" s="1"/>
  <c r="AT30" i="50"/>
  <c r="AT31" i="50" s="1"/>
  <c r="AT32" i="50" s="1"/>
  <c r="AS30" i="50"/>
  <c r="AS31" i="50" s="1"/>
  <c r="AS32" i="50" s="1"/>
  <c r="AR30" i="50"/>
  <c r="AV30" i="50" s="1"/>
  <c r="AQ30" i="50"/>
  <c r="AQ31" i="50" s="1"/>
  <c r="AQ32" i="50" s="1"/>
  <c r="AQ33" i="50" s="1"/>
  <c r="AQ34" i="50" s="1"/>
  <c r="AQ35" i="50" s="1"/>
  <c r="AQ36" i="50" s="1"/>
  <c r="AQ37" i="50" s="1"/>
  <c r="AQ38" i="50" s="1"/>
  <c r="AQ39" i="50" s="1"/>
  <c r="AQ40" i="50" s="1"/>
  <c r="AQ41" i="50" s="1"/>
  <c r="AQ42" i="50" s="1"/>
  <c r="AQ43" i="50" s="1"/>
  <c r="AQ44" i="50" s="1"/>
  <c r="AU29" i="50"/>
  <c r="AT29" i="50"/>
  <c r="AU28" i="50"/>
  <c r="AT28" i="50"/>
  <c r="AU27" i="50"/>
  <c r="AT27" i="50"/>
  <c r="AU26" i="50"/>
  <c r="AT26" i="50"/>
  <c r="AU25" i="50"/>
  <c r="AT25" i="50"/>
  <c r="AS25" i="50"/>
  <c r="AS26" i="50" s="1"/>
  <c r="AS27" i="50" s="1"/>
  <c r="AS28" i="50" s="1"/>
  <c r="AS29" i="50" s="1"/>
  <c r="AR25" i="50"/>
  <c r="AV25" i="50" s="1"/>
  <c r="AU24" i="50"/>
  <c r="AT24" i="50"/>
  <c r="AU23" i="50"/>
  <c r="AT23" i="50"/>
  <c r="AU22" i="50"/>
  <c r="AT22" i="50"/>
  <c r="AU21" i="50"/>
  <c r="AT21" i="50"/>
  <c r="AU20" i="50"/>
  <c r="AT20" i="50"/>
  <c r="AS20" i="50"/>
  <c r="AS21" i="50" s="1"/>
  <c r="AS22" i="50" s="1"/>
  <c r="AS23" i="50" s="1"/>
  <c r="AS24" i="50" s="1"/>
  <c r="AR20" i="50"/>
  <c r="AV20" i="50" s="1"/>
  <c r="AU17" i="50"/>
  <c r="AU18" i="50" s="1"/>
  <c r="AU19" i="50" s="1"/>
  <c r="AT17" i="50"/>
  <c r="AT18" i="50" s="1"/>
  <c r="AT19" i="50" s="1"/>
  <c r="AS17" i="50"/>
  <c r="AS18" i="50" s="1"/>
  <c r="AS19" i="50" s="1"/>
  <c r="AR17" i="50"/>
  <c r="AV17" i="50" s="1"/>
  <c r="AQ17" i="50"/>
  <c r="AQ18" i="50" s="1"/>
  <c r="AQ19" i="50" s="1"/>
  <c r="AQ20" i="50" s="1"/>
  <c r="AQ21" i="50" s="1"/>
  <c r="AQ22" i="50" s="1"/>
  <c r="AQ23" i="50" s="1"/>
  <c r="AQ24" i="50" s="1"/>
  <c r="AQ25" i="50" s="1"/>
  <c r="AQ26" i="50" s="1"/>
  <c r="AQ27" i="50" s="1"/>
  <c r="AQ28" i="50" s="1"/>
  <c r="AQ29" i="50" s="1"/>
  <c r="AU16" i="50"/>
  <c r="AU15" i="50"/>
  <c r="AT15" i="50"/>
  <c r="AT16" i="50" s="1"/>
  <c r="AS15" i="50"/>
  <c r="AS16" i="50" s="1"/>
  <c r="AR15" i="50"/>
  <c r="AV15" i="50" s="1"/>
  <c r="AQ15" i="50"/>
  <c r="AQ16" i="50" s="1"/>
  <c r="AU13" i="50"/>
  <c r="AU14" i="50" s="1"/>
  <c r="AU10" i="50"/>
  <c r="AU11" i="50" s="1"/>
  <c r="AU12" i="50" s="1"/>
  <c r="AT10" i="50"/>
  <c r="AT11" i="50" s="1"/>
  <c r="AT12" i="50" s="1"/>
  <c r="AT13" i="50" s="1"/>
  <c r="AT14" i="50" s="1"/>
  <c r="AS10" i="50"/>
  <c r="AS11" i="50" s="1"/>
  <c r="AS12" i="50" s="1"/>
  <c r="AS13" i="50" s="1"/>
  <c r="AS14" i="50" s="1"/>
  <c r="AR10" i="50"/>
  <c r="AV10" i="50" s="1"/>
  <c r="AU9" i="50"/>
  <c r="AT9" i="50"/>
  <c r="AS9" i="50"/>
  <c r="AR9" i="50"/>
  <c r="AV9" i="50" s="1"/>
  <c r="AU8" i="50"/>
  <c r="AU6" i="50"/>
  <c r="AU7" i="50" s="1"/>
  <c r="AU5" i="50"/>
  <c r="AT5" i="50"/>
  <c r="AT6" i="50" s="1"/>
  <c r="AT7" i="50" s="1"/>
  <c r="AT8" i="50" s="1"/>
  <c r="AS5" i="50"/>
  <c r="AS6" i="50" s="1"/>
  <c r="AS7" i="50" s="1"/>
  <c r="AS8" i="50" s="1"/>
  <c r="AR5" i="50"/>
  <c r="AV5" i="50" s="1"/>
  <c r="AQ5" i="50"/>
  <c r="AQ6" i="50" s="1"/>
  <c r="AL57" i="50"/>
  <c r="AG57" i="50"/>
  <c r="AD57" i="50"/>
  <c r="AB57" i="50"/>
  <c r="T57" i="50"/>
  <c r="AK56" i="50"/>
  <c r="AF56" i="50"/>
  <c r="AE56" i="50"/>
  <c r="AC56" i="50"/>
  <c r="Y56" i="50"/>
  <c r="X56" i="50"/>
  <c r="W56" i="50"/>
  <c r="S56" i="50"/>
  <c r="R56" i="50"/>
  <c r="Q56" i="50"/>
  <c r="P56" i="50"/>
  <c r="O56" i="50"/>
  <c r="M56" i="50"/>
  <c r="L56" i="50"/>
  <c r="AK55" i="50"/>
  <c r="AF55" i="50"/>
  <c r="AP54" i="50" s="1"/>
  <c r="AC55" i="50"/>
  <c r="AA55" i="50"/>
  <c r="Z55" i="50"/>
  <c r="Y55" i="50"/>
  <c r="X55" i="50"/>
  <c r="W55" i="50"/>
  <c r="V55" i="50"/>
  <c r="U55" i="50"/>
  <c r="S55" i="50"/>
  <c r="R55" i="50"/>
  <c r="Q55" i="50"/>
  <c r="P55" i="50"/>
  <c r="O55" i="50"/>
  <c r="M55" i="50"/>
  <c r="L55" i="50"/>
  <c r="F14" i="49"/>
  <c r="J14" i="49" s="1"/>
  <c r="F13" i="49"/>
  <c r="J13" i="49" s="1"/>
  <c r="F12" i="49"/>
  <c r="J12" i="49" s="1"/>
  <c r="F11" i="49"/>
  <c r="J11" i="49" s="1"/>
  <c r="F10" i="49"/>
  <c r="J10" i="49" s="1"/>
  <c r="F9" i="49"/>
  <c r="J9" i="49" s="1"/>
  <c r="F8" i="49"/>
  <c r="F7" i="49"/>
  <c r="J7" i="49" s="1"/>
  <c r="F6" i="49"/>
  <c r="J6" i="49" s="1"/>
  <c r="F5" i="49"/>
  <c r="J5" i="49" s="1"/>
  <c r="X617" i="44"/>
  <c r="W617" i="44"/>
  <c r="X616" i="44"/>
  <c r="W616" i="44"/>
  <c r="AC616" i="44" s="1"/>
  <c r="X615" i="44"/>
  <c r="W615" i="44"/>
  <c r="X614" i="44"/>
  <c r="W614" i="44"/>
  <c r="AC614" i="44" s="1"/>
  <c r="X613" i="44"/>
  <c r="W613" i="44"/>
  <c r="X612" i="44"/>
  <c r="W612" i="44"/>
  <c r="AC612" i="44" s="1"/>
  <c r="X611" i="44"/>
  <c r="W611" i="44"/>
  <c r="X610" i="44"/>
  <c r="W610" i="44"/>
  <c r="AC610" i="44" s="1"/>
  <c r="X609" i="44"/>
  <c r="W609" i="44"/>
  <c r="X608" i="44"/>
  <c r="W608" i="44"/>
  <c r="X607" i="44"/>
  <c r="W607" i="44"/>
  <c r="X606" i="44"/>
  <c r="W606" i="44"/>
  <c r="X349" i="44"/>
  <c r="W349" i="44"/>
  <c r="X348" i="44"/>
  <c r="W348" i="44"/>
  <c r="X347" i="44"/>
  <c r="W347" i="44"/>
  <c r="X346" i="44"/>
  <c r="W346" i="44"/>
  <c r="AC346" i="44" s="1"/>
  <c r="X345" i="44"/>
  <c r="W345" i="44"/>
  <c r="X344" i="44"/>
  <c r="W344" i="44"/>
  <c r="X343" i="44"/>
  <c r="W343" i="44"/>
  <c r="X342" i="44"/>
  <c r="W342" i="44"/>
  <c r="AC342" i="44" s="1"/>
  <c r="X341" i="44"/>
  <c r="W341" i="44"/>
  <c r="X340" i="44"/>
  <c r="W340" i="44"/>
  <c r="X339" i="44"/>
  <c r="W339" i="44"/>
  <c r="X338" i="44"/>
  <c r="W338" i="44"/>
  <c r="AC338" i="44" s="1"/>
  <c r="V337" i="44"/>
  <c r="V336" i="44"/>
  <c r="V335" i="44"/>
  <c r="V334" i="44"/>
  <c r="AB334" i="44" s="1"/>
  <c r="V333" i="44"/>
  <c r="V332" i="44"/>
  <c r="V331" i="44"/>
  <c r="V330" i="44"/>
  <c r="AB330" i="44" s="1"/>
  <c r="V329" i="44"/>
  <c r="V328" i="44"/>
  <c r="V327" i="44"/>
  <c r="V326" i="44"/>
  <c r="AB326" i="44" s="1"/>
  <c r="X325" i="44"/>
  <c r="W325" i="44"/>
  <c r="X324" i="44"/>
  <c r="W324" i="44"/>
  <c r="X323" i="44"/>
  <c r="W323" i="44"/>
  <c r="X322" i="44"/>
  <c r="W322" i="44"/>
  <c r="AC322" i="44" s="1"/>
  <c r="X321" i="44"/>
  <c r="W321" i="44"/>
  <c r="X320" i="44"/>
  <c r="W320" i="44"/>
  <c r="X319" i="44"/>
  <c r="W319" i="44"/>
  <c r="X318" i="44"/>
  <c r="W318" i="44"/>
  <c r="AC318" i="44" s="1"/>
  <c r="X317" i="44"/>
  <c r="W317" i="44"/>
  <c r="X316" i="44"/>
  <c r="W316" i="44"/>
  <c r="X315" i="44"/>
  <c r="W315" i="44"/>
  <c r="X314" i="44"/>
  <c r="W314" i="44"/>
  <c r="AC314" i="44" s="1"/>
  <c r="X313" i="44"/>
  <c r="W313" i="44"/>
  <c r="X312" i="44"/>
  <c r="W312" i="44"/>
  <c r="X311" i="44"/>
  <c r="W311" i="44"/>
  <c r="X310" i="44"/>
  <c r="W310" i="44"/>
  <c r="AC310" i="44" s="1"/>
  <c r="X309" i="44"/>
  <c r="W309" i="44"/>
  <c r="X308" i="44"/>
  <c r="W308" i="44"/>
  <c r="X307" i="44"/>
  <c r="W307" i="44"/>
  <c r="X306" i="44"/>
  <c r="W306" i="44"/>
  <c r="AC306" i="44" s="1"/>
  <c r="X305" i="44"/>
  <c r="W305" i="44"/>
  <c r="X304" i="44"/>
  <c r="W304" i="44"/>
  <c r="X303" i="44"/>
  <c r="W303" i="44"/>
  <c r="X302" i="44"/>
  <c r="W302" i="44"/>
  <c r="AC302" i="44" s="1"/>
  <c r="V301" i="44"/>
  <c r="V300" i="44"/>
  <c r="V299" i="44"/>
  <c r="V298" i="44"/>
  <c r="AB298" i="44" s="1"/>
  <c r="V297" i="44"/>
  <c r="V296" i="44"/>
  <c r="V295" i="44"/>
  <c r="V294" i="44"/>
  <c r="AB294" i="44" s="1"/>
  <c r="V293" i="44"/>
  <c r="V292" i="44"/>
  <c r="AB292" i="44" s="1"/>
  <c r="V291" i="44"/>
  <c r="V290" i="44"/>
  <c r="AB290" i="44" s="1"/>
  <c r="X289" i="44"/>
  <c r="W289" i="44"/>
  <c r="X288" i="44"/>
  <c r="W288" i="44"/>
  <c r="X287" i="44"/>
  <c r="W287" i="44"/>
  <c r="X286" i="44"/>
  <c r="W286" i="44"/>
  <c r="AC286" i="44" s="1"/>
  <c r="X285" i="44"/>
  <c r="W285" i="44"/>
  <c r="AD284" i="45"/>
  <c r="X284" i="45"/>
  <c r="W284" i="45"/>
  <c r="X284" i="44"/>
  <c r="W284" i="44"/>
  <c r="AD283" i="45"/>
  <c r="X283" i="45"/>
  <c r="W283" i="45"/>
  <c r="X283" i="44"/>
  <c r="W283" i="44"/>
  <c r="AC283" i="44" s="1"/>
  <c r="AD282" i="45"/>
  <c r="X282" i="45"/>
  <c r="W282" i="45"/>
  <c r="X282" i="44"/>
  <c r="W282" i="44"/>
  <c r="AD281" i="45"/>
  <c r="X281" i="45"/>
  <c r="W281" i="45"/>
  <c r="X281" i="44"/>
  <c r="W281" i="44"/>
  <c r="AD280" i="45"/>
  <c r="X280" i="45"/>
  <c r="W280" i="45"/>
  <c r="X280" i="44"/>
  <c r="W280" i="44"/>
  <c r="AD279" i="45"/>
  <c r="X279" i="45"/>
  <c r="W279" i="45"/>
  <c r="X279" i="44"/>
  <c r="W279" i="44"/>
  <c r="AC279" i="44" s="1"/>
  <c r="AD278" i="45"/>
  <c r="X278" i="45"/>
  <c r="W278" i="45"/>
  <c r="X278" i="44"/>
  <c r="W278" i="44"/>
  <c r="AD277" i="45"/>
  <c r="X277" i="45"/>
  <c r="W277" i="45"/>
  <c r="AD276" i="45"/>
  <c r="X276" i="45"/>
  <c r="W276" i="45"/>
  <c r="AD275" i="45"/>
  <c r="X275" i="45"/>
  <c r="W275" i="45"/>
  <c r="AD274" i="45"/>
  <c r="X274" i="45"/>
  <c r="W274" i="45"/>
  <c r="AD273" i="45"/>
  <c r="X273" i="45"/>
  <c r="W273" i="45"/>
  <c r="AD169" i="45"/>
  <c r="X169" i="45"/>
  <c r="W169" i="45"/>
  <c r="AD168" i="45"/>
  <c r="X168" i="45"/>
  <c r="W168" i="45"/>
  <c r="AD167" i="45"/>
  <c r="X167" i="45"/>
  <c r="W167" i="45"/>
  <c r="AD166" i="45"/>
  <c r="X166" i="45"/>
  <c r="W166" i="45"/>
  <c r="AD165" i="45"/>
  <c r="X165" i="45"/>
  <c r="W165" i="45"/>
  <c r="AD164" i="45"/>
  <c r="X164" i="45"/>
  <c r="W164" i="45"/>
  <c r="AD163" i="45"/>
  <c r="X163" i="45"/>
  <c r="W163" i="45"/>
  <c r="AD162" i="45"/>
  <c r="X162" i="45"/>
  <c r="W162" i="45"/>
  <c r="AD161" i="45"/>
  <c r="X161" i="45"/>
  <c r="W161" i="45"/>
  <c r="AD160" i="45"/>
  <c r="X160" i="45"/>
  <c r="W160" i="45"/>
  <c r="AD159" i="45"/>
  <c r="X159" i="45"/>
  <c r="W159" i="45"/>
  <c r="AD158" i="45"/>
  <c r="X158" i="45"/>
  <c r="W158" i="45"/>
  <c r="AE157" i="45"/>
  <c r="V157" i="45"/>
  <c r="AB157" i="45" s="1"/>
  <c r="AE156" i="45"/>
  <c r="V156" i="45"/>
  <c r="AB156" i="45" s="1"/>
  <c r="AE155" i="45"/>
  <c r="V155" i="45"/>
  <c r="AB155" i="45" s="1"/>
  <c r="AE154" i="45"/>
  <c r="V154" i="45"/>
  <c r="AB154" i="45" s="1"/>
  <c r="AE153" i="45"/>
  <c r="V153" i="45"/>
  <c r="AB153" i="45" s="1"/>
  <c r="AE152" i="45"/>
  <c r="V152" i="45"/>
  <c r="AB152" i="45" s="1"/>
  <c r="AE151" i="45"/>
  <c r="V151" i="45"/>
  <c r="AB151" i="45" s="1"/>
  <c r="AE150" i="45"/>
  <c r="V150" i="45"/>
  <c r="AB150" i="45" s="1"/>
  <c r="AE149" i="45"/>
  <c r="V149" i="45"/>
  <c r="AB149" i="45" s="1"/>
  <c r="AE148" i="45"/>
  <c r="V148" i="45"/>
  <c r="AB148" i="45" s="1"/>
  <c r="AE147" i="45"/>
  <c r="V147" i="45"/>
  <c r="AB147" i="45" s="1"/>
  <c r="AE146" i="45"/>
  <c r="V146" i="45"/>
  <c r="AB146" i="45" s="1"/>
  <c r="AD145" i="45"/>
  <c r="X145" i="45"/>
  <c r="W145" i="45"/>
  <c r="AD144" i="45"/>
  <c r="X144" i="45"/>
  <c r="W144" i="45"/>
  <c r="AD143" i="45"/>
  <c r="X143" i="45"/>
  <c r="W143" i="45"/>
  <c r="AD142" i="45"/>
  <c r="X142" i="45"/>
  <c r="W142" i="45"/>
  <c r="AD141" i="45"/>
  <c r="X141" i="45"/>
  <c r="W141" i="45"/>
  <c r="AD140" i="45"/>
  <c r="X140" i="45"/>
  <c r="W140" i="45"/>
  <c r="AD139" i="45"/>
  <c r="X139" i="45"/>
  <c r="W139" i="45"/>
  <c r="AD138" i="45"/>
  <c r="X138" i="45"/>
  <c r="W138" i="45"/>
  <c r="AD137" i="45"/>
  <c r="X137" i="45"/>
  <c r="W137" i="45"/>
  <c r="AD136" i="45"/>
  <c r="X136" i="45"/>
  <c r="W136" i="45"/>
  <c r="AD135" i="45"/>
  <c r="X135" i="45"/>
  <c r="W135" i="45"/>
  <c r="AD134" i="45"/>
  <c r="X134" i="45"/>
  <c r="W134" i="45"/>
  <c r="AD133" i="45"/>
  <c r="X133" i="45"/>
  <c r="W133" i="45"/>
  <c r="AD132" i="45"/>
  <c r="X132" i="45"/>
  <c r="W132" i="45"/>
  <c r="AD131" i="45"/>
  <c r="X131" i="45"/>
  <c r="W131" i="45"/>
  <c r="AD130" i="45"/>
  <c r="X130" i="45"/>
  <c r="W130" i="45"/>
  <c r="AD129" i="45"/>
  <c r="X129" i="45"/>
  <c r="W129" i="45"/>
  <c r="AD128" i="45"/>
  <c r="X128" i="45"/>
  <c r="W128" i="45"/>
  <c r="AD127" i="45"/>
  <c r="X127" i="45"/>
  <c r="W127" i="45"/>
  <c r="AD126" i="45"/>
  <c r="X126" i="45"/>
  <c r="W126" i="45"/>
  <c r="AD125" i="45"/>
  <c r="X125" i="45"/>
  <c r="W125" i="45"/>
  <c r="AD124" i="45"/>
  <c r="X124" i="45"/>
  <c r="W124" i="45"/>
  <c r="AD123" i="45"/>
  <c r="X123" i="45"/>
  <c r="W123" i="45"/>
  <c r="AD122" i="45"/>
  <c r="X122" i="45"/>
  <c r="W122" i="45"/>
  <c r="AE121" i="45"/>
  <c r="V121" i="45"/>
  <c r="AB121" i="45" s="1"/>
  <c r="AE120" i="45"/>
  <c r="V120" i="45"/>
  <c r="AB120" i="45" s="1"/>
  <c r="AE119" i="45"/>
  <c r="V119" i="45"/>
  <c r="AB119" i="45" s="1"/>
  <c r="AE118" i="45"/>
  <c r="V118" i="45"/>
  <c r="AB118" i="45" s="1"/>
  <c r="AE117" i="45"/>
  <c r="V117" i="45"/>
  <c r="AB117" i="45" s="1"/>
  <c r="AE116" i="45"/>
  <c r="V116" i="45"/>
  <c r="AB116" i="45" s="1"/>
  <c r="AE115" i="45"/>
  <c r="V115" i="45"/>
  <c r="AB115" i="45" s="1"/>
  <c r="AE114" i="45"/>
  <c r="V114" i="45"/>
  <c r="AB114" i="45" s="1"/>
  <c r="AE113" i="45"/>
  <c r="V113" i="45"/>
  <c r="AB113" i="45" s="1"/>
  <c r="AE112" i="45"/>
  <c r="V112" i="45"/>
  <c r="AB112" i="45" s="1"/>
  <c r="AE111" i="45"/>
  <c r="V111" i="45"/>
  <c r="AB111" i="45" s="1"/>
  <c r="AE110" i="45"/>
  <c r="V110" i="45"/>
  <c r="AB110" i="45" s="1"/>
  <c r="AD109" i="45"/>
  <c r="X109" i="45"/>
  <c r="W109" i="45"/>
  <c r="AD108" i="45"/>
  <c r="X108" i="45"/>
  <c r="W108" i="45"/>
  <c r="AD107" i="45"/>
  <c r="X107" i="45"/>
  <c r="W107" i="45"/>
  <c r="AD106" i="45"/>
  <c r="X106" i="45"/>
  <c r="W106" i="45"/>
  <c r="AD105" i="45"/>
  <c r="X105" i="45"/>
  <c r="W105" i="45"/>
  <c r="AD104" i="45"/>
  <c r="X104" i="45"/>
  <c r="W104" i="45"/>
  <c r="AD103" i="45"/>
  <c r="X103" i="45"/>
  <c r="W103" i="45"/>
  <c r="AD102" i="45"/>
  <c r="X102" i="45"/>
  <c r="W102" i="45"/>
  <c r="AD101" i="45"/>
  <c r="X101" i="45"/>
  <c r="W101" i="45"/>
  <c r="AD100" i="45"/>
  <c r="X100" i="45"/>
  <c r="W100" i="45"/>
  <c r="AD99" i="45"/>
  <c r="X99" i="45"/>
  <c r="W99" i="45"/>
  <c r="AD98" i="45"/>
  <c r="X98" i="45"/>
  <c r="W98" i="45"/>
  <c r="X25" i="45"/>
  <c r="W25" i="45"/>
  <c r="V25" i="45"/>
  <c r="AB25" i="45" s="1"/>
  <c r="X25" i="44"/>
  <c r="W25" i="44"/>
  <c r="V25" i="44"/>
  <c r="X24" i="45"/>
  <c r="W24" i="45"/>
  <c r="V24" i="45"/>
  <c r="AB24" i="45" s="1"/>
  <c r="X24" i="44"/>
  <c r="W24" i="44"/>
  <c r="AC24" i="44" s="1"/>
  <c r="V24" i="44"/>
  <c r="X23" i="45"/>
  <c r="W23" i="45"/>
  <c r="V23" i="45"/>
  <c r="AB23" i="45" s="1"/>
  <c r="X23" i="44"/>
  <c r="W23" i="44"/>
  <c r="V23" i="44"/>
  <c r="AB23" i="44" s="1"/>
  <c r="X22" i="45"/>
  <c r="W22" i="45"/>
  <c r="V22" i="45"/>
  <c r="AB22" i="45" s="1"/>
  <c r="X22" i="44"/>
  <c r="W22" i="44"/>
  <c r="V22" i="44"/>
  <c r="AB22" i="44" s="1"/>
  <c r="X21" i="45"/>
  <c r="W21" i="45"/>
  <c r="V21" i="45"/>
  <c r="AB21" i="45" s="1"/>
  <c r="X21" i="44"/>
  <c r="W21" i="44"/>
  <c r="V21" i="44"/>
  <c r="X20" i="45"/>
  <c r="W20" i="45"/>
  <c r="V20" i="45"/>
  <c r="AB20" i="45" s="1"/>
  <c r="X20" i="44"/>
  <c r="W20" i="44"/>
  <c r="V20" i="44"/>
  <c r="X19" i="45"/>
  <c r="W19" i="45"/>
  <c r="V19" i="45"/>
  <c r="AB19" i="45" s="1"/>
  <c r="X19" i="44"/>
  <c r="W19" i="44"/>
  <c r="V19" i="44"/>
  <c r="AB19" i="44" s="1"/>
  <c r="X18" i="45"/>
  <c r="W18" i="45"/>
  <c r="V18" i="45"/>
  <c r="AB18" i="45" s="1"/>
  <c r="X18" i="44"/>
  <c r="AD18" i="44" s="1"/>
  <c r="W18" i="44"/>
  <c r="V18" i="44"/>
  <c r="X17" i="45"/>
  <c r="W17" i="45"/>
  <c r="V17" i="45"/>
  <c r="AB17" i="45" s="1"/>
  <c r="X17" i="44"/>
  <c r="W17" i="44"/>
  <c r="V17" i="44"/>
  <c r="AB17" i="44" s="1"/>
  <c r="X16" i="45"/>
  <c r="W16" i="45"/>
  <c r="V16" i="45"/>
  <c r="AB16" i="45" s="1"/>
  <c r="X16" i="44"/>
  <c r="W16" i="44"/>
  <c r="AC16" i="44" s="1"/>
  <c r="V16" i="44"/>
  <c r="X15" i="45"/>
  <c r="W15" i="45"/>
  <c r="V15" i="45"/>
  <c r="AB15" i="45" s="1"/>
  <c r="X15" i="44"/>
  <c r="W15" i="44"/>
  <c r="V15" i="44"/>
  <c r="X14" i="45"/>
  <c r="W14" i="45"/>
  <c r="V14" i="45"/>
  <c r="AB14" i="45" s="1"/>
  <c r="X14" i="44"/>
  <c r="W14" i="44"/>
  <c r="V14" i="44"/>
  <c r="X13" i="45"/>
  <c r="W13" i="45"/>
  <c r="V13" i="45"/>
  <c r="AB13" i="45" s="1"/>
  <c r="X13" i="44"/>
  <c r="W13" i="44"/>
  <c r="AC13" i="44" s="1"/>
  <c r="V13" i="44"/>
  <c r="X12" i="45"/>
  <c r="W12" i="45"/>
  <c r="V12" i="45"/>
  <c r="AB12" i="45" s="1"/>
  <c r="X12" i="44"/>
  <c r="AD12" i="44" s="1"/>
  <c r="W12" i="44"/>
  <c r="V12" i="44"/>
  <c r="X11" i="45"/>
  <c r="W11" i="45"/>
  <c r="V11" i="45"/>
  <c r="AB11" i="45" s="1"/>
  <c r="X11" i="44"/>
  <c r="W11" i="44"/>
  <c r="AC11" i="44" s="1"/>
  <c r="V11" i="44"/>
  <c r="AB11" i="44" s="1"/>
  <c r="X10" i="45"/>
  <c r="W10" i="45"/>
  <c r="V10" i="45"/>
  <c r="AB10" i="45" s="1"/>
  <c r="X10" i="44"/>
  <c r="AD10" i="44" s="1"/>
  <c r="W10" i="44"/>
  <c r="V10" i="44"/>
  <c r="X9" i="45"/>
  <c r="W9" i="45"/>
  <c r="V9" i="45"/>
  <c r="AB9" i="45" s="1"/>
  <c r="X9" i="44"/>
  <c r="W9" i="44"/>
  <c r="AC9" i="44" s="1"/>
  <c r="V9" i="44"/>
  <c r="X8" i="45"/>
  <c r="W8" i="45"/>
  <c r="V8" i="45"/>
  <c r="AB8" i="45" s="1"/>
  <c r="X8" i="44"/>
  <c r="W8" i="44"/>
  <c r="V8" i="44"/>
  <c r="X7" i="45"/>
  <c r="W7" i="45"/>
  <c r="V7" i="45"/>
  <c r="AB7" i="45" s="1"/>
  <c r="X7" i="44"/>
  <c r="W7" i="44"/>
  <c r="AC7" i="44" s="1"/>
  <c r="V7" i="44"/>
  <c r="X6" i="45"/>
  <c r="W6" i="45"/>
  <c r="V6" i="45"/>
  <c r="AB6" i="45" s="1"/>
  <c r="X6" i="44"/>
  <c r="AD6" i="44" s="1"/>
  <c r="W6" i="44"/>
  <c r="V6" i="44"/>
  <c r="X5" i="45"/>
  <c r="W5" i="45"/>
  <c r="V5" i="45"/>
  <c r="AB5" i="45" s="1"/>
  <c r="X5" i="44"/>
  <c r="W5" i="44"/>
  <c r="V5" i="44"/>
  <c r="AB5" i="44" s="1"/>
  <c r="X4" i="45"/>
  <c r="W4" i="45"/>
  <c r="V4" i="45"/>
  <c r="AB4" i="45" s="1"/>
  <c r="X4" i="44"/>
  <c r="W4" i="44"/>
  <c r="V4" i="44"/>
  <c r="X3" i="45"/>
  <c r="W3" i="45"/>
  <c r="V3" i="45"/>
  <c r="AB3" i="45" s="1"/>
  <c r="X3" i="44"/>
  <c r="W3" i="44"/>
  <c r="AC3" i="44" s="1"/>
  <c r="V3" i="44"/>
  <c r="X2" i="45"/>
  <c r="W2" i="45"/>
  <c r="V2" i="45"/>
  <c r="AB2" i="45" s="1"/>
  <c r="X2" i="44"/>
  <c r="W2" i="44"/>
  <c r="V2" i="44"/>
  <c r="M40" i="5"/>
  <c r="M39" i="5"/>
  <c r="M38" i="5"/>
  <c r="AJ9" i="45"/>
  <c r="AI9" i="45"/>
  <c r="AJ4" i="45"/>
  <c r="AI4" i="45"/>
  <c r="AD272" i="45"/>
  <c r="AD271" i="45"/>
  <c r="AD270" i="45"/>
  <c r="AD269" i="45"/>
  <c r="AD268" i="45"/>
  <c r="AD267" i="45"/>
  <c r="AD266" i="45"/>
  <c r="AD265" i="45"/>
  <c r="AD264" i="45"/>
  <c r="AD263" i="45"/>
  <c r="AD262" i="45"/>
  <c r="AD261" i="45"/>
  <c r="AD260" i="45"/>
  <c r="AD259" i="45"/>
  <c r="AD258" i="45"/>
  <c r="AD257" i="45"/>
  <c r="AD256" i="45"/>
  <c r="AD255" i="45"/>
  <c r="AD254" i="45"/>
  <c r="AD253" i="45"/>
  <c r="AD252" i="45"/>
  <c r="AD251" i="45"/>
  <c r="AD250" i="45"/>
  <c r="AD249" i="45"/>
  <c r="AD248" i="45"/>
  <c r="AD247" i="45"/>
  <c r="AD246" i="45"/>
  <c r="AD245" i="45"/>
  <c r="AD244" i="45"/>
  <c r="AD243" i="45"/>
  <c r="AD242" i="45"/>
  <c r="AD241" i="45"/>
  <c r="AD240" i="45"/>
  <c r="AD239" i="45"/>
  <c r="AD238" i="45"/>
  <c r="AD237" i="45"/>
  <c r="AD236" i="45"/>
  <c r="AD235" i="45"/>
  <c r="AD234" i="45"/>
  <c r="AD233" i="45"/>
  <c r="AD232" i="45"/>
  <c r="AD231" i="45"/>
  <c r="AD230" i="45"/>
  <c r="AD229" i="45"/>
  <c r="AD228" i="45"/>
  <c r="AD227" i="45"/>
  <c r="AD226" i="45"/>
  <c r="AD225" i="45"/>
  <c r="AD224" i="45"/>
  <c r="AD223" i="45"/>
  <c r="AD222" i="45"/>
  <c r="AD221" i="45"/>
  <c r="AD220" i="45"/>
  <c r="AD219" i="45"/>
  <c r="AD218" i="45"/>
  <c r="AD217" i="45"/>
  <c r="AD216" i="45"/>
  <c r="AD215" i="45"/>
  <c r="AD214" i="45"/>
  <c r="AD213" i="45"/>
  <c r="AD212" i="45"/>
  <c r="AD211" i="45"/>
  <c r="AD210" i="45"/>
  <c r="AD209" i="45"/>
  <c r="AD208" i="45"/>
  <c r="AD207" i="45"/>
  <c r="AD206" i="45"/>
  <c r="AD205" i="45"/>
  <c r="AD204" i="45"/>
  <c r="AD203" i="45"/>
  <c r="AD202" i="45"/>
  <c r="AD201" i="45"/>
  <c r="AD200" i="45"/>
  <c r="AD199" i="45"/>
  <c r="AD198" i="45"/>
  <c r="AD197" i="45"/>
  <c r="AD196" i="45"/>
  <c r="AD195" i="45"/>
  <c r="AD194" i="45"/>
  <c r="AD193" i="45"/>
  <c r="AD192" i="45"/>
  <c r="AD191" i="45"/>
  <c r="AD190" i="45"/>
  <c r="AD189" i="45"/>
  <c r="AD188" i="45"/>
  <c r="AD187" i="45"/>
  <c r="AD186" i="45"/>
  <c r="AD185" i="45"/>
  <c r="AD184" i="45"/>
  <c r="AD183" i="45"/>
  <c r="AD182" i="45"/>
  <c r="AD181" i="45"/>
  <c r="AD180" i="45"/>
  <c r="AD179" i="45"/>
  <c r="AD178" i="45"/>
  <c r="AD177" i="45"/>
  <c r="AD176" i="45"/>
  <c r="AD175" i="45"/>
  <c r="AD174" i="45"/>
  <c r="AD173" i="45"/>
  <c r="AD172" i="45"/>
  <c r="AD171" i="45"/>
  <c r="AD170" i="45"/>
  <c r="AD97" i="45"/>
  <c r="AD96" i="45"/>
  <c r="AD95" i="45"/>
  <c r="AD94" i="45"/>
  <c r="AD93" i="45"/>
  <c r="AD92" i="45"/>
  <c r="AD91" i="45"/>
  <c r="AD90" i="45"/>
  <c r="AD89" i="45"/>
  <c r="AD88" i="45"/>
  <c r="AD87" i="45"/>
  <c r="AD86" i="45"/>
  <c r="AD85" i="45"/>
  <c r="AD84" i="45"/>
  <c r="AD83" i="45"/>
  <c r="AD82" i="45"/>
  <c r="AD81" i="45"/>
  <c r="AD80" i="45"/>
  <c r="AD79" i="45"/>
  <c r="AD78" i="45"/>
  <c r="AD77" i="45"/>
  <c r="AD76" i="45"/>
  <c r="AD75" i="45"/>
  <c r="AD74" i="45"/>
  <c r="AE73" i="45"/>
  <c r="AE72" i="45"/>
  <c r="AE71" i="45"/>
  <c r="AE70" i="45"/>
  <c r="AE69" i="45"/>
  <c r="AE68" i="45"/>
  <c r="AE67" i="45"/>
  <c r="AE66" i="45"/>
  <c r="AE65" i="45"/>
  <c r="AE64" i="45"/>
  <c r="AE63" i="45"/>
  <c r="AE62" i="45"/>
  <c r="AD61" i="45"/>
  <c r="AD60" i="45"/>
  <c r="AD59" i="45"/>
  <c r="AD58" i="45"/>
  <c r="AD57" i="45"/>
  <c r="AD56" i="45"/>
  <c r="AD55" i="45"/>
  <c r="AD54" i="45"/>
  <c r="AD53" i="45"/>
  <c r="AD52" i="45"/>
  <c r="AD51" i="45"/>
  <c r="AD50" i="45"/>
  <c r="AE49" i="45"/>
  <c r="AE48" i="45"/>
  <c r="AE47" i="45"/>
  <c r="AE46" i="45"/>
  <c r="AE45" i="45"/>
  <c r="AE44" i="45"/>
  <c r="AE43" i="45"/>
  <c r="AE42" i="45"/>
  <c r="AE41" i="45"/>
  <c r="AE40" i="45"/>
  <c r="AE39" i="45"/>
  <c r="AE38" i="45"/>
  <c r="AE37" i="45"/>
  <c r="AE36" i="45"/>
  <c r="AE35" i="45"/>
  <c r="AE34" i="45"/>
  <c r="AE33" i="45"/>
  <c r="AE32" i="45"/>
  <c r="AE31" i="45"/>
  <c r="AE30" i="45"/>
  <c r="AE29" i="45"/>
  <c r="AE28" i="45"/>
  <c r="AE27" i="45"/>
  <c r="AE26" i="45"/>
  <c r="V284" i="45"/>
  <c r="AB284" i="45" s="1"/>
  <c r="V283" i="45"/>
  <c r="AB283" i="45" s="1"/>
  <c r="V282" i="45"/>
  <c r="AB282" i="45" s="1"/>
  <c r="V281" i="45"/>
  <c r="AB281" i="45" s="1"/>
  <c r="V280" i="45"/>
  <c r="AB280" i="45" s="1"/>
  <c r="V279" i="45"/>
  <c r="AB279" i="45" s="1"/>
  <c r="V278" i="45"/>
  <c r="AB278" i="45" s="1"/>
  <c r="V277" i="45"/>
  <c r="AB277" i="45" s="1"/>
  <c r="V276" i="45"/>
  <c r="AB276" i="45" s="1"/>
  <c r="V275" i="45"/>
  <c r="AB275" i="45" s="1"/>
  <c r="V274" i="45"/>
  <c r="AB274" i="45" s="1"/>
  <c r="V273" i="45"/>
  <c r="AB273" i="45" s="1"/>
  <c r="X272" i="45"/>
  <c r="W272" i="45"/>
  <c r="V272" i="45"/>
  <c r="AB272" i="45" s="1"/>
  <c r="X271" i="45"/>
  <c r="W271" i="45"/>
  <c r="V271" i="45"/>
  <c r="AB271" i="45" s="1"/>
  <c r="X270" i="45"/>
  <c r="W270" i="45"/>
  <c r="V270" i="45"/>
  <c r="AB270" i="45" s="1"/>
  <c r="X269" i="45"/>
  <c r="W269" i="45"/>
  <c r="V269" i="45"/>
  <c r="AB269" i="45" s="1"/>
  <c r="X268" i="45"/>
  <c r="W268" i="45"/>
  <c r="V268" i="45"/>
  <c r="AB268" i="45" s="1"/>
  <c r="X267" i="45"/>
  <c r="W267" i="45"/>
  <c r="V267" i="45"/>
  <c r="AB267" i="45" s="1"/>
  <c r="X266" i="45"/>
  <c r="W266" i="45"/>
  <c r="V266" i="45"/>
  <c r="AB266" i="45" s="1"/>
  <c r="X265" i="45"/>
  <c r="W265" i="45"/>
  <c r="V265" i="45"/>
  <c r="AB265" i="45" s="1"/>
  <c r="X264" i="45"/>
  <c r="W264" i="45"/>
  <c r="V264" i="45"/>
  <c r="AB264" i="45" s="1"/>
  <c r="X263" i="45"/>
  <c r="W263" i="45"/>
  <c r="V263" i="45"/>
  <c r="AB263" i="45" s="1"/>
  <c r="X262" i="45"/>
  <c r="W262" i="45"/>
  <c r="V262" i="45"/>
  <c r="AB262" i="45" s="1"/>
  <c r="X261" i="45"/>
  <c r="W261" i="45"/>
  <c r="V261" i="45"/>
  <c r="AB261" i="45" s="1"/>
  <c r="X260" i="45"/>
  <c r="W260" i="45"/>
  <c r="V260" i="45"/>
  <c r="AB260" i="45" s="1"/>
  <c r="X259" i="45"/>
  <c r="W259" i="45"/>
  <c r="V259" i="45"/>
  <c r="AB259" i="45" s="1"/>
  <c r="X258" i="45"/>
  <c r="W258" i="45"/>
  <c r="V258" i="45"/>
  <c r="AB258" i="45" s="1"/>
  <c r="X257" i="45"/>
  <c r="W257" i="45"/>
  <c r="V257" i="45"/>
  <c r="AB257" i="45" s="1"/>
  <c r="X256" i="45"/>
  <c r="W256" i="45"/>
  <c r="V256" i="45"/>
  <c r="AB256" i="45" s="1"/>
  <c r="X255" i="45"/>
  <c r="W255" i="45"/>
  <c r="V255" i="45"/>
  <c r="AB255" i="45" s="1"/>
  <c r="X254" i="45"/>
  <c r="W254" i="45"/>
  <c r="V254" i="45"/>
  <c r="AB254" i="45" s="1"/>
  <c r="X253" i="45"/>
  <c r="W253" i="45"/>
  <c r="V253" i="45"/>
  <c r="AB253" i="45" s="1"/>
  <c r="X252" i="45"/>
  <c r="W252" i="45"/>
  <c r="V252" i="45"/>
  <c r="AB252" i="45" s="1"/>
  <c r="X251" i="45"/>
  <c r="W251" i="45"/>
  <c r="V251" i="45"/>
  <c r="AB251" i="45" s="1"/>
  <c r="X250" i="45"/>
  <c r="W250" i="45"/>
  <c r="V250" i="45"/>
  <c r="AB250" i="45" s="1"/>
  <c r="X249" i="45"/>
  <c r="W249" i="45"/>
  <c r="V249" i="45"/>
  <c r="AB249" i="45" s="1"/>
  <c r="X248" i="45"/>
  <c r="W248" i="45"/>
  <c r="V248" i="45"/>
  <c r="AB248" i="45" s="1"/>
  <c r="X247" i="45"/>
  <c r="W247" i="45"/>
  <c r="V247" i="45"/>
  <c r="AB247" i="45" s="1"/>
  <c r="X246" i="45"/>
  <c r="W246" i="45"/>
  <c r="V246" i="45"/>
  <c r="AB246" i="45" s="1"/>
  <c r="X245" i="45"/>
  <c r="W245" i="45"/>
  <c r="V245" i="45"/>
  <c r="AB245" i="45" s="1"/>
  <c r="X244" i="45"/>
  <c r="W244" i="45"/>
  <c r="V244" i="45"/>
  <c r="AB244" i="45" s="1"/>
  <c r="X243" i="45"/>
  <c r="W243" i="45"/>
  <c r="V243" i="45"/>
  <c r="AB243" i="45" s="1"/>
  <c r="X242" i="45"/>
  <c r="W242" i="45"/>
  <c r="V242" i="45"/>
  <c r="AB242" i="45" s="1"/>
  <c r="X241" i="45"/>
  <c r="W241" i="45"/>
  <c r="V241" i="45"/>
  <c r="AB241" i="45" s="1"/>
  <c r="X240" i="45"/>
  <c r="W240" i="45"/>
  <c r="V240" i="45"/>
  <c r="AB240" i="45" s="1"/>
  <c r="X239" i="45"/>
  <c r="W239" i="45"/>
  <c r="V239" i="45"/>
  <c r="AB239" i="45" s="1"/>
  <c r="X238" i="45"/>
  <c r="W238" i="45"/>
  <c r="V238" i="45"/>
  <c r="AB238" i="45" s="1"/>
  <c r="X237" i="45"/>
  <c r="W237" i="45"/>
  <c r="V237" i="45"/>
  <c r="AB237" i="45" s="1"/>
  <c r="X236" i="45"/>
  <c r="W236" i="45"/>
  <c r="V236" i="45"/>
  <c r="AB236" i="45" s="1"/>
  <c r="X235" i="45"/>
  <c r="W235" i="45"/>
  <c r="V235" i="45"/>
  <c r="AB235" i="45" s="1"/>
  <c r="X234" i="45"/>
  <c r="W234" i="45"/>
  <c r="V234" i="45"/>
  <c r="AB234" i="45" s="1"/>
  <c r="X233" i="45"/>
  <c r="W233" i="45"/>
  <c r="V233" i="45"/>
  <c r="AB233" i="45" s="1"/>
  <c r="X232" i="45"/>
  <c r="W232" i="45"/>
  <c r="V232" i="45"/>
  <c r="AB232" i="45" s="1"/>
  <c r="X231" i="45"/>
  <c r="W231" i="45"/>
  <c r="V231" i="45"/>
  <c r="AB231" i="45" s="1"/>
  <c r="X230" i="45"/>
  <c r="W230" i="45"/>
  <c r="V230" i="45"/>
  <c r="AB230" i="45" s="1"/>
  <c r="X229" i="45"/>
  <c r="W229" i="45"/>
  <c r="V229" i="45"/>
  <c r="AB229" i="45" s="1"/>
  <c r="X228" i="45"/>
  <c r="W228" i="45"/>
  <c r="V228" i="45"/>
  <c r="AB228" i="45" s="1"/>
  <c r="X227" i="45"/>
  <c r="W227" i="45"/>
  <c r="V227" i="45"/>
  <c r="AB227" i="45" s="1"/>
  <c r="X226" i="45"/>
  <c r="W226" i="45"/>
  <c r="V226" i="45"/>
  <c r="AB226" i="45" s="1"/>
  <c r="X225" i="45"/>
  <c r="W225" i="45"/>
  <c r="V225" i="45"/>
  <c r="AB225" i="45" s="1"/>
  <c r="X224" i="45"/>
  <c r="W224" i="45"/>
  <c r="V224" i="45"/>
  <c r="AB224" i="45" s="1"/>
  <c r="X223" i="45"/>
  <c r="W223" i="45"/>
  <c r="V223" i="45"/>
  <c r="AB223" i="45" s="1"/>
  <c r="X222" i="45"/>
  <c r="W222" i="45"/>
  <c r="V222" i="45"/>
  <c r="AB222" i="45" s="1"/>
  <c r="X221" i="45"/>
  <c r="W221" i="45"/>
  <c r="V221" i="45"/>
  <c r="AB221" i="45" s="1"/>
  <c r="X220" i="45"/>
  <c r="W220" i="45"/>
  <c r="V220" i="45"/>
  <c r="AB220" i="45" s="1"/>
  <c r="X219" i="45"/>
  <c r="W219" i="45"/>
  <c r="V219" i="45"/>
  <c r="AB219" i="45" s="1"/>
  <c r="X218" i="45"/>
  <c r="W218" i="45"/>
  <c r="V218" i="45"/>
  <c r="AB218" i="45" s="1"/>
  <c r="X217" i="45"/>
  <c r="W217" i="45"/>
  <c r="V217" i="45"/>
  <c r="AB217" i="45" s="1"/>
  <c r="X216" i="45"/>
  <c r="W216" i="45"/>
  <c r="V216" i="45"/>
  <c r="AB216" i="45" s="1"/>
  <c r="X215" i="45"/>
  <c r="W215" i="45"/>
  <c r="V215" i="45"/>
  <c r="AB215" i="45" s="1"/>
  <c r="X214" i="45"/>
  <c r="W214" i="45"/>
  <c r="V214" i="45"/>
  <c r="AB214" i="45" s="1"/>
  <c r="X213" i="45"/>
  <c r="W213" i="45"/>
  <c r="V213" i="45"/>
  <c r="AB213" i="45" s="1"/>
  <c r="X212" i="45"/>
  <c r="W212" i="45"/>
  <c r="V212" i="45"/>
  <c r="AB212" i="45" s="1"/>
  <c r="X211" i="45"/>
  <c r="W211" i="45"/>
  <c r="V211" i="45"/>
  <c r="AB211" i="45" s="1"/>
  <c r="X210" i="45"/>
  <c r="W210" i="45"/>
  <c r="V210" i="45"/>
  <c r="AB210" i="45" s="1"/>
  <c r="X209" i="45"/>
  <c r="W209" i="45"/>
  <c r="V209" i="45"/>
  <c r="AB209" i="45" s="1"/>
  <c r="X208" i="45"/>
  <c r="W208" i="45"/>
  <c r="V208" i="45"/>
  <c r="AB208" i="45" s="1"/>
  <c r="X207" i="45"/>
  <c r="W207" i="45"/>
  <c r="V207" i="45"/>
  <c r="AB207" i="45" s="1"/>
  <c r="X206" i="45"/>
  <c r="W206" i="45"/>
  <c r="V206" i="45"/>
  <c r="AB206" i="45" s="1"/>
  <c r="X205" i="45"/>
  <c r="W205" i="45"/>
  <c r="V205" i="45"/>
  <c r="AB205" i="45" s="1"/>
  <c r="X204" i="45"/>
  <c r="W204" i="45"/>
  <c r="V204" i="45"/>
  <c r="AB204" i="45" s="1"/>
  <c r="X203" i="45"/>
  <c r="W203" i="45"/>
  <c r="V203" i="45"/>
  <c r="AB203" i="45" s="1"/>
  <c r="X202" i="45"/>
  <c r="W202" i="45"/>
  <c r="V202" i="45"/>
  <c r="AB202" i="45" s="1"/>
  <c r="X201" i="45"/>
  <c r="W201" i="45"/>
  <c r="V201" i="45"/>
  <c r="AB201" i="45" s="1"/>
  <c r="X200" i="45"/>
  <c r="W200" i="45"/>
  <c r="V200" i="45"/>
  <c r="AB200" i="45" s="1"/>
  <c r="X199" i="45"/>
  <c r="W199" i="45"/>
  <c r="V199" i="45"/>
  <c r="AB199" i="45" s="1"/>
  <c r="X198" i="45"/>
  <c r="W198" i="45"/>
  <c r="V198" i="45"/>
  <c r="AB198" i="45" s="1"/>
  <c r="X197" i="45"/>
  <c r="W197" i="45"/>
  <c r="V197" i="45"/>
  <c r="AB197" i="45" s="1"/>
  <c r="X196" i="45"/>
  <c r="W196" i="45"/>
  <c r="V196" i="45"/>
  <c r="AB196" i="45" s="1"/>
  <c r="X195" i="45"/>
  <c r="W195" i="45"/>
  <c r="V195" i="45"/>
  <c r="AB195" i="45" s="1"/>
  <c r="X194" i="45"/>
  <c r="W194" i="45"/>
  <c r="V194" i="45"/>
  <c r="AB194" i="45" s="1"/>
  <c r="X193" i="45"/>
  <c r="W193" i="45"/>
  <c r="V193" i="45"/>
  <c r="AB193" i="45" s="1"/>
  <c r="X192" i="45"/>
  <c r="W192" i="45"/>
  <c r="V192" i="45"/>
  <c r="AB192" i="45" s="1"/>
  <c r="X191" i="45"/>
  <c r="W191" i="45"/>
  <c r="V191" i="45"/>
  <c r="AB191" i="45" s="1"/>
  <c r="X190" i="45"/>
  <c r="W190" i="45"/>
  <c r="V190" i="45"/>
  <c r="AB190" i="45" s="1"/>
  <c r="X189" i="45"/>
  <c r="W189" i="45"/>
  <c r="V189" i="45"/>
  <c r="AB189" i="45" s="1"/>
  <c r="X188" i="45"/>
  <c r="W188" i="45"/>
  <c r="V188" i="45"/>
  <c r="AB188" i="45" s="1"/>
  <c r="X187" i="45"/>
  <c r="W187" i="45"/>
  <c r="V187" i="45"/>
  <c r="AB187" i="45" s="1"/>
  <c r="X186" i="45"/>
  <c r="W186" i="45"/>
  <c r="V186" i="45"/>
  <c r="AB186" i="45" s="1"/>
  <c r="X185" i="45"/>
  <c r="W185" i="45"/>
  <c r="V185" i="45"/>
  <c r="AB185" i="45" s="1"/>
  <c r="X184" i="45"/>
  <c r="W184" i="45"/>
  <c r="V184" i="45"/>
  <c r="AB184" i="45" s="1"/>
  <c r="X183" i="45"/>
  <c r="W183" i="45"/>
  <c r="V183" i="45"/>
  <c r="AB183" i="45" s="1"/>
  <c r="X182" i="45"/>
  <c r="W182" i="45"/>
  <c r="V182" i="45"/>
  <c r="AB182" i="45" s="1"/>
  <c r="X181" i="45"/>
  <c r="W181" i="45"/>
  <c r="V181" i="45"/>
  <c r="AB181" i="45" s="1"/>
  <c r="X180" i="45"/>
  <c r="W180" i="45"/>
  <c r="V180" i="45"/>
  <c r="AB180" i="45" s="1"/>
  <c r="X179" i="45"/>
  <c r="W179" i="45"/>
  <c r="V179" i="45"/>
  <c r="AB179" i="45" s="1"/>
  <c r="X178" i="45"/>
  <c r="W178" i="45"/>
  <c r="V178" i="45"/>
  <c r="AB178" i="45" s="1"/>
  <c r="X177" i="45"/>
  <c r="W177" i="45"/>
  <c r="V177" i="45"/>
  <c r="AB177" i="45" s="1"/>
  <c r="X176" i="45"/>
  <c r="W176" i="45"/>
  <c r="V176" i="45"/>
  <c r="AB176" i="45" s="1"/>
  <c r="X175" i="45"/>
  <c r="W175" i="45"/>
  <c r="V175" i="45"/>
  <c r="AB175" i="45" s="1"/>
  <c r="X174" i="45"/>
  <c r="W174" i="45"/>
  <c r="V174" i="45"/>
  <c r="AB174" i="45" s="1"/>
  <c r="X173" i="45"/>
  <c r="W173" i="45"/>
  <c r="V173" i="45"/>
  <c r="AB173" i="45" s="1"/>
  <c r="X172" i="45"/>
  <c r="W172" i="45"/>
  <c r="V172" i="45"/>
  <c r="AB172" i="45" s="1"/>
  <c r="X171" i="45"/>
  <c r="W171" i="45"/>
  <c r="V171" i="45"/>
  <c r="AB171" i="45" s="1"/>
  <c r="X170" i="45"/>
  <c r="W170" i="45"/>
  <c r="V170" i="45"/>
  <c r="AB170" i="45" s="1"/>
  <c r="V169" i="45"/>
  <c r="AB169" i="45" s="1"/>
  <c r="V168" i="45"/>
  <c r="AB168" i="45" s="1"/>
  <c r="V167" i="45"/>
  <c r="AB167" i="45" s="1"/>
  <c r="V166" i="45"/>
  <c r="AB166" i="45" s="1"/>
  <c r="V165" i="45"/>
  <c r="AB165" i="45" s="1"/>
  <c r="V164" i="45"/>
  <c r="AB164" i="45" s="1"/>
  <c r="V163" i="45"/>
  <c r="AB163" i="45" s="1"/>
  <c r="V162" i="45"/>
  <c r="AB162" i="45" s="1"/>
  <c r="V161" i="45"/>
  <c r="AB161" i="45" s="1"/>
  <c r="V160" i="45"/>
  <c r="AB160" i="45" s="1"/>
  <c r="V159" i="45"/>
  <c r="AB159" i="45" s="1"/>
  <c r="V158" i="45"/>
  <c r="AB158" i="45" s="1"/>
  <c r="X157" i="45"/>
  <c r="W157" i="45"/>
  <c r="X156" i="45"/>
  <c r="W156" i="45"/>
  <c r="X155" i="45"/>
  <c r="W155" i="45"/>
  <c r="X154" i="45"/>
  <c r="W154" i="45"/>
  <c r="X153" i="45"/>
  <c r="W153" i="45"/>
  <c r="X152" i="45"/>
  <c r="W152" i="45"/>
  <c r="X151" i="45"/>
  <c r="W151" i="45"/>
  <c r="X150" i="45"/>
  <c r="W150" i="45"/>
  <c r="X149" i="45"/>
  <c r="W149" i="45"/>
  <c r="X148" i="45"/>
  <c r="W148" i="45"/>
  <c r="X147" i="45"/>
  <c r="W147" i="45"/>
  <c r="X146" i="45"/>
  <c r="W146" i="45"/>
  <c r="V145" i="45"/>
  <c r="AB145" i="45" s="1"/>
  <c r="V144" i="45"/>
  <c r="AB144" i="45" s="1"/>
  <c r="V143" i="45"/>
  <c r="AB143" i="45" s="1"/>
  <c r="V142" i="45"/>
  <c r="AB142" i="45" s="1"/>
  <c r="V141" i="45"/>
  <c r="AB141" i="45" s="1"/>
  <c r="V140" i="45"/>
  <c r="AB140" i="45" s="1"/>
  <c r="V139" i="45"/>
  <c r="AB139" i="45" s="1"/>
  <c r="V138" i="45"/>
  <c r="AB138" i="45" s="1"/>
  <c r="V137" i="45"/>
  <c r="AB137" i="45" s="1"/>
  <c r="V136" i="45"/>
  <c r="AB136" i="45" s="1"/>
  <c r="V135" i="45"/>
  <c r="AB135" i="45" s="1"/>
  <c r="V134" i="45"/>
  <c r="AB134" i="45" s="1"/>
  <c r="V133" i="45"/>
  <c r="AB133" i="45" s="1"/>
  <c r="V132" i="45"/>
  <c r="AB132" i="45" s="1"/>
  <c r="V131" i="45"/>
  <c r="AB131" i="45" s="1"/>
  <c r="V130" i="45"/>
  <c r="AB130" i="45" s="1"/>
  <c r="V129" i="45"/>
  <c r="AB129" i="45" s="1"/>
  <c r="V128" i="45"/>
  <c r="AB128" i="45" s="1"/>
  <c r="V127" i="45"/>
  <c r="AB127" i="45" s="1"/>
  <c r="V126" i="45"/>
  <c r="AB126" i="45" s="1"/>
  <c r="V125" i="45"/>
  <c r="AB125" i="45" s="1"/>
  <c r="V124" i="45"/>
  <c r="AB124" i="45" s="1"/>
  <c r="V123" i="45"/>
  <c r="AB123" i="45" s="1"/>
  <c r="V122" i="45"/>
  <c r="AB122" i="45" s="1"/>
  <c r="X121" i="45"/>
  <c r="W121" i="45"/>
  <c r="X120" i="45"/>
  <c r="W120" i="45"/>
  <c r="X119" i="45"/>
  <c r="W119" i="45"/>
  <c r="X118" i="45"/>
  <c r="W118" i="45"/>
  <c r="X117" i="45"/>
  <c r="W117" i="45"/>
  <c r="X116" i="45"/>
  <c r="W116" i="45"/>
  <c r="X115" i="45"/>
  <c r="W115" i="45"/>
  <c r="X114" i="45"/>
  <c r="W114" i="45"/>
  <c r="X113" i="45"/>
  <c r="W113" i="45"/>
  <c r="X112" i="45"/>
  <c r="W112" i="45"/>
  <c r="X111" i="45"/>
  <c r="W111" i="45"/>
  <c r="X110" i="45"/>
  <c r="W110" i="45"/>
  <c r="V109" i="45"/>
  <c r="AB109" i="45" s="1"/>
  <c r="V108" i="45"/>
  <c r="AB108" i="45" s="1"/>
  <c r="V107" i="45"/>
  <c r="AB107" i="45" s="1"/>
  <c r="V106" i="45"/>
  <c r="AB106" i="45" s="1"/>
  <c r="V105" i="45"/>
  <c r="AB105" i="45" s="1"/>
  <c r="V104" i="45"/>
  <c r="AB104" i="45" s="1"/>
  <c r="V103" i="45"/>
  <c r="AB103" i="45" s="1"/>
  <c r="V102" i="45"/>
  <c r="AB102" i="45" s="1"/>
  <c r="V101" i="45"/>
  <c r="AB101" i="45" s="1"/>
  <c r="V100" i="45"/>
  <c r="AB100" i="45" s="1"/>
  <c r="V99" i="45"/>
  <c r="AB99" i="45" s="1"/>
  <c r="V98" i="45"/>
  <c r="AB98" i="45" s="1"/>
  <c r="X97" i="45"/>
  <c r="W97" i="45"/>
  <c r="V97" i="45"/>
  <c r="AB97" i="45" s="1"/>
  <c r="X96" i="45"/>
  <c r="W96" i="45"/>
  <c r="V96" i="45"/>
  <c r="AB96" i="45" s="1"/>
  <c r="X95" i="45"/>
  <c r="W95" i="45"/>
  <c r="V95" i="45"/>
  <c r="AB95" i="45" s="1"/>
  <c r="X94" i="45"/>
  <c r="W94" i="45"/>
  <c r="V94" i="45"/>
  <c r="AB94" i="45" s="1"/>
  <c r="X93" i="45"/>
  <c r="W93" i="45"/>
  <c r="V93" i="45"/>
  <c r="AB93" i="45" s="1"/>
  <c r="X92" i="45"/>
  <c r="W92" i="45"/>
  <c r="V92" i="45"/>
  <c r="AB92" i="45" s="1"/>
  <c r="X91" i="45"/>
  <c r="W91" i="45"/>
  <c r="V91" i="45"/>
  <c r="AB91" i="45" s="1"/>
  <c r="X90" i="45"/>
  <c r="W90" i="45"/>
  <c r="V90" i="45"/>
  <c r="AB90" i="45" s="1"/>
  <c r="X89" i="45"/>
  <c r="W89" i="45"/>
  <c r="V89" i="45"/>
  <c r="AB89" i="45" s="1"/>
  <c r="X88" i="45"/>
  <c r="W88" i="45"/>
  <c r="V88" i="45"/>
  <c r="AB88" i="45" s="1"/>
  <c r="X87" i="45"/>
  <c r="W87" i="45"/>
  <c r="V87" i="45"/>
  <c r="AB87" i="45" s="1"/>
  <c r="X86" i="45"/>
  <c r="W86" i="45"/>
  <c r="V86" i="45"/>
  <c r="AB86" i="45" s="1"/>
  <c r="X85" i="45"/>
  <c r="W85" i="45"/>
  <c r="V85" i="45"/>
  <c r="AB85" i="45" s="1"/>
  <c r="X84" i="45"/>
  <c r="W84" i="45"/>
  <c r="V84" i="45"/>
  <c r="AB84" i="45" s="1"/>
  <c r="X83" i="45"/>
  <c r="W83" i="45"/>
  <c r="V83" i="45"/>
  <c r="AB83" i="45" s="1"/>
  <c r="X82" i="45"/>
  <c r="W82" i="45"/>
  <c r="V82" i="45"/>
  <c r="AB82" i="45" s="1"/>
  <c r="X81" i="45"/>
  <c r="W81" i="45"/>
  <c r="V81" i="45"/>
  <c r="AB81" i="45" s="1"/>
  <c r="X80" i="45"/>
  <c r="W80" i="45"/>
  <c r="V80" i="45"/>
  <c r="AB80" i="45" s="1"/>
  <c r="X79" i="45"/>
  <c r="W79" i="45"/>
  <c r="V79" i="45"/>
  <c r="AB79" i="45" s="1"/>
  <c r="X78" i="45"/>
  <c r="W78" i="45"/>
  <c r="V78" i="45"/>
  <c r="AB78" i="45" s="1"/>
  <c r="X77" i="45"/>
  <c r="W77" i="45"/>
  <c r="V77" i="45"/>
  <c r="AB77" i="45" s="1"/>
  <c r="X76" i="45"/>
  <c r="W76" i="45"/>
  <c r="V76" i="45"/>
  <c r="AB76" i="45" s="1"/>
  <c r="X75" i="45"/>
  <c r="W75" i="45"/>
  <c r="V75" i="45"/>
  <c r="AB75" i="45" s="1"/>
  <c r="X74" i="45"/>
  <c r="W74" i="45"/>
  <c r="V74" i="45"/>
  <c r="AB74" i="45" s="1"/>
  <c r="X73" i="45"/>
  <c r="W73" i="45"/>
  <c r="V73" i="45"/>
  <c r="AB73" i="45" s="1"/>
  <c r="X72" i="45"/>
  <c r="W72" i="45"/>
  <c r="V72" i="45"/>
  <c r="AB72" i="45" s="1"/>
  <c r="X71" i="45"/>
  <c r="W71" i="45"/>
  <c r="V71" i="45"/>
  <c r="AB71" i="45" s="1"/>
  <c r="X70" i="45"/>
  <c r="W70" i="45"/>
  <c r="V70" i="45"/>
  <c r="AB70" i="45" s="1"/>
  <c r="X69" i="45"/>
  <c r="W69" i="45"/>
  <c r="V69" i="45"/>
  <c r="AB69" i="45" s="1"/>
  <c r="X68" i="45"/>
  <c r="W68" i="45"/>
  <c r="V68" i="45"/>
  <c r="AB68" i="45" s="1"/>
  <c r="X67" i="45"/>
  <c r="W67" i="45"/>
  <c r="V67" i="45"/>
  <c r="AB67" i="45" s="1"/>
  <c r="X66" i="45"/>
  <c r="W66" i="45"/>
  <c r="V66" i="45"/>
  <c r="AB66" i="45" s="1"/>
  <c r="X65" i="45"/>
  <c r="W65" i="45"/>
  <c r="V65" i="45"/>
  <c r="AB65" i="45" s="1"/>
  <c r="X64" i="45"/>
  <c r="W64" i="45"/>
  <c r="V64" i="45"/>
  <c r="AB64" i="45" s="1"/>
  <c r="X63" i="45"/>
  <c r="W63" i="45"/>
  <c r="V63" i="45"/>
  <c r="AB63" i="45" s="1"/>
  <c r="X62" i="45"/>
  <c r="W62" i="45"/>
  <c r="V62" i="45"/>
  <c r="AB62" i="45" s="1"/>
  <c r="X61" i="45"/>
  <c r="W61" i="45"/>
  <c r="V61" i="45"/>
  <c r="AB61" i="45" s="1"/>
  <c r="X60" i="45"/>
  <c r="W60" i="45"/>
  <c r="V60" i="45"/>
  <c r="AB60" i="45" s="1"/>
  <c r="X59" i="45"/>
  <c r="W59" i="45"/>
  <c r="V59" i="45"/>
  <c r="AB59" i="45" s="1"/>
  <c r="X58" i="45"/>
  <c r="W58" i="45"/>
  <c r="V58" i="45"/>
  <c r="AB58" i="45" s="1"/>
  <c r="X57" i="45"/>
  <c r="W57" i="45"/>
  <c r="V57" i="45"/>
  <c r="AB57" i="45" s="1"/>
  <c r="X56" i="45"/>
  <c r="W56" i="45"/>
  <c r="V56" i="45"/>
  <c r="AB56" i="45" s="1"/>
  <c r="X55" i="45"/>
  <c r="W55" i="45"/>
  <c r="V55" i="45"/>
  <c r="AB55" i="45" s="1"/>
  <c r="X54" i="45"/>
  <c r="W54" i="45"/>
  <c r="V54" i="45"/>
  <c r="AB54" i="45" s="1"/>
  <c r="X53" i="45"/>
  <c r="W53" i="45"/>
  <c r="V53" i="45"/>
  <c r="AB53" i="45" s="1"/>
  <c r="X52" i="45"/>
  <c r="W52" i="45"/>
  <c r="V52" i="45"/>
  <c r="AB52" i="45" s="1"/>
  <c r="X51" i="45"/>
  <c r="W51" i="45"/>
  <c r="V51" i="45"/>
  <c r="AB51" i="45" s="1"/>
  <c r="X50" i="45"/>
  <c r="W50" i="45"/>
  <c r="V50" i="45"/>
  <c r="AB50" i="45" s="1"/>
  <c r="X49" i="45"/>
  <c r="W49" i="45"/>
  <c r="V49" i="45"/>
  <c r="AB49" i="45" s="1"/>
  <c r="X48" i="45"/>
  <c r="W48" i="45"/>
  <c r="V48" i="45"/>
  <c r="AB48" i="45" s="1"/>
  <c r="X47" i="45"/>
  <c r="W47" i="45"/>
  <c r="V47" i="45"/>
  <c r="AB47" i="45" s="1"/>
  <c r="X46" i="45"/>
  <c r="W46" i="45"/>
  <c r="V46" i="45"/>
  <c r="AB46" i="45" s="1"/>
  <c r="X45" i="45"/>
  <c r="W45" i="45"/>
  <c r="V45" i="45"/>
  <c r="AB45" i="45" s="1"/>
  <c r="X44" i="45"/>
  <c r="W44" i="45"/>
  <c r="V44" i="45"/>
  <c r="AB44" i="45" s="1"/>
  <c r="X43" i="45"/>
  <c r="W43" i="45"/>
  <c r="V43" i="45"/>
  <c r="AB43" i="45" s="1"/>
  <c r="X42" i="45"/>
  <c r="W42" i="45"/>
  <c r="V42" i="45"/>
  <c r="AB42" i="45" s="1"/>
  <c r="X41" i="45"/>
  <c r="W41" i="45"/>
  <c r="V41" i="45"/>
  <c r="AB41" i="45" s="1"/>
  <c r="X40" i="45"/>
  <c r="W40" i="45"/>
  <c r="V40" i="45"/>
  <c r="AB40" i="45" s="1"/>
  <c r="X39" i="45"/>
  <c r="W39" i="45"/>
  <c r="V39" i="45"/>
  <c r="AB39" i="45" s="1"/>
  <c r="X38" i="45"/>
  <c r="W38" i="45"/>
  <c r="V38" i="45"/>
  <c r="AB38" i="45" s="1"/>
  <c r="X37" i="45"/>
  <c r="W37" i="45"/>
  <c r="V37" i="45"/>
  <c r="AB37" i="45" s="1"/>
  <c r="X36" i="45"/>
  <c r="W36" i="45"/>
  <c r="V36" i="45"/>
  <c r="AB36" i="45" s="1"/>
  <c r="X35" i="45"/>
  <c r="W35" i="45"/>
  <c r="V35" i="45"/>
  <c r="AB35" i="45" s="1"/>
  <c r="X34" i="45"/>
  <c r="W34" i="45"/>
  <c r="V34" i="45"/>
  <c r="AB34" i="45" s="1"/>
  <c r="X33" i="45"/>
  <c r="W33" i="45"/>
  <c r="V33" i="45"/>
  <c r="AB33" i="45" s="1"/>
  <c r="X32" i="45"/>
  <c r="W32" i="45"/>
  <c r="V32" i="45"/>
  <c r="AB32" i="45" s="1"/>
  <c r="X31" i="45"/>
  <c r="W31" i="45"/>
  <c r="V31" i="45"/>
  <c r="AB31" i="45" s="1"/>
  <c r="X30" i="45"/>
  <c r="W30" i="45"/>
  <c r="V30" i="45"/>
  <c r="AB30" i="45" s="1"/>
  <c r="X29" i="45"/>
  <c r="W29" i="45"/>
  <c r="V29" i="45"/>
  <c r="AB29" i="45" s="1"/>
  <c r="X28" i="45"/>
  <c r="W28" i="45"/>
  <c r="V28" i="45"/>
  <c r="AB28" i="45" s="1"/>
  <c r="X27" i="45"/>
  <c r="W27" i="45"/>
  <c r="V27" i="45"/>
  <c r="AB27" i="45" s="1"/>
  <c r="X26" i="45"/>
  <c r="W26" i="45"/>
  <c r="V26" i="45"/>
  <c r="AB26" i="45" s="1"/>
  <c r="AE629" i="44"/>
  <c r="AE628" i="44"/>
  <c r="AE627" i="44"/>
  <c r="AE626" i="44"/>
  <c r="AE625" i="44"/>
  <c r="AE624" i="44"/>
  <c r="AE623" i="44"/>
  <c r="AE622" i="44"/>
  <c r="AE621" i="44"/>
  <c r="AE620" i="44"/>
  <c r="AE619" i="44"/>
  <c r="AE618" i="44"/>
  <c r="AE617" i="44"/>
  <c r="AD617" i="44"/>
  <c r="AC617" i="44"/>
  <c r="AE616" i="44"/>
  <c r="AD616" i="44"/>
  <c r="AE615" i="44"/>
  <c r="AD615" i="44"/>
  <c r="AC615" i="44"/>
  <c r="AE614" i="44"/>
  <c r="AD614" i="44"/>
  <c r="AE613" i="44"/>
  <c r="AD613" i="44"/>
  <c r="AC613" i="44"/>
  <c r="AE612" i="44"/>
  <c r="AD612" i="44"/>
  <c r="AE611" i="44"/>
  <c r="AD611" i="44"/>
  <c r="AC611" i="44"/>
  <c r="AE610" i="44"/>
  <c r="AD610" i="44"/>
  <c r="AE609" i="44"/>
  <c r="AD609" i="44"/>
  <c r="AC609" i="44"/>
  <c r="AE608" i="44"/>
  <c r="AD608" i="44"/>
  <c r="AC608" i="44"/>
  <c r="AE607" i="44"/>
  <c r="AD607" i="44"/>
  <c r="AC607" i="44"/>
  <c r="AE606" i="44"/>
  <c r="AD606" i="44"/>
  <c r="AC606" i="44"/>
  <c r="AE605" i="44"/>
  <c r="AE604" i="44"/>
  <c r="AE603" i="44"/>
  <c r="AE602" i="44"/>
  <c r="AE601" i="44"/>
  <c r="AE600" i="44"/>
  <c r="AE599" i="44"/>
  <c r="AE598" i="44"/>
  <c r="AE597" i="44"/>
  <c r="AE596" i="44"/>
  <c r="AE595" i="44"/>
  <c r="AE594" i="44"/>
  <c r="AE593" i="44"/>
  <c r="AE592" i="44"/>
  <c r="AE591" i="44"/>
  <c r="AE590" i="44"/>
  <c r="AE589" i="44"/>
  <c r="AE588" i="44"/>
  <c r="AE587" i="44"/>
  <c r="AE586" i="44"/>
  <c r="AE585" i="44"/>
  <c r="AE584" i="44"/>
  <c r="AE583" i="44"/>
  <c r="AE582" i="44"/>
  <c r="AE581" i="44"/>
  <c r="AE580" i="44"/>
  <c r="AE579" i="44"/>
  <c r="AE578" i="44"/>
  <c r="AE577" i="44"/>
  <c r="AE576" i="44"/>
  <c r="AE575" i="44"/>
  <c r="AE574" i="44"/>
  <c r="AE573" i="44"/>
  <c r="AE572" i="44"/>
  <c r="AE571" i="44"/>
  <c r="AE570" i="44"/>
  <c r="AE569" i="44"/>
  <c r="AE568" i="44"/>
  <c r="AE567" i="44"/>
  <c r="AE566" i="44"/>
  <c r="AE565" i="44"/>
  <c r="AE564" i="44"/>
  <c r="AE563" i="44"/>
  <c r="AE562" i="44"/>
  <c r="AE561" i="44"/>
  <c r="AE560" i="44"/>
  <c r="AE559" i="44"/>
  <c r="AE558" i="44"/>
  <c r="AE557" i="44"/>
  <c r="AE556" i="44"/>
  <c r="AE555" i="44"/>
  <c r="AE554" i="44"/>
  <c r="AE553" i="44"/>
  <c r="AE552" i="44"/>
  <c r="AE551" i="44"/>
  <c r="AE550" i="44"/>
  <c r="AE549" i="44"/>
  <c r="AE548" i="44"/>
  <c r="AE547" i="44"/>
  <c r="AE546" i="44"/>
  <c r="AE545" i="44"/>
  <c r="AE544" i="44"/>
  <c r="AE543" i="44"/>
  <c r="AE542" i="44"/>
  <c r="AE541" i="44"/>
  <c r="AE540" i="44"/>
  <c r="AE539" i="44"/>
  <c r="AE538" i="44"/>
  <c r="AE537" i="44"/>
  <c r="AE536" i="44"/>
  <c r="AE535" i="44"/>
  <c r="AE534" i="44"/>
  <c r="AE533" i="44"/>
  <c r="AE532" i="44"/>
  <c r="AE531" i="44"/>
  <c r="AE530" i="44"/>
  <c r="AE529" i="44"/>
  <c r="AE528" i="44"/>
  <c r="AE527" i="44"/>
  <c r="AE526" i="44"/>
  <c r="AE525" i="44"/>
  <c r="AE524" i="44"/>
  <c r="AE523" i="44"/>
  <c r="AE522" i="44"/>
  <c r="AE521" i="44"/>
  <c r="AE520" i="44"/>
  <c r="AE519" i="44"/>
  <c r="AE518" i="44"/>
  <c r="AE517" i="44"/>
  <c r="AE516" i="44"/>
  <c r="AE515" i="44"/>
  <c r="AE514" i="44"/>
  <c r="AE513" i="44"/>
  <c r="AE512" i="44"/>
  <c r="AE511" i="44"/>
  <c r="AE510" i="44"/>
  <c r="AE509" i="44"/>
  <c r="AE508" i="44"/>
  <c r="AE507" i="44"/>
  <c r="AE506" i="44"/>
  <c r="AE505" i="44"/>
  <c r="AE504" i="44"/>
  <c r="AE503" i="44"/>
  <c r="AE502" i="44"/>
  <c r="AE501" i="44"/>
  <c r="AE500" i="44"/>
  <c r="AE499" i="44"/>
  <c r="AE498" i="44"/>
  <c r="AE497" i="44"/>
  <c r="AE496" i="44"/>
  <c r="AE495" i="44"/>
  <c r="AE494" i="44"/>
  <c r="AE493" i="44"/>
  <c r="AE492" i="44"/>
  <c r="AE491" i="44"/>
  <c r="AE490" i="44"/>
  <c r="AE489" i="44"/>
  <c r="AE488" i="44"/>
  <c r="AE487" i="44"/>
  <c r="AE486" i="44"/>
  <c r="AE485" i="44"/>
  <c r="AE484" i="44"/>
  <c r="AE483" i="44"/>
  <c r="AE482" i="44"/>
  <c r="AE481" i="44"/>
  <c r="AE480" i="44"/>
  <c r="AE479" i="44"/>
  <c r="AE478" i="44"/>
  <c r="AE477" i="44"/>
  <c r="AE476" i="44"/>
  <c r="AE475" i="44"/>
  <c r="AE474" i="44"/>
  <c r="AE473" i="44"/>
  <c r="AE472" i="44"/>
  <c r="AE471" i="44"/>
  <c r="AE470" i="44"/>
  <c r="AE469" i="44"/>
  <c r="AE468" i="44"/>
  <c r="AE467" i="44"/>
  <c r="AE466" i="44"/>
  <c r="AE465" i="44"/>
  <c r="AE464" i="44"/>
  <c r="AE463" i="44"/>
  <c r="AE462" i="44"/>
  <c r="AE461" i="44"/>
  <c r="AE460" i="44"/>
  <c r="AE459" i="44"/>
  <c r="AE458" i="44"/>
  <c r="AE457" i="44"/>
  <c r="AE456" i="44"/>
  <c r="AE455" i="44"/>
  <c r="AE454" i="44"/>
  <c r="AE453" i="44"/>
  <c r="AE452" i="44"/>
  <c r="AE451" i="44"/>
  <c r="AE450" i="44"/>
  <c r="AE449" i="44"/>
  <c r="AE448" i="44"/>
  <c r="AE447" i="44"/>
  <c r="AE446" i="44"/>
  <c r="AE445" i="44"/>
  <c r="AE444" i="44"/>
  <c r="AE443" i="44"/>
  <c r="AE442" i="44"/>
  <c r="AE441" i="44"/>
  <c r="AE440" i="44"/>
  <c r="AE439" i="44"/>
  <c r="AE438" i="44"/>
  <c r="AE437" i="44"/>
  <c r="AE436" i="44"/>
  <c r="AE435" i="44"/>
  <c r="AE434" i="44"/>
  <c r="AE433" i="44"/>
  <c r="AE432" i="44"/>
  <c r="AE431" i="44"/>
  <c r="AE430" i="44"/>
  <c r="AE429" i="44"/>
  <c r="AE428" i="44"/>
  <c r="AE427" i="44"/>
  <c r="AE426" i="44"/>
  <c r="AE425" i="44"/>
  <c r="AE424" i="44"/>
  <c r="AE423" i="44"/>
  <c r="AE422" i="44"/>
  <c r="AE421" i="44"/>
  <c r="AE420" i="44"/>
  <c r="AE419" i="44"/>
  <c r="AE418" i="44"/>
  <c r="AE417" i="44"/>
  <c r="AE416" i="44"/>
  <c r="AE415" i="44"/>
  <c r="AE414" i="44"/>
  <c r="AE413" i="44"/>
  <c r="AE412" i="44"/>
  <c r="AE411" i="44"/>
  <c r="AE410" i="44"/>
  <c r="AE409" i="44"/>
  <c r="AE408" i="44"/>
  <c r="AE407" i="44"/>
  <c r="AE406" i="44"/>
  <c r="AE405" i="44"/>
  <c r="AE404" i="44"/>
  <c r="AE403" i="44"/>
  <c r="AE402" i="44"/>
  <c r="AE401" i="44"/>
  <c r="AE400" i="44"/>
  <c r="AE399" i="44"/>
  <c r="AE398" i="44"/>
  <c r="AE397" i="44"/>
  <c r="AE396" i="44"/>
  <c r="AE395" i="44"/>
  <c r="AE394" i="44"/>
  <c r="AE393" i="44"/>
  <c r="AE392" i="44"/>
  <c r="AE391" i="44"/>
  <c r="AE390" i="44"/>
  <c r="AE389" i="44"/>
  <c r="AE388" i="44"/>
  <c r="AE387" i="44"/>
  <c r="AE386" i="44"/>
  <c r="AE385" i="44"/>
  <c r="AE384" i="44"/>
  <c r="AE383" i="44"/>
  <c r="AE382" i="44"/>
  <c r="AE381" i="44"/>
  <c r="AE380" i="44"/>
  <c r="AE379" i="44"/>
  <c r="AE378" i="44"/>
  <c r="AE377" i="44"/>
  <c r="AE376" i="44"/>
  <c r="AE375" i="44"/>
  <c r="AE374" i="44"/>
  <c r="AE373" i="44"/>
  <c r="AE372" i="44"/>
  <c r="AE371" i="44"/>
  <c r="AE370" i="44"/>
  <c r="AE369" i="44"/>
  <c r="AE368" i="44"/>
  <c r="AE367" i="44"/>
  <c r="AE366" i="44"/>
  <c r="AE365" i="44"/>
  <c r="AE364" i="44"/>
  <c r="AE363" i="44"/>
  <c r="AE362" i="44"/>
  <c r="AE361" i="44"/>
  <c r="AE360" i="44"/>
  <c r="AE359" i="44"/>
  <c r="AE358" i="44"/>
  <c r="AE357" i="44"/>
  <c r="AE356" i="44"/>
  <c r="AE355" i="44"/>
  <c r="AE354" i="44"/>
  <c r="AE353" i="44"/>
  <c r="AE352" i="44"/>
  <c r="AE351" i="44"/>
  <c r="AE350" i="44"/>
  <c r="AE349" i="44"/>
  <c r="AD349" i="44"/>
  <c r="AC349" i="44"/>
  <c r="AE348" i="44"/>
  <c r="AD348" i="44"/>
  <c r="AC348" i="44"/>
  <c r="AE347" i="44"/>
  <c r="AD347" i="44"/>
  <c r="AC347" i="44"/>
  <c r="AE346" i="44"/>
  <c r="AD346" i="44"/>
  <c r="AE345" i="44"/>
  <c r="AD345" i="44"/>
  <c r="AC345" i="44"/>
  <c r="AE344" i="44"/>
  <c r="AD344" i="44"/>
  <c r="AC344" i="44"/>
  <c r="AE343" i="44"/>
  <c r="AD343" i="44"/>
  <c r="AC343" i="44"/>
  <c r="AE342" i="44"/>
  <c r="AD342" i="44"/>
  <c r="AE341" i="44"/>
  <c r="AD341" i="44"/>
  <c r="AC341" i="44"/>
  <c r="AE340" i="44"/>
  <c r="AD340" i="44"/>
  <c r="AC340" i="44"/>
  <c r="AE339" i="44"/>
  <c r="AD339" i="44"/>
  <c r="AC339" i="44"/>
  <c r="AE338" i="44"/>
  <c r="AD338" i="44"/>
  <c r="AG337" i="44"/>
  <c r="AF337" i="44"/>
  <c r="AB337" i="44"/>
  <c r="AG336" i="44"/>
  <c r="AF336" i="44"/>
  <c r="AB336" i="44"/>
  <c r="AG335" i="44"/>
  <c r="AF335" i="44"/>
  <c r="AB335" i="44"/>
  <c r="AG334" i="44"/>
  <c r="AF334" i="44"/>
  <c r="AG333" i="44"/>
  <c r="AF333" i="44"/>
  <c r="AB333" i="44"/>
  <c r="AG332" i="44"/>
  <c r="AF332" i="44"/>
  <c r="AB332" i="44"/>
  <c r="AG331" i="44"/>
  <c r="AF331" i="44"/>
  <c r="AB331" i="44"/>
  <c r="AG330" i="44"/>
  <c r="AF330" i="44"/>
  <c r="AG329" i="44"/>
  <c r="AF329" i="44"/>
  <c r="AB329" i="44"/>
  <c r="AG328" i="44"/>
  <c r="AF328" i="44"/>
  <c r="AB328" i="44"/>
  <c r="AG327" i="44"/>
  <c r="AF327" i="44"/>
  <c r="AB327" i="44"/>
  <c r="AG326" i="44"/>
  <c r="AF326" i="44"/>
  <c r="AE325" i="44"/>
  <c r="AD325" i="44"/>
  <c r="AC325" i="44"/>
  <c r="AE324" i="44"/>
  <c r="AD324" i="44"/>
  <c r="AC324" i="44"/>
  <c r="AE323" i="44"/>
  <c r="AD323" i="44"/>
  <c r="AC323" i="44"/>
  <c r="AE322" i="44"/>
  <c r="AD322" i="44"/>
  <c r="AE321" i="44"/>
  <c r="AD321" i="44"/>
  <c r="AC321" i="44"/>
  <c r="AE320" i="44"/>
  <c r="AD320" i="44"/>
  <c r="AC320" i="44"/>
  <c r="AE319" i="44"/>
  <c r="AD319" i="44"/>
  <c r="AC319" i="44"/>
  <c r="AE318" i="44"/>
  <c r="AD318" i="44"/>
  <c r="AE317" i="44"/>
  <c r="AD317" i="44"/>
  <c r="AC317" i="44"/>
  <c r="AE316" i="44"/>
  <c r="AD316" i="44"/>
  <c r="AC316" i="44"/>
  <c r="AE315" i="44"/>
  <c r="AD315" i="44"/>
  <c r="AC315" i="44"/>
  <c r="AE314" i="44"/>
  <c r="AD314" i="44"/>
  <c r="AE313" i="44"/>
  <c r="AD313" i="44"/>
  <c r="AC313" i="44"/>
  <c r="AE312" i="44"/>
  <c r="AD312" i="44"/>
  <c r="AC312" i="44"/>
  <c r="AE311" i="44"/>
  <c r="AD311" i="44"/>
  <c r="AC311" i="44"/>
  <c r="AE310" i="44"/>
  <c r="AD310" i="44"/>
  <c r="AE309" i="44"/>
  <c r="AD309" i="44"/>
  <c r="AC309" i="44"/>
  <c r="AE308" i="44"/>
  <c r="AD308" i="44"/>
  <c r="AC308" i="44"/>
  <c r="AE307" i="44"/>
  <c r="AD307" i="44"/>
  <c r="AC307" i="44"/>
  <c r="AE306" i="44"/>
  <c r="AD306" i="44"/>
  <c r="AE305" i="44"/>
  <c r="AD305" i="44"/>
  <c r="AC305" i="44"/>
  <c r="AE304" i="44"/>
  <c r="AD304" i="44"/>
  <c r="AC304" i="44"/>
  <c r="AE303" i="44"/>
  <c r="AD303" i="44"/>
  <c r="AC303" i="44"/>
  <c r="AE302" i="44"/>
  <c r="AD302" i="44"/>
  <c r="AG301" i="44"/>
  <c r="AF301" i="44"/>
  <c r="AB301" i="44"/>
  <c r="AG300" i="44"/>
  <c r="AF300" i="44"/>
  <c r="AB300" i="44"/>
  <c r="AG299" i="44"/>
  <c r="AF299" i="44"/>
  <c r="AB299" i="44"/>
  <c r="AG298" i="44"/>
  <c r="AF298" i="44"/>
  <c r="AG297" i="44"/>
  <c r="AF297" i="44"/>
  <c r="AB297" i="44"/>
  <c r="AG296" i="44"/>
  <c r="AF296" i="44"/>
  <c r="AB296" i="44"/>
  <c r="AG295" i="44"/>
  <c r="AF295" i="44"/>
  <c r="AB295" i="44"/>
  <c r="AG294" i="44"/>
  <c r="AF294" i="44"/>
  <c r="AG293" i="44"/>
  <c r="AF293" i="44"/>
  <c r="AB293" i="44"/>
  <c r="AG292" i="44"/>
  <c r="AF292" i="44"/>
  <c r="AG291" i="44"/>
  <c r="AF291" i="44"/>
  <c r="AB291" i="44"/>
  <c r="AG290" i="44"/>
  <c r="AF290" i="44"/>
  <c r="AE289" i="44"/>
  <c r="AD289" i="44"/>
  <c r="AC289" i="44"/>
  <c r="AE288" i="44"/>
  <c r="AD288" i="44"/>
  <c r="AC288" i="44"/>
  <c r="AE287" i="44"/>
  <c r="AD287" i="44"/>
  <c r="AC287" i="44"/>
  <c r="AE286" i="44"/>
  <c r="AD286" i="44"/>
  <c r="AE285" i="44"/>
  <c r="AD285" i="44"/>
  <c r="AC285" i="44"/>
  <c r="AE284" i="44"/>
  <c r="AD284" i="44"/>
  <c r="AC284" i="44"/>
  <c r="AE283" i="44"/>
  <c r="AD283" i="44"/>
  <c r="AE282" i="44"/>
  <c r="AD282" i="44"/>
  <c r="AC282" i="44"/>
  <c r="AE281" i="44"/>
  <c r="AD281" i="44"/>
  <c r="AC281" i="44"/>
  <c r="AE280" i="44"/>
  <c r="AD280" i="44"/>
  <c r="AC280" i="44"/>
  <c r="AE279" i="44"/>
  <c r="AD279" i="44"/>
  <c r="AE278" i="44"/>
  <c r="AD278" i="44"/>
  <c r="AC278" i="44"/>
  <c r="AE277" i="44"/>
  <c r="AE276" i="44"/>
  <c r="AE275" i="44"/>
  <c r="AE274" i="44"/>
  <c r="AE273" i="44"/>
  <c r="AE272" i="44"/>
  <c r="AE271" i="44"/>
  <c r="AE270" i="44"/>
  <c r="AE269" i="44"/>
  <c r="AE268" i="44"/>
  <c r="AE267" i="44"/>
  <c r="AE266" i="44"/>
  <c r="AE265" i="44"/>
  <c r="AE264" i="44"/>
  <c r="AE263" i="44"/>
  <c r="AE262" i="44"/>
  <c r="AE261" i="44"/>
  <c r="AE260" i="44"/>
  <c r="AE259" i="44"/>
  <c r="AE258" i="44"/>
  <c r="AE257" i="44"/>
  <c r="AE256" i="44"/>
  <c r="AE255" i="44"/>
  <c r="AE254" i="44"/>
  <c r="AG253" i="44"/>
  <c r="AF253" i="44"/>
  <c r="AG252" i="44"/>
  <c r="AF252" i="44"/>
  <c r="AG251" i="44"/>
  <c r="AF251" i="44"/>
  <c r="AG250" i="44"/>
  <c r="AF250" i="44"/>
  <c r="AG249" i="44"/>
  <c r="AF249" i="44"/>
  <c r="AG248" i="44"/>
  <c r="AF248" i="44"/>
  <c r="AG247" i="44"/>
  <c r="AF247" i="44"/>
  <c r="AG246" i="44"/>
  <c r="AF246" i="44"/>
  <c r="AG245" i="44"/>
  <c r="AF245" i="44"/>
  <c r="AG244" i="44"/>
  <c r="AF244" i="44"/>
  <c r="AG243" i="44"/>
  <c r="AF243" i="44"/>
  <c r="AG242" i="44"/>
  <c r="AF242" i="44"/>
  <c r="AE241" i="44"/>
  <c r="AE240" i="44"/>
  <c r="AE239" i="44"/>
  <c r="AE238" i="44"/>
  <c r="AE237" i="44"/>
  <c r="AE236" i="44"/>
  <c r="AE235" i="44"/>
  <c r="AE234" i="44"/>
  <c r="AE233" i="44"/>
  <c r="AE232" i="44"/>
  <c r="AE231" i="44"/>
  <c r="AE230" i="44"/>
  <c r="AE229" i="44"/>
  <c r="AE228" i="44"/>
  <c r="AE227" i="44"/>
  <c r="AE226" i="44"/>
  <c r="AE225" i="44"/>
  <c r="AE224" i="44"/>
  <c r="AE223" i="44"/>
  <c r="AE222" i="44"/>
  <c r="AE221" i="44"/>
  <c r="AE220" i="44"/>
  <c r="AE219" i="44"/>
  <c r="AE218" i="44"/>
  <c r="AE217" i="44"/>
  <c r="AE216" i="44"/>
  <c r="AE215" i="44"/>
  <c r="AE214" i="44"/>
  <c r="AE213" i="44"/>
  <c r="AE212" i="44"/>
  <c r="AE211" i="44"/>
  <c r="AE210" i="44"/>
  <c r="AE209" i="44"/>
  <c r="AE208" i="44"/>
  <c r="AE207" i="44"/>
  <c r="AE206" i="44"/>
  <c r="AG205" i="44"/>
  <c r="AF205" i="44"/>
  <c r="AG204" i="44"/>
  <c r="AF204" i="44"/>
  <c r="AG203" i="44"/>
  <c r="AF203" i="44"/>
  <c r="AG202" i="44"/>
  <c r="AF202" i="44"/>
  <c r="AG201" i="44"/>
  <c r="AF201" i="44"/>
  <c r="AG200" i="44"/>
  <c r="AF200" i="44"/>
  <c r="AG199" i="44"/>
  <c r="AF199" i="44"/>
  <c r="AG198" i="44"/>
  <c r="AF198" i="44"/>
  <c r="AG197" i="44"/>
  <c r="AF197" i="44"/>
  <c r="AG196" i="44"/>
  <c r="AF196" i="44"/>
  <c r="AG195" i="44"/>
  <c r="AF195" i="44"/>
  <c r="AG194" i="44"/>
  <c r="AF194" i="44"/>
  <c r="AG193" i="44"/>
  <c r="AF193" i="44"/>
  <c r="AG192" i="44"/>
  <c r="AF192" i="44"/>
  <c r="AG191" i="44"/>
  <c r="AF191" i="44"/>
  <c r="AG190" i="44"/>
  <c r="AF190" i="44"/>
  <c r="AG189" i="44"/>
  <c r="AF189" i="44"/>
  <c r="AG188" i="44"/>
  <c r="AF188" i="44"/>
  <c r="AG187" i="44"/>
  <c r="AF187" i="44"/>
  <c r="AG186" i="44"/>
  <c r="AF186" i="44"/>
  <c r="AG185" i="44"/>
  <c r="AF185" i="44"/>
  <c r="AG184" i="44"/>
  <c r="AF184" i="44"/>
  <c r="AG183" i="44"/>
  <c r="AF183" i="44"/>
  <c r="AG182" i="44"/>
  <c r="AF182" i="44"/>
  <c r="AE181" i="44"/>
  <c r="AE180" i="44"/>
  <c r="AE179" i="44"/>
  <c r="AE178" i="44"/>
  <c r="AE177" i="44"/>
  <c r="AE176" i="44"/>
  <c r="AE175" i="44"/>
  <c r="AE174" i="44"/>
  <c r="AE173" i="44"/>
  <c r="AE172" i="44"/>
  <c r="AE171" i="44"/>
  <c r="AE170" i="44"/>
  <c r="AE169" i="44"/>
  <c r="AE168" i="44"/>
  <c r="AE167" i="44"/>
  <c r="AE166" i="44"/>
  <c r="AE165" i="44"/>
  <c r="AE164" i="44"/>
  <c r="AE163" i="44"/>
  <c r="AE162" i="44"/>
  <c r="AE161" i="44"/>
  <c r="AE160" i="44"/>
  <c r="AE159" i="44"/>
  <c r="AE158" i="44"/>
  <c r="AG157" i="44"/>
  <c r="AE157" i="44"/>
  <c r="AG156" i="44"/>
  <c r="AE156" i="44"/>
  <c r="AG155" i="44"/>
  <c r="AE155" i="44"/>
  <c r="AG154" i="44"/>
  <c r="AE154" i="44"/>
  <c r="AG153" i="44"/>
  <c r="AE153" i="44"/>
  <c r="AG152" i="44"/>
  <c r="AE152" i="44"/>
  <c r="AG151" i="44"/>
  <c r="AE151" i="44"/>
  <c r="AG150" i="44"/>
  <c r="AE150" i="44"/>
  <c r="AG149" i="44"/>
  <c r="AE149" i="44"/>
  <c r="AG148" i="44"/>
  <c r="AE148" i="44"/>
  <c r="AG147" i="44"/>
  <c r="AE147" i="44"/>
  <c r="AG146" i="44"/>
  <c r="AE146" i="44"/>
  <c r="AG145" i="44"/>
  <c r="AF145" i="44"/>
  <c r="AG144" i="44"/>
  <c r="AF144" i="44"/>
  <c r="AG143" i="44"/>
  <c r="AF143" i="44"/>
  <c r="AG142" i="44"/>
  <c r="AF142" i="44"/>
  <c r="AG141" i="44"/>
  <c r="AF141" i="44"/>
  <c r="AG140" i="44"/>
  <c r="AF140" i="44"/>
  <c r="AG139" i="44"/>
  <c r="AF139" i="44"/>
  <c r="AG138" i="44"/>
  <c r="AF138" i="44"/>
  <c r="AG137" i="44"/>
  <c r="AF137" i="44"/>
  <c r="AG136" i="44"/>
  <c r="AF136" i="44"/>
  <c r="AG135" i="44"/>
  <c r="AF135" i="44"/>
  <c r="AG134" i="44"/>
  <c r="AF134" i="44"/>
  <c r="AG133" i="44"/>
  <c r="AE133" i="44"/>
  <c r="AG132" i="44"/>
  <c r="AE132" i="44"/>
  <c r="AG131" i="44"/>
  <c r="AE131" i="44"/>
  <c r="AG130" i="44"/>
  <c r="AE130" i="44"/>
  <c r="AG129" i="44"/>
  <c r="AE129" i="44"/>
  <c r="AG128" i="44"/>
  <c r="AE128" i="44"/>
  <c r="AG127" i="44"/>
  <c r="AE127" i="44"/>
  <c r="AG126" i="44"/>
  <c r="AE126" i="44"/>
  <c r="AG125" i="44"/>
  <c r="AE125" i="44"/>
  <c r="AG124" i="44"/>
  <c r="AE124" i="44"/>
  <c r="AG123" i="44"/>
  <c r="AE123" i="44"/>
  <c r="AG122" i="44"/>
  <c r="AE122" i="44"/>
  <c r="AE121" i="44"/>
  <c r="AE120" i="44"/>
  <c r="AE119" i="44"/>
  <c r="AE118" i="44"/>
  <c r="AE117" i="44"/>
  <c r="AE116" i="44"/>
  <c r="AE115" i="44"/>
  <c r="AE114" i="44"/>
  <c r="AE113" i="44"/>
  <c r="AE112" i="44"/>
  <c r="AE111" i="44"/>
  <c r="AE110" i="44"/>
  <c r="AE109" i="44"/>
  <c r="AE108" i="44"/>
  <c r="AE107" i="44"/>
  <c r="AE106" i="44"/>
  <c r="AE105" i="44"/>
  <c r="AE104" i="44"/>
  <c r="AE103" i="44"/>
  <c r="AE102" i="44"/>
  <c r="AE101" i="44"/>
  <c r="AE100" i="44"/>
  <c r="AE99" i="44"/>
  <c r="AE98" i="44"/>
  <c r="AG97" i="44"/>
  <c r="AF97" i="44"/>
  <c r="AG96" i="44"/>
  <c r="AF96" i="44"/>
  <c r="AG95" i="44"/>
  <c r="AF95" i="44"/>
  <c r="AG94" i="44"/>
  <c r="AF94" i="44"/>
  <c r="AG93" i="44"/>
  <c r="AF93" i="44"/>
  <c r="AG92" i="44"/>
  <c r="AF92" i="44"/>
  <c r="AG91" i="44"/>
  <c r="AF91" i="44"/>
  <c r="AG90" i="44"/>
  <c r="AF90" i="44"/>
  <c r="AG89" i="44"/>
  <c r="AF89" i="44"/>
  <c r="AG88" i="44"/>
  <c r="AF88" i="44"/>
  <c r="AG87" i="44"/>
  <c r="AF87" i="44"/>
  <c r="AG86" i="44"/>
  <c r="AF86" i="44"/>
  <c r="AG85" i="44"/>
  <c r="AF85" i="44"/>
  <c r="AG84" i="44"/>
  <c r="AF84" i="44"/>
  <c r="AG83" i="44"/>
  <c r="AF83" i="44"/>
  <c r="AG82" i="44"/>
  <c r="AF82" i="44"/>
  <c r="AG81" i="44"/>
  <c r="AF81" i="44"/>
  <c r="AG80" i="44"/>
  <c r="AF80" i="44"/>
  <c r="AG79" i="44"/>
  <c r="AF79" i="44"/>
  <c r="AG78" i="44"/>
  <c r="AF78" i="44"/>
  <c r="AG77" i="44"/>
  <c r="AF77" i="44"/>
  <c r="AG76" i="44"/>
  <c r="AF76" i="44"/>
  <c r="AG75" i="44"/>
  <c r="AF75" i="44"/>
  <c r="AG74" i="44"/>
  <c r="AF74" i="44"/>
  <c r="AE73" i="44"/>
  <c r="AE72" i="44"/>
  <c r="AE71" i="44"/>
  <c r="AE70" i="44"/>
  <c r="AE69" i="44"/>
  <c r="AE68" i="44"/>
  <c r="AE67" i="44"/>
  <c r="AE66" i="44"/>
  <c r="AE65" i="44"/>
  <c r="AE64" i="44"/>
  <c r="AE63" i="44"/>
  <c r="AE62" i="44"/>
  <c r="AE61" i="44"/>
  <c r="AE60" i="44"/>
  <c r="AE59" i="44"/>
  <c r="AE58" i="44"/>
  <c r="AE57" i="44"/>
  <c r="AE56" i="44"/>
  <c r="AE55" i="44"/>
  <c r="AE54" i="44"/>
  <c r="AE53" i="44"/>
  <c r="AE52" i="44"/>
  <c r="AE51" i="44"/>
  <c r="AE50" i="44"/>
  <c r="AG49" i="44"/>
  <c r="AF49" i="44"/>
  <c r="AG48" i="44"/>
  <c r="AF48" i="44"/>
  <c r="AG47" i="44"/>
  <c r="AF47" i="44"/>
  <c r="AG46" i="44"/>
  <c r="AF46" i="44"/>
  <c r="AG45" i="44"/>
  <c r="AF45" i="44"/>
  <c r="AG44" i="44"/>
  <c r="AF44" i="44"/>
  <c r="AG43" i="44"/>
  <c r="AF43" i="44"/>
  <c r="AG42" i="44"/>
  <c r="AF42" i="44"/>
  <c r="AG41" i="44"/>
  <c r="AF41" i="44"/>
  <c r="AG40" i="44"/>
  <c r="AF40" i="44"/>
  <c r="AG39" i="44"/>
  <c r="AF39" i="44"/>
  <c r="AG38" i="44"/>
  <c r="AF38" i="44"/>
  <c r="AG37" i="44"/>
  <c r="AF37" i="44"/>
  <c r="AG36" i="44"/>
  <c r="AF36" i="44"/>
  <c r="AG35" i="44"/>
  <c r="AF35" i="44"/>
  <c r="AG34" i="44"/>
  <c r="AF34" i="44"/>
  <c r="AG33" i="44"/>
  <c r="AF33" i="44"/>
  <c r="AG32" i="44"/>
  <c r="AF32" i="44"/>
  <c r="AG31" i="44"/>
  <c r="AF31" i="44"/>
  <c r="AG30" i="44"/>
  <c r="AF30" i="44"/>
  <c r="AG29" i="44"/>
  <c r="AF29" i="44"/>
  <c r="AG28" i="44"/>
  <c r="AF28" i="44"/>
  <c r="AG27" i="44"/>
  <c r="AF27" i="44"/>
  <c r="AG26" i="44"/>
  <c r="AF26" i="44"/>
  <c r="AD25" i="44"/>
  <c r="AC25" i="44"/>
  <c r="AB25" i="44"/>
  <c r="AD24" i="44"/>
  <c r="AB24" i="44"/>
  <c r="AD23" i="44"/>
  <c r="AC23" i="44"/>
  <c r="AD22" i="44"/>
  <c r="AC22" i="44"/>
  <c r="AD21" i="44"/>
  <c r="AC21" i="44"/>
  <c r="AB21" i="44"/>
  <c r="AD20" i="44"/>
  <c r="AC20" i="44"/>
  <c r="AB20" i="44"/>
  <c r="AD19" i="44"/>
  <c r="AC19" i="44"/>
  <c r="AC18" i="44"/>
  <c r="AB18" i="44"/>
  <c r="AD17" i="44"/>
  <c r="AC17" i="44"/>
  <c r="AD16" i="44"/>
  <c r="AB16" i="44"/>
  <c r="AD15" i="44"/>
  <c r="AC15" i="44"/>
  <c r="AB15" i="44"/>
  <c r="AD14" i="44"/>
  <c r="AC14" i="44"/>
  <c r="AB14" i="44"/>
  <c r="AD13" i="44"/>
  <c r="AB13" i="44"/>
  <c r="AC12" i="44"/>
  <c r="AB12" i="44"/>
  <c r="AD11" i="44"/>
  <c r="AC10" i="44"/>
  <c r="AB10" i="44"/>
  <c r="AD9" i="44"/>
  <c r="AB9" i="44"/>
  <c r="AD8" i="44"/>
  <c r="AC8" i="44"/>
  <c r="AB8" i="44"/>
  <c r="AD7" i="44"/>
  <c r="AB7" i="44"/>
  <c r="AC6" i="44"/>
  <c r="AB6" i="44"/>
  <c r="AD5" i="44"/>
  <c r="AC5" i="44"/>
  <c r="AD4" i="44"/>
  <c r="AC4" i="44"/>
  <c r="AB4" i="44"/>
  <c r="AD3" i="44"/>
  <c r="AB3" i="44"/>
  <c r="AD2" i="44"/>
  <c r="AC2" i="44"/>
  <c r="AB2" i="44"/>
  <c r="X629" i="44"/>
  <c r="AD629" i="44" s="1"/>
  <c r="W629" i="44"/>
  <c r="AC629" i="44" s="1"/>
  <c r="V629" i="44"/>
  <c r="AB629" i="44" s="1"/>
  <c r="X628" i="44"/>
  <c r="AD628" i="44" s="1"/>
  <c r="W628" i="44"/>
  <c r="AC628" i="44" s="1"/>
  <c r="V628" i="44"/>
  <c r="AB628" i="44" s="1"/>
  <c r="X627" i="44"/>
  <c r="AD627" i="44" s="1"/>
  <c r="W627" i="44"/>
  <c r="AC627" i="44" s="1"/>
  <c r="V627" i="44"/>
  <c r="AB627" i="44" s="1"/>
  <c r="X626" i="44"/>
  <c r="AD626" i="44" s="1"/>
  <c r="W626" i="44"/>
  <c r="AC626" i="44" s="1"/>
  <c r="V626" i="44"/>
  <c r="AB626" i="44" s="1"/>
  <c r="X625" i="44"/>
  <c r="AD625" i="44" s="1"/>
  <c r="W625" i="44"/>
  <c r="AC625" i="44" s="1"/>
  <c r="V625" i="44"/>
  <c r="AB625" i="44" s="1"/>
  <c r="X624" i="44"/>
  <c r="AD624" i="44" s="1"/>
  <c r="W624" i="44"/>
  <c r="AC624" i="44" s="1"/>
  <c r="V624" i="44"/>
  <c r="AB624" i="44" s="1"/>
  <c r="X623" i="44"/>
  <c r="AD623" i="44" s="1"/>
  <c r="W623" i="44"/>
  <c r="AC623" i="44" s="1"/>
  <c r="V623" i="44"/>
  <c r="AB623" i="44" s="1"/>
  <c r="X622" i="44"/>
  <c r="AD622" i="44" s="1"/>
  <c r="W622" i="44"/>
  <c r="AC622" i="44" s="1"/>
  <c r="V622" i="44"/>
  <c r="AB622" i="44" s="1"/>
  <c r="X621" i="44"/>
  <c r="AD621" i="44" s="1"/>
  <c r="W621" i="44"/>
  <c r="AC621" i="44" s="1"/>
  <c r="V621" i="44"/>
  <c r="AB621" i="44" s="1"/>
  <c r="X620" i="44"/>
  <c r="AD620" i="44" s="1"/>
  <c r="W620" i="44"/>
  <c r="AC620" i="44" s="1"/>
  <c r="V620" i="44"/>
  <c r="AB620" i="44" s="1"/>
  <c r="X619" i="44"/>
  <c r="AD619" i="44" s="1"/>
  <c r="W619" i="44"/>
  <c r="AC619" i="44" s="1"/>
  <c r="V619" i="44"/>
  <c r="AB619" i="44" s="1"/>
  <c r="X618" i="44"/>
  <c r="AD618" i="44" s="1"/>
  <c r="W618" i="44"/>
  <c r="AC618" i="44" s="1"/>
  <c r="V618" i="44"/>
  <c r="AB618" i="44" s="1"/>
  <c r="V617" i="44"/>
  <c r="AB617" i="44" s="1"/>
  <c r="V616" i="44"/>
  <c r="AB616" i="44" s="1"/>
  <c r="V615" i="44"/>
  <c r="AB615" i="44" s="1"/>
  <c r="V614" i="44"/>
  <c r="AB614" i="44" s="1"/>
  <c r="V613" i="44"/>
  <c r="AB613" i="44" s="1"/>
  <c r="V612" i="44"/>
  <c r="AB612" i="44" s="1"/>
  <c r="V611" i="44"/>
  <c r="AB611" i="44" s="1"/>
  <c r="V610" i="44"/>
  <c r="AB610" i="44" s="1"/>
  <c r="V609" i="44"/>
  <c r="AB609" i="44" s="1"/>
  <c r="V608" i="44"/>
  <c r="AB608" i="44" s="1"/>
  <c r="V607" i="44"/>
  <c r="AB607" i="44" s="1"/>
  <c r="V606" i="44"/>
  <c r="AB606" i="44" s="1"/>
  <c r="X605" i="44"/>
  <c r="AD605" i="44" s="1"/>
  <c r="W605" i="44"/>
  <c r="AC605" i="44" s="1"/>
  <c r="V605" i="44"/>
  <c r="AB605" i="44" s="1"/>
  <c r="X604" i="44"/>
  <c r="AD604" i="44" s="1"/>
  <c r="W604" i="44"/>
  <c r="AC604" i="44" s="1"/>
  <c r="V604" i="44"/>
  <c r="AB604" i="44" s="1"/>
  <c r="X603" i="44"/>
  <c r="AD603" i="44" s="1"/>
  <c r="W603" i="44"/>
  <c r="AC603" i="44" s="1"/>
  <c r="V603" i="44"/>
  <c r="AB603" i="44" s="1"/>
  <c r="X602" i="44"/>
  <c r="AD602" i="44" s="1"/>
  <c r="W602" i="44"/>
  <c r="AC602" i="44" s="1"/>
  <c r="V602" i="44"/>
  <c r="AB602" i="44" s="1"/>
  <c r="X601" i="44"/>
  <c r="AD601" i="44" s="1"/>
  <c r="W601" i="44"/>
  <c r="AC601" i="44" s="1"/>
  <c r="V601" i="44"/>
  <c r="AB601" i="44" s="1"/>
  <c r="X600" i="44"/>
  <c r="AD600" i="44" s="1"/>
  <c r="W600" i="44"/>
  <c r="AC600" i="44" s="1"/>
  <c r="V600" i="44"/>
  <c r="AB600" i="44" s="1"/>
  <c r="X599" i="44"/>
  <c r="AD599" i="44" s="1"/>
  <c r="W599" i="44"/>
  <c r="AC599" i="44" s="1"/>
  <c r="V599" i="44"/>
  <c r="AB599" i="44" s="1"/>
  <c r="X598" i="44"/>
  <c r="AD598" i="44" s="1"/>
  <c r="W598" i="44"/>
  <c r="AC598" i="44" s="1"/>
  <c r="V598" i="44"/>
  <c r="AB598" i="44" s="1"/>
  <c r="X597" i="44"/>
  <c r="AD597" i="44" s="1"/>
  <c r="W597" i="44"/>
  <c r="AC597" i="44" s="1"/>
  <c r="V597" i="44"/>
  <c r="AB597" i="44" s="1"/>
  <c r="X596" i="44"/>
  <c r="AD596" i="44" s="1"/>
  <c r="W596" i="44"/>
  <c r="AC596" i="44" s="1"/>
  <c r="V596" i="44"/>
  <c r="AB596" i="44" s="1"/>
  <c r="X595" i="44"/>
  <c r="AD595" i="44" s="1"/>
  <c r="W595" i="44"/>
  <c r="AC595" i="44" s="1"/>
  <c r="V595" i="44"/>
  <c r="AB595" i="44" s="1"/>
  <c r="X594" i="44"/>
  <c r="AD594" i="44" s="1"/>
  <c r="W594" i="44"/>
  <c r="AC594" i="44" s="1"/>
  <c r="V594" i="44"/>
  <c r="AB594" i="44" s="1"/>
  <c r="X593" i="44"/>
  <c r="AD593" i="44" s="1"/>
  <c r="W593" i="44"/>
  <c r="AC593" i="44" s="1"/>
  <c r="V593" i="44"/>
  <c r="AB593" i="44" s="1"/>
  <c r="X592" i="44"/>
  <c r="AD592" i="44" s="1"/>
  <c r="W592" i="44"/>
  <c r="AC592" i="44" s="1"/>
  <c r="V592" i="44"/>
  <c r="AB592" i="44" s="1"/>
  <c r="X591" i="44"/>
  <c r="AD591" i="44" s="1"/>
  <c r="W591" i="44"/>
  <c r="AC591" i="44" s="1"/>
  <c r="V591" i="44"/>
  <c r="AB591" i="44" s="1"/>
  <c r="X590" i="44"/>
  <c r="AD590" i="44" s="1"/>
  <c r="W590" i="44"/>
  <c r="AC590" i="44" s="1"/>
  <c r="V590" i="44"/>
  <c r="AB590" i="44" s="1"/>
  <c r="X589" i="44"/>
  <c r="AD589" i="44" s="1"/>
  <c r="W589" i="44"/>
  <c r="AC589" i="44" s="1"/>
  <c r="V589" i="44"/>
  <c r="AB589" i="44" s="1"/>
  <c r="X588" i="44"/>
  <c r="AD588" i="44" s="1"/>
  <c r="W588" i="44"/>
  <c r="AC588" i="44" s="1"/>
  <c r="V588" i="44"/>
  <c r="AB588" i="44" s="1"/>
  <c r="X587" i="44"/>
  <c r="AD587" i="44" s="1"/>
  <c r="W587" i="44"/>
  <c r="AC587" i="44" s="1"/>
  <c r="V587" i="44"/>
  <c r="AB587" i="44" s="1"/>
  <c r="X586" i="44"/>
  <c r="AD586" i="44" s="1"/>
  <c r="W586" i="44"/>
  <c r="AC586" i="44" s="1"/>
  <c r="V586" i="44"/>
  <c r="AB586" i="44" s="1"/>
  <c r="X585" i="44"/>
  <c r="AD585" i="44" s="1"/>
  <c r="W585" i="44"/>
  <c r="AC585" i="44" s="1"/>
  <c r="V585" i="44"/>
  <c r="AB585" i="44" s="1"/>
  <c r="X584" i="44"/>
  <c r="AD584" i="44" s="1"/>
  <c r="W584" i="44"/>
  <c r="AC584" i="44" s="1"/>
  <c r="V584" i="44"/>
  <c r="AB584" i="44" s="1"/>
  <c r="X583" i="44"/>
  <c r="AD583" i="44" s="1"/>
  <c r="W583" i="44"/>
  <c r="AC583" i="44" s="1"/>
  <c r="V583" i="44"/>
  <c r="AB583" i="44" s="1"/>
  <c r="X582" i="44"/>
  <c r="AD582" i="44" s="1"/>
  <c r="W582" i="44"/>
  <c r="AC582" i="44" s="1"/>
  <c r="V582" i="44"/>
  <c r="AB582" i="44" s="1"/>
  <c r="X581" i="44"/>
  <c r="AD581" i="44" s="1"/>
  <c r="W581" i="44"/>
  <c r="AC581" i="44" s="1"/>
  <c r="V581" i="44"/>
  <c r="AB581" i="44" s="1"/>
  <c r="X580" i="44"/>
  <c r="AD580" i="44" s="1"/>
  <c r="W580" i="44"/>
  <c r="AC580" i="44" s="1"/>
  <c r="V580" i="44"/>
  <c r="AB580" i="44" s="1"/>
  <c r="X579" i="44"/>
  <c r="AD579" i="44" s="1"/>
  <c r="W579" i="44"/>
  <c r="AC579" i="44" s="1"/>
  <c r="V579" i="44"/>
  <c r="AB579" i="44" s="1"/>
  <c r="X578" i="44"/>
  <c r="AD578" i="44" s="1"/>
  <c r="W578" i="44"/>
  <c r="AC578" i="44" s="1"/>
  <c r="V578" i="44"/>
  <c r="AB578" i="44" s="1"/>
  <c r="X577" i="44"/>
  <c r="AD577" i="44" s="1"/>
  <c r="W577" i="44"/>
  <c r="AC577" i="44" s="1"/>
  <c r="V577" i="44"/>
  <c r="AB577" i="44" s="1"/>
  <c r="X576" i="44"/>
  <c r="AD576" i="44" s="1"/>
  <c r="W576" i="44"/>
  <c r="AC576" i="44" s="1"/>
  <c r="V576" i="44"/>
  <c r="AB576" i="44" s="1"/>
  <c r="X575" i="44"/>
  <c r="AD575" i="44" s="1"/>
  <c r="W575" i="44"/>
  <c r="AC575" i="44" s="1"/>
  <c r="V575" i="44"/>
  <c r="AB575" i="44" s="1"/>
  <c r="X574" i="44"/>
  <c r="AD574" i="44" s="1"/>
  <c r="W574" i="44"/>
  <c r="AC574" i="44" s="1"/>
  <c r="V574" i="44"/>
  <c r="AB574" i="44" s="1"/>
  <c r="X573" i="44"/>
  <c r="AD573" i="44" s="1"/>
  <c r="W573" i="44"/>
  <c r="AC573" i="44" s="1"/>
  <c r="V573" i="44"/>
  <c r="AB573" i="44" s="1"/>
  <c r="X572" i="44"/>
  <c r="AD572" i="44" s="1"/>
  <c r="W572" i="44"/>
  <c r="AC572" i="44" s="1"/>
  <c r="V572" i="44"/>
  <c r="AB572" i="44" s="1"/>
  <c r="X571" i="44"/>
  <c r="AD571" i="44" s="1"/>
  <c r="W571" i="44"/>
  <c r="AC571" i="44" s="1"/>
  <c r="V571" i="44"/>
  <c r="AB571" i="44" s="1"/>
  <c r="X570" i="44"/>
  <c r="AD570" i="44" s="1"/>
  <c r="W570" i="44"/>
  <c r="AC570" i="44" s="1"/>
  <c r="V570" i="44"/>
  <c r="AB570" i="44" s="1"/>
  <c r="X569" i="44"/>
  <c r="AD569" i="44" s="1"/>
  <c r="W569" i="44"/>
  <c r="AC569" i="44" s="1"/>
  <c r="V569" i="44"/>
  <c r="AB569" i="44" s="1"/>
  <c r="X568" i="44"/>
  <c r="AD568" i="44" s="1"/>
  <c r="W568" i="44"/>
  <c r="AC568" i="44" s="1"/>
  <c r="V568" i="44"/>
  <c r="AB568" i="44" s="1"/>
  <c r="X567" i="44"/>
  <c r="AD567" i="44" s="1"/>
  <c r="W567" i="44"/>
  <c r="AC567" i="44" s="1"/>
  <c r="V567" i="44"/>
  <c r="AB567" i="44" s="1"/>
  <c r="X566" i="44"/>
  <c r="AD566" i="44" s="1"/>
  <c r="W566" i="44"/>
  <c r="AC566" i="44" s="1"/>
  <c r="V566" i="44"/>
  <c r="AB566" i="44" s="1"/>
  <c r="X565" i="44"/>
  <c r="AD565" i="44" s="1"/>
  <c r="W565" i="44"/>
  <c r="AC565" i="44" s="1"/>
  <c r="V565" i="44"/>
  <c r="AB565" i="44" s="1"/>
  <c r="X564" i="44"/>
  <c r="AD564" i="44" s="1"/>
  <c r="W564" i="44"/>
  <c r="AC564" i="44" s="1"/>
  <c r="V564" i="44"/>
  <c r="AB564" i="44" s="1"/>
  <c r="X563" i="44"/>
  <c r="AD563" i="44" s="1"/>
  <c r="W563" i="44"/>
  <c r="AC563" i="44" s="1"/>
  <c r="V563" i="44"/>
  <c r="AB563" i="44" s="1"/>
  <c r="X562" i="44"/>
  <c r="AD562" i="44" s="1"/>
  <c r="W562" i="44"/>
  <c r="AC562" i="44" s="1"/>
  <c r="V562" i="44"/>
  <c r="AB562" i="44" s="1"/>
  <c r="X561" i="44"/>
  <c r="AD561" i="44" s="1"/>
  <c r="W561" i="44"/>
  <c r="AC561" i="44" s="1"/>
  <c r="V561" i="44"/>
  <c r="AB561" i="44" s="1"/>
  <c r="X560" i="44"/>
  <c r="AD560" i="44" s="1"/>
  <c r="W560" i="44"/>
  <c r="AC560" i="44" s="1"/>
  <c r="V560" i="44"/>
  <c r="AB560" i="44" s="1"/>
  <c r="X559" i="44"/>
  <c r="AD559" i="44" s="1"/>
  <c r="W559" i="44"/>
  <c r="AC559" i="44" s="1"/>
  <c r="V559" i="44"/>
  <c r="AB559" i="44" s="1"/>
  <c r="X558" i="44"/>
  <c r="AD558" i="44" s="1"/>
  <c r="W558" i="44"/>
  <c r="AC558" i="44" s="1"/>
  <c r="V558" i="44"/>
  <c r="AB558" i="44" s="1"/>
  <c r="X557" i="44"/>
  <c r="AD557" i="44" s="1"/>
  <c r="W557" i="44"/>
  <c r="AC557" i="44" s="1"/>
  <c r="V557" i="44"/>
  <c r="AB557" i="44" s="1"/>
  <c r="X556" i="44"/>
  <c r="AD556" i="44" s="1"/>
  <c r="W556" i="44"/>
  <c r="AC556" i="44" s="1"/>
  <c r="V556" i="44"/>
  <c r="AB556" i="44" s="1"/>
  <c r="X555" i="44"/>
  <c r="AD555" i="44" s="1"/>
  <c r="W555" i="44"/>
  <c r="AC555" i="44" s="1"/>
  <c r="V555" i="44"/>
  <c r="AB555" i="44" s="1"/>
  <c r="X554" i="44"/>
  <c r="AD554" i="44" s="1"/>
  <c r="W554" i="44"/>
  <c r="AC554" i="44" s="1"/>
  <c r="V554" i="44"/>
  <c r="AB554" i="44" s="1"/>
  <c r="X553" i="44"/>
  <c r="AD553" i="44" s="1"/>
  <c r="W553" i="44"/>
  <c r="AC553" i="44" s="1"/>
  <c r="V553" i="44"/>
  <c r="AB553" i="44" s="1"/>
  <c r="X552" i="44"/>
  <c r="AD552" i="44" s="1"/>
  <c r="W552" i="44"/>
  <c r="AC552" i="44" s="1"/>
  <c r="V552" i="44"/>
  <c r="AB552" i="44" s="1"/>
  <c r="X551" i="44"/>
  <c r="AD551" i="44" s="1"/>
  <c r="W551" i="44"/>
  <c r="AC551" i="44" s="1"/>
  <c r="V551" i="44"/>
  <c r="AB551" i="44" s="1"/>
  <c r="X550" i="44"/>
  <c r="AD550" i="44" s="1"/>
  <c r="W550" i="44"/>
  <c r="AC550" i="44" s="1"/>
  <c r="V550" i="44"/>
  <c r="AB550" i="44" s="1"/>
  <c r="X549" i="44"/>
  <c r="AD549" i="44" s="1"/>
  <c r="W549" i="44"/>
  <c r="AC549" i="44" s="1"/>
  <c r="V549" i="44"/>
  <c r="AB549" i="44" s="1"/>
  <c r="X548" i="44"/>
  <c r="AD548" i="44" s="1"/>
  <c r="W548" i="44"/>
  <c r="AC548" i="44" s="1"/>
  <c r="V548" i="44"/>
  <c r="AB548" i="44" s="1"/>
  <c r="X547" i="44"/>
  <c r="AD547" i="44" s="1"/>
  <c r="W547" i="44"/>
  <c r="AC547" i="44" s="1"/>
  <c r="V547" i="44"/>
  <c r="AB547" i="44" s="1"/>
  <c r="X546" i="44"/>
  <c r="AD546" i="44" s="1"/>
  <c r="W546" i="44"/>
  <c r="AC546" i="44" s="1"/>
  <c r="V546" i="44"/>
  <c r="AB546" i="44" s="1"/>
  <c r="X545" i="44"/>
  <c r="AD545" i="44" s="1"/>
  <c r="W545" i="44"/>
  <c r="AC545" i="44" s="1"/>
  <c r="V545" i="44"/>
  <c r="AB545" i="44" s="1"/>
  <c r="X544" i="44"/>
  <c r="AD544" i="44" s="1"/>
  <c r="W544" i="44"/>
  <c r="AC544" i="44" s="1"/>
  <c r="V544" i="44"/>
  <c r="AB544" i="44" s="1"/>
  <c r="X543" i="44"/>
  <c r="AD543" i="44" s="1"/>
  <c r="W543" i="44"/>
  <c r="AC543" i="44" s="1"/>
  <c r="V543" i="44"/>
  <c r="AB543" i="44" s="1"/>
  <c r="X542" i="44"/>
  <c r="AD542" i="44" s="1"/>
  <c r="W542" i="44"/>
  <c r="AC542" i="44" s="1"/>
  <c r="V542" i="44"/>
  <c r="AB542" i="44" s="1"/>
  <c r="X541" i="44"/>
  <c r="AD541" i="44" s="1"/>
  <c r="W541" i="44"/>
  <c r="AC541" i="44" s="1"/>
  <c r="V541" i="44"/>
  <c r="AB541" i="44" s="1"/>
  <c r="X540" i="44"/>
  <c r="AD540" i="44" s="1"/>
  <c r="W540" i="44"/>
  <c r="AC540" i="44" s="1"/>
  <c r="V540" i="44"/>
  <c r="AB540" i="44" s="1"/>
  <c r="X539" i="44"/>
  <c r="AD539" i="44" s="1"/>
  <c r="W539" i="44"/>
  <c r="AC539" i="44" s="1"/>
  <c r="V539" i="44"/>
  <c r="AB539" i="44" s="1"/>
  <c r="X538" i="44"/>
  <c r="AD538" i="44" s="1"/>
  <c r="W538" i="44"/>
  <c r="AC538" i="44" s="1"/>
  <c r="V538" i="44"/>
  <c r="AB538" i="44" s="1"/>
  <c r="X537" i="44"/>
  <c r="AD537" i="44" s="1"/>
  <c r="W537" i="44"/>
  <c r="AC537" i="44" s="1"/>
  <c r="V537" i="44"/>
  <c r="AB537" i="44" s="1"/>
  <c r="X536" i="44"/>
  <c r="AD536" i="44" s="1"/>
  <c r="W536" i="44"/>
  <c r="AC536" i="44" s="1"/>
  <c r="V536" i="44"/>
  <c r="AB536" i="44" s="1"/>
  <c r="X535" i="44"/>
  <c r="AD535" i="44" s="1"/>
  <c r="W535" i="44"/>
  <c r="AC535" i="44" s="1"/>
  <c r="V535" i="44"/>
  <c r="AB535" i="44" s="1"/>
  <c r="X534" i="44"/>
  <c r="AD534" i="44" s="1"/>
  <c r="W534" i="44"/>
  <c r="AC534" i="44" s="1"/>
  <c r="V534" i="44"/>
  <c r="AB534" i="44" s="1"/>
  <c r="X533" i="44"/>
  <c r="AD533" i="44" s="1"/>
  <c r="W533" i="44"/>
  <c r="AC533" i="44" s="1"/>
  <c r="V533" i="44"/>
  <c r="AB533" i="44" s="1"/>
  <c r="X532" i="44"/>
  <c r="AD532" i="44" s="1"/>
  <c r="W532" i="44"/>
  <c r="AC532" i="44" s="1"/>
  <c r="V532" i="44"/>
  <c r="AB532" i="44" s="1"/>
  <c r="X531" i="44"/>
  <c r="AD531" i="44" s="1"/>
  <c r="W531" i="44"/>
  <c r="AC531" i="44" s="1"/>
  <c r="V531" i="44"/>
  <c r="AB531" i="44" s="1"/>
  <c r="X530" i="44"/>
  <c r="AD530" i="44" s="1"/>
  <c r="W530" i="44"/>
  <c r="AC530" i="44" s="1"/>
  <c r="V530" i="44"/>
  <c r="AB530" i="44" s="1"/>
  <c r="X529" i="44"/>
  <c r="AD529" i="44" s="1"/>
  <c r="W529" i="44"/>
  <c r="AC529" i="44" s="1"/>
  <c r="V529" i="44"/>
  <c r="AB529" i="44" s="1"/>
  <c r="X528" i="44"/>
  <c r="AD528" i="44" s="1"/>
  <c r="W528" i="44"/>
  <c r="AC528" i="44" s="1"/>
  <c r="V528" i="44"/>
  <c r="AB528" i="44" s="1"/>
  <c r="X527" i="44"/>
  <c r="AD527" i="44" s="1"/>
  <c r="W527" i="44"/>
  <c r="AC527" i="44" s="1"/>
  <c r="V527" i="44"/>
  <c r="AB527" i="44" s="1"/>
  <c r="X526" i="44"/>
  <c r="AD526" i="44" s="1"/>
  <c r="W526" i="44"/>
  <c r="AC526" i="44" s="1"/>
  <c r="V526" i="44"/>
  <c r="AB526" i="44" s="1"/>
  <c r="X525" i="44"/>
  <c r="AD525" i="44" s="1"/>
  <c r="W525" i="44"/>
  <c r="AC525" i="44" s="1"/>
  <c r="V525" i="44"/>
  <c r="AB525" i="44" s="1"/>
  <c r="X524" i="44"/>
  <c r="AD524" i="44" s="1"/>
  <c r="W524" i="44"/>
  <c r="AC524" i="44" s="1"/>
  <c r="V524" i="44"/>
  <c r="AB524" i="44" s="1"/>
  <c r="X523" i="44"/>
  <c r="AD523" i="44" s="1"/>
  <c r="W523" i="44"/>
  <c r="AC523" i="44" s="1"/>
  <c r="V523" i="44"/>
  <c r="AB523" i="44" s="1"/>
  <c r="X522" i="44"/>
  <c r="AD522" i="44" s="1"/>
  <c r="W522" i="44"/>
  <c r="AC522" i="44" s="1"/>
  <c r="V522" i="44"/>
  <c r="AB522" i="44" s="1"/>
  <c r="X521" i="44"/>
  <c r="AD521" i="44" s="1"/>
  <c r="W521" i="44"/>
  <c r="AC521" i="44" s="1"/>
  <c r="V521" i="44"/>
  <c r="AB521" i="44" s="1"/>
  <c r="X520" i="44"/>
  <c r="AD520" i="44" s="1"/>
  <c r="W520" i="44"/>
  <c r="AC520" i="44" s="1"/>
  <c r="V520" i="44"/>
  <c r="AB520" i="44" s="1"/>
  <c r="X519" i="44"/>
  <c r="AD519" i="44" s="1"/>
  <c r="W519" i="44"/>
  <c r="AC519" i="44" s="1"/>
  <c r="V519" i="44"/>
  <c r="AB519" i="44" s="1"/>
  <c r="X518" i="44"/>
  <c r="AD518" i="44" s="1"/>
  <c r="W518" i="44"/>
  <c r="AC518" i="44" s="1"/>
  <c r="V518" i="44"/>
  <c r="AB518" i="44" s="1"/>
  <c r="X517" i="44"/>
  <c r="AD517" i="44" s="1"/>
  <c r="W517" i="44"/>
  <c r="AC517" i="44" s="1"/>
  <c r="V517" i="44"/>
  <c r="AB517" i="44" s="1"/>
  <c r="X516" i="44"/>
  <c r="AD516" i="44" s="1"/>
  <c r="W516" i="44"/>
  <c r="AC516" i="44" s="1"/>
  <c r="V516" i="44"/>
  <c r="AB516" i="44" s="1"/>
  <c r="X515" i="44"/>
  <c r="AD515" i="44" s="1"/>
  <c r="W515" i="44"/>
  <c r="AC515" i="44" s="1"/>
  <c r="V515" i="44"/>
  <c r="AB515" i="44" s="1"/>
  <c r="X514" i="44"/>
  <c r="AD514" i="44" s="1"/>
  <c r="W514" i="44"/>
  <c r="AC514" i="44" s="1"/>
  <c r="V514" i="44"/>
  <c r="AB514" i="44" s="1"/>
  <c r="X513" i="44"/>
  <c r="AD513" i="44" s="1"/>
  <c r="W513" i="44"/>
  <c r="AC513" i="44" s="1"/>
  <c r="V513" i="44"/>
  <c r="AB513" i="44" s="1"/>
  <c r="X512" i="44"/>
  <c r="AD512" i="44" s="1"/>
  <c r="W512" i="44"/>
  <c r="AC512" i="44" s="1"/>
  <c r="V512" i="44"/>
  <c r="AB512" i="44" s="1"/>
  <c r="X511" i="44"/>
  <c r="AD511" i="44" s="1"/>
  <c r="W511" i="44"/>
  <c r="AC511" i="44" s="1"/>
  <c r="V511" i="44"/>
  <c r="AB511" i="44" s="1"/>
  <c r="X510" i="44"/>
  <c r="AD510" i="44" s="1"/>
  <c r="W510" i="44"/>
  <c r="AC510" i="44" s="1"/>
  <c r="V510" i="44"/>
  <c r="AB510" i="44" s="1"/>
  <c r="X509" i="44"/>
  <c r="AD509" i="44" s="1"/>
  <c r="W509" i="44"/>
  <c r="AC509" i="44" s="1"/>
  <c r="V509" i="44"/>
  <c r="AB509" i="44" s="1"/>
  <c r="X508" i="44"/>
  <c r="AD508" i="44" s="1"/>
  <c r="W508" i="44"/>
  <c r="AC508" i="44" s="1"/>
  <c r="V508" i="44"/>
  <c r="AB508" i="44" s="1"/>
  <c r="X507" i="44"/>
  <c r="AD507" i="44" s="1"/>
  <c r="W507" i="44"/>
  <c r="AC507" i="44" s="1"/>
  <c r="V507" i="44"/>
  <c r="AB507" i="44" s="1"/>
  <c r="X506" i="44"/>
  <c r="AD506" i="44" s="1"/>
  <c r="W506" i="44"/>
  <c r="AC506" i="44" s="1"/>
  <c r="V506" i="44"/>
  <c r="AB506" i="44" s="1"/>
  <c r="X505" i="44"/>
  <c r="AD505" i="44" s="1"/>
  <c r="W505" i="44"/>
  <c r="AC505" i="44" s="1"/>
  <c r="V505" i="44"/>
  <c r="AB505" i="44" s="1"/>
  <c r="X504" i="44"/>
  <c r="AD504" i="44" s="1"/>
  <c r="W504" i="44"/>
  <c r="AC504" i="44" s="1"/>
  <c r="V504" i="44"/>
  <c r="AB504" i="44" s="1"/>
  <c r="X503" i="44"/>
  <c r="AD503" i="44" s="1"/>
  <c r="W503" i="44"/>
  <c r="AC503" i="44" s="1"/>
  <c r="V503" i="44"/>
  <c r="AB503" i="44" s="1"/>
  <c r="X502" i="44"/>
  <c r="AD502" i="44" s="1"/>
  <c r="W502" i="44"/>
  <c r="AC502" i="44" s="1"/>
  <c r="V502" i="44"/>
  <c r="AB502" i="44" s="1"/>
  <c r="X501" i="44"/>
  <c r="AD501" i="44" s="1"/>
  <c r="W501" i="44"/>
  <c r="AC501" i="44" s="1"/>
  <c r="V501" i="44"/>
  <c r="AB501" i="44" s="1"/>
  <c r="X500" i="44"/>
  <c r="AD500" i="44" s="1"/>
  <c r="W500" i="44"/>
  <c r="AC500" i="44" s="1"/>
  <c r="V500" i="44"/>
  <c r="AB500" i="44" s="1"/>
  <c r="X499" i="44"/>
  <c r="AD499" i="44" s="1"/>
  <c r="W499" i="44"/>
  <c r="AC499" i="44" s="1"/>
  <c r="V499" i="44"/>
  <c r="AB499" i="44" s="1"/>
  <c r="X498" i="44"/>
  <c r="AD498" i="44" s="1"/>
  <c r="W498" i="44"/>
  <c r="AC498" i="44" s="1"/>
  <c r="V498" i="44"/>
  <c r="AB498" i="44" s="1"/>
  <c r="X497" i="44"/>
  <c r="AD497" i="44" s="1"/>
  <c r="W497" i="44"/>
  <c r="AC497" i="44" s="1"/>
  <c r="V497" i="44"/>
  <c r="AB497" i="44" s="1"/>
  <c r="X496" i="44"/>
  <c r="AD496" i="44" s="1"/>
  <c r="W496" i="44"/>
  <c r="AC496" i="44" s="1"/>
  <c r="V496" i="44"/>
  <c r="AB496" i="44" s="1"/>
  <c r="X495" i="44"/>
  <c r="AD495" i="44" s="1"/>
  <c r="W495" i="44"/>
  <c r="AC495" i="44" s="1"/>
  <c r="V495" i="44"/>
  <c r="AB495" i="44" s="1"/>
  <c r="X494" i="44"/>
  <c r="AD494" i="44" s="1"/>
  <c r="W494" i="44"/>
  <c r="AC494" i="44" s="1"/>
  <c r="V494" i="44"/>
  <c r="AB494" i="44" s="1"/>
  <c r="X493" i="44"/>
  <c r="AD493" i="44" s="1"/>
  <c r="W493" i="44"/>
  <c r="AC493" i="44" s="1"/>
  <c r="V493" i="44"/>
  <c r="AB493" i="44" s="1"/>
  <c r="X492" i="44"/>
  <c r="AD492" i="44" s="1"/>
  <c r="W492" i="44"/>
  <c r="AC492" i="44" s="1"/>
  <c r="V492" i="44"/>
  <c r="AB492" i="44" s="1"/>
  <c r="X491" i="44"/>
  <c r="AD491" i="44" s="1"/>
  <c r="W491" i="44"/>
  <c r="AC491" i="44" s="1"/>
  <c r="V491" i="44"/>
  <c r="AB491" i="44" s="1"/>
  <c r="X490" i="44"/>
  <c r="AD490" i="44" s="1"/>
  <c r="W490" i="44"/>
  <c r="AC490" i="44" s="1"/>
  <c r="V490" i="44"/>
  <c r="AB490" i="44" s="1"/>
  <c r="X489" i="44"/>
  <c r="AD489" i="44" s="1"/>
  <c r="W489" i="44"/>
  <c r="AC489" i="44" s="1"/>
  <c r="V489" i="44"/>
  <c r="AB489" i="44" s="1"/>
  <c r="X488" i="44"/>
  <c r="AD488" i="44" s="1"/>
  <c r="W488" i="44"/>
  <c r="AC488" i="44" s="1"/>
  <c r="V488" i="44"/>
  <c r="AB488" i="44" s="1"/>
  <c r="X487" i="44"/>
  <c r="AD487" i="44" s="1"/>
  <c r="W487" i="44"/>
  <c r="AC487" i="44" s="1"/>
  <c r="V487" i="44"/>
  <c r="AB487" i="44" s="1"/>
  <c r="X486" i="44"/>
  <c r="AD486" i="44" s="1"/>
  <c r="W486" i="44"/>
  <c r="AC486" i="44" s="1"/>
  <c r="V486" i="44"/>
  <c r="AB486" i="44" s="1"/>
  <c r="X485" i="44"/>
  <c r="AD485" i="44" s="1"/>
  <c r="W485" i="44"/>
  <c r="AC485" i="44" s="1"/>
  <c r="V485" i="44"/>
  <c r="AB485" i="44" s="1"/>
  <c r="X484" i="44"/>
  <c r="AD484" i="44" s="1"/>
  <c r="W484" i="44"/>
  <c r="AC484" i="44" s="1"/>
  <c r="V484" i="44"/>
  <c r="AB484" i="44" s="1"/>
  <c r="X483" i="44"/>
  <c r="AD483" i="44" s="1"/>
  <c r="W483" i="44"/>
  <c r="AC483" i="44" s="1"/>
  <c r="V483" i="44"/>
  <c r="AB483" i="44" s="1"/>
  <c r="X482" i="44"/>
  <c r="AD482" i="44" s="1"/>
  <c r="W482" i="44"/>
  <c r="AC482" i="44" s="1"/>
  <c r="V482" i="44"/>
  <c r="AB482" i="44" s="1"/>
  <c r="X481" i="44"/>
  <c r="AD481" i="44" s="1"/>
  <c r="W481" i="44"/>
  <c r="AC481" i="44" s="1"/>
  <c r="V481" i="44"/>
  <c r="AB481" i="44" s="1"/>
  <c r="X480" i="44"/>
  <c r="AD480" i="44" s="1"/>
  <c r="W480" i="44"/>
  <c r="AC480" i="44" s="1"/>
  <c r="V480" i="44"/>
  <c r="AB480" i="44" s="1"/>
  <c r="X479" i="44"/>
  <c r="AD479" i="44" s="1"/>
  <c r="W479" i="44"/>
  <c r="AC479" i="44" s="1"/>
  <c r="V479" i="44"/>
  <c r="AB479" i="44" s="1"/>
  <c r="X478" i="44"/>
  <c r="AD478" i="44" s="1"/>
  <c r="W478" i="44"/>
  <c r="AC478" i="44" s="1"/>
  <c r="V478" i="44"/>
  <c r="AB478" i="44" s="1"/>
  <c r="X477" i="44"/>
  <c r="AD477" i="44" s="1"/>
  <c r="W477" i="44"/>
  <c r="AC477" i="44" s="1"/>
  <c r="V477" i="44"/>
  <c r="AB477" i="44" s="1"/>
  <c r="X476" i="44"/>
  <c r="AD476" i="44" s="1"/>
  <c r="W476" i="44"/>
  <c r="AC476" i="44" s="1"/>
  <c r="V476" i="44"/>
  <c r="AB476" i="44" s="1"/>
  <c r="X475" i="44"/>
  <c r="AD475" i="44" s="1"/>
  <c r="W475" i="44"/>
  <c r="AC475" i="44" s="1"/>
  <c r="V475" i="44"/>
  <c r="AB475" i="44" s="1"/>
  <c r="X474" i="44"/>
  <c r="AD474" i="44" s="1"/>
  <c r="W474" i="44"/>
  <c r="AC474" i="44" s="1"/>
  <c r="V474" i="44"/>
  <c r="AB474" i="44" s="1"/>
  <c r="X473" i="44"/>
  <c r="AD473" i="44" s="1"/>
  <c r="W473" i="44"/>
  <c r="AC473" i="44" s="1"/>
  <c r="V473" i="44"/>
  <c r="AB473" i="44" s="1"/>
  <c r="X472" i="44"/>
  <c r="AD472" i="44" s="1"/>
  <c r="W472" i="44"/>
  <c r="AC472" i="44" s="1"/>
  <c r="V472" i="44"/>
  <c r="AB472" i="44" s="1"/>
  <c r="X471" i="44"/>
  <c r="AD471" i="44" s="1"/>
  <c r="W471" i="44"/>
  <c r="AC471" i="44" s="1"/>
  <c r="V471" i="44"/>
  <c r="AB471" i="44" s="1"/>
  <c r="X470" i="44"/>
  <c r="AD470" i="44" s="1"/>
  <c r="W470" i="44"/>
  <c r="AC470" i="44" s="1"/>
  <c r="V470" i="44"/>
  <c r="AB470" i="44" s="1"/>
  <c r="X469" i="44"/>
  <c r="AD469" i="44" s="1"/>
  <c r="W469" i="44"/>
  <c r="AC469" i="44" s="1"/>
  <c r="V469" i="44"/>
  <c r="AB469" i="44" s="1"/>
  <c r="X468" i="44"/>
  <c r="AD468" i="44" s="1"/>
  <c r="W468" i="44"/>
  <c r="AC468" i="44" s="1"/>
  <c r="V468" i="44"/>
  <c r="AB468" i="44" s="1"/>
  <c r="X467" i="44"/>
  <c r="AD467" i="44" s="1"/>
  <c r="W467" i="44"/>
  <c r="AC467" i="44" s="1"/>
  <c r="V467" i="44"/>
  <c r="AB467" i="44" s="1"/>
  <c r="X466" i="44"/>
  <c r="AD466" i="44" s="1"/>
  <c r="W466" i="44"/>
  <c r="AC466" i="44" s="1"/>
  <c r="V466" i="44"/>
  <c r="AB466" i="44" s="1"/>
  <c r="X465" i="44"/>
  <c r="AD465" i="44" s="1"/>
  <c r="W465" i="44"/>
  <c r="AC465" i="44" s="1"/>
  <c r="V465" i="44"/>
  <c r="AB465" i="44" s="1"/>
  <c r="X464" i="44"/>
  <c r="AD464" i="44" s="1"/>
  <c r="W464" i="44"/>
  <c r="AC464" i="44" s="1"/>
  <c r="V464" i="44"/>
  <c r="AB464" i="44" s="1"/>
  <c r="X463" i="44"/>
  <c r="AD463" i="44" s="1"/>
  <c r="W463" i="44"/>
  <c r="AC463" i="44" s="1"/>
  <c r="V463" i="44"/>
  <c r="AB463" i="44" s="1"/>
  <c r="X462" i="44"/>
  <c r="AD462" i="44" s="1"/>
  <c r="W462" i="44"/>
  <c r="AC462" i="44" s="1"/>
  <c r="V462" i="44"/>
  <c r="AB462" i="44" s="1"/>
  <c r="X461" i="44"/>
  <c r="AD461" i="44" s="1"/>
  <c r="W461" i="44"/>
  <c r="AC461" i="44" s="1"/>
  <c r="V461" i="44"/>
  <c r="AB461" i="44" s="1"/>
  <c r="X460" i="44"/>
  <c r="AD460" i="44" s="1"/>
  <c r="W460" i="44"/>
  <c r="AC460" i="44" s="1"/>
  <c r="V460" i="44"/>
  <c r="AB460" i="44" s="1"/>
  <c r="X459" i="44"/>
  <c r="AD459" i="44" s="1"/>
  <c r="W459" i="44"/>
  <c r="AC459" i="44" s="1"/>
  <c r="V459" i="44"/>
  <c r="AB459" i="44" s="1"/>
  <c r="X458" i="44"/>
  <c r="AD458" i="44" s="1"/>
  <c r="W458" i="44"/>
  <c r="AC458" i="44" s="1"/>
  <c r="V458" i="44"/>
  <c r="AB458" i="44" s="1"/>
  <c r="X457" i="44"/>
  <c r="AD457" i="44" s="1"/>
  <c r="W457" i="44"/>
  <c r="AC457" i="44" s="1"/>
  <c r="V457" i="44"/>
  <c r="AB457" i="44" s="1"/>
  <c r="X456" i="44"/>
  <c r="AD456" i="44" s="1"/>
  <c r="W456" i="44"/>
  <c r="AC456" i="44" s="1"/>
  <c r="V456" i="44"/>
  <c r="AB456" i="44" s="1"/>
  <c r="X455" i="44"/>
  <c r="AD455" i="44" s="1"/>
  <c r="W455" i="44"/>
  <c r="AC455" i="44" s="1"/>
  <c r="V455" i="44"/>
  <c r="AB455" i="44" s="1"/>
  <c r="X454" i="44"/>
  <c r="AD454" i="44" s="1"/>
  <c r="W454" i="44"/>
  <c r="AC454" i="44" s="1"/>
  <c r="V454" i="44"/>
  <c r="AB454" i="44" s="1"/>
  <c r="X453" i="44"/>
  <c r="AD453" i="44" s="1"/>
  <c r="W453" i="44"/>
  <c r="AC453" i="44" s="1"/>
  <c r="V453" i="44"/>
  <c r="AB453" i="44" s="1"/>
  <c r="X452" i="44"/>
  <c r="AD452" i="44" s="1"/>
  <c r="W452" i="44"/>
  <c r="AC452" i="44" s="1"/>
  <c r="V452" i="44"/>
  <c r="AB452" i="44" s="1"/>
  <c r="X451" i="44"/>
  <c r="AD451" i="44" s="1"/>
  <c r="W451" i="44"/>
  <c r="AC451" i="44" s="1"/>
  <c r="V451" i="44"/>
  <c r="AB451" i="44" s="1"/>
  <c r="X450" i="44"/>
  <c r="AD450" i="44" s="1"/>
  <c r="W450" i="44"/>
  <c r="AC450" i="44" s="1"/>
  <c r="V450" i="44"/>
  <c r="AB450" i="44" s="1"/>
  <c r="X449" i="44"/>
  <c r="AD449" i="44" s="1"/>
  <c r="W449" i="44"/>
  <c r="AC449" i="44" s="1"/>
  <c r="V449" i="44"/>
  <c r="AB449" i="44" s="1"/>
  <c r="X448" i="44"/>
  <c r="AD448" i="44" s="1"/>
  <c r="W448" i="44"/>
  <c r="AC448" i="44" s="1"/>
  <c r="V448" i="44"/>
  <c r="AB448" i="44" s="1"/>
  <c r="X447" i="44"/>
  <c r="AD447" i="44" s="1"/>
  <c r="W447" i="44"/>
  <c r="AC447" i="44" s="1"/>
  <c r="V447" i="44"/>
  <c r="AB447" i="44" s="1"/>
  <c r="X446" i="44"/>
  <c r="AD446" i="44" s="1"/>
  <c r="W446" i="44"/>
  <c r="AC446" i="44" s="1"/>
  <c r="V446" i="44"/>
  <c r="AB446" i="44" s="1"/>
  <c r="X445" i="44"/>
  <c r="AD445" i="44" s="1"/>
  <c r="W445" i="44"/>
  <c r="AC445" i="44" s="1"/>
  <c r="V445" i="44"/>
  <c r="AB445" i="44" s="1"/>
  <c r="X444" i="44"/>
  <c r="AD444" i="44" s="1"/>
  <c r="W444" i="44"/>
  <c r="AC444" i="44" s="1"/>
  <c r="V444" i="44"/>
  <c r="AB444" i="44" s="1"/>
  <c r="X443" i="44"/>
  <c r="AD443" i="44" s="1"/>
  <c r="W443" i="44"/>
  <c r="AC443" i="44" s="1"/>
  <c r="V443" i="44"/>
  <c r="AB443" i="44" s="1"/>
  <c r="X442" i="44"/>
  <c r="AD442" i="44" s="1"/>
  <c r="W442" i="44"/>
  <c r="AC442" i="44" s="1"/>
  <c r="V442" i="44"/>
  <c r="AB442" i="44" s="1"/>
  <c r="X441" i="44"/>
  <c r="AD441" i="44" s="1"/>
  <c r="W441" i="44"/>
  <c r="AC441" i="44" s="1"/>
  <c r="V441" i="44"/>
  <c r="AB441" i="44" s="1"/>
  <c r="X440" i="44"/>
  <c r="AD440" i="44" s="1"/>
  <c r="W440" i="44"/>
  <c r="AC440" i="44" s="1"/>
  <c r="V440" i="44"/>
  <c r="AB440" i="44" s="1"/>
  <c r="X439" i="44"/>
  <c r="AD439" i="44" s="1"/>
  <c r="W439" i="44"/>
  <c r="AC439" i="44" s="1"/>
  <c r="V439" i="44"/>
  <c r="AB439" i="44" s="1"/>
  <c r="X438" i="44"/>
  <c r="AD438" i="44" s="1"/>
  <c r="W438" i="44"/>
  <c r="AC438" i="44" s="1"/>
  <c r="V438" i="44"/>
  <c r="AB438" i="44" s="1"/>
  <c r="X437" i="44"/>
  <c r="AD437" i="44" s="1"/>
  <c r="W437" i="44"/>
  <c r="AC437" i="44" s="1"/>
  <c r="V437" i="44"/>
  <c r="AB437" i="44" s="1"/>
  <c r="X436" i="44"/>
  <c r="AD436" i="44" s="1"/>
  <c r="W436" i="44"/>
  <c r="AC436" i="44" s="1"/>
  <c r="V436" i="44"/>
  <c r="AB436" i="44" s="1"/>
  <c r="X435" i="44"/>
  <c r="AD435" i="44" s="1"/>
  <c r="W435" i="44"/>
  <c r="AC435" i="44" s="1"/>
  <c r="V435" i="44"/>
  <c r="AB435" i="44" s="1"/>
  <c r="X434" i="44"/>
  <c r="AD434" i="44" s="1"/>
  <c r="W434" i="44"/>
  <c r="AC434" i="44" s="1"/>
  <c r="V434" i="44"/>
  <c r="AB434" i="44" s="1"/>
  <c r="X433" i="44"/>
  <c r="AD433" i="44" s="1"/>
  <c r="W433" i="44"/>
  <c r="AC433" i="44" s="1"/>
  <c r="V433" i="44"/>
  <c r="AB433" i="44" s="1"/>
  <c r="X432" i="44"/>
  <c r="AD432" i="44" s="1"/>
  <c r="W432" i="44"/>
  <c r="AC432" i="44" s="1"/>
  <c r="V432" i="44"/>
  <c r="AB432" i="44" s="1"/>
  <c r="X431" i="44"/>
  <c r="AD431" i="44" s="1"/>
  <c r="W431" i="44"/>
  <c r="AC431" i="44" s="1"/>
  <c r="V431" i="44"/>
  <c r="AB431" i="44" s="1"/>
  <c r="X430" i="44"/>
  <c r="AD430" i="44" s="1"/>
  <c r="W430" i="44"/>
  <c r="AC430" i="44" s="1"/>
  <c r="V430" i="44"/>
  <c r="AB430" i="44" s="1"/>
  <c r="X429" i="44"/>
  <c r="AD429" i="44" s="1"/>
  <c r="W429" i="44"/>
  <c r="AC429" i="44" s="1"/>
  <c r="V429" i="44"/>
  <c r="AB429" i="44" s="1"/>
  <c r="X428" i="44"/>
  <c r="AD428" i="44" s="1"/>
  <c r="W428" i="44"/>
  <c r="AC428" i="44" s="1"/>
  <c r="V428" i="44"/>
  <c r="AB428" i="44" s="1"/>
  <c r="X427" i="44"/>
  <c r="AD427" i="44" s="1"/>
  <c r="W427" i="44"/>
  <c r="AC427" i="44" s="1"/>
  <c r="V427" i="44"/>
  <c r="AB427" i="44" s="1"/>
  <c r="X426" i="44"/>
  <c r="AD426" i="44" s="1"/>
  <c r="W426" i="44"/>
  <c r="AC426" i="44" s="1"/>
  <c r="V426" i="44"/>
  <c r="AB426" i="44" s="1"/>
  <c r="X425" i="44"/>
  <c r="AD425" i="44" s="1"/>
  <c r="W425" i="44"/>
  <c r="AC425" i="44" s="1"/>
  <c r="V425" i="44"/>
  <c r="AB425" i="44" s="1"/>
  <c r="X424" i="44"/>
  <c r="AD424" i="44" s="1"/>
  <c r="W424" i="44"/>
  <c r="AC424" i="44" s="1"/>
  <c r="V424" i="44"/>
  <c r="AB424" i="44" s="1"/>
  <c r="X423" i="44"/>
  <c r="AD423" i="44" s="1"/>
  <c r="W423" i="44"/>
  <c r="AC423" i="44" s="1"/>
  <c r="V423" i="44"/>
  <c r="AB423" i="44" s="1"/>
  <c r="X422" i="44"/>
  <c r="AD422" i="44" s="1"/>
  <c r="W422" i="44"/>
  <c r="AC422" i="44" s="1"/>
  <c r="V422" i="44"/>
  <c r="AB422" i="44" s="1"/>
  <c r="X421" i="44"/>
  <c r="AD421" i="44" s="1"/>
  <c r="W421" i="44"/>
  <c r="AC421" i="44" s="1"/>
  <c r="V421" i="44"/>
  <c r="AB421" i="44" s="1"/>
  <c r="X420" i="44"/>
  <c r="AD420" i="44" s="1"/>
  <c r="W420" i="44"/>
  <c r="AC420" i="44" s="1"/>
  <c r="V420" i="44"/>
  <c r="AB420" i="44" s="1"/>
  <c r="X419" i="44"/>
  <c r="AD419" i="44" s="1"/>
  <c r="W419" i="44"/>
  <c r="AC419" i="44" s="1"/>
  <c r="V419" i="44"/>
  <c r="AB419" i="44" s="1"/>
  <c r="X418" i="44"/>
  <c r="AD418" i="44" s="1"/>
  <c r="W418" i="44"/>
  <c r="AC418" i="44" s="1"/>
  <c r="V418" i="44"/>
  <c r="AB418" i="44" s="1"/>
  <c r="X417" i="44"/>
  <c r="AD417" i="44" s="1"/>
  <c r="W417" i="44"/>
  <c r="AC417" i="44" s="1"/>
  <c r="V417" i="44"/>
  <c r="AB417" i="44" s="1"/>
  <c r="X416" i="44"/>
  <c r="AD416" i="44" s="1"/>
  <c r="W416" i="44"/>
  <c r="AC416" i="44" s="1"/>
  <c r="V416" i="44"/>
  <c r="AB416" i="44" s="1"/>
  <c r="X415" i="44"/>
  <c r="AD415" i="44" s="1"/>
  <c r="W415" i="44"/>
  <c r="AC415" i="44" s="1"/>
  <c r="V415" i="44"/>
  <c r="AB415" i="44" s="1"/>
  <c r="X414" i="44"/>
  <c r="AD414" i="44" s="1"/>
  <c r="W414" i="44"/>
  <c r="AC414" i="44" s="1"/>
  <c r="V414" i="44"/>
  <c r="AB414" i="44" s="1"/>
  <c r="X413" i="44"/>
  <c r="AD413" i="44" s="1"/>
  <c r="W413" i="44"/>
  <c r="AC413" i="44" s="1"/>
  <c r="V413" i="44"/>
  <c r="AB413" i="44" s="1"/>
  <c r="X412" i="44"/>
  <c r="AD412" i="44" s="1"/>
  <c r="W412" i="44"/>
  <c r="AC412" i="44" s="1"/>
  <c r="V412" i="44"/>
  <c r="AB412" i="44" s="1"/>
  <c r="X411" i="44"/>
  <c r="AD411" i="44" s="1"/>
  <c r="W411" i="44"/>
  <c r="AC411" i="44" s="1"/>
  <c r="V411" i="44"/>
  <c r="AB411" i="44" s="1"/>
  <c r="X410" i="44"/>
  <c r="AD410" i="44" s="1"/>
  <c r="W410" i="44"/>
  <c r="AC410" i="44" s="1"/>
  <c r="V410" i="44"/>
  <c r="AB410" i="44" s="1"/>
  <c r="X409" i="44"/>
  <c r="AD409" i="44" s="1"/>
  <c r="W409" i="44"/>
  <c r="AC409" i="44" s="1"/>
  <c r="V409" i="44"/>
  <c r="AB409" i="44" s="1"/>
  <c r="X408" i="44"/>
  <c r="AD408" i="44" s="1"/>
  <c r="W408" i="44"/>
  <c r="AC408" i="44" s="1"/>
  <c r="V408" i="44"/>
  <c r="AB408" i="44" s="1"/>
  <c r="X407" i="44"/>
  <c r="AD407" i="44" s="1"/>
  <c r="W407" i="44"/>
  <c r="AC407" i="44" s="1"/>
  <c r="V407" i="44"/>
  <c r="AB407" i="44" s="1"/>
  <c r="X406" i="44"/>
  <c r="AD406" i="44" s="1"/>
  <c r="W406" i="44"/>
  <c r="AC406" i="44" s="1"/>
  <c r="V406" i="44"/>
  <c r="AB406" i="44" s="1"/>
  <c r="X405" i="44"/>
  <c r="AD405" i="44" s="1"/>
  <c r="W405" i="44"/>
  <c r="AC405" i="44" s="1"/>
  <c r="V405" i="44"/>
  <c r="AB405" i="44" s="1"/>
  <c r="X404" i="44"/>
  <c r="AD404" i="44" s="1"/>
  <c r="W404" i="44"/>
  <c r="AC404" i="44" s="1"/>
  <c r="V404" i="44"/>
  <c r="AB404" i="44" s="1"/>
  <c r="X403" i="44"/>
  <c r="AD403" i="44" s="1"/>
  <c r="W403" i="44"/>
  <c r="AC403" i="44" s="1"/>
  <c r="V403" i="44"/>
  <c r="AB403" i="44" s="1"/>
  <c r="X402" i="44"/>
  <c r="AD402" i="44" s="1"/>
  <c r="W402" i="44"/>
  <c r="AC402" i="44" s="1"/>
  <c r="V402" i="44"/>
  <c r="AB402" i="44" s="1"/>
  <c r="X401" i="44"/>
  <c r="AD401" i="44" s="1"/>
  <c r="W401" i="44"/>
  <c r="AC401" i="44" s="1"/>
  <c r="V401" i="44"/>
  <c r="AB401" i="44" s="1"/>
  <c r="X400" i="44"/>
  <c r="AD400" i="44" s="1"/>
  <c r="W400" i="44"/>
  <c r="AC400" i="44" s="1"/>
  <c r="V400" i="44"/>
  <c r="AB400" i="44" s="1"/>
  <c r="X399" i="44"/>
  <c r="AD399" i="44" s="1"/>
  <c r="W399" i="44"/>
  <c r="AC399" i="44" s="1"/>
  <c r="V399" i="44"/>
  <c r="AB399" i="44" s="1"/>
  <c r="X398" i="44"/>
  <c r="AD398" i="44" s="1"/>
  <c r="W398" i="44"/>
  <c r="AC398" i="44" s="1"/>
  <c r="V398" i="44"/>
  <c r="AB398" i="44" s="1"/>
  <c r="X397" i="44"/>
  <c r="AD397" i="44" s="1"/>
  <c r="W397" i="44"/>
  <c r="AC397" i="44" s="1"/>
  <c r="V397" i="44"/>
  <c r="AB397" i="44" s="1"/>
  <c r="X396" i="44"/>
  <c r="AD396" i="44" s="1"/>
  <c r="W396" i="44"/>
  <c r="AC396" i="44" s="1"/>
  <c r="V396" i="44"/>
  <c r="AB396" i="44" s="1"/>
  <c r="X395" i="44"/>
  <c r="AD395" i="44" s="1"/>
  <c r="W395" i="44"/>
  <c r="AC395" i="44" s="1"/>
  <c r="V395" i="44"/>
  <c r="AB395" i="44" s="1"/>
  <c r="X394" i="44"/>
  <c r="AD394" i="44" s="1"/>
  <c r="W394" i="44"/>
  <c r="AC394" i="44" s="1"/>
  <c r="V394" i="44"/>
  <c r="AB394" i="44" s="1"/>
  <c r="X393" i="44"/>
  <c r="AD393" i="44" s="1"/>
  <c r="W393" i="44"/>
  <c r="AC393" i="44" s="1"/>
  <c r="V393" i="44"/>
  <c r="AB393" i="44" s="1"/>
  <c r="X392" i="44"/>
  <c r="AD392" i="44" s="1"/>
  <c r="W392" i="44"/>
  <c r="AC392" i="44" s="1"/>
  <c r="V392" i="44"/>
  <c r="AB392" i="44" s="1"/>
  <c r="X391" i="44"/>
  <c r="AD391" i="44" s="1"/>
  <c r="W391" i="44"/>
  <c r="AC391" i="44" s="1"/>
  <c r="V391" i="44"/>
  <c r="AB391" i="44" s="1"/>
  <c r="X390" i="44"/>
  <c r="AD390" i="44" s="1"/>
  <c r="W390" i="44"/>
  <c r="AC390" i="44" s="1"/>
  <c r="V390" i="44"/>
  <c r="AB390" i="44" s="1"/>
  <c r="X389" i="44"/>
  <c r="AD389" i="44" s="1"/>
  <c r="W389" i="44"/>
  <c r="AC389" i="44" s="1"/>
  <c r="V389" i="44"/>
  <c r="AB389" i="44" s="1"/>
  <c r="X388" i="44"/>
  <c r="AD388" i="44" s="1"/>
  <c r="W388" i="44"/>
  <c r="AC388" i="44" s="1"/>
  <c r="V388" i="44"/>
  <c r="AB388" i="44" s="1"/>
  <c r="X387" i="44"/>
  <c r="AD387" i="44" s="1"/>
  <c r="W387" i="44"/>
  <c r="AC387" i="44" s="1"/>
  <c r="V387" i="44"/>
  <c r="AB387" i="44" s="1"/>
  <c r="X386" i="44"/>
  <c r="AD386" i="44" s="1"/>
  <c r="W386" i="44"/>
  <c r="AC386" i="44" s="1"/>
  <c r="V386" i="44"/>
  <c r="AB386" i="44" s="1"/>
  <c r="X385" i="44"/>
  <c r="AD385" i="44" s="1"/>
  <c r="W385" i="44"/>
  <c r="AC385" i="44" s="1"/>
  <c r="V385" i="44"/>
  <c r="AB385" i="44" s="1"/>
  <c r="X384" i="44"/>
  <c r="AD384" i="44" s="1"/>
  <c r="W384" i="44"/>
  <c r="AC384" i="44" s="1"/>
  <c r="V384" i="44"/>
  <c r="AB384" i="44" s="1"/>
  <c r="X383" i="44"/>
  <c r="AD383" i="44" s="1"/>
  <c r="W383" i="44"/>
  <c r="AC383" i="44" s="1"/>
  <c r="V383" i="44"/>
  <c r="AB383" i="44" s="1"/>
  <c r="X382" i="44"/>
  <c r="AD382" i="44" s="1"/>
  <c r="W382" i="44"/>
  <c r="AC382" i="44" s="1"/>
  <c r="V382" i="44"/>
  <c r="AB382" i="44" s="1"/>
  <c r="X381" i="44"/>
  <c r="AD381" i="44" s="1"/>
  <c r="W381" i="44"/>
  <c r="AC381" i="44" s="1"/>
  <c r="V381" i="44"/>
  <c r="AB381" i="44" s="1"/>
  <c r="X380" i="44"/>
  <c r="AD380" i="44" s="1"/>
  <c r="W380" i="44"/>
  <c r="AC380" i="44" s="1"/>
  <c r="V380" i="44"/>
  <c r="AB380" i="44" s="1"/>
  <c r="X379" i="44"/>
  <c r="AD379" i="44" s="1"/>
  <c r="W379" i="44"/>
  <c r="AC379" i="44" s="1"/>
  <c r="V379" i="44"/>
  <c r="AB379" i="44" s="1"/>
  <c r="X378" i="44"/>
  <c r="AD378" i="44" s="1"/>
  <c r="W378" i="44"/>
  <c r="AC378" i="44" s="1"/>
  <c r="V378" i="44"/>
  <c r="AB378" i="44" s="1"/>
  <c r="X377" i="44"/>
  <c r="AD377" i="44" s="1"/>
  <c r="W377" i="44"/>
  <c r="AC377" i="44" s="1"/>
  <c r="V377" i="44"/>
  <c r="AB377" i="44" s="1"/>
  <c r="X376" i="44"/>
  <c r="AD376" i="44" s="1"/>
  <c r="W376" i="44"/>
  <c r="AC376" i="44" s="1"/>
  <c r="V376" i="44"/>
  <c r="AB376" i="44" s="1"/>
  <c r="X375" i="44"/>
  <c r="AD375" i="44" s="1"/>
  <c r="W375" i="44"/>
  <c r="AC375" i="44" s="1"/>
  <c r="V375" i="44"/>
  <c r="AB375" i="44" s="1"/>
  <c r="X374" i="44"/>
  <c r="AD374" i="44" s="1"/>
  <c r="W374" i="44"/>
  <c r="AC374" i="44" s="1"/>
  <c r="V374" i="44"/>
  <c r="AB374" i="44" s="1"/>
  <c r="X373" i="44"/>
  <c r="AD373" i="44" s="1"/>
  <c r="W373" i="44"/>
  <c r="AC373" i="44" s="1"/>
  <c r="V373" i="44"/>
  <c r="AB373" i="44" s="1"/>
  <c r="X372" i="44"/>
  <c r="AD372" i="44" s="1"/>
  <c r="W372" i="44"/>
  <c r="AC372" i="44" s="1"/>
  <c r="V372" i="44"/>
  <c r="AB372" i="44" s="1"/>
  <c r="X371" i="44"/>
  <c r="AD371" i="44" s="1"/>
  <c r="W371" i="44"/>
  <c r="AC371" i="44" s="1"/>
  <c r="V371" i="44"/>
  <c r="AB371" i="44" s="1"/>
  <c r="X370" i="44"/>
  <c r="AD370" i="44" s="1"/>
  <c r="W370" i="44"/>
  <c r="AC370" i="44" s="1"/>
  <c r="V370" i="44"/>
  <c r="AB370" i="44" s="1"/>
  <c r="X369" i="44"/>
  <c r="AD369" i="44" s="1"/>
  <c r="W369" i="44"/>
  <c r="AC369" i="44" s="1"/>
  <c r="V369" i="44"/>
  <c r="AB369" i="44" s="1"/>
  <c r="X368" i="44"/>
  <c r="AD368" i="44" s="1"/>
  <c r="W368" i="44"/>
  <c r="AC368" i="44" s="1"/>
  <c r="V368" i="44"/>
  <c r="AB368" i="44" s="1"/>
  <c r="X367" i="44"/>
  <c r="AD367" i="44" s="1"/>
  <c r="W367" i="44"/>
  <c r="AC367" i="44" s="1"/>
  <c r="V367" i="44"/>
  <c r="AB367" i="44" s="1"/>
  <c r="X366" i="44"/>
  <c r="AD366" i="44" s="1"/>
  <c r="W366" i="44"/>
  <c r="AC366" i="44" s="1"/>
  <c r="V366" i="44"/>
  <c r="AB366" i="44" s="1"/>
  <c r="X365" i="44"/>
  <c r="AD365" i="44" s="1"/>
  <c r="W365" i="44"/>
  <c r="AC365" i="44" s="1"/>
  <c r="V365" i="44"/>
  <c r="AB365" i="44" s="1"/>
  <c r="X364" i="44"/>
  <c r="AD364" i="44" s="1"/>
  <c r="W364" i="44"/>
  <c r="AC364" i="44" s="1"/>
  <c r="V364" i="44"/>
  <c r="AB364" i="44" s="1"/>
  <c r="X363" i="44"/>
  <c r="AD363" i="44" s="1"/>
  <c r="W363" i="44"/>
  <c r="AC363" i="44" s="1"/>
  <c r="V363" i="44"/>
  <c r="AB363" i="44" s="1"/>
  <c r="X362" i="44"/>
  <c r="AD362" i="44" s="1"/>
  <c r="W362" i="44"/>
  <c r="AC362" i="44" s="1"/>
  <c r="V362" i="44"/>
  <c r="AB362" i="44" s="1"/>
  <c r="X361" i="44"/>
  <c r="AD361" i="44" s="1"/>
  <c r="W361" i="44"/>
  <c r="AC361" i="44" s="1"/>
  <c r="V361" i="44"/>
  <c r="AB361" i="44" s="1"/>
  <c r="X360" i="44"/>
  <c r="AD360" i="44" s="1"/>
  <c r="W360" i="44"/>
  <c r="AC360" i="44" s="1"/>
  <c r="V360" i="44"/>
  <c r="AB360" i="44" s="1"/>
  <c r="X359" i="44"/>
  <c r="AD359" i="44" s="1"/>
  <c r="W359" i="44"/>
  <c r="AC359" i="44" s="1"/>
  <c r="V359" i="44"/>
  <c r="AB359" i="44" s="1"/>
  <c r="X358" i="44"/>
  <c r="AD358" i="44" s="1"/>
  <c r="W358" i="44"/>
  <c r="AC358" i="44" s="1"/>
  <c r="V358" i="44"/>
  <c r="AB358" i="44" s="1"/>
  <c r="X357" i="44"/>
  <c r="AD357" i="44" s="1"/>
  <c r="W357" i="44"/>
  <c r="AC357" i="44" s="1"/>
  <c r="V357" i="44"/>
  <c r="AB357" i="44" s="1"/>
  <c r="X356" i="44"/>
  <c r="AD356" i="44" s="1"/>
  <c r="W356" i="44"/>
  <c r="AC356" i="44" s="1"/>
  <c r="V356" i="44"/>
  <c r="AB356" i="44" s="1"/>
  <c r="X355" i="44"/>
  <c r="AD355" i="44" s="1"/>
  <c r="W355" i="44"/>
  <c r="AC355" i="44" s="1"/>
  <c r="V355" i="44"/>
  <c r="AB355" i="44" s="1"/>
  <c r="X354" i="44"/>
  <c r="AD354" i="44" s="1"/>
  <c r="W354" i="44"/>
  <c r="AC354" i="44" s="1"/>
  <c r="V354" i="44"/>
  <c r="AB354" i="44" s="1"/>
  <c r="X353" i="44"/>
  <c r="AD353" i="44" s="1"/>
  <c r="W353" i="44"/>
  <c r="AC353" i="44" s="1"/>
  <c r="V353" i="44"/>
  <c r="AB353" i="44" s="1"/>
  <c r="X352" i="44"/>
  <c r="AD352" i="44" s="1"/>
  <c r="W352" i="44"/>
  <c r="AC352" i="44" s="1"/>
  <c r="V352" i="44"/>
  <c r="AB352" i="44" s="1"/>
  <c r="X351" i="44"/>
  <c r="AD351" i="44" s="1"/>
  <c r="W351" i="44"/>
  <c r="AC351" i="44" s="1"/>
  <c r="V351" i="44"/>
  <c r="AB351" i="44" s="1"/>
  <c r="X350" i="44"/>
  <c r="AD350" i="44" s="1"/>
  <c r="W350" i="44"/>
  <c r="AC350" i="44" s="1"/>
  <c r="V350" i="44"/>
  <c r="AB350" i="44" s="1"/>
  <c r="V349" i="44"/>
  <c r="AB349" i="44" s="1"/>
  <c r="V348" i="44"/>
  <c r="AB348" i="44" s="1"/>
  <c r="V347" i="44"/>
  <c r="AB347" i="44" s="1"/>
  <c r="V346" i="44"/>
  <c r="AB346" i="44" s="1"/>
  <c r="V345" i="44"/>
  <c r="AB345" i="44" s="1"/>
  <c r="V344" i="44"/>
  <c r="AB344" i="44" s="1"/>
  <c r="V343" i="44"/>
  <c r="AB343" i="44" s="1"/>
  <c r="V342" i="44"/>
  <c r="AB342" i="44" s="1"/>
  <c r="V341" i="44"/>
  <c r="AB341" i="44" s="1"/>
  <c r="V340" i="44"/>
  <c r="AB340" i="44" s="1"/>
  <c r="V339" i="44"/>
  <c r="AB339" i="44" s="1"/>
  <c r="V338" i="44"/>
  <c r="AB338" i="44" s="1"/>
  <c r="X337" i="44"/>
  <c r="AD337" i="44" s="1"/>
  <c r="W337" i="44"/>
  <c r="AC337" i="44" s="1"/>
  <c r="X336" i="44"/>
  <c r="AD336" i="44" s="1"/>
  <c r="W336" i="44"/>
  <c r="AC336" i="44" s="1"/>
  <c r="X335" i="44"/>
  <c r="AD335" i="44" s="1"/>
  <c r="W335" i="44"/>
  <c r="AC335" i="44" s="1"/>
  <c r="X334" i="44"/>
  <c r="AD334" i="44" s="1"/>
  <c r="W334" i="44"/>
  <c r="AC334" i="44" s="1"/>
  <c r="X333" i="44"/>
  <c r="AD333" i="44" s="1"/>
  <c r="W333" i="44"/>
  <c r="AC333" i="44" s="1"/>
  <c r="X332" i="44"/>
  <c r="AD332" i="44" s="1"/>
  <c r="W332" i="44"/>
  <c r="AC332" i="44" s="1"/>
  <c r="X331" i="44"/>
  <c r="AD331" i="44" s="1"/>
  <c r="W331" i="44"/>
  <c r="AC331" i="44" s="1"/>
  <c r="X330" i="44"/>
  <c r="AD330" i="44" s="1"/>
  <c r="W330" i="44"/>
  <c r="AC330" i="44" s="1"/>
  <c r="X329" i="44"/>
  <c r="AD329" i="44" s="1"/>
  <c r="W329" i="44"/>
  <c r="AC329" i="44" s="1"/>
  <c r="X328" i="44"/>
  <c r="AD328" i="44" s="1"/>
  <c r="W328" i="44"/>
  <c r="AC328" i="44" s="1"/>
  <c r="X327" i="44"/>
  <c r="AD327" i="44" s="1"/>
  <c r="W327" i="44"/>
  <c r="AC327" i="44" s="1"/>
  <c r="X326" i="44"/>
  <c r="AD326" i="44" s="1"/>
  <c r="W326" i="44"/>
  <c r="AC326" i="44" s="1"/>
  <c r="V325" i="44"/>
  <c r="AB325" i="44" s="1"/>
  <c r="V324" i="44"/>
  <c r="AB324" i="44" s="1"/>
  <c r="V323" i="44"/>
  <c r="AB323" i="44" s="1"/>
  <c r="V322" i="44"/>
  <c r="AB322" i="44" s="1"/>
  <c r="V321" i="44"/>
  <c r="AB321" i="44" s="1"/>
  <c r="V320" i="44"/>
  <c r="AB320" i="44" s="1"/>
  <c r="V319" i="44"/>
  <c r="AB319" i="44" s="1"/>
  <c r="V318" i="44"/>
  <c r="AB318" i="44" s="1"/>
  <c r="V317" i="44"/>
  <c r="AB317" i="44" s="1"/>
  <c r="V316" i="44"/>
  <c r="AB316" i="44" s="1"/>
  <c r="V315" i="44"/>
  <c r="AB315" i="44" s="1"/>
  <c r="V314" i="44"/>
  <c r="AB314" i="44" s="1"/>
  <c r="V313" i="44"/>
  <c r="AB313" i="44" s="1"/>
  <c r="V312" i="44"/>
  <c r="AB312" i="44" s="1"/>
  <c r="V311" i="44"/>
  <c r="AB311" i="44" s="1"/>
  <c r="V310" i="44"/>
  <c r="AB310" i="44" s="1"/>
  <c r="V309" i="44"/>
  <c r="AB309" i="44" s="1"/>
  <c r="V308" i="44"/>
  <c r="AB308" i="44" s="1"/>
  <c r="V307" i="44"/>
  <c r="AB307" i="44" s="1"/>
  <c r="V306" i="44"/>
  <c r="AB306" i="44" s="1"/>
  <c r="V305" i="44"/>
  <c r="AB305" i="44" s="1"/>
  <c r="V304" i="44"/>
  <c r="AB304" i="44" s="1"/>
  <c r="V303" i="44"/>
  <c r="AB303" i="44" s="1"/>
  <c r="V302" i="44"/>
  <c r="AB302" i="44" s="1"/>
  <c r="X301" i="44"/>
  <c r="AD301" i="44" s="1"/>
  <c r="W301" i="44"/>
  <c r="AC301" i="44" s="1"/>
  <c r="X300" i="44"/>
  <c r="AD300" i="44" s="1"/>
  <c r="W300" i="44"/>
  <c r="AC300" i="44" s="1"/>
  <c r="X299" i="44"/>
  <c r="AD299" i="44" s="1"/>
  <c r="W299" i="44"/>
  <c r="AC299" i="44" s="1"/>
  <c r="X298" i="44"/>
  <c r="AD298" i="44" s="1"/>
  <c r="W298" i="44"/>
  <c r="AC298" i="44" s="1"/>
  <c r="X297" i="44"/>
  <c r="AD297" i="44" s="1"/>
  <c r="W297" i="44"/>
  <c r="AC297" i="44" s="1"/>
  <c r="X296" i="44"/>
  <c r="AD296" i="44" s="1"/>
  <c r="W296" i="44"/>
  <c r="AC296" i="44" s="1"/>
  <c r="X295" i="44"/>
  <c r="AD295" i="44" s="1"/>
  <c r="W295" i="44"/>
  <c r="AC295" i="44" s="1"/>
  <c r="X294" i="44"/>
  <c r="AD294" i="44" s="1"/>
  <c r="W294" i="44"/>
  <c r="AC294" i="44" s="1"/>
  <c r="X293" i="44"/>
  <c r="AD293" i="44" s="1"/>
  <c r="W293" i="44"/>
  <c r="AC293" i="44" s="1"/>
  <c r="X292" i="44"/>
  <c r="AD292" i="44" s="1"/>
  <c r="W292" i="44"/>
  <c r="AC292" i="44" s="1"/>
  <c r="X291" i="44"/>
  <c r="AD291" i="44" s="1"/>
  <c r="W291" i="44"/>
  <c r="AC291" i="44" s="1"/>
  <c r="X290" i="44"/>
  <c r="AD290" i="44" s="1"/>
  <c r="W290" i="44"/>
  <c r="AC290" i="44" s="1"/>
  <c r="V289" i="44"/>
  <c r="AB289" i="44" s="1"/>
  <c r="V288" i="44"/>
  <c r="AB288" i="44" s="1"/>
  <c r="V287" i="44"/>
  <c r="AB287" i="44" s="1"/>
  <c r="V286" i="44"/>
  <c r="AB286" i="44" s="1"/>
  <c r="V285" i="44"/>
  <c r="AB285" i="44" s="1"/>
  <c r="V284" i="44"/>
  <c r="AB284" i="44" s="1"/>
  <c r="V283" i="44"/>
  <c r="AB283" i="44" s="1"/>
  <c r="V282" i="44"/>
  <c r="AB282" i="44" s="1"/>
  <c r="V281" i="44"/>
  <c r="AB281" i="44" s="1"/>
  <c r="V280" i="44"/>
  <c r="AB280" i="44" s="1"/>
  <c r="V279" i="44"/>
  <c r="AB279" i="44" s="1"/>
  <c r="V278" i="44"/>
  <c r="AB278" i="44" s="1"/>
  <c r="X277" i="44"/>
  <c r="AD277" i="44" s="1"/>
  <c r="W277" i="44"/>
  <c r="AC277" i="44" s="1"/>
  <c r="V277" i="44"/>
  <c r="AB277" i="44" s="1"/>
  <c r="X276" i="44"/>
  <c r="AD276" i="44" s="1"/>
  <c r="W276" i="44"/>
  <c r="AC276" i="44" s="1"/>
  <c r="V276" i="44"/>
  <c r="AB276" i="44" s="1"/>
  <c r="X275" i="44"/>
  <c r="AD275" i="44" s="1"/>
  <c r="W275" i="44"/>
  <c r="AC275" i="44" s="1"/>
  <c r="V275" i="44"/>
  <c r="AB275" i="44" s="1"/>
  <c r="X274" i="44"/>
  <c r="AD274" i="44" s="1"/>
  <c r="W274" i="44"/>
  <c r="AC274" i="44" s="1"/>
  <c r="V274" i="44"/>
  <c r="AB274" i="44" s="1"/>
  <c r="X273" i="44"/>
  <c r="AD273" i="44" s="1"/>
  <c r="W273" i="44"/>
  <c r="AC273" i="44" s="1"/>
  <c r="V273" i="44"/>
  <c r="AB273" i="44" s="1"/>
  <c r="X272" i="44"/>
  <c r="AD272" i="44" s="1"/>
  <c r="W272" i="44"/>
  <c r="AC272" i="44" s="1"/>
  <c r="V272" i="44"/>
  <c r="AB272" i="44" s="1"/>
  <c r="X271" i="44"/>
  <c r="AD271" i="44" s="1"/>
  <c r="W271" i="44"/>
  <c r="AC271" i="44" s="1"/>
  <c r="V271" i="44"/>
  <c r="AB271" i="44" s="1"/>
  <c r="X270" i="44"/>
  <c r="AD270" i="44" s="1"/>
  <c r="W270" i="44"/>
  <c r="AC270" i="44" s="1"/>
  <c r="V270" i="44"/>
  <c r="AB270" i="44" s="1"/>
  <c r="X269" i="44"/>
  <c r="AD269" i="44" s="1"/>
  <c r="W269" i="44"/>
  <c r="AC269" i="44" s="1"/>
  <c r="V269" i="44"/>
  <c r="AB269" i="44" s="1"/>
  <c r="X268" i="44"/>
  <c r="AD268" i="44" s="1"/>
  <c r="W268" i="44"/>
  <c r="AC268" i="44" s="1"/>
  <c r="V268" i="44"/>
  <c r="AB268" i="44" s="1"/>
  <c r="X267" i="44"/>
  <c r="AD267" i="44" s="1"/>
  <c r="W267" i="44"/>
  <c r="AC267" i="44" s="1"/>
  <c r="V267" i="44"/>
  <c r="AB267" i="44" s="1"/>
  <c r="X266" i="44"/>
  <c r="AD266" i="44" s="1"/>
  <c r="W266" i="44"/>
  <c r="AC266" i="44" s="1"/>
  <c r="V266" i="44"/>
  <c r="AB266" i="44" s="1"/>
  <c r="X265" i="44"/>
  <c r="AD265" i="44" s="1"/>
  <c r="W265" i="44"/>
  <c r="AC265" i="44" s="1"/>
  <c r="V265" i="44"/>
  <c r="AB265" i="44" s="1"/>
  <c r="X264" i="44"/>
  <c r="AD264" i="44" s="1"/>
  <c r="W264" i="44"/>
  <c r="AC264" i="44" s="1"/>
  <c r="V264" i="44"/>
  <c r="AB264" i="44" s="1"/>
  <c r="X263" i="44"/>
  <c r="AD263" i="44" s="1"/>
  <c r="W263" i="44"/>
  <c r="AC263" i="44" s="1"/>
  <c r="V263" i="44"/>
  <c r="AB263" i="44" s="1"/>
  <c r="X262" i="44"/>
  <c r="AD262" i="44" s="1"/>
  <c r="W262" i="44"/>
  <c r="AC262" i="44" s="1"/>
  <c r="V262" i="44"/>
  <c r="AB262" i="44" s="1"/>
  <c r="X261" i="44"/>
  <c r="AD261" i="44" s="1"/>
  <c r="W261" i="44"/>
  <c r="AC261" i="44" s="1"/>
  <c r="V261" i="44"/>
  <c r="AB261" i="44" s="1"/>
  <c r="X260" i="44"/>
  <c r="AD260" i="44" s="1"/>
  <c r="W260" i="44"/>
  <c r="AC260" i="44" s="1"/>
  <c r="V260" i="44"/>
  <c r="AB260" i="44" s="1"/>
  <c r="X259" i="44"/>
  <c r="AD259" i="44" s="1"/>
  <c r="W259" i="44"/>
  <c r="AC259" i="44" s="1"/>
  <c r="V259" i="44"/>
  <c r="AB259" i="44" s="1"/>
  <c r="X258" i="44"/>
  <c r="AD258" i="44" s="1"/>
  <c r="W258" i="44"/>
  <c r="AC258" i="44" s="1"/>
  <c r="V258" i="44"/>
  <c r="AB258" i="44" s="1"/>
  <c r="X257" i="44"/>
  <c r="AD257" i="44" s="1"/>
  <c r="W257" i="44"/>
  <c r="AC257" i="44" s="1"/>
  <c r="V257" i="44"/>
  <c r="AB257" i="44" s="1"/>
  <c r="X256" i="44"/>
  <c r="AD256" i="44" s="1"/>
  <c r="W256" i="44"/>
  <c r="AC256" i="44" s="1"/>
  <c r="V256" i="44"/>
  <c r="AB256" i="44" s="1"/>
  <c r="X255" i="44"/>
  <c r="AD255" i="44" s="1"/>
  <c r="W255" i="44"/>
  <c r="AC255" i="44" s="1"/>
  <c r="V255" i="44"/>
  <c r="AB255" i="44" s="1"/>
  <c r="X254" i="44"/>
  <c r="AD254" i="44" s="1"/>
  <c r="W254" i="44"/>
  <c r="AC254" i="44" s="1"/>
  <c r="V254" i="44"/>
  <c r="AB254" i="44" s="1"/>
  <c r="X253" i="44"/>
  <c r="AD253" i="44" s="1"/>
  <c r="W253" i="44"/>
  <c r="AC253" i="44" s="1"/>
  <c r="V253" i="44"/>
  <c r="AB253" i="44" s="1"/>
  <c r="X252" i="44"/>
  <c r="AD252" i="44" s="1"/>
  <c r="W252" i="44"/>
  <c r="AC252" i="44" s="1"/>
  <c r="V252" i="44"/>
  <c r="AB252" i="44" s="1"/>
  <c r="X251" i="44"/>
  <c r="AD251" i="44" s="1"/>
  <c r="W251" i="44"/>
  <c r="AC251" i="44" s="1"/>
  <c r="V251" i="44"/>
  <c r="AB251" i="44" s="1"/>
  <c r="X250" i="44"/>
  <c r="AD250" i="44" s="1"/>
  <c r="W250" i="44"/>
  <c r="AC250" i="44" s="1"/>
  <c r="V250" i="44"/>
  <c r="AB250" i="44" s="1"/>
  <c r="X249" i="44"/>
  <c r="AD249" i="44" s="1"/>
  <c r="W249" i="44"/>
  <c r="AC249" i="44" s="1"/>
  <c r="V249" i="44"/>
  <c r="AB249" i="44" s="1"/>
  <c r="X248" i="44"/>
  <c r="AD248" i="44" s="1"/>
  <c r="W248" i="44"/>
  <c r="AC248" i="44" s="1"/>
  <c r="V248" i="44"/>
  <c r="AB248" i="44" s="1"/>
  <c r="X247" i="44"/>
  <c r="AD247" i="44" s="1"/>
  <c r="W247" i="44"/>
  <c r="AC247" i="44" s="1"/>
  <c r="V247" i="44"/>
  <c r="AB247" i="44" s="1"/>
  <c r="X246" i="44"/>
  <c r="AD246" i="44" s="1"/>
  <c r="W246" i="44"/>
  <c r="AC246" i="44" s="1"/>
  <c r="V246" i="44"/>
  <c r="AB246" i="44" s="1"/>
  <c r="X245" i="44"/>
  <c r="AD245" i="44" s="1"/>
  <c r="W245" i="44"/>
  <c r="AC245" i="44" s="1"/>
  <c r="V245" i="44"/>
  <c r="AB245" i="44" s="1"/>
  <c r="X244" i="44"/>
  <c r="AD244" i="44" s="1"/>
  <c r="W244" i="44"/>
  <c r="AC244" i="44" s="1"/>
  <c r="V244" i="44"/>
  <c r="AB244" i="44" s="1"/>
  <c r="X243" i="44"/>
  <c r="AD243" i="44" s="1"/>
  <c r="W243" i="44"/>
  <c r="AC243" i="44" s="1"/>
  <c r="V243" i="44"/>
  <c r="AB243" i="44" s="1"/>
  <c r="X242" i="44"/>
  <c r="AD242" i="44" s="1"/>
  <c r="W242" i="44"/>
  <c r="AC242" i="44" s="1"/>
  <c r="V242" i="44"/>
  <c r="AB242" i="44" s="1"/>
  <c r="X241" i="44"/>
  <c r="AD241" i="44" s="1"/>
  <c r="W241" i="44"/>
  <c r="AC241" i="44" s="1"/>
  <c r="V241" i="44"/>
  <c r="AB241" i="44" s="1"/>
  <c r="X240" i="44"/>
  <c r="AD240" i="44" s="1"/>
  <c r="W240" i="44"/>
  <c r="AC240" i="44" s="1"/>
  <c r="V240" i="44"/>
  <c r="AB240" i="44" s="1"/>
  <c r="X239" i="44"/>
  <c r="AD239" i="44" s="1"/>
  <c r="W239" i="44"/>
  <c r="AC239" i="44" s="1"/>
  <c r="V239" i="44"/>
  <c r="AB239" i="44" s="1"/>
  <c r="X238" i="44"/>
  <c r="AD238" i="44" s="1"/>
  <c r="W238" i="44"/>
  <c r="AC238" i="44" s="1"/>
  <c r="V238" i="44"/>
  <c r="AB238" i="44" s="1"/>
  <c r="X237" i="44"/>
  <c r="AD237" i="44" s="1"/>
  <c r="W237" i="44"/>
  <c r="AC237" i="44" s="1"/>
  <c r="V237" i="44"/>
  <c r="AB237" i="44" s="1"/>
  <c r="X236" i="44"/>
  <c r="AD236" i="44" s="1"/>
  <c r="W236" i="44"/>
  <c r="AC236" i="44" s="1"/>
  <c r="V236" i="44"/>
  <c r="AB236" i="44" s="1"/>
  <c r="X235" i="44"/>
  <c r="AD235" i="44" s="1"/>
  <c r="W235" i="44"/>
  <c r="AC235" i="44" s="1"/>
  <c r="V235" i="44"/>
  <c r="AB235" i="44" s="1"/>
  <c r="X234" i="44"/>
  <c r="AD234" i="44" s="1"/>
  <c r="W234" i="44"/>
  <c r="AC234" i="44" s="1"/>
  <c r="V234" i="44"/>
  <c r="AB234" i="44" s="1"/>
  <c r="X233" i="44"/>
  <c r="AD233" i="44" s="1"/>
  <c r="W233" i="44"/>
  <c r="AC233" i="44" s="1"/>
  <c r="V233" i="44"/>
  <c r="AB233" i="44" s="1"/>
  <c r="X232" i="44"/>
  <c r="AD232" i="44" s="1"/>
  <c r="W232" i="44"/>
  <c r="AC232" i="44" s="1"/>
  <c r="V232" i="44"/>
  <c r="AB232" i="44" s="1"/>
  <c r="X231" i="44"/>
  <c r="AD231" i="44" s="1"/>
  <c r="W231" i="44"/>
  <c r="AC231" i="44" s="1"/>
  <c r="V231" i="44"/>
  <c r="AB231" i="44" s="1"/>
  <c r="X230" i="44"/>
  <c r="AD230" i="44" s="1"/>
  <c r="W230" i="44"/>
  <c r="AC230" i="44" s="1"/>
  <c r="V230" i="44"/>
  <c r="AB230" i="44" s="1"/>
  <c r="X229" i="44"/>
  <c r="AD229" i="44" s="1"/>
  <c r="W229" i="44"/>
  <c r="AC229" i="44" s="1"/>
  <c r="V229" i="44"/>
  <c r="AB229" i="44" s="1"/>
  <c r="X228" i="44"/>
  <c r="AD228" i="44" s="1"/>
  <c r="W228" i="44"/>
  <c r="AC228" i="44" s="1"/>
  <c r="V228" i="44"/>
  <c r="AB228" i="44" s="1"/>
  <c r="X227" i="44"/>
  <c r="AD227" i="44" s="1"/>
  <c r="W227" i="44"/>
  <c r="AC227" i="44" s="1"/>
  <c r="V227" i="44"/>
  <c r="AB227" i="44" s="1"/>
  <c r="X226" i="44"/>
  <c r="AD226" i="44" s="1"/>
  <c r="W226" i="44"/>
  <c r="AC226" i="44" s="1"/>
  <c r="V226" i="44"/>
  <c r="AB226" i="44" s="1"/>
  <c r="X225" i="44"/>
  <c r="AD225" i="44" s="1"/>
  <c r="W225" i="44"/>
  <c r="AC225" i="44" s="1"/>
  <c r="V225" i="44"/>
  <c r="AB225" i="44" s="1"/>
  <c r="X224" i="44"/>
  <c r="AD224" i="44" s="1"/>
  <c r="W224" i="44"/>
  <c r="AC224" i="44" s="1"/>
  <c r="V224" i="44"/>
  <c r="AB224" i="44" s="1"/>
  <c r="X223" i="44"/>
  <c r="AD223" i="44" s="1"/>
  <c r="W223" i="44"/>
  <c r="AC223" i="44" s="1"/>
  <c r="V223" i="44"/>
  <c r="AB223" i="44" s="1"/>
  <c r="X222" i="44"/>
  <c r="AD222" i="44" s="1"/>
  <c r="W222" i="44"/>
  <c r="AC222" i="44" s="1"/>
  <c r="V222" i="44"/>
  <c r="AB222" i="44" s="1"/>
  <c r="X221" i="44"/>
  <c r="AD221" i="44" s="1"/>
  <c r="W221" i="44"/>
  <c r="AC221" i="44" s="1"/>
  <c r="V221" i="44"/>
  <c r="AB221" i="44" s="1"/>
  <c r="X220" i="44"/>
  <c r="AD220" i="44" s="1"/>
  <c r="W220" i="44"/>
  <c r="AC220" i="44" s="1"/>
  <c r="V220" i="44"/>
  <c r="AB220" i="44" s="1"/>
  <c r="X219" i="44"/>
  <c r="AD219" i="44" s="1"/>
  <c r="W219" i="44"/>
  <c r="AC219" i="44" s="1"/>
  <c r="V219" i="44"/>
  <c r="AB219" i="44" s="1"/>
  <c r="X218" i="44"/>
  <c r="AD218" i="44" s="1"/>
  <c r="W218" i="44"/>
  <c r="AC218" i="44" s="1"/>
  <c r="V218" i="44"/>
  <c r="AB218" i="44" s="1"/>
  <c r="X217" i="44"/>
  <c r="AD217" i="44" s="1"/>
  <c r="W217" i="44"/>
  <c r="AC217" i="44" s="1"/>
  <c r="V217" i="44"/>
  <c r="AB217" i="44" s="1"/>
  <c r="X216" i="44"/>
  <c r="AD216" i="44" s="1"/>
  <c r="W216" i="44"/>
  <c r="AC216" i="44" s="1"/>
  <c r="V216" i="44"/>
  <c r="AB216" i="44" s="1"/>
  <c r="X215" i="44"/>
  <c r="AD215" i="44" s="1"/>
  <c r="W215" i="44"/>
  <c r="AC215" i="44" s="1"/>
  <c r="V215" i="44"/>
  <c r="AB215" i="44" s="1"/>
  <c r="X214" i="44"/>
  <c r="AD214" i="44" s="1"/>
  <c r="W214" i="44"/>
  <c r="AC214" i="44" s="1"/>
  <c r="V214" i="44"/>
  <c r="AB214" i="44" s="1"/>
  <c r="X213" i="44"/>
  <c r="AD213" i="44" s="1"/>
  <c r="W213" i="44"/>
  <c r="AC213" i="44" s="1"/>
  <c r="V213" i="44"/>
  <c r="AB213" i="44" s="1"/>
  <c r="X212" i="44"/>
  <c r="AD212" i="44" s="1"/>
  <c r="W212" i="44"/>
  <c r="AC212" i="44" s="1"/>
  <c r="V212" i="44"/>
  <c r="AB212" i="44" s="1"/>
  <c r="X211" i="44"/>
  <c r="AD211" i="44" s="1"/>
  <c r="W211" i="44"/>
  <c r="AC211" i="44" s="1"/>
  <c r="V211" i="44"/>
  <c r="AB211" i="44" s="1"/>
  <c r="X210" i="44"/>
  <c r="AD210" i="44" s="1"/>
  <c r="W210" i="44"/>
  <c r="AC210" i="44" s="1"/>
  <c r="V210" i="44"/>
  <c r="AB210" i="44" s="1"/>
  <c r="X209" i="44"/>
  <c r="AD209" i="44" s="1"/>
  <c r="W209" i="44"/>
  <c r="AC209" i="44" s="1"/>
  <c r="V209" i="44"/>
  <c r="AB209" i="44" s="1"/>
  <c r="X208" i="44"/>
  <c r="AD208" i="44" s="1"/>
  <c r="W208" i="44"/>
  <c r="AC208" i="44" s="1"/>
  <c r="V208" i="44"/>
  <c r="AB208" i="44" s="1"/>
  <c r="X207" i="44"/>
  <c r="AD207" i="44" s="1"/>
  <c r="W207" i="44"/>
  <c r="AC207" i="44" s="1"/>
  <c r="V207" i="44"/>
  <c r="AB207" i="44" s="1"/>
  <c r="X206" i="44"/>
  <c r="AD206" i="44" s="1"/>
  <c r="W206" i="44"/>
  <c r="AC206" i="44" s="1"/>
  <c r="V206" i="44"/>
  <c r="AB206" i="44" s="1"/>
  <c r="X205" i="44"/>
  <c r="AD205" i="44" s="1"/>
  <c r="W205" i="44"/>
  <c r="AC205" i="44" s="1"/>
  <c r="V205" i="44"/>
  <c r="AB205" i="44" s="1"/>
  <c r="X204" i="44"/>
  <c r="AD204" i="44" s="1"/>
  <c r="W204" i="44"/>
  <c r="AC204" i="44" s="1"/>
  <c r="V204" i="44"/>
  <c r="AB204" i="44" s="1"/>
  <c r="X203" i="44"/>
  <c r="AD203" i="44" s="1"/>
  <c r="W203" i="44"/>
  <c r="AC203" i="44" s="1"/>
  <c r="V203" i="44"/>
  <c r="AB203" i="44" s="1"/>
  <c r="X202" i="44"/>
  <c r="AD202" i="44" s="1"/>
  <c r="W202" i="44"/>
  <c r="AC202" i="44" s="1"/>
  <c r="V202" i="44"/>
  <c r="AB202" i="44" s="1"/>
  <c r="X201" i="44"/>
  <c r="AD201" i="44" s="1"/>
  <c r="W201" i="44"/>
  <c r="AC201" i="44" s="1"/>
  <c r="V201" i="44"/>
  <c r="AB201" i="44" s="1"/>
  <c r="X200" i="44"/>
  <c r="AD200" i="44" s="1"/>
  <c r="W200" i="44"/>
  <c r="AC200" i="44" s="1"/>
  <c r="V200" i="44"/>
  <c r="AB200" i="44" s="1"/>
  <c r="X199" i="44"/>
  <c r="AD199" i="44" s="1"/>
  <c r="W199" i="44"/>
  <c r="AC199" i="44" s="1"/>
  <c r="V199" i="44"/>
  <c r="AB199" i="44" s="1"/>
  <c r="X198" i="44"/>
  <c r="AD198" i="44" s="1"/>
  <c r="W198" i="44"/>
  <c r="AC198" i="44" s="1"/>
  <c r="V198" i="44"/>
  <c r="AB198" i="44" s="1"/>
  <c r="X197" i="44"/>
  <c r="AD197" i="44" s="1"/>
  <c r="W197" i="44"/>
  <c r="AC197" i="44" s="1"/>
  <c r="V197" i="44"/>
  <c r="AB197" i="44" s="1"/>
  <c r="X196" i="44"/>
  <c r="AD196" i="44" s="1"/>
  <c r="W196" i="44"/>
  <c r="AC196" i="44" s="1"/>
  <c r="V196" i="44"/>
  <c r="AB196" i="44" s="1"/>
  <c r="X195" i="44"/>
  <c r="AD195" i="44" s="1"/>
  <c r="W195" i="44"/>
  <c r="AC195" i="44" s="1"/>
  <c r="V195" i="44"/>
  <c r="AB195" i="44" s="1"/>
  <c r="X194" i="44"/>
  <c r="AD194" i="44" s="1"/>
  <c r="W194" i="44"/>
  <c r="AC194" i="44" s="1"/>
  <c r="V194" i="44"/>
  <c r="AB194" i="44" s="1"/>
  <c r="X193" i="44"/>
  <c r="AD193" i="44" s="1"/>
  <c r="W193" i="44"/>
  <c r="AC193" i="44" s="1"/>
  <c r="V193" i="44"/>
  <c r="AB193" i="44" s="1"/>
  <c r="X192" i="44"/>
  <c r="AD192" i="44" s="1"/>
  <c r="W192" i="44"/>
  <c r="AC192" i="44" s="1"/>
  <c r="V192" i="44"/>
  <c r="AB192" i="44" s="1"/>
  <c r="X191" i="44"/>
  <c r="AD191" i="44" s="1"/>
  <c r="W191" i="44"/>
  <c r="AC191" i="44" s="1"/>
  <c r="V191" i="44"/>
  <c r="AB191" i="44" s="1"/>
  <c r="X190" i="44"/>
  <c r="AD190" i="44" s="1"/>
  <c r="W190" i="44"/>
  <c r="AC190" i="44" s="1"/>
  <c r="V190" i="44"/>
  <c r="AB190" i="44" s="1"/>
  <c r="X189" i="44"/>
  <c r="AD189" i="44" s="1"/>
  <c r="W189" i="44"/>
  <c r="AC189" i="44" s="1"/>
  <c r="V189" i="44"/>
  <c r="AB189" i="44" s="1"/>
  <c r="X188" i="44"/>
  <c r="AD188" i="44" s="1"/>
  <c r="W188" i="44"/>
  <c r="AC188" i="44" s="1"/>
  <c r="V188" i="44"/>
  <c r="AB188" i="44" s="1"/>
  <c r="X187" i="44"/>
  <c r="AD187" i="44" s="1"/>
  <c r="W187" i="44"/>
  <c r="AC187" i="44" s="1"/>
  <c r="V187" i="44"/>
  <c r="AB187" i="44" s="1"/>
  <c r="X186" i="44"/>
  <c r="AD186" i="44" s="1"/>
  <c r="W186" i="44"/>
  <c r="AC186" i="44" s="1"/>
  <c r="V186" i="44"/>
  <c r="AB186" i="44" s="1"/>
  <c r="X185" i="44"/>
  <c r="AD185" i="44" s="1"/>
  <c r="W185" i="44"/>
  <c r="AC185" i="44" s="1"/>
  <c r="V185" i="44"/>
  <c r="AB185" i="44" s="1"/>
  <c r="X184" i="44"/>
  <c r="AD184" i="44" s="1"/>
  <c r="W184" i="44"/>
  <c r="AC184" i="44" s="1"/>
  <c r="V184" i="44"/>
  <c r="AB184" i="44" s="1"/>
  <c r="X183" i="44"/>
  <c r="AD183" i="44" s="1"/>
  <c r="W183" i="44"/>
  <c r="AC183" i="44" s="1"/>
  <c r="V183" i="44"/>
  <c r="AB183" i="44" s="1"/>
  <c r="X182" i="44"/>
  <c r="AD182" i="44" s="1"/>
  <c r="W182" i="44"/>
  <c r="AC182" i="44" s="1"/>
  <c r="V182" i="44"/>
  <c r="AB182" i="44" s="1"/>
  <c r="X181" i="44"/>
  <c r="AD181" i="44" s="1"/>
  <c r="W181" i="44"/>
  <c r="AC181" i="44" s="1"/>
  <c r="V181" i="44"/>
  <c r="AB181" i="44" s="1"/>
  <c r="X180" i="44"/>
  <c r="AD180" i="44" s="1"/>
  <c r="W180" i="44"/>
  <c r="AC180" i="44" s="1"/>
  <c r="V180" i="44"/>
  <c r="AB180" i="44" s="1"/>
  <c r="X179" i="44"/>
  <c r="AD179" i="44" s="1"/>
  <c r="W179" i="44"/>
  <c r="AC179" i="44" s="1"/>
  <c r="V179" i="44"/>
  <c r="AB179" i="44" s="1"/>
  <c r="X178" i="44"/>
  <c r="AD178" i="44" s="1"/>
  <c r="W178" i="44"/>
  <c r="AC178" i="44" s="1"/>
  <c r="V178" i="44"/>
  <c r="AB178" i="44" s="1"/>
  <c r="X177" i="44"/>
  <c r="AD177" i="44" s="1"/>
  <c r="W177" i="44"/>
  <c r="AC177" i="44" s="1"/>
  <c r="V177" i="44"/>
  <c r="AB177" i="44" s="1"/>
  <c r="X176" i="44"/>
  <c r="AD176" i="44" s="1"/>
  <c r="W176" i="44"/>
  <c r="AC176" i="44" s="1"/>
  <c r="V176" i="44"/>
  <c r="AB176" i="44" s="1"/>
  <c r="X175" i="44"/>
  <c r="AD175" i="44" s="1"/>
  <c r="W175" i="44"/>
  <c r="AC175" i="44" s="1"/>
  <c r="V175" i="44"/>
  <c r="AB175" i="44" s="1"/>
  <c r="X174" i="44"/>
  <c r="AD174" i="44" s="1"/>
  <c r="W174" i="44"/>
  <c r="AC174" i="44" s="1"/>
  <c r="V174" i="44"/>
  <c r="AB174" i="44" s="1"/>
  <c r="X173" i="44"/>
  <c r="AD173" i="44" s="1"/>
  <c r="W173" i="44"/>
  <c r="AC173" i="44" s="1"/>
  <c r="V173" i="44"/>
  <c r="AB173" i="44" s="1"/>
  <c r="X172" i="44"/>
  <c r="AD172" i="44" s="1"/>
  <c r="W172" i="44"/>
  <c r="AC172" i="44" s="1"/>
  <c r="V172" i="44"/>
  <c r="AB172" i="44" s="1"/>
  <c r="X171" i="44"/>
  <c r="AD171" i="44" s="1"/>
  <c r="W171" i="44"/>
  <c r="AC171" i="44" s="1"/>
  <c r="V171" i="44"/>
  <c r="AB171" i="44" s="1"/>
  <c r="X170" i="44"/>
  <c r="AD170" i="44" s="1"/>
  <c r="W170" i="44"/>
  <c r="AC170" i="44" s="1"/>
  <c r="V170" i="44"/>
  <c r="AB170" i="44" s="1"/>
  <c r="X169" i="44"/>
  <c r="AD169" i="44" s="1"/>
  <c r="W169" i="44"/>
  <c r="AC169" i="44" s="1"/>
  <c r="V169" i="44"/>
  <c r="AB169" i="44" s="1"/>
  <c r="X168" i="44"/>
  <c r="AD168" i="44" s="1"/>
  <c r="W168" i="44"/>
  <c r="AC168" i="44" s="1"/>
  <c r="V168" i="44"/>
  <c r="AB168" i="44" s="1"/>
  <c r="X167" i="44"/>
  <c r="AD167" i="44" s="1"/>
  <c r="W167" i="44"/>
  <c r="AC167" i="44" s="1"/>
  <c r="V167" i="44"/>
  <c r="AB167" i="44" s="1"/>
  <c r="X166" i="44"/>
  <c r="AD166" i="44" s="1"/>
  <c r="W166" i="44"/>
  <c r="AC166" i="44" s="1"/>
  <c r="V166" i="44"/>
  <c r="AB166" i="44" s="1"/>
  <c r="X165" i="44"/>
  <c r="AD165" i="44" s="1"/>
  <c r="W165" i="44"/>
  <c r="AC165" i="44" s="1"/>
  <c r="V165" i="44"/>
  <c r="AB165" i="44" s="1"/>
  <c r="X164" i="44"/>
  <c r="AD164" i="44" s="1"/>
  <c r="W164" i="44"/>
  <c r="AC164" i="44" s="1"/>
  <c r="V164" i="44"/>
  <c r="AB164" i="44" s="1"/>
  <c r="X163" i="44"/>
  <c r="AD163" i="44" s="1"/>
  <c r="W163" i="44"/>
  <c r="AC163" i="44" s="1"/>
  <c r="V163" i="44"/>
  <c r="AB163" i="44" s="1"/>
  <c r="X162" i="44"/>
  <c r="AD162" i="44" s="1"/>
  <c r="W162" i="44"/>
  <c r="AC162" i="44" s="1"/>
  <c r="V162" i="44"/>
  <c r="AB162" i="44" s="1"/>
  <c r="X161" i="44"/>
  <c r="AD161" i="44" s="1"/>
  <c r="W161" i="44"/>
  <c r="AC161" i="44" s="1"/>
  <c r="V161" i="44"/>
  <c r="AB161" i="44" s="1"/>
  <c r="X160" i="44"/>
  <c r="AD160" i="44" s="1"/>
  <c r="W160" i="44"/>
  <c r="AC160" i="44" s="1"/>
  <c r="V160" i="44"/>
  <c r="AB160" i="44" s="1"/>
  <c r="X159" i="44"/>
  <c r="AD159" i="44" s="1"/>
  <c r="W159" i="44"/>
  <c r="AC159" i="44" s="1"/>
  <c r="V159" i="44"/>
  <c r="AB159" i="44" s="1"/>
  <c r="X158" i="44"/>
  <c r="AD158" i="44" s="1"/>
  <c r="W158" i="44"/>
  <c r="AC158" i="44" s="1"/>
  <c r="V158" i="44"/>
  <c r="AB158" i="44" s="1"/>
  <c r="X157" i="44"/>
  <c r="AD157" i="44" s="1"/>
  <c r="W157" i="44"/>
  <c r="AC157" i="44" s="1"/>
  <c r="V157" i="44"/>
  <c r="AB157" i="44" s="1"/>
  <c r="X156" i="44"/>
  <c r="AD156" i="44" s="1"/>
  <c r="W156" i="44"/>
  <c r="AC156" i="44" s="1"/>
  <c r="V156" i="44"/>
  <c r="AB156" i="44" s="1"/>
  <c r="X155" i="44"/>
  <c r="AD155" i="44" s="1"/>
  <c r="W155" i="44"/>
  <c r="AC155" i="44" s="1"/>
  <c r="V155" i="44"/>
  <c r="AB155" i="44" s="1"/>
  <c r="X154" i="44"/>
  <c r="AD154" i="44" s="1"/>
  <c r="W154" i="44"/>
  <c r="AC154" i="44" s="1"/>
  <c r="V154" i="44"/>
  <c r="AB154" i="44" s="1"/>
  <c r="X153" i="44"/>
  <c r="AD153" i="44" s="1"/>
  <c r="W153" i="44"/>
  <c r="AC153" i="44" s="1"/>
  <c r="V153" i="44"/>
  <c r="AB153" i="44" s="1"/>
  <c r="X152" i="44"/>
  <c r="AD152" i="44" s="1"/>
  <c r="W152" i="44"/>
  <c r="AC152" i="44" s="1"/>
  <c r="V152" i="44"/>
  <c r="AB152" i="44" s="1"/>
  <c r="X151" i="44"/>
  <c r="AD151" i="44" s="1"/>
  <c r="W151" i="44"/>
  <c r="AC151" i="44" s="1"/>
  <c r="V151" i="44"/>
  <c r="AB151" i="44" s="1"/>
  <c r="X150" i="44"/>
  <c r="AD150" i="44" s="1"/>
  <c r="W150" i="44"/>
  <c r="AC150" i="44" s="1"/>
  <c r="V150" i="44"/>
  <c r="AB150" i="44" s="1"/>
  <c r="X149" i="44"/>
  <c r="AD149" i="44" s="1"/>
  <c r="W149" i="44"/>
  <c r="AC149" i="44" s="1"/>
  <c r="V149" i="44"/>
  <c r="AB149" i="44" s="1"/>
  <c r="X148" i="44"/>
  <c r="AD148" i="44" s="1"/>
  <c r="W148" i="44"/>
  <c r="AC148" i="44" s="1"/>
  <c r="V148" i="44"/>
  <c r="AB148" i="44" s="1"/>
  <c r="X147" i="44"/>
  <c r="AD147" i="44" s="1"/>
  <c r="W147" i="44"/>
  <c r="AC147" i="44" s="1"/>
  <c r="V147" i="44"/>
  <c r="AB147" i="44" s="1"/>
  <c r="X146" i="44"/>
  <c r="AD146" i="44" s="1"/>
  <c r="W146" i="44"/>
  <c r="AC146" i="44" s="1"/>
  <c r="V146" i="44"/>
  <c r="AB146" i="44" s="1"/>
  <c r="X145" i="44"/>
  <c r="AD145" i="44" s="1"/>
  <c r="W145" i="44"/>
  <c r="AC145" i="44" s="1"/>
  <c r="V145" i="44"/>
  <c r="AB145" i="44" s="1"/>
  <c r="X144" i="44"/>
  <c r="AD144" i="44" s="1"/>
  <c r="W144" i="44"/>
  <c r="AC144" i="44" s="1"/>
  <c r="V144" i="44"/>
  <c r="AB144" i="44" s="1"/>
  <c r="X143" i="44"/>
  <c r="AD143" i="44" s="1"/>
  <c r="W143" i="44"/>
  <c r="AC143" i="44" s="1"/>
  <c r="V143" i="44"/>
  <c r="AB143" i="44" s="1"/>
  <c r="X142" i="44"/>
  <c r="AD142" i="44" s="1"/>
  <c r="W142" i="44"/>
  <c r="AC142" i="44" s="1"/>
  <c r="V142" i="44"/>
  <c r="AB142" i="44" s="1"/>
  <c r="X141" i="44"/>
  <c r="AD141" i="44" s="1"/>
  <c r="W141" i="44"/>
  <c r="AC141" i="44" s="1"/>
  <c r="V141" i="44"/>
  <c r="AB141" i="44" s="1"/>
  <c r="X140" i="44"/>
  <c r="AD140" i="44" s="1"/>
  <c r="W140" i="44"/>
  <c r="AC140" i="44" s="1"/>
  <c r="V140" i="44"/>
  <c r="AB140" i="44" s="1"/>
  <c r="X139" i="44"/>
  <c r="AD139" i="44" s="1"/>
  <c r="W139" i="44"/>
  <c r="AC139" i="44" s="1"/>
  <c r="V139" i="44"/>
  <c r="AB139" i="44" s="1"/>
  <c r="X138" i="44"/>
  <c r="AD138" i="44" s="1"/>
  <c r="W138" i="44"/>
  <c r="AC138" i="44" s="1"/>
  <c r="V138" i="44"/>
  <c r="AB138" i="44" s="1"/>
  <c r="X137" i="44"/>
  <c r="AD137" i="44" s="1"/>
  <c r="W137" i="44"/>
  <c r="AC137" i="44" s="1"/>
  <c r="V137" i="44"/>
  <c r="AB137" i="44" s="1"/>
  <c r="X136" i="44"/>
  <c r="AD136" i="44" s="1"/>
  <c r="W136" i="44"/>
  <c r="AC136" i="44" s="1"/>
  <c r="V136" i="44"/>
  <c r="AB136" i="44" s="1"/>
  <c r="X135" i="44"/>
  <c r="AD135" i="44" s="1"/>
  <c r="W135" i="44"/>
  <c r="AC135" i="44" s="1"/>
  <c r="V135" i="44"/>
  <c r="AB135" i="44" s="1"/>
  <c r="X134" i="44"/>
  <c r="AD134" i="44" s="1"/>
  <c r="W134" i="44"/>
  <c r="AC134" i="44" s="1"/>
  <c r="V134" i="44"/>
  <c r="AB134" i="44" s="1"/>
  <c r="X133" i="44"/>
  <c r="AD133" i="44" s="1"/>
  <c r="W133" i="44"/>
  <c r="AC133" i="44" s="1"/>
  <c r="V133" i="44"/>
  <c r="AB133" i="44" s="1"/>
  <c r="X132" i="44"/>
  <c r="AD132" i="44" s="1"/>
  <c r="W132" i="44"/>
  <c r="AC132" i="44" s="1"/>
  <c r="V132" i="44"/>
  <c r="AB132" i="44" s="1"/>
  <c r="X131" i="44"/>
  <c r="AD131" i="44" s="1"/>
  <c r="W131" i="44"/>
  <c r="AC131" i="44" s="1"/>
  <c r="V131" i="44"/>
  <c r="AB131" i="44" s="1"/>
  <c r="X130" i="44"/>
  <c r="AD130" i="44" s="1"/>
  <c r="W130" i="44"/>
  <c r="AC130" i="44" s="1"/>
  <c r="V130" i="44"/>
  <c r="AB130" i="44" s="1"/>
  <c r="X129" i="44"/>
  <c r="AD129" i="44" s="1"/>
  <c r="W129" i="44"/>
  <c r="AC129" i="44" s="1"/>
  <c r="V129" i="44"/>
  <c r="AB129" i="44" s="1"/>
  <c r="X128" i="44"/>
  <c r="AD128" i="44" s="1"/>
  <c r="W128" i="44"/>
  <c r="AC128" i="44" s="1"/>
  <c r="V128" i="44"/>
  <c r="AB128" i="44" s="1"/>
  <c r="X127" i="44"/>
  <c r="AD127" i="44" s="1"/>
  <c r="W127" i="44"/>
  <c r="AC127" i="44" s="1"/>
  <c r="V127" i="44"/>
  <c r="AB127" i="44" s="1"/>
  <c r="X126" i="44"/>
  <c r="AD126" i="44" s="1"/>
  <c r="W126" i="44"/>
  <c r="AC126" i="44" s="1"/>
  <c r="V126" i="44"/>
  <c r="AB126" i="44" s="1"/>
  <c r="X125" i="44"/>
  <c r="AD125" i="44" s="1"/>
  <c r="W125" i="44"/>
  <c r="AC125" i="44" s="1"/>
  <c r="V125" i="44"/>
  <c r="AB125" i="44" s="1"/>
  <c r="X124" i="44"/>
  <c r="AD124" i="44" s="1"/>
  <c r="W124" i="44"/>
  <c r="AC124" i="44" s="1"/>
  <c r="V124" i="44"/>
  <c r="AB124" i="44" s="1"/>
  <c r="X123" i="44"/>
  <c r="AD123" i="44" s="1"/>
  <c r="W123" i="44"/>
  <c r="AC123" i="44" s="1"/>
  <c r="V123" i="44"/>
  <c r="AB123" i="44" s="1"/>
  <c r="X122" i="44"/>
  <c r="AD122" i="44" s="1"/>
  <c r="W122" i="44"/>
  <c r="AC122" i="44" s="1"/>
  <c r="V122" i="44"/>
  <c r="AB122" i="44" s="1"/>
  <c r="X121" i="44"/>
  <c r="AD121" i="44" s="1"/>
  <c r="W121" i="44"/>
  <c r="AC121" i="44" s="1"/>
  <c r="V121" i="44"/>
  <c r="AB121" i="44" s="1"/>
  <c r="X120" i="44"/>
  <c r="AD120" i="44" s="1"/>
  <c r="W120" i="44"/>
  <c r="AC120" i="44" s="1"/>
  <c r="V120" i="44"/>
  <c r="AB120" i="44" s="1"/>
  <c r="X119" i="44"/>
  <c r="AD119" i="44" s="1"/>
  <c r="W119" i="44"/>
  <c r="AC119" i="44" s="1"/>
  <c r="V119" i="44"/>
  <c r="AB119" i="44" s="1"/>
  <c r="X118" i="44"/>
  <c r="AD118" i="44" s="1"/>
  <c r="W118" i="44"/>
  <c r="AC118" i="44" s="1"/>
  <c r="V118" i="44"/>
  <c r="AB118" i="44" s="1"/>
  <c r="X117" i="44"/>
  <c r="AD117" i="44" s="1"/>
  <c r="W117" i="44"/>
  <c r="AC117" i="44" s="1"/>
  <c r="V117" i="44"/>
  <c r="AB117" i="44" s="1"/>
  <c r="X116" i="44"/>
  <c r="AD116" i="44" s="1"/>
  <c r="W116" i="44"/>
  <c r="AC116" i="44" s="1"/>
  <c r="V116" i="44"/>
  <c r="AB116" i="44" s="1"/>
  <c r="X115" i="44"/>
  <c r="AD115" i="44" s="1"/>
  <c r="W115" i="44"/>
  <c r="AC115" i="44" s="1"/>
  <c r="V115" i="44"/>
  <c r="AB115" i="44" s="1"/>
  <c r="X114" i="44"/>
  <c r="AD114" i="44" s="1"/>
  <c r="W114" i="44"/>
  <c r="AC114" i="44" s="1"/>
  <c r="V114" i="44"/>
  <c r="AB114" i="44" s="1"/>
  <c r="X113" i="44"/>
  <c r="AD113" i="44" s="1"/>
  <c r="W113" i="44"/>
  <c r="AC113" i="44" s="1"/>
  <c r="V113" i="44"/>
  <c r="AB113" i="44" s="1"/>
  <c r="X112" i="44"/>
  <c r="AD112" i="44" s="1"/>
  <c r="W112" i="44"/>
  <c r="AC112" i="44" s="1"/>
  <c r="V112" i="44"/>
  <c r="AB112" i="44" s="1"/>
  <c r="X111" i="44"/>
  <c r="AD111" i="44" s="1"/>
  <c r="W111" i="44"/>
  <c r="AC111" i="44" s="1"/>
  <c r="V111" i="44"/>
  <c r="AB111" i="44" s="1"/>
  <c r="X110" i="44"/>
  <c r="AD110" i="44" s="1"/>
  <c r="W110" i="44"/>
  <c r="AC110" i="44" s="1"/>
  <c r="V110" i="44"/>
  <c r="AB110" i="44" s="1"/>
  <c r="X109" i="44"/>
  <c r="AD109" i="44" s="1"/>
  <c r="W109" i="44"/>
  <c r="AC109" i="44" s="1"/>
  <c r="V109" i="44"/>
  <c r="AB109" i="44" s="1"/>
  <c r="X108" i="44"/>
  <c r="AD108" i="44" s="1"/>
  <c r="W108" i="44"/>
  <c r="AC108" i="44" s="1"/>
  <c r="V108" i="44"/>
  <c r="AB108" i="44" s="1"/>
  <c r="X107" i="44"/>
  <c r="AD107" i="44" s="1"/>
  <c r="W107" i="44"/>
  <c r="AC107" i="44" s="1"/>
  <c r="V107" i="44"/>
  <c r="AB107" i="44" s="1"/>
  <c r="X106" i="44"/>
  <c r="AD106" i="44" s="1"/>
  <c r="W106" i="44"/>
  <c r="AC106" i="44" s="1"/>
  <c r="V106" i="44"/>
  <c r="AB106" i="44" s="1"/>
  <c r="X105" i="44"/>
  <c r="AD105" i="44" s="1"/>
  <c r="W105" i="44"/>
  <c r="AC105" i="44" s="1"/>
  <c r="V105" i="44"/>
  <c r="AB105" i="44" s="1"/>
  <c r="X104" i="44"/>
  <c r="AD104" i="44" s="1"/>
  <c r="W104" i="44"/>
  <c r="AC104" i="44" s="1"/>
  <c r="V104" i="44"/>
  <c r="AB104" i="44" s="1"/>
  <c r="X103" i="44"/>
  <c r="AD103" i="44" s="1"/>
  <c r="W103" i="44"/>
  <c r="AC103" i="44" s="1"/>
  <c r="V103" i="44"/>
  <c r="AB103" i="44" s="1"/>
  <c r="X102" i="44"/>
  <c r="AD102" i="44" s="1"/>
  <c r="W102" i="44"/>
  <c r="AC102" i="44" s="1"/>
  <c r="V102" i="44"/>
  <c r="AB102" i="44" s="1"/>
  <c r="X101" i="44"/>
  <c r="AD101" i="44" s="1"/>
  <c r="W101" i="44"/>
  <c r="AC101" i="44" s="1"/>
  <c r="V101" i="44"/>
  <c r="AB101" i="44" s="1"/>
  <c r="X100" i="44"/>
  <c r="AD100" i="44" s="1"/>
  <c r="W100" i="44"/>
  <c r="AC100" i="44" s="1"/>
  <c r="V100" i="44"/>
  <c r="AB100" i="44" s="1"/>
  <c r="X99" i="44"/>
  <c r="AD99" i="44" s="1"/>
  <c r="W99" i="44"/>
  <c r="AC99" i="44" s="1"/>
  <c r="V99" i="44"/>
  <c r="AB99" i="44" s="1"/>
  <c r="X98" i="44"/>
  <c r="AD98" i="44" s="1"/>
  <c r="W98" i="44"/>
  <c r="AC98" i="44" s="1"/>
  <c r="V98" i="44"/>
  <c r="AB98" i="44" s="1"/>
  <c r="X97" i="44"/>
  <c r="AD97" i="44" s="1"/>
  <c r="W97" i="44"/>
  <c r="AC97" i="44" s="1"/>
  <c r="V97" i="44"/>
  <c r="AB97" i="44" s="1"/>
  <c r="X96" i="44"/>
  <c r="AD96" i="44" s="1"/>
  <c r="W96" i="44"/>
  <c r="AC96" i="44" s="1"/>
  <c r="V96" i="44"/>
  <c r="AB96" i="44" s="1"/>
  <c r="X95" i="44"/>
  <c r="AD95" i="44" s="1"/>
  <c r="W95" i="44"/>
  <c r="AC95" i="44" s="1"/>
  <c r="V95" i="44"/>
  <c r="AB95" i="44" s="1"/>
  <c r="X94" i="44"/>
  <c r="AD94" i="44" s="1"/>
  <c r="W94" i="44"/>
  <c r="AC94" i="44" s="1"/>
  <c r="V94" i="44"/>
  <c r="AB94" i="44" s="1"/>
  <c r="X93" i="44"/>
  <c r="AD93" i="44" s="1"/>
  <c r="W93" i="44"/>
  <c r="AC93" i="44" s="1"/>
  <c r="V93" i="44"/>
  <c r="AB93" i="44" s="1"/>
  <c r="X92" i="44"/>
  <c r="AD92" i="44" s="1"/>
  <c r="W92" i="44"/>
  <c r="AC92" i="44" s="1"/>
  <c r="V92" i="44"/>
  <c r="AB92" i="44" s="1"/>
  <c r="X91" i="44"/>
  <c r="AD91" i="44" s="1"/>
  <c r="W91" i="44"/>
  <c r="AC91" i="44" s="1"/>
  <c r="V91" i="44"/>
  <c r="AB91" i="44" s="1"/>
  <c r="X90" i="44"/>
  <c r="AD90" i="44" s="1"/>
  <c r="W90" i="44"/>
  <c r="AC90" i="44" s="1"/>
  <c r="V90" i="44"/>
  <c r="AB90" i="44" s="1"/>
  <c r="X89" i="44"/>
  <c r="AD89" i="44" s="1"/>
  <c r="W89" i="44"/>
  <c r="AC89" i="44" s="1"/>
  <c r="V89" i="44"/>
  <c r="AB89" i="44" s="1"/>
  <c r="X88" i="44"/>
  <c r="AD88" i="44" s="1"/>
  <c r="W88" i="44"/>
  <c r="AC88" i="44" s="1"/>
  <c r="V88" i="44"/>
  <c r="AB88" i="44" s="1"/>
  <c r="X87" i="44"/>
  <c r="AD87" i="44" s="1"/>
  <c r="W87" i="44"/>
  <c r="AC87" i="44" s="1"/>
  <c r="V87" i="44"/>
  <c r="AB87" i="44" s="1"/>
  <c r="X86" i="44"/>
  <c r="AD86" i="44" s="1"/>
  <c r="W86" i="44"/>
  <c r="AC86" i="44" s="1"/>
  <c r="V86" i="44"/>
  <c r="AB86" i="44" s="1"/>
  <c r="X85" i="44"/>
  <c r="AD85" i="44" s="1"/>
  <c r="W85" i="44"/>
  <c r="AC85" i="44" s="1"/>
  <c r="V85" i="44"/>
  <c r="AB85" i="44" s="1"/>
  <c r="X84" i="44"/>
  <c r="AD84" i="44" s="1"/>
  <c r="W84" i="44"/>
  <c r="AC84" i="44" s="1"/>
  <c r="V84" i="44"/>
  <c r="AB84" i="44" s="1"/>
  <c r="X83" i="44"/>
  <c r="AD83" i="44" s="1"/>
  <c r="W83" i="44"/>
  <c r="AC83" i="44" s="1"/>
  <c r="V83" i="44"/>
  <c r="AB83" i="44" s="1"/>
  <c r="X82" i="44"/>
  <c r="AD82" i="44" s="1"/>
  <c r="W82" i="44"/>
  <c r="AC82" i="44" s="1"/>
  <c r="V82" i="44"/>
  <c r="AB82" i="44" s="1"/>
  <c r="X81" i="44"/>
  <c r="AD81" i="44" s="1"/>
  <c r="W81" i="44"/>
  <c r="AC81" i="44" s="1"/>
  <c r="V81" i="44"/>
  <c r="AB81" i="44" s="1"/>
  <c r="X80" i="44"/>
  <c r="AD80" i="44" s="1"/>
  <c r="W80" i="44"/>
  <c r="AC80" i="44" s="1"/>
  <c r="V80" i="44"/>
  <c r="AB80" i="44" s="1"/>
  <c r="X79" i="44"/>
  <c r="AD79" i="44" s="1"/>
  <c r="W79" i="44"/>
  <c r="AC79" i="44" s="1"/>
  <c r="V79" i="44"/>
  <c r="AB79" i="44" s="1"/>
  <c r="X78" i="44"/>
  <c r="AD78" i="44" s="1"/>
  <c r="W78" i="44"/>
  <c r="AC78" i="44" s="1"/>
  <c r="V78" i="44"/>
  <c r="AB78" i="44" s="1"/>
  <c r="X77" i="44"/>
  <c r="AD77" i="44" s="1"/>
  <c r="W77" i="44"/>
  <c r="AC77" i="44" s="1"/>
  <c r="V77" i="44"/>
  <c r="AB77" i="44" s="1"/>
  <c r="X76" i="44"/>
  <c r="AD76" i="44" s="1"/>
  <c r="W76" i="44"/>
  <c r="AC76" i="44" s="1"/>
  <c r="V76" i="44"/>
  <c r="AB76" i="44" s="1"/>
  <c r="X75" i="44"/>
  <c r="AD75" i="44" s="1"/>
  <c r="W75" i="44"/>
  <c r="AC75" i="44" s="1"/>
  <c r="V75" i="44"/>
  <c r="AB75" i="44" s="1"/>
  <c r="X74" i="44"/>
  <c r="AD74" i="44" s="1"/>
  <c r="W74" i="44"/>
  <c r="AC74" i="44" s="1"/>
  <c r="V74" i="44"/>
  <c r="AB74" i="44" s="1"/>
  <c r="X73" i="44"/>
  <c r="AD73" i="44" s="1"/>
  <c r="W73" i="44"/>
  <c r="AC73" i="44" s="1"/>
  <c r="V73" i="44"/>
  <c r="AB73" i="44" s="1"/>
  <c r="X72" i="44"/>
  <c r="AD72" i="44" s="1"/>
  <c r="W72" i="44"/>
  <c r="AC72" i="44" s="1"/>
  <c r="V72" i="44"/>
  <c r="AB72" i="44" s="1"/>
  <c r="X71" i="44"/>
  <c r="AD71" i="44" s="1"/>
  <c r="W71" i="44"/>
  <c r="AC71" i="44" s="1"/>
  <c r="V71" i="44"/>
  <c r="AB71" i="44" s="1"/>
  <c r="X70" i="44"/>
  <c r="AD70" i="44" s="1"/>
  <c r="W70" i="44"/>
  <c r="AC70" i="44" s="1"/>
  <c r="V70" i="44"/>
  <c r="AB70" i="44" s="1"/>
  <c r="X69" i="44"/>
  <c r="AD69" i="44" s="1"/>
  <c r="W69" i="44"/>
  <c r="AC69" i="44" s="1"/>
  <c r="V69" i="44"/>
  <c r="AB69" i="44" s="1"/>
  <c r="X68" i="44"/>
  <c r="AD68" i="44" s="1"/>
  <c r="W68" i="44"/>
  <c r="AC68" i="44" s="1"/>
  <c r="V68" i="44"/>
  <c r="AB68" i="44" s="1"/>
  <c r="X67" i="44"/>
  <c r="AD67" i="44" s="1"/>
  <c r="W67" i="44"/>
  <c r="AC67" i="44" s="1"/>
  <c r="V67" i="44"/>
  <c r="AB67" i="44" s="1"/>
  <c r="X66" i="44"/>
  <c r="AD66" i="44" s="1"/>
  <c r="W66" i="44"/>
  <c r="AC66" i="44" s="1"/>
  <c r="V66" i="44"/>
  <c r="AB66" i="44" s="1"/>
  <c r="X65" i="44"/>
  <c r="AD65" i="44" s="1"/>
  <c r="W65" i="44"/>
  <c r="AC65" i="44" s="1"/>
  <c r="V65" i="44"/>
  <c r="AB65" i="44" s="1"/>
  <c r="X64" i="44"/>
  <c r="AD64" i="44" s="1"/>
  <c r="W64" i="44"/>
  <c r="AC64" i="44" s="1"/>
  <c r="V64" i="44"/>
  <c r="AB64" i="44" s="1"/>
  <c r="X63" i="44"/>
  <c r="AD63" i="44" s="1"/>
  <c r="W63" i="44"/>
  <c r="AC63" i="44" s="1"/>
  <c r="V63" i="44"/>
  <c r="AB63" i="44" s="1"/>
  <c r="X62" i="44"/>
  <c r="AD62" i="44" s="1"/>
  <c r="W62" i="44"/>
  <c r="AC62" i="44" s="1"/>
  <c r="V62" i="44"/>
  <c r="AB62" i="44" s="1"/>
  <c r="X61" i="44"/>
  <c r="AD61" i="44" s="1"/>
  <c r="W61" i="44"/>
  <c r="AC61" i="44" s="1"/>
  <c r="V61" i="44"/>
  <c r="AB61" i="44" s="1"/>
  <c r="X60" i="44"/>
  <c r="AD60" i="44" s="1"/>
  <c r="W60" i="44"/>
  <c r="AC60" i="44" s="1"/>
  <c r="V60" i="44"/>
  <c r="AB60" i="44" s="1"/>
  <c r="X59" i="44"/>
  <c r="AD59" i="44" s="1"/>
  <c r="W59" i="44"/>
  <c r="AC59" i="44" s="1"/>
  <c r="V59" i="44"/>
  <c r="AB59" i="44" s="1"/>
  <c r="X58" i="44"/>
  <c r="AD58" i="44" s="1"/>
  <c r="W58" i="44"/>
  <c r="AC58" i="44" s="1"/>
  <c r="V58" i="44"/>
  <c r="AB58" i="44" s="1"/>
  <c r="X57" i="44"/>
  <c r="AD57" i="44" s="1"/>
  <c r="W57" i="44"/>
  <c r="AC57" i="44" s="1"/>
  <c r="V57" i="44"/>
  <c r="AB57" i="44" s="1"/>
  <c r="X56" i="44"/>
  <c r="AD56" i="44" s="1"/>
  <c r="W56" i="44"/>
  <c r="AC56" i="44" s="1"/>
  <c r="V56" i="44"/>
  <c r="AB56" i="44" s="1"/>
  <c r="X55" i="44"/>
  <c r="AD55" i="44" s="1"/>
  <c r="W55" i="44"/>
  <c r="AC55" i="44" s="1"/>
  <c r="V55" i="44"/>
  <c r="AB55" i="44" s="1"/>
  <c r="X54" i="44"/>
  <c r="AD54" i="44" s="1"/>
  <c r="W54" i="44"/>
  <c r="AC54" i="44" s="1"/>
  <c r="V54" i="44"/>
  <c r="AB54" i="44" s="1"/>
  <c r="X53" i="44"/>
  <c r="AD53" i="44" s="1"/>
  <c r="W53" i="44"/>
  <c r="AC53" i="44" s="1"/>
  <c r="V53" i="44"/>
  <c r="AB53" i="44" s="1"/>
  <c r="X52" i="44"/>
  <c r="AD52" i="44" s="1"/>
  <c r="W52" i="44"/>
  <c r="AC52" i="44" s="1"/>
  <c r="V52" i="44"/>
  <c r="AB52" i="44" s="1"/>
  <c r="X51" i="44"/>
  <c r="AD51" i="44" s="1"/>
  <c r="W51" i="44"/>
  <c r="AC51" i="44" s="1"/>
  <c r="V51" i="44"/>
  <c r="AB51" i="44" s="1"/>
  <c r="X50" i="44"/>
  <c r="AD50" i="44" s="1"/>
  <c r="W50" i="44"/>
  <c r="AC50" i="44" s="1"/>
  <c r="V50" i="44"/>
  <c r="AB50" i="44" s="1"/>
  <c r="X49" i="44"/>
  <c r="AD49" i="44" s="1"/>
  <c r="W49" i="44"/>
  <c r="AC49" i="44" s="1"/>
  <c r="V49" i="44"/>
  <c r="AB49" i="44" s="1"/>
  <c r="X48" i="44"/>
  <c r="AD48" i="44" s="1"/>
  <c r="W48" i="44"/>
  <c r="AC48" i="44" s="1"/>
  <c r="V48" i="44"/>
  <c r="AB48" i="44" s="1"/>
  <c r="X47" i="44"/>
  <c r="AD47" i="44" s="1"/>
  <c r="W47" i="44"/>
  <c r="AC47" i="44" s="1"/>
  <c r="V47" i="44"/>
  <c r="AB47" i="44" s="1"/>
  <c r="X46" i="44"/>
  <c r="AD46" i="44" s="1"/>
  <c r="W46" i="44"/>
  <c r="AC46" i="44" s="1"/>
  <c r="V46" i="44"/>
  <c r="AB46" i="44" s="1"/>
  <c r="X45" i="44"/>
  <c r="AD45" i="44" s="1"/>
  <c r="W45" i="44"/>
  <c r="AC45" i="44" s="1"/>
  <c r="V45" i="44"/>
  <c r="AB45" i="44" s="1"/>
  <c r="X44" i="44"/>
  <c r="AD44" i="44" s="1"/>
  <c r="W44" i="44"/>
  <c r="AC44" i="44" s="1"/>
  <c r="V44" i="44"/>
  <c r="AB44" i="44" s="1"/>
  <c r="X43" i="44"/>
  <c r="AD43" i="44" s="1"/>
  <c r="W43" i="44"/>
  <c r="AC43" i="44" s="1"/>
  <c r="V43" i="44"/>
  <c r="AB43" i="44" s="1"/>
  <c r="X42" i="44"/>
  <c r="AD42" i="44" s="1"/>
  <c r="W42" i="44"/>
  <c r="AC42" i="44" s="1"/>
  <c r="V42" i="44"/>
  <c r="AB42" i="44" s="1"/>
  <c r="X41" i="44"/>
  <c r="AD41" i="44" s="1"/>
  <c r="W41" i="44"/>
  <c r="AC41" i="44" s="1"/>
  <c r="V41" i="44"/>
  <c r="AB41" i="44" s="1"/>
  <c r="X40" i="44"/>
  <c r="AD40" i="44" s="1"/>
  <c r="W40" i="44"/>
  <c r="AC40" i="44" s="1"/>
  <c r="V40" i="44"/>
  <c r="AB40" i="44" s="1"/>
  <c r="X39" i="44"/>
  <c r="AD39" i="44" s="1"/>
  <c r="W39" i="44"/>
  <c r="AC39" i="44" s="1"/>
  <c r="V39" i="44"/>
  <c r="AB39" i="44" s="1"/>
  <c r="X38" i="44"/>
  <c r="AD38" i="44" s="1"/>
  <c r="W38" i="44"/>
  <c r="AC38" i="44" s="1"/>
  <c r="V38" i="44"/>
  <c r="AB38" i="44" s="1"/>
  <c r="X37" i="44"/>
  <c r="AD37" i="44" s="1"/>
  <c r="W37" i="44"/>
  <c r="AC37" i="44" s="1"/>
  <c r="V37" i="44"/>
  <c r="AB37" i="44" s="1"/>
  <c r="X36" i="44"/>
  <c r="AD36" i="44" s="1"/>
  <c r="W36" i="44"/>
  <c r="AC36" i="44" s="1"/>
  <c r="V36" i="44"/>
  <c r="AB36" i="44" s="1"/>
  <c r="X35" i="44"/>
  <c r="AD35" i="44" s="1"/>
  <c r="W35" i="44"/>
  <c r="AC35" i="44" s="1"/>
  <c r="V35" i="44"/>
  <c r="AB35" i="44" s="1"/>
  <c r="X34" i="44"/>
  <c r="AD34" i="44" s="1"/>
  <c r="W34" i="44"/>
  <c r="AC34" i="44" s="1"/>
  <c r="V34" i="44"/>
  <c r="AB34" i="44" s="1"/>
  <c r="X33" i="44"/>
  <c r="AD33" i="44" s="1"/>
  <c r="W33" i="44"/>
  <c r="AC33" i="44" s="1"/>
  <c r="V33" i="44"/>
  <c r="AB33" i="44" s="1"/>
  <c r="X32" i="44"/>
  <c r="AD32" i="44" s="1"/>
  <c r="W32" i="44"/>
  <c r="AC32" i="44" s="1"/>
  <c r="V32" i="44"/>
  <c r="AB32" i="44" s="1"/>
  <c r="X31" i="44"/>
  <c r="AD31" i="44" s="1"/>
  <c r="W31" i="44"/>
  <c r="AC31" i="44" s="1"/>
  <c r="V31" i="44"/>
  <c r="AB31" i="44" s="1"/>
  <c r="X30" i="44"/>
  <c r="AD30" i="44" s="1"/>
  <c r="W30" i="44"/>
  <c r="AC30" i="44" s="1"/>
  <c r="V30" i="44"/>
  <c r="AB30" i="44" s="1"/>
  <c r="X29" i="44"/>
  <c r="AD29" i="44" s="1"/>
  <c r="W29" i="44"/>
  <c r="AC29" i="44" s="1"/>
  <c r="V29" i="44"/>
  <c r="AB29" i="44" s="1"/>
  <c r="X28" i="44"/>
  <c r="AD28" i="44" s="1"/>
  <c r="W28" i="44"/>
  <c r="AC28" i="44" s="1"/>
  <c r="V28" i="44"/>
  <c r="AB28" i="44" s="1"/>
  <c r="X27" i="44"/>
  <c r="AD27" i="44" s="1"/>
  <c r="W27" i="44"/>
  <c r="AC27" i="44" s="1"/>
  <c r="V27" i="44"/>
  <c r="AB27" i="44" s="1"/>
  <c r="X26" i="44"/>
  <c r="AD26" i="44" s="1"/>
  <c r="W26" i="44"/>
  <c r="AC26" i="44" s="1"/>
  <c r="V26" i="44"/>
  <c r="AB26" i="44" s="1"/>
  <c r="AD51" i="28"/>
  <c r="AB51" i="28"/>
  <c r="AA51" i="28"/>
  <c r="AA51" i="29" s="1"/>
  <c r="Z51" i="28"/>
  <c r="Y51" i="28"/>
  <c r="X51" i="28"/>
  <c r="AD50" i="28"/>
  <c r="AB50" i="28"/>
  <c r="AA50" i="28"/>
  <c r="Z50" i="28"/>
  <c r="Y50" i="28"/>
  <c r="X50" i="28"/>
  <c r="AD49" i="28"/>
  <c r="AB49" i="28"/>
  <c r="AA49" i="28"/>
  <c r="AA49" i="29" s="1"/>
  <c r="Z49" i="28"/>
  <c r="Y49" i="28"/>
  <c r="X49" i="28"/>
  <c r="AD48" i="28"/>
  <c r="AB48" i="28"/>
  <c r="AA48" i="28"/>
  <c r="Z48" i="28"/>
  <c r="Y48" i="28"/>
  <c r="X48" i="28"/>
  <c r="AD47" i="28"/>
  <c r="AB47" i="28"/>
  <c r="AA47" i="28"/>
  <c r="AA47" i="29" s="1"/>
  <c r="Z47" i="28"/>
  <c r="Y47" i="28"/>
  <c r="X47" i="28"/>
  <c r="AD46" i="28"/>
  <c r="AB46" i="28"/>
  <c r="AA46" i="28"/>
  <c r="AA46" i="29" s="1"/>
  <c r="Z46" i="28"/>
  <c r="Z46" i="29" s="1"/>
  <c r="Y46" i="28"/>
  <c r="X46" i="28"/>
  <c r="AD45" i="28"/>
  <c r="AB45" i="28"/>
  <c r="AA45" i="28"/>
  <c r="AA45" i="29" s="1"/>
  <c r="Z45" i="28"/>
  <c r="Y45" i="28"/>
  <c r="X45" i="28"/>
  <c r="AD44" i="28"/>
  <c r="AB44" i="28"/>
  <c r="AA44" i="28"/>
  <c r="AA44" i="29" s="1"/>
  <c r="Z44" i="28"/>
  <c r="Z44" i="29" s="1"/>
  <c r="Y44" i="28"/>
  <c r="X44" i="28"/>
  <c r="AD43" i="28"/>
  <c r="AB43" i="28"/>
  <c r="AA43" i="28"/>
  <c r="AA43" i="29" s="1"/>
  <c r="Z43" i="28"/>
  <c r="Y43" i="28"/>
  <c r="X43" i="28"/>
  <c r="AD42" i="28"/>
  <c r="AB42" i="28"/>
  <c r="AA42" i="28"/>
  <c r="Z42" i="28"/>
  <c r="Z42" i="29" s="1"/>
  <c r="Y42" i="28"/>
  <c r="X42" i="28"/>
  <c r="AD41" i="28"/>
  <c r="AB41" i="28"/>
  <c r="AA41" i="28"/>
  <c r="AA41" i="29" s="1"/>
  <c r="Z41" i="28"/>
  <c r="Y41" i="28"/>
  <c r="X41" i="28"/>
  <c r="AD40" i="28"/>
  <c r="AB40" i="28"/>
  <c r="AA40" i="28"/>
  <c r="AA40" i="29" s="1"/>
  <c r="Z40" i="28"/>
  <c r="Z40" i="29" s="1"/>
  <c r="Y40" i="28"/>
  <c r="X40" i="28"/>
  <c r="AD39" i="28"/>
  <c r="AB39" i="28"/>
  <c r="AA39" i="28"/>
  <c r="AA39" i="29" s="1"/>
  <c r="Z39" i="28"/>
  <c r="Y39" i="28"/>
  <c r="X39" i="28"/>
  <c r="AD38" i="28"/>
  <c r="AB38" i="28"/>
  <c r="AA38" i="28"/>
  <c r="AA38" i="29" s="1"/>
  <c r="Z38" i="28"/>
  <c r="Z38" i="29" s="1"/>
  <c r="Y38" i="28"/>
  <c r="X38" i="28"/>
  <c r="AD37" i="28"/>
  <c r="AB37" i="28"/>
  <c r="AA37" i="28"/>
  <c r="AA37" i="29" s="1"/>
  <c r="Z37" i="28"/>
  <c r="Z37" i="29" s="1"/>
  <c r="Y37" i="28"/>
  <c r="X37" i="28"/>
  <c r="AD36" i="28"/>
  <c r="AB36" i="28"/>
  <c r="AA36" i="28"/>
  <c r="AA36" i="29" s="1"/>
  <c r="Z36" i="28"/>
  <c r="Z36" i="29" s="1"/>
  <c r="Y36" i="28"/>
  <c r="X36" i="28"/>
  <c r="AD35" i="28"/>
  <c r="AB35" i="28"/>
  <c r="AA35" i="28"/>
  <c r="AA35" i="29" s="1"/>
  <c r="Z35" i="28"/>
  <c r="Z35" i="29" s="1"/>
  <c r="Y35" i="28"/>
  <c r="X35" i="28"/>
  <c r="AD34" i="28"/>
  <c r="AB34" i="28"/>
  <c r="AA34" i="28"/>
  <c r="Z34" i="28"/>
  <c r="Y34" i="28"/>
  <c r="X34" i="28"/>
  <c r="AD33" i="28"/>
  <c r="AB33" i="28"/>
  <c r="AA33" i="28"/>
  <c r="AA33" i="29" s="1"/>
  <c r="Z33" i="28"/>
  <c r="Z33" i="29" s="1"/>
  <c r="Y33" i="28"/>
  <c r="X33" i="28"/>
  <c r="AD32" i="28"/>
  <c r="AB32" i="28"/>
  <c r="AA32" i="28"/>
  <c r="Z32" i="28"/>
  <c r="Y32" i="28"/>
  <c r="X32" i="28"/>
  <c r="AD31" i="28"/>
  <c r="AB31" i="28"/>
  <c r="AA31" i="28"/>
  <c r="AA31" i="29" s="1"/>
  <c r="Z31" i="28"/>
  <c r="Y31" i="28"/>
  <c r="X31" i="28"/>
  <c r="AD30" i="28"/>
  <c r="AB30" i="28"/>
  <c r="AA30" i="28"/>
  <c r="AA30" i="29" s="1"/>
  <c r="Z30" i="28"/>
  <c r="Y30" i="28"/>
  <c r="X30" i="28"/>
  <c r="AD29" i="28"/>
  <c r="AB29" i="28"/>
  <c r="AA29" i="28"/>
  <c r="AA29" i="29" s="1"/>
  <c r="Z29" i="28"/>
  <c r="Z29" i="29" s="1"/>
  <c r="Y29" i="28"/>
  <c r="X29" i="28"/>
  <c r="AD28" i="28"/>
  <c r="AB28" i="28"/>
  <c r="AA28" i="28"/>
  <c r="Z28" i="28"/>
  <c r="Z28" i="29" s="1"/>
  <c r="Y28" i="28"/>
  <c r="X28" i="28"/>
  <c r="AD27" i="28"/>
  <c r="AB27" i="28"/>
  <c r="AA27" i="28"/>
  <c r="AA27" i="29" s="1"/>
  <c r="Z27" i="28"/>
  <c r="Z27" i="29" s="1"/>
  <c r="Y27" i="28"/>
  <c r="X27" i="28"/>
  <c r="AD26" i="28"/>
  <c r="AB26" i="28"/>
  <c r="AA26" i="28"/>
  <c r="AA26" i="29" s="1"/>
  <c r="Z26" i="28"/>
  <c r="Z26" i="29" s="1"/>
  <c r="Y26" i="28"/>
  <c r="X26" i="28"/>
  <c r="AD25" i="28"/>
  <c r="AC25" i="28"/>
  <c r="AB25" i="28"/>
  <c r="AA25" i="28"/>
  <c r="AA25" i="29" s="1"/>
  <c r="Z25" i="28"/>
  <c r="Y25" i="28"/>
  <c r="X25" i="28"/>
  <c r="W25" i="28"/>
  <c r="V25" i="28"/>
  <c r="U25" i="28"/>
  <c r="AD24" i="28"/>
  <c r="AB24" i="28"/>
  <c r="AA24" i="28"/>
  <c r="Z24" i="28"/>
  <c r="Y24" i="28"/>
  <c r="X24" i="28"/>
  <c r="AD23" i="28"/>
  <c r="AB23" i="28"/>
  <c r="AA23" i="28"/>
  <c r="AA23" i="29" s="1"/>
  <c r="Z23" i="28"/>
  <c r="Y23" i="28"/>
  <c r="X23" i="28"/>
  <c r="AD22" i="28"/>
  <c r="AB22" i="28"/>
  <c r="AA22" i="28"/>
  <c r="Z22" i="28"/>
  <c r="Y22" i="28"/>
  <c r="X22" i="28"/>
  <c r="AD21" i="28"/>
  <c r="AB21" i="28"/>
  <c r="AA21" i="28"/>
  <c r="AA21" i="29" s="1"/>
  <c r="Z21" i="28"/>
  <c r="Z21" i="29" s="1"/>
  <c r="Y21" i="28"/>
  <c r="X21" i="28"/>
  <c r="AD20" i="28"/>
  <c r="AC20" i="28"/>
  <c r="AB20" i="28"/>
  <c r="AA20" i="28"/>
  <c r="Z20" i="28"/>
  <c r="Z20" i="29" s="1"/>
  <c r="Y20" i="28"/>
  <c r="X20" i="28"/>
  <c r="W20" i="28"/>
  <c r="V20" i="28"/>
  <c r="U20" i="28"/>
  <c r="AD19" i="28"/>
  <c r="AC19" i="28"/>
  <c r="AB19" i="28"/>
  <c r="AA19" i="28"/>
  <c r="AA19" i="29" s="1"/>
  <c r="Z19" i="28"/>
  <c r="Y19" i="28"/>
  <c r="X19" i="28"/>
  <c r="W19" i="28"/>
  <c r="V19" i="28"/>
  <c r="U19" i="28"/>
  <c r="AD18" i="28"/>
  <c r="AC18" i="28"/>
  <c r="AB18" i="28"/>
  <c r="AA18" i="28"/>
  <c r="Z18" i="28"/>
  <c r="Z18" i="29" s="1"/>
  <c r="Y18" i="28"/>
  <c r="X18" i="28"/>
  <c r="W18" i="28"/>
  <c r="V18" i="28"/>
  <c r="U18" i="28"/>
  <c r="AD17" i="28"/>
  <c r="AC17" i="28"/>
  <c r="AB17" i="28"/>
  <c r="AA17" i="28"/>
  <c r="AA17" i="29" s="1"/>
  <c r="Z17" i="28"/>
  <c r="Y17" i="28"/>
  <c r="X17" i="28"/>
  <c r="W17" i="28"/>
  <c r="V17" i="28"/>
  <c r="U17" i="28"/>
  <c r="AD16" i="28"/>
  <c r="AC16" i="28"/>
  <c r="AB16" i="28"/>
  <c r="AA16" i="28"/>
  <c r="AA16" i="29" s="1"/>
  <c r="Z16" i="28"/>
  <c r="Z16" i="29" s="1"/>
  <c r="Y16" i="28"/>
  <c r="X16" i="28"/>
  <c r="W16" i="28"/>
  <c r="V16" i="28"/>
  <c r="U16" i="28"/>
  <c r="AD15" i="28"/>
  <c r="AC15" i="28"/>
  <c r="AB15" i="28"/>
  <c r="AA15" i="28"/>
  <c r="AA15" i="29" s="1"/>
  <c r="Z15" i="28"/>
  <c r="Y15" i="28"/>
  <c r="X15" i="28"/>
  <c r="W15" i="28"/>
  <c r="V15" i="28"/>
  <c r="U15" i="28"/>
  <c r="AD14" i="28"/>
  <c r="AC14" i="28"/>
  <c r="AB14" i="28"/>
  <c r="AA14" i="28"/>
  <c r="AA14" i="29" s="1"/>
  <c r="Z14" i="28"/>
  <c r="Z14" i="29" s="1"/>
  <c r="Y14" i="28"/>
  <c r="X14" i="28"/>
  <c r="W14" i="28"/>
  <c r="V14" i="28"/>
  <c r="U14" i="28"/>
  <c r="AD13" i="28"/>
  <c r="AC13" i="28"/>
  <c r="AB13" i="28"/>
  <c r="AA13" i="28"/>
  <c r="AA13" i="29" s="1"/>
  <c r="Z13" i="28"/>
  <c r="Y13" i="28"/>
  <c r="X13" i="28"/>
  <c r="W13" i="28"/>
  <c r="V13" i="28"/>
  <c r="U13" i="28"/>
  <c r="AD12" i="28"/>
  <c r="AC12" i="28"/>
  <c r="AB12" i="28"/>
  <c r="AA12" i="28"/>
  <c r="Z12" i="28"/>
  <c r="Y12" i="28"/>
  <c r="X12" i="28"/>
  <c r="W12" i="28"/>
  <c r="V12" i="28"/>
  <c r="U12" i="28"/>
  <c r="AD11" i="28"/>
  <c r="AC11" i="28"/>
  <c r="AB11" i="28"/>
  <c r="AA11" i="28"/>
  <c r="AA11" i="29" s="1"/>
  <c r="Z11" i="28"/>
  <c r="Y11" i="28"/>
  <c r="X11" i="28"/>
  <c r="W11" i="28"/>
  <c r="V11" i="28"/>
  <c r="U11" i="28"/>
  <c r="AD10" i="28"/>
  <c r="AC10" i="28"/>
  <c r="AB10" i="28"/>
  <c r="AA10" i="28"/>
  <c r="AA10" i="29" s="1"/>
  <c r="Z10" i="28"/>
  <c r="Y10" i="28"/>
  <c r="X10" i="28"/>
  <c r="W10" i="28"/>
  <c r="V10" i="28"/>
  <c r="U10" i="28"/>
  <c r="AD9" i="28"/>
  <c r="AC9" i="28"/>
  <c r="AB9" i="28"/>
  <c r="AA9" i="28"/>
  <c r="AA9" i="29" s="1"/>
  <c r="Z9" i="28"/>
  <c r="Y9" i="28"/>
  <c r="X9" i="28"/>
  <c r="W9" i="28"/>
  <c r="V9" i="28"/>
  <c r="U9" i="28"/>
  <c r="AD8" i="28"/>
  <c r="AC8" i="28"/>
  <c r="AB8" i="28"/>
  <c r="AA8" i="28"/>
  <c r="AA8" i="29" s="1"/>
  <c r="Z8" i="28"/>
  <c r="Y8" i="28"/>
  <c r="X8" i="28"/>
  <c r="W8" i="28"/>
  <c r="V8" i="28"/>
  <c r="U8" i="28"/>
  <c r="AD7" i="28"/>
  <c r="AC7" i="28"/>
  <c r="AB7" i="28"/>
  <c r="AA7" i="28"/>
  <c r="AA7" i="29" s="1"/>
  <c r="Z7" i="28"/>
  <c r="Y7" i="28"/>
  <c r="X7" i="28"/>
  <c r="W7" i="28"/>
  <c r="V7" i="28"/>
  <c r="U7" i="28"/>
  <c r="AD6" i="28"/>
  <c r="AC6" i="28"/>
  <c r="AB6" i="28"/>
  <c r="AA6" i="28"/>
  <c r="AA6" i="29" s="1"/>
  <c r="Z6" i="28"/>
  <c r="Y6" i="28"/>
  <c r="X6" i="28"/>
  <c r="W6" i="28"/>
  <c r="V6" i="28"/>
  <c r="U6" i="28"/>
  <c r="AD5" i="28"/>
  <c r="AC5" i="28"/>
  <c r="AB5" i="28"/>
  <c r="AA5" i="28"/>
  <c r="AA5" i="29" s="1"/>
  <c r="Z5" i="28"/>
  <c r="Y5" i="28"/>
  <c r="X5" i="28"/>
  <c r="W5" i="28"/>
  <c r="V5" i="28"/>
  <c r="U5" i="28"/>
  <c r="AP51" i="36"/>
  <c r="AC51" i="36"/>
  <c r="AC51" i="28" s="1"/>
  <c r="W51" i="36"/>
  <c r="W51" i="28" s="1"/>
  <c r="V51" i="36"/>
  <c r="V51" i="28" s="1"/>
  <c r="U51" i="36"/>
  <c r="U51" i="28" s="1"/>
  <c r="AP50" i="36"/>
  <c r="AC50" i="36"/>
  <c r="AC50" i="28" s="1"/>
  <c r="W50" i="36"/>
  <c r="W50" i="28" s="1"/>
  <c r="V50" i="36"/>
  <c r="V50" i="28" s="1"/>
  <c r="U50" i="36"/>
  <c r="U50" i="28" s="1"/>
  <c r="AP49" i="36"/>
  <c r="AC49" i="36"/>
  <c r="AC49" i="28" s="1"/>
  <c r="W49" i="36"/>
  <c r="W49" i="28" s="1"/>
  <c r="V49" i="36"/>
  <c r="V49" i="28" s="1"/>
  <c r="U49" i="36"/>
  <c r="U49" i="28" s="1"/>
  <c r="AP48" i="36"/>
  <c r="AC48" i="36"/>
  <c r="AC48" i="28" s="1"/>
  <c r="W48" i="36"/>
  <c r="W48" i="28" s="1"/>
  <c r="V48" i="36"/>
  <c r="V48" i="28" s="1"/>
  <c r="U48" i="36"/>
  <c r="U48" i="28" s="1"/>
  <c r="AP47" i="36"/>
  <c r="AC47" i="36"/>
  <c r="AC47" i="28" s="1"/>
  <c r="W47" i="36"/>
  <c r="W47" i="28" s="1"/>
  <c r="V47" i="36"/>
  <c r="V47" i="28" s="1"/>
  <c r="U47" i="36"/>
  <c r="U47" i="28" s="1"/>
  <c r="AP46" i="36"/>
  <c r="AC46" i="36"/>
  <c r="AC46" i="28" s="1"/>
  <c r="W46" i="36"/>
  <c r="W46" i="28" s="1"/>
  <c r="V46" i="36"/>
  <c r="V46" i="28" s="1"/>
  <c r="U46" i="36"/>
  <c r="U46" i="28" s="1"/>
  <c r="AP45" i="36"/>
  <c r="AC45" i="36"/>
  <c r="AC45" i="28" s="1"/>
  <c r="W45" i="36"/>
  <c r="W45" i="28" s="1"/>
  <c r="V45" i="36"/>
  <c r="V45" i="28" s="1"/>
  <c r="U45" i="36"/>
  <c r="U45" i="28" s="1"/>
  <c r="AP44" i="36"/>
  <c r="AC44" i="36"/>
  <c r="AC44" i="28" s="1"/>
  <c r="W44" i="36"/>
  <c r="W44" i="28" s="1"/>
  <c r="V44" i="36"/>
  <c r="V44" i="28" s="1"/>
  <c r="U44" i="36"/>
  <c r="U44" i="28" s="1"/>
  <c r="AP43" i="36"/>
  <c r="AC43" i="36"/>
  <c r="AC43" i="28" s="1"/>
  <c r="W43" i="36"/>
  <c r="W43" i="28" s="1"/>
  <c r="V43" i="36"/>
  <c r="V43" i="28" s="1"/>
  <c r="U43" i="36"/>
  <c r="U43" i="28" s="1"/>
  <c r="AP42" i="36"/>
  <c r="AC42" i="36"/>
  <c r="AC42" i="28" s="1"/>
  <c r="W42" i="36"/>
  <c r="W42" i="28" s="1"/>
  <c r="V42" i="36"/>
  <c r="V42" i="28" s="1"/>
  <c r="U42" i="36"/>
  <c r="U42" i="28" s="1"/>
  <c r="AP41" i="36"/>
  <c r="AC41" i="36"/>
  <c r="AC41" i="28" s="1"/>
  <c r="W41" i="36"/>
  <c r="W41" i="28" s="1"/>
  <c r="V41" i="36"/>
  <c r="V41" i="28" s="1"/>
  <c r="U41" i="36"/>
  <c r="U41" i="28" s="1"/>
  <c r="AP40" i="36"/>
  <c r="AC40" i="36"/>
  <c r="AC40" i="28" s="1"/>
  <c r="W40" i="36"/>
  <c r="W40" i="28" s="1"/>
  <c r="V40" i="36"/>
  <c r="V40" i="28" s="1"/>
  <c r="U40" i="36"/>
  <c r="U40" i="28" s="1"/>
  <c r="AP39" i="36"/>
  <c r="AC39" i="36"/>
  <c r="AC39" i="28" s="1"/>
  <c r="W39" i="36"/>
  <c r="W39" i="28" s="1"/>
  <c r="V39" i="36"/>
  <c r="V39" i="28" s="1"/>
  <c r="U39" i="36"/>
  <c r="U39" i="28" s="1"/>
  <c r="AP38" i="36"/>
  <c r="AC38" i="36"/>
  <c r="AC38" i="28" s="1"/>
  <c r="W38" i="36"/>
  <c r="W38" i="28" s="1"/>
  <c r="V38" i="36"/>
  <c r="V38" i="28" s="1"/>
  <c r="U38" i="36"/>
  <c r="U38" i="28" s="1"/>
  <c r="AP37" i="36"/>
  <c r="AC37" i="36"/>
  <c r="AC37" i="28" s="1"/>
  <c r="W37" i="36"/>
  <c r="W37" i="28" s="1"/>
  <c r="V37" i="36"/>
  <c r="V37" i="28" s="1"/>
  <c r="U37" i="36"/>
  <c r="U37" i="28" s="1"/>
  <c r="AP36" i="36"/>
  <c r="AC36" i="36"/>
  <c r="AC36" i="28" s="1"/>
  <c r="W36" i="36"/>
  <c r="W36" i="28" s="1"/>
  <c r="V36" i="36"/>
  <c r="V36" i="28" s="1"/>
  <c r="U36" i="36"/>
  <c r="U36" i="28" s="1"/>
  <c r="AP35" i="36"/>
  <c r="AC35" i="36"/>
  <c r="AC35" i="28" s="1"/>
  <c r="W35" i="36"/>
  <c r="W35" i="28" s="1"/>
  <c r="V35" i="36"/>
  <c r="V35" i="28" s="1"/>
  <c r="U35" i="36"/>
  <c r="U35" i="28" s="1"/>
  <c r="AP34" i="36"/>
  <c r="AC34" i="36"/>
  <c r="AC34" i="28" s="1"/>
  <c r="W34" i="36"/>
  <c r="W34" i="28" s="1"/>
  <c r="V34" i="36"/>
  <c r="V34" i="28" s="1"/>
  <c r="U34" i="36"/>
  <c r="U34" i="28" s="1"/>
  <c r="AP33" i="36"/>
  <c r="AC33" i="36"/>
  <c r="AC33" i="28" s="1"/>
  <c r="W33" i="36"/>
  <c r="W33" i="28" s="1"/>
  <c r="V33" i="36"/>
  <c r="V33" i="28" s="1"/>
  <c r="U33" i="36"/>
  <c r="U33" i="28" s="1"/>
  <c r="AP32" i="36"/>
  <c r="AC32" i="36"/>
  <c r="AC32" i="28" s="1"/>
  <c r="W32" i="36"/>
  <c r="W32" i="28" s="1"/>
  <c r="V32" i="36"/>
  <c r="V32" i="28" s="1"/>
  <c r="U32" i="36"/>
  <c r="U32" i="28" s="1"/>
  <c r="AP31" i="36"/>
  <c r="AC31" i="36"/>
  <c r="AC31" i="28" s="1"/>
  <c r="W31" i="36"/>
  <c r="W31" i="28" s="1"/>
  <c r="V31" i="36"/>
  <c r="V31" i="28" s="1"/>
  <c r="U31" i="36"/>
  <c r="U31" i="28" s="1"/>
  <c r="AP30" i="36"/>
  <c r="AC30" i="36"/>
  <c r="AC30" i="28" s="1"/>
  <c r="W30" i="36"/>
  <c r="W30" i="28" s="1"/>
  <c r="V30" i="36"/>
  <c r="V30" i="28" s="1"/>
  <c r="U30" i="36"/>
  <c r="U30" i="28" s="1"/>
  <c r="AP29" i="36"/>
  <c r="AC29" i="36"/>
  <c r="AC29" i="28" s="1"/>
  <c r="W29" i="36"/>
  <c r="W29" i="28" s="1"/>
  <c r="V29" i="36"/>
  <c r="V29" i="28" s="1"/>
  <c r="U29" i="36"/>
  <c r="U29" i="28" s="1"/>
  <c r="AP28" i="36"/>
  <c r="AC28" i="36"/>
  <c r="AC28" i="28" s="1"/>
  <c r="W28" i="36"/>
  <c r="W28" i="28" s="1"/>
  <c r="V28" i="36"/>
  <c r="V28" i="28" s="1"/>
  <c r="U28" i="36"/>
  <c r="U28" i="28" s="1"/>
  <c r="AP27" i="36"/>
  <c r="AC27" i="36"/>
  <c r="AC27" i="28" s="1"/>
  <c r="W27" i="36"/>
  <c r="W27" i="28" s="1"/>
  <c r="V27" i="36"/>
  <c r="V27" i="28" s="1"/>
  <c r="U27" i="36"/>
  <c r="U27" i="28" s="1"/>
  <c r="AP26" i="36"/>
  <c r="AC26" i="36"/>
  <c r="AC26" i="28" s="1"/>
  <c r="W26" i="36"/>
  <c r="W26" i="28" s="1"/>
  <c r="V26" i="36"/>
  <c r="V26" i="28" s="1"/>
  <c r="U26" i="36"/>
  <c r="U26" i="28" s="1"/>
  <c r="AP24" i="36"/>
  <c r="AC24" i="36"/>
  <c r="AC24" i="28" s="1"/>
  <c r="W24" i="36"/>
  <c r="W24" i="28" s="1"/>
  <c r="V24" i="36"/>
  <c r="V24" i="28" s="1"/>
  <c r="U24" i="36"/>
  <c r="U24" i="28" s="1"/>
  <c r="AP23" i="36"/>
  <c r="AC23" i="36"/>
  <c r="AC23" i="28" s="1"/>
  <c r="W23" i="36"/>
  <c r="W23" i="28" s="1"/>
  <c r="V23" i="36"/>
  <c r="V23" i="28" s="1"/>
  <c r="U23" i="36"/>
  <c r="U23" i="28" s="1"/>
  <c r="AP22" i="36"/>
  <c r="AC22" i="36"/>
  <c r="AC22" i="28" s="1"/>
  <c r="W22" i="36"/>
  <c r="W22" i="28" s="1"/>
  <c r="V22" i="36"/>
  <c r="V22" i="28" s="1"/>
  <c r="U22" i="36"/>
  <c r="U22" i="28" s="1"/>
  <c r="AP21" i="36"/>
  <c r="AC21" i="36"/>
  <c r="AC21" i="28" s="1"/>
  <c r="W21" i="36"/>
  <c r="W21" i="28" s="1"/>
  <c r="V21" i="36"/>
  <c r="V21" i="28" s="1"/>
  <c r="U21" i="36"/>
  <c r="U21" i="28" s="1"/>
  <c r="Y8" i="35"/>
  <c r="X48" i="35"/>
  <c r="V48" i="35"/>
  <c r="T48" i="35"/>
  <c r="P48" i="35"/>
  <c r="O48" i="35"/>
  <c r="N48" i="35"/>
  <c r="M48" i="35"/>
  <c r="V47" i="35"/>
  <c r="U47" i="35"/>
  <c r="T47" i="35"/>
  <c r="P47" i="35"/>
  <c r="O47" i="35"/>
  <c r="N47" i="35"/>
  <c r="M47" i="35"/>
  <c r="X46" i="35"/>
  <c r="V46" i="35"/>
  <c r="U46" i="35"/>
  <c r="T46" i="35"/>
  <c r="P46" i="35"/>
  <c r="O46" i="35"/>
  <c r="N46" i="35"/>
  <c r="M46" i="35"/>
  <c r="Y8" i="34"/>
  <c r="X48" i="34"/>
  <c r="V48" i="34"/>
  <c r="T48" i="34"/>
  <c r="P48" i="34"/>
  <c r="O48" i="34"/>
  <c r="N48" i="34"/>
  <c r="M48" i="34"/>
  <c r="V47" i="34"/>
  <c r="U47" i="34"/>
  <c r="T47" i="34"/>
  <c r="P47" i="34"/>
  <c r="O47" i="34"/>
  <c r="N47" i="34"/>
  <c r="M47" i="34"/>
  <c r="X46" i="34"/>
  <c r="V46" i="34"/>
  <c r="V50" i="34" s="1"/>
  <c r="U46" i="34"/>
  <c r="U50" i="34" s="1"/>
  <c r="T46" i="34"/>
  <c r="T50" i="34" s="1"/>
  <c r="P46" i="34"/>
  <c r="P50" i="34" s="1"/>
  <c r="O46" i="34"/>
  <c r="N46" i="34"/>
  <c r="N50" i="34" s="1"/>
  <c r="M46" i="34"/>
  <c r="M50" i="34" s="1"/>
  <c r="Y43" i="33"/>
  <c r="Y42" i="33"/>
  <c r="Y41" i="33"/>
  <c r="Y40" i="33"/>
  <c r="Y39" i="33"/>
  <c r="Y38" i="33"/>
  <c r="Y37" i="33"/>
  <c r="Y36" i="33"/>
  <c r="Y35" i="33"/>
  <c r="Y34" i="33"/>
  <c r="Y33" i="33"/>
  <c r="Y32" i="33"/>
  <c r="Y31" i="33"/>
  <c r="Y30" i="33"/>
  <c r="Y29" i="33"/>
  <c r="Y28" i="33"/>
  <c r="Y27" i="33"/>
  <c r="Y26" i="33"/>
  <c r="Y25" i="33"/>
  <c r="Y24" i="33"/>
  <c r="Y23" i="33"/>
  <c r="Y22" i="33"/>
  <c r="Y21" i="33"/>
  <c r="Y20" i="33"/>
  <c r="Y19" i="33"/>
  <c r="Y18" i="33"/>
  <c r="Y17" i="33"/>
  <c r="Y16" i="33"/>
  <c r="Y15" i="33"/>
  <c r="Y14" i="33"/>
  <c r="Y13" i="33"/>
  <c r="Y12" i="33"/>
  <c r="Y11" i="33"/>
  <c r="Y10" i="33"/>
  <c r="Y9" i="33"/>
  <c r="Y8" i="33"/>
  <c r="Y7" i="33"/>
  <c r="Y6" i="33"/>
  <c r="Y5" i="33"/>
  <c r="X48" i="33"/>
  <c r="V48" i="33"/>
  <c r="T48" i="33"/>
  <c r="P48" i="33"/>
  <c r="O48" i="33"/>
  <c r="N48" i="33"/>
  <c r="M48" i="33"/>
  <c r="V47" i="33"/>
  <c r="U47" i="33"/>
  <c r="T47" i="33"/>
  <c r="P47" i="33"/>
  <c r="O47" i="33"/>
  <c r="N47" i="33"/>
  <c r="M47" i="33"/>
  <c r="X46" i="33"/>
  <c r="V46" i="33"/>
  <c r="V50" i="33" s="1"/>
  <c r="U46" i="33"/>
  <c r="U50" i="33" s="1"/>
  <c r="T46" i="33"/>
  <c r="T50" i="33" s="1"/>
  <c r="P46" i="33"/>
  <c r="P50" i="33" s="1"/>
  <c r="O46" i="33"/>
  <c r="N46" i="33"/>
  <c r="N50" i="33" s="1"/>
  <c r="M46" i="33"/>
  <c r="M50" i="33" s="1"/>
  <c r="X48" i="32"/>
  <c r="X46" i="32"/>
  <c r="V48" i="32"/>
  <c r="V47" i="32"/>
  <c r="V46" i="32"/>
  <c r="U47" i="32"/>
  <c r="U46" i="32"/>
  <c r="T48" i="32"/>
  <c r="T47" i="32"/>
  <c r="T46" i="32"/>
  <c r="R49" i="32"/>
  <c r="R8" i="33" s="1"/>
  <c r="P48" i="32"/>
  <c r="P47" i="32"/>
  <c r="P46" i="32"/>
  <c r="O48" i="32"/>
  <c r="O47" i="32"/>
  <c r="O46" i="32"/>
  <c r="N48" i="32"/>
  <c r="N47" i="32"/>
  <c r="N46" i="32"/>
  <c r="M48" i="32"/>
  <c r="M47" i="32"/>
  <c r="M46" i="32"/>
  <c r="Z43" i="32"/>
  <c r="Z42" i="32"/>
  <c r="Z41" i="32"/>
  <c r="Z40" i="32"/>
  <c r="Z39" i="32"/>
  <c r="Z38" i="32"/>
  <c r="Z37" i="32"/>
  <c r="Z36" i="32"/>
  <c r="Z35" i="32"/>
  <c r="Z34" i="32"/>
  <c r="Z33" i="32"/>
  <c r="Z32" i="32"/>
  <c r="Z31" i="32"/>
  <c r="Z30" i="32"/>
  <c r="Z29" i="32"/>
  <c r="Z28" i="32"/>
  <c r="Z27" i="32"/>
  <c r="Z26" i="32"/>
  <c r="Z25" i="32"/>
  <c r="Z24" i="32"/>
  <c r="Z23" i="32"/>
  <c r="Z22" i="32"/>
  <c r="Z21" i="32"/>
  <c r="Z20" i="32"/>
  <c r="Z19" i="32"/>
  <c r="Z18" i="32"/>
  <c r="Z16" i="32"/>
  <c r="Z15" i="32"/>
  <c r="Z14" i="32"/>
  <c r="Z13" i="32"/>
  <c r="V43" i="32"/>
  <c r="V42" i="32"/>
  <c r="V41" i="32"/>
  <c r="V40" i="32"/>
  <c r="V39" i="32"/>
  <c r="V38" i="32"/>
  <c r="V37" i="32"/>
  <c r="V36" i="32"/>
  <c r="V35" i="32"/>
  <c r="V34" i="32"/>
  <c r="V33" i="32"/>
  <c r="V32" i="32"/>
  <c r="V31" i="32"/>
  <c r="V30" i="32"/>
  <c r="V29" i="32"/>
  <c r="V28" i="32"/>
  <c r="V27" i="32"/>
  <c r="V26" i="32"/>
  <c r="V25" i="32"/>
  <c r="V24" i="32"/>
  <c r="V23" i="32"/>
  <c r="V22" i="32"/>
  <c r="V21" i="32"/>
  <c r="V20" i="32"/>
  <c r="V19" i="32"/>
  <c r="V18" i="32"/>
  <c r="V16" i="32"/>
  <c r="V15" i="32"/>
  <c r="V14" i="32"/>
  <c r="V13" i="32"/>
  <c r="U43" i="32"/>
  <c r="U42" i="32"/>
  <c r="U41" i="32"/>
  <c r="U40" i="32"/>
  <c r="U39" i="32"/>
  <c r="U38" i="32"/>
  <c r="U37" i="32"/>
  <c r="U36" i="32"/>
  <c r="U35" i="32"/>
  <c r="U34" i="32"/>
  <c r="U33" i="32"/>
  <c r="U32" i="32"/>
  <c r="U31" i="32"/>
  <c r="U30" i="32"/>
  <c r="U29" i="32"/>
  <c r="U28" i="32"/>
  <c r="U27" i="32"/>
  <c r="U26" i="32"/>
  <c r="U25" i="32"/>
  <c r="U24" i="32"/>
  <c r="U23" i="32"/>
  <c r="U22" i="32"/>
  <c r="U21" i="32"/>
  <c r="U20" i="32"/>
  <c r="U19" i="32"/>
  <c r="U18" i="32"/>
  <c r="U16" i="32"/>
  <c r="U15" i="32"/>
  <c r="U14" i="32"/>
  <c r="U13" i="32"/>
  <c r="T43" i="32"/>
  <c r="T42" i="32"/>
  <c r="T41" i="32"/>
  <c r="T40" i="32"/>
  <c r="T39" i="32"/>
  <c r="T38" i="32"/>
  <c r="T37" i="32"/>
  <c r="T36" i="32"/>
  <c r="T35" i="32"/>
  <c r="T34" i="32"/>
  <c r="T33" i="32"/>
  <c r="T32" i="32"/>
  <c r="T31" i="32"/>
  <c r="T30" i="32"/>
  <c r="T29" i="32"/>
  <c r="T28" i="32"/>
  <c r="T27" i="32"/>
  <c r="T26" i="32"/>
  <c r="T25" i="32"/>
  <c r="T24" i="32"/>
  <c r="T23" i="32"/>
  <c r="T22" i="32"/>
  <c r="T21" i="32"/>
  <c r="T20" i="32"/>
  <c r="T19" i="32"/>
  <c r="T18" i="32"/>
  <c r="T16" i="32"/>
  <c r="T15" i="32"/>
  <c r="T14" i="32"/>
  <c r="T13" i="32"/>
  <c r="R43" i="32"/>
  <c r="R42" i="32"/>
  <c r="R41" i="32"/>
  <c r="R40" i="32"/>
  <c r="R39" i="32"/>
  <c r="R38" i="32"/>
  <c r="R37" i="32"/>
  <c r="R36" i="32"/>
  <c r="R35" i="32"/>
  <c r="R34" i="32"/>
  <c r="R33" i="32"/>
  <c r="R32" i="32"/>
  <c r="R31" i="32"/>
  <c r="R30" i="32"/>
  <c r="R29" i="32"/>
  <c r="R28" i="32"/>
  <c r="R27" i="32"/>
  <c r="R26" i="32"/>
  <c r="R25" i="32"/>
  <c r="R24" i="32"/>
  <c r="R23" i="32"/>
  <c r="R22" i="32"/>
  <c r="R21" i="32"/>
  <c r="R20" i="32"/>
  <c r="R19" i="32"/>
  <c r="R18" i="32"/>
  <c r="R16" i="32"/>
  <c r="R15" i="32"/>
  <c r="R14" i="32"/>
  <c r="R13" i="32"/>
  <c r="P43" i="32"/>
  <c r="P42" i="32"/>
  <c r="P41" i="32"/>
  <c r="P40" i="32"/>
  <c r="P39" i="32"/>
  <c r="P38" i="32"/>
  <c r="P37" i="32"/>
  <c r="P36" i="32"/>
  <c r="P35" i="32"/>
  <c r="P34" i="32"/>
  <c r="P33" i="32"/>
  <c r="P32" i="32"/>
  <c r="P31" i="32"/>
  <c r="P30" i="32"/>
  <c r="P29" i="32"/>
  <c r="P28" i="32"/>
  <c r="P27" i="32"/>
  <c r="P26" i="32"/>
  <c r="P25" i="32"/>
  <c r="P24" i="32"/>
  <c r="P23" i="32"/>
  <c r="P22" i="32"/>
  <c r="P21" i="32"/>
  <c r="P20" i="32"/>
  <c r="P19" i="32"/>
  <c r="P18" i="32"/>
  <c r="P16" i="32"/>
  <c r="P15" i="32"/>
  <c r="P14" i="32"/>
  <c r="P13" i="32"/>
  <c r="O43" i="32"/>
  <c r="O42" i="32"/>
  <c r="O41" i="32"/>
  <c r="O40" i="32"/>
  <c r="O39" i="32"/>
  <c r="O38" i="32"/>
  <c r="O37" i="32"/>
  <c r="O36" i="32"/>
  <c r="O35" i="32"/>
  <c r="O34" i="32"/>
  <c r="O33" i="32"/>
  <c r="O32" i="32"/>
  <c r="O31" i="32"/>
  <c r="O30" i="32"/>
  <c r="O29" i="32"/>
  <c r="O28" i="32"/>
  <c r="O27" i="32"/>
  <c r="O26" i="32"/>
  <c r="O25" i="32"/>
  <c r="O24" i="32"/>
  <c r="O23" i="32"/>
  <c r="O22" i="32"/>
  <c r="O21" i="32"/>
  <c r="O20" i="32"/>
  <c r="O19" i="32"/>
  <c r="O18" i="32"/>
  <c r="O16" i="32"/>
  <c r="O15" i="32"/>
  <c r="O14" i="32"/>
  <c r="O13" i="32"/>
  <c r="N43" i="32"/>
  <c r="N42" i="32"/>
  <c r="N41" i="32"/>
  <c r="N40" i="32"/>
  <c r="N39" i="32"/>
  <c r="N38" i="32"/>
  <c r="N37" i="32"/>
  <c r="N36" i="32"/>
  <c r="N35" i="32"/>
  <c r="N34" i="32"/>
  <c r="N33" i="32"/>
  <c r="N32" i="32"/>
  <c r="N31" i="32"/>
  <c r="N30" i="32"/>
  <c r="N29" i="32"/>
  <c r="N28" i="32"/>
  <c r="N27" i="32"/>
  <c r="N26" i="32"/>
  <c r="N25" i="32"/>
  <c r="N24" i="32"/>
  <c r="N23" i="32"/>
  <c r="N22" i="32"/>
  <c r="N21" i="32"/>
  <c r="N20" i="32"/>
  <c r="N19" i="32"/>
  <c r="N18" i="32"/>
  <c r="N16" i="32"/>
  <c r="N15" i="32"/>
  <c r="N14" i="32"/>
  <c r="N13" i="32"/>
  <c r="M43" i="32"/>
  <c r="M42" i="32"/>
  <c r="M41" i="32"/>
  <c r="M40" i="32"/>
  <c r="M39" i="32"/>
  <c r="M38" i="32"/>
  <c r="M37" i="32"/>
  <c r="M36" i="32"/>
  <c r="M35" i="32"/>
  <c r="M34" i="32"/>
  <c r="M33" i="32"/>
  <c r="M32" i="32"/>
  <c r="M31" i="32"/>
  <c r="M30" i="32"/>
  <c r="M29" i="32"/>
  <c r="M28" i="32"/>
  <c r="M27" i="32"/>
  <c r="M26" i="32"/>
  <c r="M25" i="32"/>
  <c r="M24" i="32"/>
  <c r="M23" i="32"/>
  <c r="M22" i="32"/>
  <c r="M21" i="32"/>
  <c r="M20" i="32"/>
  <c r="M19" i="32"/>
  <c r="M18" i="32"/>
  <c r="M16" i="32"/>
  <c r="M15" i="32"/>
  <c r="M14" i="32"/>
  <c r="M13" i="32"/>
  <c r="L43" i="32"/>
  <c r="L42" i="32"/>
  <c r="L41" i="32"/>
  <c r="L40" i="32"/>
  <c r="L39" i="32"/>
  <c r="L38" i="32"/>
  <c r="L37" i="32"/>
  <c r="L36" i="32"/>
  <c r="L35" i="32"/>
  <c r="L34" i="32"/>
  <c r="L33" i="32"/>
  <c r="L32" i="32"/>
  <c r="L31" i="32"/>
  <c r="L30" i="32"/>
  <c r="L29" i="32"/>
  <c r="L28" i="32"/>
  <c r="L27" i="32"/>
  <c r="L26" i="32"/>
  <c r="L25" i="32"/>
  <c r="L24" i="32"/>
  <c r="L23" i="32"/>
  <c r="L22" i="32"/>
  <c r="L21" i="32"/>
  <c r="L20" i="32"/>
  <c r="L19" i="32"/>
  <c r="L18" i="32"/>
  <c r="L16" i="32"/>
  <c r="L15" i="32"/>
  <c r="L14" i="32"/>
  <c r="L13" i="32"/>
  <c r="AK56" i="31"/>
  <c r="AF56" i="31"/>
  <c r="AP54" i="31" s="1"/>
  <c r="AE56" i="31"/>
  <c r="AO54" i="31" s="1"/>
  <c r="AC56" i="31"/>
  <c r="Y56" i="31"/>
  <c r="X56" i="31"/>
  <c r="W56" i="31"/>
  <c r="S56" i="31"/>
  <c r="R56" i="31"/>
  <c r="Q56" i="31"/>
  <c r="P56" i="31"/>
  <c r="O56" i="31"/>
  <c r="M56" i="31"/>
  <c r="L56" i="31"/>
  <c r="AK55" i="31"/>
  <c r="AF55" i="31"/>
  <c r="AC55" i="31"/>
  <c r="AA55" i="31"/>
  <c r="Z55" i="31"/>
  <c r="Y55" i="31"/>
  <c r="X55" i="31"/>
  <c r="W55" i="31"/>
  <c r="V55" i="31"/>
  <c r="U55" i="31"/>
  <c r="S55" i="31"/>
  <c r="R55" i="31"/>
  <c r="Q55" i="31"/>
  <c r="P55" i="31"/>
  <c r="O55" i="31"/>
  <c r="M55" i="31"/>
  <c r="L55" i="31"/>
  <c r="AL57" i="30"/>
  <c r="AG57" i="30"/>
  <c r="AD57" i="30"/>
  <c r="AB57" i="30"/>
  <c r="T57" i="30"/>
  <c r="AK56" i="30"/>
  <c r="AF56" i="30"/>
  <c r="AE56" i="30"/>
  <c r="AC56" i="30"/>
  <c r="Y56" i="30"/>
  <c r="X56" i="30"/>
  <c r="W56" i="30"/>
  <c r="S56" i="30"/>
  <c r="R56" i="30"/>
  <c r="Q56" i="30"/>
  <c r="P56" i="30"/>
  <c r="O56" i="30"/>
  <c r="M56" i="30"/>
  <c r="L56" i="30"/>
  <c r="AK55" i="30"/>
  <c r="AF55" i="30"/>
  <c r="AP54" i="30" s="1"/>
  <c r="AC55" i="30"/>
  <c r="AA55" i="30"/>
  <c r="Z55" i="30"/>
  <c r="Y55" i="30"/>
  <c r="X55" i="30"/>
  <c r="W55" i="30"/>
  <c r="V55" i="30"/>
  <c r="U55" i="30"/>
  <c r="S55" i="30"/>
  <c r="R55" i="30"/>
  <c r="Q55" i="30"/>
  <c r="P55" i="30"/>
  <c r="O55" i="30"/>
  <c r="M55" i="30"/>
  <c r="L55" i="30"/>
  <c r="AL57" i="29"/>
  <c r="AG57" i="29"/>
  <c r="AD57" i="29"/>
  <c r="AB57" i="29"/>
  <c r="T57" i="29"/>
  <c r="AG51" i="29"/>
  <c r="Z51" i="29"/>
  <c r="AG50" i="29"/>
  <c r="AA50" i="29"/>
  <c r="Z50" i="29"/>
  <c r="AG49" i="29"/>
  <c r="Z49" i="29"/>
  <c r="AG48" i="29"/>
  <c r="AA48" i="29"/>
  <c r="Z48" i="29"/>
  <c r="AG47" i="29"/>
  <c r="Z47" i="29"/>
  <c r="AG46" i="29"/>
  <c r="AG45" i="29"/>
  <c r="Z45" i="29"/>
  <c r="AG44" i="29"/>
  <c r="AG43" i="29"/>
  <c r="Z43" i="29"/>
  <c r="AG42" i="29"/>
  <c r="AA42" i="29"/>
  <c r="AG41" i="29"/>
  <c r="Z41" i="29"/>
  <c r="AG40" i="29"/>
  <c r="AG39" i="29"/>
  <c r="Z39" i="29"/>
  <c r="AG38" i="29"/>
  <c r="AG37" i="29"/>
  <c r="AG36" i="29"/>
  <c r="AG35" i="29"/>
  <c r="AG34" i="29"/>
  <c r="AA34" i="29"/>
  <c r="Z34" i="29"/>
  <c r="AG33" i="29"/>
  <c r="AG32" i="29"/>
  <c r="AA32" i="29"/>
  <c r="Z32" i="29"/>
  <c r="AG31" i="29"/>
  <c r="Z31" i="29"/>
  <c r="AG30" i="29"/>
  <c r="Z30" i="29"/>
  <c r="AG29" i="29"/>
  <c r="AG28" i="29"/>
  <c r="AA28" i="29"/>
  <c r="AG27" i="29"/>
  <c r="AG26" i="29"/>
  <c r="AG25" i="29"/>
  <c r="Z25" i="29"/>
  <c r="AG24" i="29"/>
  <c r="AA24" i="29"/>
  <c r="Z24" i="29"/>
  <c r="AG23" i="29"/>
  <c r="Z23" i="29"/>
  <c r="AG22" i="29"/>
  <c r="AA22" i="29"/>
  <c r="Z22" i="29"/>
  <c r="AG21" i="29"/>
  <c r="AG20" i="29"/>
  <c r="AA20" i="29"/>
  <c r="AG19" i="29"/>
  <c r="Z19" i="29"/>
  <c r="AG18" i="29"/>
  <c r="AA18" i="29"/>
  <c r="AG17" i="29"/>
  <c r="Z17" i="29"/>
  <c r="AG16" i="29"/>
  <c r="AG15" i="29"/>
  <c r="Z15" i="29"/>
  <c r="AG14" i="29"/>
  <c r="AG13" i="29"/>
  <c r="Z13" i="29"/>
  <c r="AG12" i="29"/>
  <c r="AA12" i="29"/>
  <c r="Z12" i="29"/>
  <c r="AG11" i="29"/>
  <c r="Z11" i="29"/>
  <c r="AG10" i="29"/>
  <c r="Z10" i="29"/>
  <c r="AG9" i="29"/>
  <c r="Z9" i="29"/>
  <c r="AG8" i="29"/>
  <c r="Z8" i="29"/>
  <c r="AG7" i="29"/>
  <c r="Z7" i="29"/>
  <c r="AG6" i="29"/>
  <c r="Z6" i="29"/>
  <c r="AG5" i="29"/>
  <c r="Z5" i="29"/>
  <c r="AK56" i="29"/>
  <c r="AF56" i="29"/>
  <c r="AE56" i="29"/>
  <c r="AC56" i="29"/>
  <c r="Y56" i="29"/>
  <c r="X56" i="29"/>
  <c r="W56" i="29"/>
  <c r="S56" i="29"/>
  <c r="R56" i="29"/>
  <c r="Q56" i="29"/>
  <c r="P56" i="29"/>
  <c r="O56" i="29"/>
  <c r="M56" i="29"/>
  <c r="L56" i="29"/>
  <c r="AK55" i="29"/>
  <c r="AF55" i="29"/>
  <c r="AC55" i="29"/>
  <c r="AA55" i="29"/>
  <c r="Z55" i="29"/>
  <c r="Y55" i="29"/>
  <c r="X55" i="29"/>
  <c r="W55" i="29"/>
  <c r="V55" i="29"/>
  <c r="U55" i="29"/>
  <c r="S55" i="29"/>
  <c r="R55" i="29"/>
  <c r="Q55" i="29"/>
  <c r="P55" i="29"/>
  <c r="O55" i="29"/>
  <c r="M55" i="29"/>
  <c r="L55" i="29"/>
  <c r="AP51" i="29"/>
  <c r="AP50" i="29"/>
  <c r="AP49" i="29"/>
  <c r="AP48" i="29"/>
  <c r="AP47" i="29"/>
  <c r="AP46" i="29"/>
  <c r="AP45" i="29"/>
  <c r="AP44" i="29"/>
  <c r="AP43" i="29"/>
  <c r="AP42" i="29"/>
  <c r="AP41" i="29"/>
  <c r="AP40" i="29"/>
  <c r="AP39" i="29"/>
  <c r="AP38" i="29"/>
  <c r="AP37" i="29"/>
  <c r="AP36" i="29"/>
  <c r="AP35" i="29"/>
  <c r="AP34" i="29"/>
  <c r="AP33" i="29"/>
  <c r="AP32" i="29"/>
  <c r="AP31" i="29"/>
  <c r="AP30" i="29"/>
  <c r="AP29" i="29"/>
  <c r="AP28" i="29"/>
  <c r="AP27" i="29"/>
  <c r="AP26" i="29"/>
  <c r="AP24" i="29"/>
  <c r="AP23" i="29"/>
  <c r="AP22" i="29"/>
  <c r="AP21" i="29"/>
  <c r="AA56" i="28"/>
  <c r="AA54" i="50" s="1"/>
  <c r="AA58" i="50" s="1"/>
  <c r="Z56" i="28"/>
  <c r="Z54" i="50" s="1"/>
  <c r="Z58" i="50" s="1"/>
  <c r="AK58" i="28"/>
  <c r="AK57" i="28"/>
  <c r="AK56" i="28"/>
  <c r="AK54" i="50" s="1"/>
  <c r="AK58" i="50" s="1"/>
  <c r="AF58" i="28"/>
  <c r="AF57" i="28"/>
  <c r="AF56" i="28"/>
  <c r="AF54" i="50" s="1"/>
  <c r="AE58" i="28"/>
  <c r="AE56" i="28"/>
  <c r="AE54" i="50" s="1"/>
  <c r="AC58" i="28"/>
  <c r="AC57" i="28"/>
  <c r="AC56" i="28"/>
  <c r="AC54" i="50" s="1"/>
  <c r="AC58" i="50" s="1"/>
  <c r="AA57" i="28"/>
  <c r="Z57" i="28"/>
  <c r="Y58" i="28"/>
  <c r="Y57" i="28"/>
  <c r="X58" i="28"/>
  <c r="X57" i="28"/>
  <c r="X56" i="28"/>
  <c r="X54" i="50" s="1"/>
  <c r="X58" i="50" s="1"/>
  <c r="W58" i="28"/>
  <c r="W57" i="28"/>
  <c r="V57" i="28"/>
  <c r="U57" i="28"/>
  <c r="U56" i="28"/>
  <c r="U54" i="50" s="1"/>
  <c r="S58" i="28"/>
  <c r="S57" i="28"/>
  <c r="S56" i="28"/>
  <c r="S54" i="50" s="1"/>
  <c r="R58" i="28"/>
  <c r="R57" i="28"/>
  <c r="R56" i="28"/>
  <c r="R54" i="50" s="1"/>
  <c r="R58" i="50" s="1"/>
  <c r="Q58" i="28"/>
  <c r="Q57" i="28"/>
  <c r="Q56" i="28"/>
  <c r="Q54" i="50" s="1"/>
  <c r="Q58" i="50" s="1"/>
  <c r="P58" i="28"/>
  <c r="P57" i="28"/>
  <c r="P56" i="28"/>
  <c r="P54" i="50" s="1"/>
  <c r="P58" i="50" s="1"/>
  <c r="O58" i="28"/>
  <c r="O57" i="28"/>
  <c r="O56" i="28"/>
  <c r="O54" i="50" s="1"/>
  <c r="O58" i="50" s="1"/>
  <c r="M58" i="28"/>
  <c r="M57" i="28"/>
  <c r="M56" i="28"/>
  <c r="M54" i="50" s="1"/>
  <c r="M58" i="50" s="1"/>
  <c r="L58" i="28"/>
  <c r="L57" i="28"/>
  <c r="L56" i="28"/>
  <c r="L54" i="50" s="1"/>
  <c r="L58" i="50" s="1"/>
  <c r="AK16" i="28"/>
  <c r="AK15" i="28"/>
  <c r="AK10" i="28"/>
  <c r="AK9" i="28"/>
  <c r="AK6" i="28"/>
  <c r="AK5" i="28"/>
  <c r="AI51" i="28"/>
  <c r="AI50" i="28"/>
  <c r="AI49" i="28"/>
  <c r="AI48" i="28"/>
  <c r="AI47" i="28"/>
  <c r="AI46" i="28"/>
  <c r="AI45" i="28"/>
  <c r="AI44" i="28"/>
  <c r="AI43" i="28"/>
  <c r="AI42" i="28"/>
  <c r="AI41" i="28"/>
  <c r="AI40" i="28"/>
  <c r="AI39" i="28"/>
  <c r="AI38" i="28"/>
  <c r="AI37" i="28"/>
  <c r="AI36" i="28"/>
  <c r="AI35" i="28"/>
  <c r="AI34" i="28"/>
  <c r="AI33" i="28"/>
  <c r="AI32" i="28"/>
  <c r="AI31" i="28"/>
  <c r="AI30" i="28"/>
  <c r="AI29" i="28"/>
  <c r="AI28" i="28"/>
  <c r="AI27" i="28"/>
  <c r="AI26" i="28"/>
  <c r="AI24" i="28"/>
  <c r="AI23" i="28"/>
  <c r="AI22" i="28"/>
  <c r="AI21" i="28"/>
  <c r="AH51" i="28"/>
  <c r="AH50" i="28"/>
  <c r="AH49" i="28"/>
  <c r="AH48" i="28"/>
  <c r="AH47" i="28"/>
  <c r="AH46" i="28"/>
  <c r="AH45" i="28"/>
  <c r="AH44" i="28"/>
  <c r="AH43" i="28"/>
  <c r="AH42" i="28"/>
  <c r="AH41" i="28"/>
  <c r="AH40" i="28"/>
  <c r="AH39" i="28"/>
  <c r="AH38" i="28"/>
  <c r="AH37" i="28"/>
  <c r="AH36" i="28"/>
  <c r="AH35" i="28"/>
  <c r="AH34" i="28"/>
  <c r="AH33" i="28"/>
  <c r="AH32" i="28"/>
  <c r="AH31" i="28"/>
  <c r="AH30" i="28"/>
  <c r="AH29" i="28"/>
  <c r="AH28" i="28"/>
  <c r="AH27" i="28"/>
  <c r="AH26" i="28"/>
  <c r="AH24" i="28"/>
  <c r="AH23" i="28"/>
  <c r="AH22" i="28"/>
  <c r="AH21" i="28"/>
  <c r="S51" i="28"/>
  <c r="S50" i="28"/>
  <c r="S49" i="28"/>
  <c r="S48" i="28"/>
  <c r="S47" i="28"/>
  <c r="S46" i="28"/>
  <c r="S45" i="28"/>
  <c r="S44" i="28"/>
  <c r="S43" i="28"/>
  <c r="S42" i="28"/>
  <c r="S41" i="28"/>
  <c r="S40" i="28"/>
  <c r="S39" i="28"/>
  <c r="S38" i="28"/>
  <c r="S37" i="28"/>
  <c r="S36" i="28"/>
  <c r="S35" i="28"/>
  <c r="S34" i="28"/>
  <c r="S33" i="28"/>
  <c r="S32" i="28"/>
  <c r="S31" i="28"/>
  <c r="S30" i="28"/>
  <c r="S29" i="28"/>
  <c r="S28" i="28"/>
  <c r="S27" i="28"/>
  <c r="S26" i="28"/>
  <c r="S24" i="28"/>
  <c r="S23" i="28"/>
  <c r="S22" i="28"/>
  <c r="S21" i="28"/>
  <c r="R51" i="28"/>
  <c r="R50" i="28"/>
  <c r="R49" i="28"/>
  <c r="R48" i="28"/>
  <c r="R47" i="28"/>
  <c r="R46" i="28"/>
  <c r="R45" i="28"/>
  <c r="R44" i="28"/>
  <c r="R43" i="28"/>
  <c r="R42" i="28"/>
  <c r="R41" i="28"/>
  <c r="R40" i="28"/>
  <c r="R39" i="28"/>
  <c r="R38" i="28"/>
  <c r="R37" i="28"/>
  <c r="R36" i="28"/>
  <c r="R35" i="28"/>
  <c r="R34" i="28"/>
  <c r="R33" i="28"/>
  <c r="R32" i="28"/>
  <c r="R31" i="28"/>
  <c r="R30" i="28"/>
  <c r="Q51" i="28"/>
  <c r="Q50" i="28"/>
  <c r="Q49" i="28"/>
  <c r="Q48" i="28"/>
  <c r="Q47" i="28"/>
  <c r="Q46" i="28"/>
  <c r="Q45" i="28"/>
  <c r="Q44" i="28"/>
  <c r="Q43" i="28"/>
  <c r="Q42" i="28"/>
  <c r="Q41" i="28"/>
  <c r="Q40" i="28"/>
  <c r="Q39" i="28"/>
  <c r="Q38" i="28"/>
  <c r="Q37" i="28"/>
  <c r="Q36" i="28"/>
  <c r="Q35" i="28"/>
  <c r="Q34" i="28"/>
  <c r="Q33" i="28"/>
  <c r="Q32" i="28"/>
  <c r="Q31" i="28"/>
  <c r="Q30" i="28"/>
  <c r="Q25" i="28"/>
  <c r="Q20" i="28"/>
  <c r="Q19" i="28"/>
  <c r="Q18" i="28"/>
  <c r="Q17" i="28"/>
  <c r="Q12" i="28"/>
  <c r="Q11" i="28"/>
  <c r="Q7" i="28"/>
  <c r="P51" i="28"/>
  <c r="P50" i="28"/>
  <c r="P49" i="28"/>
  <c r="P48" i="28"/>
  <c r="P47" i="28"/>
  <c r="P46" i="28"/>
  <c r="P45" i="28"/>
  <c r="P44" i="28"/>
  <c r="P43" i="28"/>
  <c r="P42" i="28"/>
  <c r="P41" i="28"/>
  <c r="P40" i="28"/>
  <c r="P39" i="28"/>
  <c r="P38" i="28"/>
  <c r="P37" i="28"/>
  <c r="P36" i="28"/>
  <c r="P35" i="28"/>
  <c r="P34" i="28"/>
  <c r="P33" i="28"/>
  <c r="P32" i="28"/>
  <c r="P31" i="28"/>
  <c r="P30" i="28"/>
  <c r="O51" i="28"/>
  <c r="O50" i="28"/>
  <c r="O49" i="28"/>
  <c r="O48" i="28"/>
  <c r="O47" i="28"/>
  <c r="O46" i="28"/>
  <c r="O45" i="28"/>
  <c r="O44" i="28"/>
  <c r="O43" i="28"/>
  <c r="O42" i="28"/>
  <c r="O41" i="28"/>
  <c r="O40" i="28"/>
  <c r="O39" i="28"/>
  <c r="O38" i="28"/>
  <c r="O37" i="28"/>
  <c r="O36" i="28"/>
  <c r="O35" i="28"/>
  <c r="O34" i="28"/>
  <c r="O33" i="28"/>
  <c r="O32" i="28"/>
  <c r="O31" i="28"/>
  <c r="O30" i="28"/>
  <c r="O29" i="28"/>
  <c r="O28" i="28"/>
  <c r="O27" i="28"/>
  <c r="O26" i="28"/>
  <c r="O24" i="28"/>
  <c r="O23" i="28"/>
  <c r="O22" i="28"/>
  <c r="O21" i="28"/>
  <c r="N16" i="28"/>
  <c r="N15" i="28"/>
  <c r="N9" i="28"/>
  <c r="AP51" i="28"/>
  <c r="AP50" i="28"/>
  <c r="AP49" i="28"/>
  <c r="AP48" i="28"/>
  <c r="AP47" i="28"/>
  <c r="AP46" i="28"/>
  <c r="AP45" i="28"/>
  <c r="AP44" i="28"/>
  <c r="AP43" i="28"/>
  <c r="AP42" i="28"/>
  <c r="AP41" i="28"/>
  <c r="AP40" i="28"/>
  <c r="AP39" i="28"/>
  <c r="AP38" i="28"/>
  <c r="AP37" i="28"/>
  <c r="AP36" i="28"/>
  <c r="AP35" i="28"/>
  <c r="AP34" i="28"/>
  <c r="AP33" i="28"/>
  <c r="AP32" i="28"/>
  <c r="AP31" i="28"/>
  <c r="AP30" i="28"/>
  <c r="AP29" i="28"/>
  <c r="AP28" i="28"/>
  <c r="AP27" i="28"/>
  <c r="AP26" i="28"/>
  <c r="AP24" i="28"/>
  <c r="AP23" i="28"/>
  <c r="AP22" i="28"/>
  <c r="AP21" i="28"/>
  <c r="L51" i="28"/>
  <c r="L50" i="28"/>
  <c r="L49" i="28"/>
  <c r="L48" i="28"/>
  <c r="L47" i="28"/>
  <c r="L46" i="28"/>
  <c r="L45" i="28"/>
  <c r="L44" i="28"/>
  <c r="L43" i="28"/>
  <c r="L42" i="28"/>
  <c r="L41" i="28"/>
  <c r="L40" i="28"/>
  <c r="L39" i="28"/>
  <c r="L38" i="28"/>
  <c r="L37" i="28"/>
  <c r="L36" i="28"/>
  <c r="L35" i="28"/>
  <c r="L34" i="28"/>
  <c r="L33" i="28"/>
  <c r="L32" i="28"/>
  <c r="L31" i="28"/>
  <c r="L30" i="28"/>
  <c r="L25" i="28"/>
  <c r="L20" i="28"/>
  <c r="L19" i="28"/>
  <c r="L18" i="28"/>
  <c r="L17" i="28"/>
  <c r="L12" i="28"/>
  <c r="L11" i="28"/>
  <c r="L7" i="28"/>
  <c r="Z47" i="51"/>
  <c r="Z46" i="51"/>
  <c r="Z50" i="51" s="1"/>
  <c r="AJ55" i="50"/>
  <c r="AI56" i="50"/>
  <c r="AI56" i="28"/>
  <c r="AI54" i="50" s="1"/>
  <c r="AI58" i="50" s="1"/>
  <c r="AH56" i="50"/>
  <c r="AH55" i="50"/>
  <c r="AH56" i="28"/>
  <c r="AH54" i="50" s="1"/>
  <c r="AH58" i="50" s="1"/>
  <c r="U48" i="51"/>
  <c r="AA56" i="50"/>
  <c r="Z56" i="50"/>
  <c r="V56" i="50"/>
  <c r="U56" i="50"/>
  <c r="R46" i="51"/>
  <c r="F43" i="5"/>
  <c r="Y48" i="51" s="1"/>
  <c r="D43" i="5"/>
  <c r="Y46" i="51" s="1"/>
  <c r="F41" i="5"/>
  <c r="W48" i="51" s="1"/>
  <c r="E41" i="5"/>
  <c r="W47" i="51" s="1"/>
  <c r="D41" i="5"/>
  <c r="W46" i="51" s="1"/>
  <c r="F23" i="5"/>
  <c r="AG56" i="50" s="1"/>
  <c r="D23" i="5"/>
  <c r="AG56" i="28" s="1"/>
  <c r="AG54" i="50" s="1"/>
  <c r="F20" i="5"/>
  <c r="AD56" i="50" s="1"/>
  <c r="E20" i="5"/>
  <c r="AD55" i="50" s="1"/>
  <c r="D20" i="5"/>
  <c r="AD56" i="28" s="1"/>
  <c r="AD54" i="50" s="1"/>
  <c r="E18" i="5"/>
  <c r="AB55" i="50" s="1"/>
  <c r="T40" i="4"/>
  <c r="S40" i="4"/>
  <c r="R40" i="4"/>
  <c r="Q40" i="4"/>
  <c r="P40" i="4"/>
  <c r="O40" i="4"/>
  <c r="N40" i="4"/>
  <c r="M40" i="4"/>
  <c r="L40" i="4"/>
  <c r="K40" i="4"/>
  <c r="J40" i="4"/>
  <c r="I40" i="4"/>
  <c r="T39" i="4"/>
  <c r="S39" i="4"/>
  <c r="R39" i="4"/>
  <c r="Q39" i="4"/>
  <c r="P39" i="4"/>
  <c r="O39" i="4"/>
  <c r="N39" i="4"/>
  <c r="M39" i="4"/>
  <c r="L39" i="4"/>
  <c r="K39" i="4"/>
  <c r="J39" i="4"/>
  <c r="I39" i="4"/>
  <c r="T38" i="4"/>
  <c r="S38" i="4"/>
  <c r="R38" i="4"/>
  <c r="Q38" i="4"/>
  <c r="P38" i="4"/>
  <c r="O38" i="4"/>
  <c r="N38" i="4"/>
  <c r="M38" i="4"/>
  <c r="L38" i="4"/>
  <c r="K38" i="4"/>
  <c r="J38" i="4"/>
  <c r="I38" i="4"/>
  <c r="T37" i="4"/>
  <c r="S37" i="4"/>
  <c r="R37" i="4"/>
  <c r="Q37" i="4"/>
  <c r="P37" i="4"/>
  <c r="O37" i="4"/>
  <c r="N37" i="4"/>
  <c r="M37" i="4"/>
  <c r="L37" i="4"/>
  <c r="K37" i="4"/>
  <c r="J37" i="4"/>
  <c r="I37" i="4"/>
  <c r="T36" i="4"/>
  <c r="S36" i="4"/>
  <c r="R36" i="4"/>
  <c r="Q36" i="4"/>
  <c r="P36" i="4"/>
  <c r="O36" i="4"/>
  <c r="N36" i="4"/>
  <c r="M36" i="4"/>
  <c r="L36" i="4"/>
  <c r="K36" i="4"/>
  <c r="J36" i="4"/>
  <c r="I36" i="4"/>
  <c r="T35" i="4"/>
  <c r="S35" i="4"/>
  <c r="R35" i="4"/>
  <c r="Q35" i="4"/>
  <c r="P35" i="4"/>
  <c r="O35" i="4"/>
  <c r="N35" i="4"/>
  <c r="M35" i="4"/>
  <c r="L35" i="4"/>
  <c r="K35" i="4"/>
  <c r="J35" i="4"/>
  <c r="I35" i="4"/>
  <c r="T34" i="4"/>
  <c r="S34" i="4"/>
  <c r="R34" i="4"/>
  <c r="Q34" i="4"/>
  <c r="P34" i="4"/>
  <c r="O34" i="4"/>
  <c r="N34" i="4"/>
  <c r="M34" i="4"/>
  <c r="L34" i="4"/>
  <c r="K34" i="4"/>
  <c r="J34" i="4"/>
  <c r="I34" i="4"/>
  <c r="T33" i="4"/>
  <c r="S33" i="4"/>
  <c r="R33" i="4"/>
  <c r="Q33" i="4"/>
  <c r="P33" i="4"/>
  <c r="O33" i="4"/>
  <c r="N33" i="4"/>
  <c r="M33" i="4"/>
  <c r="L33" i="4"/>
  <c r="K33" i="4"/>
  <c r="J33" i="4"/>
  <c r="I33" i="4"/>
  <c r="T32" i="4"/>
  <c r="S32" i="4"/>
  <c r="R32" i="4"/>
  <c r="Q32" i="4"/>
  <c r="P32" i="4"/>
  <c r="O32" i="4"/>
  <c r="N32" i="4"/>
  <c r="M32" i="4"/>
  <c r="L32" i="4"/>
  <c r="K32" i="4"/>
  <c r="J32" i="4"/>
  <c r="I32" i="4"/>
  <c r="T31" i="4"/>
  <c r="S31" i="4"/>
  <c r="R31" i="4"/>
  <c r="Q31" i="4"/>
  <c r="P31" i="4"/>
  <c r="O31" i="4"/>
  <c r="N31" i="4"/>
  <c r="M31" i="4"/>
  <c r="L31" i="4"/>
  <c r="K31" i="4"/>
  <c r="J31" i="4"/>
  <c r="I31" i="4"/>
  <c r="T30" i="4"/>
  <c r="S30" i="4"/>
  <c r="R30" i="4"/>
  <c r="Q30" i="4"/>
  <c r="P30" i="4"/>
  <c r="O30" i="4"/>
  <c r="N30" i="4"/>
  <c r="M30" i="4"/>
  <c r="L30" i="4"/>
  <c r="K30" i="4"/>
  <c r="J30" i="4"/>
  <c r="I30" i="4"/>
  <c r="T29" i="4"/>
  <c r="S29" i="4"/>
  <c r="R29" i="4"/>
  <c r="Q29" i="4"/>
  <c r="P29" i="4"/>
  <c r="O29" i="4"/>
  <c r="N29" i="4"/>
  <c r="M29" i="4"/>
  <c r="L29" i="4"/>
  <c r="K29" i="4"/>
  <c r="J29" i="4"/>
  <c r="I29" i="4"/>
  <c r="T28" i="4"/>
  <c r="S28" i="4"/>
  <c r="R28" i="4"/>
  <c r="Q28" i="4"/>
  <c r="P28" i="4"/>
  <c r="O28" i="4"/>
  <c r="N28" i="4"/>
  <c r="M28" i="4"/>
  <c r="L28" i="4"/>
  <c r="K28" i="4"/>
  <c r="J28" i="4"/>
  <c r="I28" i="4"/>
  <c r="T27" i="4"/>
  <c r="S27" i="4"/>
  <c r="R27" i="4"/>
  <c r="Q27" i="4"/>
  <c r="P27" i="4"/>
  <c r="O27" i="4"/>
  <c r="N27" i="4"/>
  <c r="M27" i="4"/>
  <c r="L27" i="4"/>
  <c r="K27" i="4"/>
  <c r="J27" i="4"/>
  <c r="I27" i="4"/>
  <c r="T26" i="4"/>
  <c r="S26" i="4"/>
  <c r="R26" i="4"/>
  <c r="Q26" i="4"/>
  <c r="P26" i="4"/>
  <c r="O26" i="4"/>
  <c r="N26" i="4"/>
  <c r="M26" i="4"/>
  <c r="L26" i="4"/>
  <c r="K26" i="4"/>
  <c r="J26" i="4"/>
  <c r="I26" i="4"/>
  <c r="T25" i="4"/>
  <c r="S25" i="4"/>
  <c r="R25" i="4"/>
  <c r="Q25" i="4"/>
  <c r="P25" i="4"/>
  <c r="O25" i="4"/>
  <c r="N25" i="4"/>
  <c r="M25" i="4"/>
  <c r="L25" i="4"/>
  <c r="K25" i="4"/>
  <c r="J25" i="4"/>
  <c r="I25" i="4"/>
  <c r="T24" i="4"/>
  <c r="S24" i="4"/>
  <c r="R24" i="4"/>
  <c r="Q24" i="4"/>
  <c r="P24" i="4"/>
  <c r="O24" i="4"/>
  <c r="N24" i="4"/>
  <c r="M24" i="4"/>
  <c r="L24" i="4"/>
  <c r="K24" i="4"/>
  <c r="J24" i="4"/>
  <c r="I24" i="4"/>
  <c r="T23" i="4"/>
  <c r="S23" i="4"/>
  <c r="R23" i="4"/>
  <c r="Q23" i="4"/>
  <c r="P23" i="4"/>
  <c r="O23" i="4"/>
  <c r="N23" i="4"/>
  <c r="M23" i="4"/>
  <c r="L23" i="4"/>
  <c r="K23" i="4"/>
  <c r="J23" i="4"/>
  <c r="I23" i="4"/>
  <c r="T22" i="4"/>
  <c r="S22" i="4"/>
  <c r="R22" i="4"/>
  <c r="Q22" i="4"/>
  <c r="P22" i="4"/>
  <c r="O22" i="4"/>
  <c r="N22" i="4"/>
  <c r="M22" i="4"/>
  <c r="L22" i="4"/>
  <c r="K22" i="4"/>
  <c r="J22" i="4"/>
  <c r="I22" i="4"/>
  <c r="T21" i="4"/>
  <c r="S21" i="4"/>
  <c r="R21" i="4"/>
  <c r="Q21" i="4"/>
  <c r="P21" i="4"/>
  <c r="O21" i="4"/>
  <c r="N21" i="4"/>
  <c r="M21" i="4"/>
  <c r="L21" i="4"/>
  <c r="K21" i="4"/>
  <c r="J21" i="4"/>
  <c r="I21" i="4"/>
  <c r="T20" i="4"/>
  <c r="S20" i="4"/>
  <c r="R20" i="4"/>
  <c r="Q20" i="4"/>
  <c r="P20" i="4"/>
  <c r="O20" i="4"/>
  <c r="N20" i="4"/>
  <c r="M20" i="4"/>
  <c r="L20" i="4"/>
  <c r="K20" i="4"/>
  <c r="J20" i="4"/>
  <c r="I20" i="4"/>
  <c r="T19" i="4"/>
  <c r="S19" i="4"/>
  <c r="R19" i="4"/>
  <c r="Q19" i="4"/>
  <c r="P19" i="4"/>
  <c r="O19" i="4"/>
  <c r="N19" i="4"/>
  <c r="M19" i="4"/>
  <c r="L19" i="4"/>
  <c r="K19" i="4"/>
  <c r="J19" i="4"/>
  <c r="I19" i="4"/>
  <c r="T18" i="4"/>
  <c r="S18" i="4"/>
  <c r="R18" i="4"/>
  <c r="Q18" i="4"/>
  <c r="P18" i="4"/>
  <c r="O18" i="4"/>
  <c r="N18" i="4"/>
  <c r="M18" i="4"/>
  <c r="L18" i="4"/>
  <c r="K18" i="4"/>
  <c r="J18" i="4"/>
  <c r="I18" i="4"/>
  <c r="T17" i="4"/>
  <c r="S17" i="4"/>
  <c r="R17" i="4"/>
  <c r="Q17" i="4"/>
  <c r="P17" i="4"/>
  <c r="O17" i="4"/>
  <c r="N17" i="4"/>
  <c r="M17" i="4"/>
  <c r="L17" i="4"/>
  <c r="K17" i="4"/>
  <c r="J17" i="4"/>
  <c r="I17" i="4"/>
  <c r="T16" i="4"/>
  <c r="S16" i="4"/>
  <c r="R16" i="4"/>
  <c r="Q16" i="4"/>
  <c r="P16" i="4"/>
  <c r="O16" i="4"/>
  <c r="N16" i="4"/>
  <c r="M16" i="4"/>
  <c r="L16" i="4"/>
  <c r="K16" i="4"/>
  <c r="J16" i="4"/>
  <c r="I16" i="4"/>
  <c r="T15" i="4"/>
  <c r="S15" i="4"/>
  <c r="R15" i="4"/>
  <c r="Q15" i="4"/>
  <c r="P15" i="4"/>
  <c r="O15" i="4"/>
  <c r="N15" i="4"/>
  <c r="M15" i="4"/>
  <c r="L15" i="4"/>
  <c r="K15" i="4"/>
  <c r="J15" i="4"/>
  <c r="I15" i="4"/>
  <c r="T14" i="4"/>
  <c r="S14" i="4"/>
  <c r="R14" i="4"/>
  <c r="Q14" i="4"/>
  <c r="P14" i="4"/>
  <c r="O14" i="4"/>
  <c r="N14" i="4"/>
  <c r="M14" i="4"/>
  <c r="L14" i="4"/>
  <c r="K14" i="4"/>
  <c r="J14" i="4"/>
  <c r="I14" i="4"/>
  <c r="T13" i="4"/>
  <c r="S13" i="4"/>
  <c r="R13" i="4"/>
  <c r="Q13" i="4"/>
  <c r="P13" i="4"/>
  <c r="O13" i="4"/>
  <c r="N13" i="4"/>
  <c r="M13" i="4"/>
  <c r="L13" i="4"/>
  <c r="K13" i="4"/>
  <c r="J13" i="4"/>
  <c r="I13" i="4"/>
  <c r="T12" i="4"/>
  <c r="S12" i="4"/>
  <c r="R12" i="4"/>
  <c r="Q12" i="4"/>
  <c r="P12" i="4"/>
  <c r="O12" i="4"/>
  <c r="N12" i="4"/>
  <c r="M12" i="4"/>
  <c r="L12" i="4"/>
  <c r="K12" i="4"/>
  <c r="J12" i="4"/>
  <c r="I12" i="4"/>
  <c r="T11" i="4"/>
  <c r="S11" i="4"/>
  <c r="R11" i="4"/>
  <c r="Q11" i="4"/>
  <c r="P11" i="4"/>
  <c r="O11" i="4"/>
  <c r="N11" i="4"/>
  <c r="M11" i="4"/>
  <c r="L11" i="4"/>
  <c r="K11" i="4"/>
  <c r="J11" i="4"/>
  <c r="I11" i="4"/>
  <c r="T10" i="4"/>
  <c r="S10" i="4"/>
  <c r="R10" i="4"/>
  <c r="Q10" i="4"/>
  <c r="P10" i="4"/>
  <c r="O10" i="4"/>
  <c r="N10" i="4"/>
  <c r="M10" i="4"/>
  <c r="L10" i="4"/>
  <c r="K10" i="4"/>
  <c r="J10" i="4"/>
  <c r="I10" i="4"/>
  <c r="T9" i="4"/>
  <c r="S9" i="4"/>
  <c r="R9" i="4"/>
  <c r="Q9" i="4"/>
  <c r="P9" i="4"/>
  <c r="O9" i="4"/>
  <c r="N9" i="4"/>
  <c r="M9" i="4"/>
  <c r="L9" i="4"/>
  <c r="K9" i="4"/>
  <c r="J9" i="4"/>
  <c r="I9" i="4"/>
  <c r="T8" i="4"/>
  <c r="S8" i="4"/>
  <c r="R8" i="4"/>
  <c r="Q8" i="4"/>
  <c r="P8" i="4"/>
  <c r="O8" i="4"/>
  <c r="N8" i="4"/>
  <c r="M8" i="4"/>
  <c r="L8" i="4"/>
  <c r="K8" i="4"/>
  <c r="J8" i="4"/>
  <c r="I8" i="4"/>
  <c r="T7" i="4"/>
  <c r="S7" i="4"/>
  <c r="R7" i="4"/>
  <c r="Q7" i="4"/>
  <c r="P7" i="4"/>
  <c r="O7" i="4"/>
  <c r="N7" i="4"/>
  <c r="M7" i="4"/>
  <c r="L7" i="4"/>
  <c r="K7" i="4"/>
  <c r="J7" i="4"/>
  <c r="I7" i="4"/>
  <c r="T6" i="4"/>
  <c r="S6" i="4"/>
  <c r="R6" i="4"/>
  <c r="Q6" i="4"/>
  <c r="P6" i="4"/>
  <c r="O6" i="4"/>
  <c r="N6" i="4"/>
  <c r="M6" i="4"/>
  <c r="L6" i="4"/>
  <c r="K6" i="4"/>
  <c r="J6" i="4"/>
  <c r="I6" i="4"/>
  <c r="T5" i="4"/>
  <c r="S5" i="4"/>
  <c r="R5" i="4"/>
  <c r="Q5" i="4"/>
  <c r="P5" i="4"/>
  <c r="O5" i="4"/>
  <c r="N5" i="4"/>
  <c r="M5" i="4"/>
  <c r="L5" i="4"/>
  <c r="K5" i="4"/>
  <c r="J5" i="4"/>
  <c r="I5" i="4"/>
  <c r="T4" i="4"/>
  <c r="S4" i="4"/>
  <c r="R4" i="4"/>
  <c r="Q4" i="4"/>
  <c r="P4" i="4"/>
  <c r="O4" i="4"/>
  <c r="N4" i="4"/>
  <c r="M4" i="4"/>
  <c r="L4" i="4"/>
  <c r="K4" i="4"/>
  <c r="J4" i="4"/>
  <c r="I4" i="4"/>
  <c r="T3" i="4"/>
  <c r="S3" i="4"/>
  <c r="R3" i="4"/>
  <c r="Q3" i="4"/>
  <c r="P3" i="4"/>
  <c r="O3" i="4"/>
  <c r="N3" i="4"/>
  <c r="M3" i="4"/>
  <c r="L3" i="4"/>
  <c r="K3" i="4"/>
  <c r="J3" i="4"/>
  <c r="I3" i="4"/>
  <c r="T2" i="4"/>
  <c r="S2" i="4"/>
  <c r="R2" i="4"/>
  <c r="Q2" i="4"/>
  <c r="P2" i="4"/>
  <c r="O2" i="4"/>
  <c r="N2" i="4"/>
  <c r="M2" i="4"/>
  <c r="L2" i="4"/>
  <c r="K2" i="4"/>
  <c r="J2" i="4"/>
  <c r="I2" i="4"/>
  <c r="T48" i="3"/>
  <c r="S48" i="3"/>
  <c r="R48" i="3"/>
  <c r="Q48" i="3"/>
  <c r="P48" i="3"/>
  <c r="O48" i="3"/>
  <c r="N48" i="3"/>
  <c r="M48" i="3"/>
  <c r="L48" i="3"/>
  <c r="K48" i="3"/>
  <c r="J48" i="3"/>
  <c r="I48" i="3"/>
  <c r="T47" i="3"/>
  <c r="S47" i="3"/>
  <c r="R47" i="3"/>
  <c r="Q47" i="3"/>
  <c r="P47" i="3"/>
  <c r="O47" i="3"/>
  <c r="N47" i="3"/>
  <c r="M47" i="3"/>
  <c r="L47" i="3"/>
  <c r="K47" i="3"/>
  <c r="J47" i="3"/>
  <c r="I47" i="3"/>
  <c r="T46" i="3"/>
  <c r="S46" i="3"/>
  <c r="R46" i="3"/>
  <c r="Q46" i="3"/>
  <c r="P46" i="3"/>
  <c r="O46" i="3"/>
  <c r="N46" i="3"/>
  <c r="M46" i="3"/>
  <c r="L46" i="3"/>
  <c r="K46" i="3"/>
  <c r="J46" i="3"/>
  <c r="I46" i="3"/>
  <c r="T45" i="3"/>
  <c r="S45" i="3"/>
  <c r="R45" i="3"/>
  <c r="Q45" i="3"/>
  <c r="P45" i="3"/>
  <c r="O45" i="3"/>
  <c r="N45" i="3"/>
  <c r="M45" i="3"/>
  <c r="L45" i="3"/>
  <c r="K45" i="3"/>
  <c r="J45" i="3"/>
  <c r="I45" i="3"/>
  <c r="T44" i="3"/>
  <c r="S44" i="3"/>
  <c r="R44" i="3"/>
  <c r="Q44" i="3"/>
  <c r="P44" i="3"/>
  <c r="O44" i="3"/>
  <c r="N44" i="3"/>
  <c r="M44" i="3"/>
  <c r="L44" i="3"/>
  <c r="K44" i="3"/>
  <c r="J44" i="3"/>
  <c r="I44" i="3"/>
  <c r="T43" i="3"/>
  <c r="S43" i="3"/>
  <c r="R43" i="3"/>
  <c r="Q43" i="3"/>
  <c r="P43" i="3"/>
  <c r="O43" i="3"/>
  <c r="N43" i="3"/>
  <c r="M43" i="3"/>
  <c r="L43" i="3"/>
  <c r="K43" i="3"/>
  <c r="J43" i="3"/>
  <c r="I43" i="3"/>
  <c r="T42" i="3"/>
  <c r="S42" i="3"/>
  <c r="R42" i="3"/>
  <c r="Q42" i="3"/>
  <c r="P42" i="3"/>
  <c r="O42" i="3"/>
  <c r="N42" i="3"/>
  <c r="M42" i="3"/>
  <c r="L42" i="3"/>
  <c r="K42" i="3"/>
  <c r="J42" i="3"/>
  <c r="I42" i="3"/>
  <c r="T41" i="3"/>
  <c r="S41" i="3"/>
  <c r="R41" i="3"/>
  <c r="Q41" i="3"/>
  <c r="P41" i="3"/>
  <c r="O41" i="3"/>
  <c r="N41" i="3"/>
  <c r="M41" i="3"/>
  <c r="L41" i="3"/>
  <c r="K41" i="3"/>
  <c r="J41" i="3"/>
  <c r="I41" i="3"/>
  <c r="T40" i="3"/>
  <c r="S40" i="3"/>
  <c r="R40" i="3"/>
  <c r="Q40" i="3"/>
  <c r="P40" i="3"/>
  <c r="O40" i="3"/>
  <c r="N40" i="3"/>
  <c r="M40" i="3"/>
  <c r="L40" i="3"/>
  <c r="K40" i="3"/>
  <c r="J40" i="3"/>
  <c r="I40" i="3"/>
  <c r="T39" i="3"/>
  <c r="S39" i="3"/>
  <c r="R39" i="3"/>
  <c r="Q39" i="3"/>
  <c r="P39" i="3"/>
  <c r="O39" i="3"/>
  <c r="N39" i="3"/>
  <c r="M39" i="3"/>
  <c r="L39" i="3"/>
  <c r="K39" i="3"/>
  <c r="J39" i="3"/>
  <c r="I39" i="3"/>
  <c r="T38" i="3"/>
  <c r="S38" i="3"/>
  <c r="R38" i="3"/>
  <c r="Q38" i="3"/>
  <c r="P38" i="3"/>
  <c r="O38" i="3"/>
  <c r="N38" i="3"/>
  <c r="M38" i="3"/>
  <c r="L38" i="3"/>
  <c r="K38" i="3"/>
  <c r="J38" i="3"/>
  <c r="I38" i="3"/>
  <c r="T37" i="3"/>
  <c r="S37" i="3"/>
  <c r="R37" i="3"/>
  <c r="Q37" i="3"/>
  <c r="P37" i="3"/>
  <c r="O37" i="3"/>
  <c r="N37" i="3"/>
  <c r="M37" i="3"/>
  <c r="L37" i="3"/>
  <c r="K37" i="3"/>
  <c r="J37" i="3"/>
  <c r="I37" i="3"/>
  <c r="T36" i="3"/>
  <c r="S36" i="3"/>
  <c r="R36" i="3"/>
  <c r="Q36" i="3"/>
  <c r="P36" i="3"/>
  <c r="O36" i="3"/>
  <c r="N36" i="3"/>
  <c r="M36" i="3"/>
  <c r="L36" i="3"/>
  <c r="K36" i="3"/>
  <c r="J36" i="3"/>
  <c r="I36" i="3"/>
  <c r="T35" i="3"/>
  <c r="S35" i="3"/>
  <c r="R35" i="3"/>
  <c r="Q35" i="3"/>
  <c r="P35" i="3"/>
  <c r="O35" i="3"/>
  <c r="N35" i="3"/>
  <c r="M35" i="3"/>
  <c r="L35" i="3"/>
  <c r="K35" i="3"/>
  <c r="J35" i="3"/>
  <c r="I35" i="3"/>
  <c r="T34" i="3"/>
  <c r="S34" i="3"/>
  <c r="R34" i="3"/>
  <c r="Q34" i="3"/>
  <c r="P34" i="3"/>
  <c r="O34" i="3"/>
  <c r="N34" i="3"/>
  <c r="M34" i="3"/>
  <c r="L34" i="3"/>
  <c r="K34" i="3"/>
  <c r="J34" i="3"/>
  <c r="I34" i="3"/>
  <c r="T33" i="3"/>
  <c r="S33" i="3"/>
  <c r="R33" i="3"/>
  <c r="Q33" i="3"/>
  <c r="P33" i="3"/>
  <c r="O33" i="3"/>
  <c r="N33" i="3"/>
  <c r="M33" i="3"/>
  <c r="L33" i="3"/>
  <c r="K33" i="3"/>
  <c r="J33" i="3"/>
  <c r="I33" i="3"/>
  <c r="T32" i="3"/>
  <c r="S32" i="3"/>
  <c r="R32" i="3"/>
  <c r="Q32" i="3"/>
  <c r="P32" i="3"/>
  <c r="O32" i="3"/>
  <c r="N32" i="3"/>
  <c r="M32" i="3"/>
  <c r="L32" i="3"/>
  <c r="K32" i="3"/>
  <c r="J32" i="3"/>
  <c r="I32" i="3"/>
  <c r="T31" i="3"/>
  <c r="S31" i="3"/>
  <c r="R31" i="3"/>
  <c r="Q31" i="3"/>
  <c r="P31" i="3"/>
  <c r="O31" i="3"/>
  <c r="N31" i="3"/>
  <c r="M31" i="3"/>
  <c r="L31" i="3"/>
  <c r="K31" i="3"/>
  <c r="J31" i="3"/>
  <c r="I31" i="3"/>
  <c r="T30" i="3"/>
  <c r="S30" i="3"/>
  <c r="R30" i="3"/>
  <c r="Q30" i="3"/>
  <c r="P30" i="3"/>
  <c r="O30" i="3"/>
  <c r="N30" i="3"/>
  <c r="M30" i="3"/>
  <c r="L30" i="3"/>
  <c r="K30" i="3"/>
  <c r="J30" i="3"/>
  <c r="I30" i="3"/>
  <c r="T29" i="3"/>
  <c r="S29" i="3"/>
  <c r="R29" i="3"/>
  <c r="Q29" i="3"/>
  <c r="P29" i="3"/>
  <c r="O29" i="3"/>
  <c r="N29" i="3"/>
  <c r="M29" i="3"/>
  <c r="L29" i="3"/>
  <c r="K29" i="3"/>
  <c r="J29" i="3"/>
  <c r="I29" i="3"/>
  <c r="T28" i="3"/>
  <c r="S28" i="3"/>
  <c r="R28" i="3"/>
  <c r="Q28" i="3"/>
  <c r="P28" i="3"/>
  <c r="O28" i="3"/>
  <c r="N28" i="3"/>
  <c r="M28" i="3"/>
  <c r="L28" i="3"/>
  <c r="K28" i="3"/>
  <c r="J28" i="3"/>
  <c r="I28" i="3"/>
  <c r="T27" i="3"/>
  <c r="S27" i="3"/>
  <c r="R27" i="3"/>
  <c r="Q27" i="3"/>
  <c r="P27" i="3"/>
  <c r="O27" i="3"/>
  <c r="N27" i="3"/>
  <c r="M27" i="3"/>
  <c r="L27" i="3"/>
  <c r="K27" i="3"/>
  <c r="J27" i="3"/>
  <c r="I27" i="3"/>
  <c r="T26" i="3"/>
  <c r="S26" i="3"/>
  <c r="R26" i="3"/>
  <c r="Q26" i="3"/>
  <c r="P26" i="3"/>
  <c r="O26" i="3"/>
  <c r="N26" i="3"/>
  <c r="M26" i="3"/>
  <c r="L26" i="3"/>
  <c r="K26" i="3"/>
  <c r="J26" i="3"/>
  <c r="I26" i="3"/>
  <c r="T25" i="3"/>
  <c r="S25" i="3"/>
  <c r="R25" i="3"/>
  <c r="Q25" i="3"/>
  <c r="P25" i="3"/>
  <c r="O25" i="3"/>
  <c r="N25" i="3"/>
  <c r="M25" i="3"/>
  <c r="L25" i="3"/>
  <c r="K25" i="3"/>
  <c r="J25" i="3"/>
  <c r="I25" i="3"/>
  <c r="T24" i="3"/>
  <c r="S24" i="3"/>
  <c r="R24" i="3"/>
  <c r="Q24" i="3"/>
  <c r="P24" i="3"/>
  <c r="O24" i="3"/>
  <c r="N24" i="3"/>
  <c r="M24" i="3"/>
  <c r="L24" i="3"/>
  <c r="K24" i="3"/>
  <c r="J24" i="3"/>
  <c r="I24" i="3"/>
  <c r="T23" i="3"/>
  <c r="S23" i="3"/>
  <c r="R23" i="3"/>
  <c r="Q23" i="3"/>
  <c r="P23" i="3"/>
  <c r="O23" i="3"/>
  <c r="N23" i="3"/>
  <c r="M23" i="3"/>
  <c r="L23" i="3"/>
  <c r="K23" i="3"/>
  <c r="J23" i="3"/>
  <c r="I23" i="3"/>
  <c r="T22" i="3"/>
  <c r="S22" i="3"/>
  <c r="R22" i="3"/>
  <c r="Q22" i="3"/>
  <c r="P22" i="3"/>
  <c r="O22" i="3"/>
  <c r="N22" i="3"/>
  <c r="M22" i="3"/>
  <c r="L22" i="3"/>
  <c r="K22" i="3"/>
  <c r="J22" i="3"/>
  <c r="I22" i="3"/>
  <c r="T21" i="3"/>
  <c r="S21" i="3"/>
  <c r="R21" i="3"/>
  <c r="Q21" i="3"/>
  <c r="P21" i="3"/>
  <c r="O21" i="3"/>
  <c r="N21" i="3"/>
  <c r="M21" i="3"/>
  <c r="L21" i="3"/>
  <c r="K21" i="3"/>
  <c r="J21" i="3"/>
  <c r="I21" i="3"/>
  <c r="T20" i="3"/>
  <c r="S20" i="3"/>
  <c r="R20" i="3"/>
  <c r="Q20" i="3"/>
  <c r="P20" i="3"/>
  <c r="O20" i="3"/>
  <c r="N20" i="3"/>
  <c r="M20" i="3"/>
  <c r="L20" i="3"/>
  <c r="K20" i="3"/>
  <c r="J20" i="3"/>
  <c r="I20" i="3"/>
  <c r="T19" i="3"/>
  <c r="S19" i="3"/>
  <c r="R19" i="3"/>
  <c r="Q19" i="3"/>
  <c r="P19" i="3"/>
  <c r="O19" i="3"/>
  <c r="N19" i="3"/>
  <c r="M19" i="3"/>
  <c r="L19" i="3"/>
  <c r="K19" i="3"/>
  <c r="J19" i="3"/>
  <c r="I19" i="3"/>
  <c r="T18" i="3"/>
  <c r="S18" i="3"/>
  <c r="R18" i="3"/>
  <c r="Q18" i="3"/>
  <c r="P18" i="3"/>
  <c r="O18" i="3"/>
  <c r="N18" i="3"/>
  <c r="M18" i="3"/>
  <c r="L18" i="3"/>
  <c r="K18" i="3"/>
  <c r="J18" i="3"/>
  <c r="I18" i="3"/>
  <c r="T17" i="3"/>
  <c r="S17" i="3"/>
  <c r="R17" i="3"/>
  <c r="Q17" i="3"/>
  <c r="P17" i="3"/>
  <c r="O17" i="3"/>
  <c r="N17" i="3"/>
  <c r="M17" i="3"/>
  <c r="L17" i="3"/>
  <c r="K17" i="3"/>
  <c r="J17" i="3"/>
  <c r="I17" i="3"/>
  <c r="T16" i="3"/>
  <c r="S16" i="3"/>
  <c r="R16" i="3"/>
  <c r="Q16" i="3"/>
  <c r="P16" i="3"/>
  <c r="O16" i="3"/>
  <c r="N16" i="3"/>
  <c r="M16" i="3"/>
  <c r="L16" i="3"/>
  <c r="K16" i="3"/>
  <c r="J16" i="3"/>
  <c r="I16" i="3"/>
  <c r="T15" i="3"/>
  <c r="S15" i="3"/>
  <c r="R15" i="3"/>
  <c r="Q15" i="3"/>
  <c r="P15" i="3"/>
  <c r="O15" i="3"/>
  <c r="N15" i="3"/>
  <c r="M15" i="3"/>
  <c r="L15" i="3"/>
  <c r="K15" i="3"/>
  <c r="J15" i="3"/>
  <c r="I15" i="3"/>
  <c r="T14" i="3"/>
  <c r="S14" i="3"/>
  <c r="R14" i="3"/>
  <c r="Q14" i="3"/>
  <c r="P14" i="3"/>
  <c r="O14" i="3"/>
  <c r="N14" i="3"/>
  <c r="M14" i="3"/>
  <c r="L14" i="3"/>
  <c r="K14" i="3"/>
  <c r="J14" i="3"/>
  <c r="I14" i="3"/>
  <c r="T13" i="3"/>
  <c r="S13" i="3"/>
  <c r="R13" i="3"/>
  <c r="Q13" i="3"/>
  <c r="P13" i="3"/>
  <c r="O13" i="3"/>
  <c r="N13" i="3"/>
  <c r="M13" i="3"/>
  <c r="L13" i="3"/>
  <c r="K13" i="3"/>
  <c r="J13" i="3"/>
  <c r="I13" i="3"/>
  <c r="T12" i="3"/>
  <c r="S12" i="3"/>
  <c r="R12" i="3"/>
  <c r="Q12" i="3"/>
  <c r="P12" i="3"/>
  <c r="O12" i="3"/>
  <c r="N12" i="3"/>
  <c r="M12" i="3"/>
  <c r="L12" i="3"/>
  <c r="K12" i="3"/>
  <c r="J12" i="3"/>
  <c r="I12" i="3"/>
  <c r="T11" i="3"/>
  <c r="S11" i="3"/>
  <c r="R11" i="3"/>
  <c r="Q11" i="3"/>
  <c r="P11" i="3"/>
  <c r="O11" i="3"/>
  <c r="N11" i="3"/>
  <c r="M11" i="3"/>
  <c r="L11" i="3"/>
  <c r="K11" i="3"/>
  <c r="J11" i="3"/>
  <c r="I11" i="3"/>
  <c r="T10" i="3"/>
  <c r="S10" i="3"/>
  <c r="R10" i="3"/>
  <c r="Q10" i="3"/>
  <c r="P10" i="3"/>
  <c r="O10" i="3"/>
  <c r="N10" i="3"/>
  <c r="M10" i="3"/>
  <c r="L10" i="3"/>
  <c r="K10" i="3"/>
  <c r="J10" i="3"/>
  <c r="I10" i="3"/>
  <c r="T9" i="3"/>
  <c r="S9" i="3"/>
  <c r="R9" i="3"/>
  <c r="Q9" i="3"/>
  <c r="P9" i="3"/>
  <c r="O9" i="3"/>
  <c r="N9" i="3"/>
  <c r="M9" i="3"/>
  <c r="L9" i="3"/>
  <c r="K9" i="3"/>
  <c r="J9" i="3"/>
  <c r="I9" i="3"/>
  <c r="T8" i="3"/>
  <c r="S8" i="3"/>
  <c r="R8" i="3"/>
  <c r="Q8" i="3"/>
  <c r="P8" i="3"/>
  <c r="O8" i="3"/>
  <c r="N8" i="3"/>
  <c r="M8" i="3"/>
  <c r="L8" i="3"/>
  <c r="K8" i="3"/>
  <c r="J8" i="3"/>
  <c r="I8" i="3"/>
  <c r="T7" i="3"/>
  <c r="S7" i="3"/>
  <c r="R7" i="3"/>
  <c r="Q7" i="3"/>
  <c r="P7" i="3"/>
  <c r="O7" i="3"/>
  <c r="N7" i="3"/>
  <c r="M7" i="3"/>
  <c r="L7" i="3"/>
  <c r="K7" i="3"/>
  <c r="J7" i="3"/>
  <c r="I7" i="3"/>
  <c r="T6" i="3"/>
  <c r="S6" i="3"/>
  <c r="R6" i="3"/>
  <c r="Q6" i="3"/>
  <c r="P6" i="3"/>
  <c r="O6" i="3"/>
  <c r="N6" i="3"/>
  <c r="M6" i="3"/>
  <c r="L6" i="3"/>
  <c r="K6" i="3"/>
  <c r="J6" i="3"/>
  <c r="I6" i="3"/>
  <c r="T5" i="3"/>
  <c r="S5" i="3"/>
  <c r="R5" i="3"/>
  <c r="Q5" i="3"/>
  <c r="P5" i="3"/>
  <c r="O5" i="3"/>
  <c r="N5" i="3"/>
  <c r="M5" i="3"/>
  <c r="L5" i="3"/>
  <c r="K5" i="3"/>
  <c r="J5" i="3"/>
  <c r="I5" i="3"/>
  <c r="T4" i="3"/>
  <c r="S4" i="3"/>
  <c r="R4" i="3"/>
  <c r="Q4" i="3"/>
  <c r="P4" i="3"/>
  <c r="O4" i="3"/>
  <c r="N4" i="3"/>
  <c r="M4" i="3"/>
  <c r="L4" i="3"/>
  <c r="K4" i="3"/>
  <c r="J4" i="3"/>
  <c r="I4" i="3"/>
  <c r="T3" i="3"/>
  <c r="S3" i="3"/>
  <c r="R3" i="3"/>
  <c r="Q3" i="3"/>
  <c r="P3" i="3"/>
  <c r="O3" i="3"/>
  <c r="N3" i="3"/>
  <c r="M3" i="3"/>
  <c r="L3" i="3"/>
  <c r="K3" i="3"/>
  <c r="J3" i="3"/>
  <c r="I3" i="3"/>
  <c r="T2" i="3"/>
  <c r="S2" i="3"/>
  <c r="R2" i="3"/>
  <c r="Q2" i="3"/>
  <c r="P2" i="3"/>
  <c r="O2" i="3"/>
  <c r="N2" i="3"/>
  <c r="M2" i="3"/>
  <c r="L2" i="3"/>
  <c r="K2" i="3"/>
  <c r="J2" i="3"/>
  <c r="I2" i="3"/>
  <c r="H1" i="2"/>
  <c r="AD9" i="63" l="1"/>
  <c r="X12" i="63"/>
  <c r="AC158" i="45"/>
  <c r="AC162" i="45"/>
  <c r="AC166" i="45"/>
  <c r="AC273" i="45"/>
  <c r="AC277" i="45"/>
  <c r="AC281" i="45"/>
  <c r="AA11" i="63"/>
  <c r="AA12" i="63"/>
  <c r="AD10" i="63"/>
  <c r="AA9" i="63"/>
  <c r="AT5" i="52"/>
  <c r="AJ5" i="52"/>
  <c r="AJ6" i="52"/>
  <c r="AT6" i="52"/>
  <c r="AO4" i="44"/>
  <c r="AA10" i="63"/>
  <c r="AC159" i="45"/>
  <c r="AO6" i="52"/>
  <c r="O50" i="51"/>
  <c r="AF12" i="63"/>
  <c r="AI9" i="63"/>
  <c r="AC128" i="45"/>
  <c r="AC132" i="45"/>
  <c r="AC136" i="45"/>
  <c r="AC140" i="45"/>
  <c r="AC144" i="45"/>
  <c r="AD11" i="63"/>
  <c r="AI11" i="63" s="1"/>
  <c r="AR31" i="50"/>
  <c r="X9" i="63"/>
  <c r="AF9" i="63" s="1"/>
  <c r="AC163" i="45"/>
  <c r="AC274" i="45"/>
  <c r="AI10" i="63"/>
  <c r="X11" i="63"/>
  <c r="AF11" i="63" s="1"/>
  <c r="X10" i="63"/>
  <c r="AF10" i="63" s="1"/>
  <c r="E30" i="5"/>
  <c r="D4" i="5"/>
  <c r="F30" i="5" s="1"/>
  <c r="AC167" i="45"/>
  <c r="AC28" i="45"/>
  <c r="AC32" i="45"/>
  <c r="AC36" i="45"/>
  <c r="AC40" i="45"/>
  <c r="AC44" i="45"/>
  <c r="AC48" i="45"/>
  <c r="AC52" i="45"/>
  <c r="AC56" i="45"/>
  <c r="AC60" i="45"/>
  <c r="AC64" i="45"/>
  <c r="AC68" i="45"/>
  <c r="AC72" i="45"/>
  <c r="AC76" i="45"/>
  <c r="AC80" i="45"/>
  <c r="AC84" i="45"/>
  <c r="AC92" i="45"/>
  <c r="AC180" i="45"/>
  <c r="AC196" i="45"/>
  <c r="AC212" i="45"/>
  <c r="AC2" i="45"/>
  <c r="AC27" i="45"/>
  <c r="AC31" i="45"/>
  <c r="AC35" i="45"/>
  <c r="AC39" i="45"/>
  <c r="AC125" i="45"/>
  <c r="AC129" i="45"/>
  <c r="AC133" i="45"/>
  <c r="AC137" i="45"/>
  <c r="AC141" i="45"/>
  <c r="AC145" i="45"/>
  <c r="AC15" i="45"/>
  <c r="AC19" i="45"/>
  <c r="AC24" i="45"/>
  <c r="AC43" i="45"/>
  <c r="AC47" i="45"/>
  <c r="AC51" i="45"/>
  <c r="AC55" i="45"/>
  <c r="AC59" i="45"/>
  <c r="AC63" i="45"/>
  <c r="AC67" i="45"/>
  <c r="AC71" i="45"/>
  <c r="AC75" i="45"/>
  <c r="AC79" i="45"/>
  <c r="AC83" i="45"/>
  <c r="AC110" i="45"/>
  <c r="AC112" i="45"/>
  <c r="AC114" i="45"/>
  <c r="AC116" i="45"/>
  <c r="AC118" i="45"/>
  <c r="AC120" i="45"/>
  <c r="AC146" i="45"/>
  <c r="AC148" i="45"/>
  <c r="AC150" i="45"/>
  <c r="AC152" i="45"/>
  <c r="AC154" i="45"/>
  <c r="AC156" i="45"/>
  <c r="AC175" i="45"/>
  <c r="AC191" i="45"/>
  <c r="AC207" i="45"/>
  <c r="AC5" i="45"/>
  <c r="AC10" i="45"/>
  <c r="AC16" i="45"/>
  <c r="AC123" i="45"/>
  <c r="AC127" i="45"/>
  <c r="AC131" i="45"/>
  <c r="AC135" i="45"/>
  <c r="AC139" i="45"/>
  <c r="AC143" i="45"/>
  <c r="AC161" i="45"/>
  <c r="AC165" i="45"/>
  <c r="AC169" i="45"/>
  <c r="AC276" i="45"/>
  <c r="AC126" i="45"/>
  <c r="AC130" i="45"/>
  <c r="AC134" i="45"/>
  <c r="AC138" i="45"/>
  <c r="AC142" i="45"/>
  <c r="AC160" i="45"/>
  <c r="AC164" i="45"/>
  <c r="AC168" i="45"/>
  <c r="AC275" i="45"/>
  <c r="AC279" i="45"/>
  <c r="AC283" i="45"/>
  <c r="E28" i="5"/>
  <c r="AL55" i="50" s="1"/>
  <c r="AI55" i="50"/>
  <c r="F28" i="5"/>
  <c r="AL56" i="50" s="1"/>
  <c r="AJ56" i="50"/>
  <c r="AT4" i="44"/>
  <c r="AJ4" i="44"/>
  <c r="AO5" i="44"/>
  <c r="AJ5" i="44"/>
  <c r="AT6" i="44"/>
  <c r="AJ6" i="44"/>
  <c r="AJ3" i="44"/>
  <c r="AT3" i="44"/>
  <c r="AT2" i="44"/>
  <c r="D45" i="5"/>
  <c r="AA46" i="51" s="1"/>
  <c r="F45" i="5"/>
  <c r="AA48" i="51" s="1"/>
  <c r="Z48" i="51"/>
  <c r="U58" i="50"/>
  <c r="AO3" i="44"/>
  <c r="AO8" i="44" s="1"/>
  <c r="AO6" i="44"/>
  <c r="E17" i="49"/>
  <c r="AC111" i="45"/>
  <c r="AC113" i="45"/>
  <c r="AC115" i="45"/>
  <c r="AC117" i="45"/>
  <c r="AC119" i="45"/>
  <c r="AC121" i="45"/>
  <c r="AC147" i="45"/>
  <c r="AC149" i="45"/>
  <c r="AC151" i="45"/>
  <c r="AC153" i="45"/>
  <c r="AC155" i="45"/>
  <c r="AC157" i="45"/>
  <c r="J8" i="49"/>
  <c r="E18" i="49" s="1"/>
  <c r="AR32" i="50"/>
  <c r="AV32" i="50" s="1"/>
  <c r="AV31" i="50"/>
  <c r="AC26" i="45"/>
  <c r="AC30" i="45"/>
  <c r="AC34" i="45"/>
  <c r="AC38" i="45"/>
  <c r="AC42" i="45"/>
  <c r="AC46" i="45"/>
  <c r="AC50" i="45"/>
  <c r="AC54" i="45"/>
  <c r="AC58" i="45"/>
  <c r="AC62" i="45"/>
  <c r="AC66" i="45"/>
  <c r="AC70" i="45"/>
  <c r="AC74" i="45"/>
  <c r="AC78" i="45"/>
  <c r="AC82" i="45"/>
  <c r="AC86" i="45"/>
  <c r="AC90" i="45"/>
  <c r="AC94" i="45"/>
  <c r="AC170" i="45"/>
  <c r="AC174" i="45"/>
  <c r="AC183" i="45"/>
  <c r="AC186" i="45"/>
  <c r="AC190" i="45"/>
  <c r="AC199" i="45"/>
  <c r="AC202" i="45"/>
  <c r="AC206" i="45"/>
  <c r="AC215" i="45"/>
  <c r="AC218" i="45"/>
  <c r="AK31" i="51"/>
  <c r="AK28" i="51"/>
  <c r="AK26" i="51"/>
  <c r="AY39" i="50"/>
  <c r="AY32" i="50"/>
  <c r="AY30" i="50"/>
  <c r="AK30" i="51"/>
  <c r="AK24" i="51"/>
  <c r="AK22" i="51"/>
  <c r="AK27" i="51"/>
  <c r="AK23" i="51"/>
  <c r="AY36" i="50"/>
  <c r="AY31" i="50"/>
  <c r="AK32" i="51"/>
  <c r="AY40" i="50"/>
  <c r="AY35" i="50"/>
  <c r="AY38" i="50"/>
  <c r="AY34" i="50"/>
  <c r="AC9" i="45"/>
  <c r="AC21" i="45"/>
  <c r="AC23" i="45"/>
  <c r="AC98" i="45"/>
  <c r="AC99" i="45"/>
  <c r="AC100" i="45"/>
  <c r="AC101" i="45"/>
  <c r="AC102" i="45"/>
  <c r="AC103" i="45"/>
  <c r="AC104" i="45"/>
  <c r="AC105" i="45"/>
  <c r="AC106" i="45"/>
  <c r="AC107" i="45"/>
  <c r="AC108" i="45"/>
  <c r="AC109" i="45"/>
  <c r="AC278" i="45"/>
  <c r="AC280" i="45"/>
  <c r="AC282" i="45"/>
  <c r="AC284" i="45"/>
  <c r="AC29" i="45"/>
  <c r="AC33" i="45"/>
  <c r="AC37" i="45"/>
  <c r="AC41" i="45"/>
  <c r="AC45" i="45"/>
  <c r="AC49" i="45"/>
  <c r="AC53" i="45"/>
  <c r="AC57" i="45"/>
  <c r="AC61" i="45"/>
  <c r="AC65" i="45"/>
  <c r="AC69" i="45"/>
  <c r="AC73" i="45"/>
  <c r="AC77" i="45"/>
  <c r="AC81" i="45"/>
  <c r="AC85" i="45"/>
  <c r="AC89" i="45"/>
  <c r="AC93" i="45"/>
  <c r="AC97" i="45"/>
  <c r="AC185" i="45"/>
  <c r="AC201" i="45"/>
  <c r="AC217" i="45"/>
  <c r="AC6" i="45"/>
  <c r="AC14" i="45"/>
  <c r="AC17" i="45"/>
  <c r="AC20" i="45"/>
  <c r="AR21" i="50"/>
  <c r="AV21" i="50" s="1"/>
  <c r="AR43" i="50"/>
  <c r="AR44" i="50" s="1"/>
  <c r="AV44" i="50" s="1"/>
  <c r="AV50" i="50"/>
  <c r="AR51" i="50"/>
  <c r="AV51" i="50" s="1"/>
  <c r="AT2" i="52"/>
  <c r="AT7" i="52" s="1"/>
  <c r="AR11" i="50"/>
  <c r="AV11" i="50" s="1"/>
  <c r="AO3" i="52"/>
  <c r="AO2" i="52"/>
  <c r="AV45" i="50"/>
  <c r="AV34" i="50"/>
  <c r="AR47" i="50"/>
  <c r="AV47" i="50" s="1"/>
  <c r="AV35" i="50"/>
  <c r="AR36" i="50"/>
  <c r="AV36" i="50" s="1"/>
  <c r="AQ7" i="50"/>
  <c r="AV43" i="50"/>
  <c r="AR6" i="50"/>
  <c r="AR12" i="50"/>
  <c r="AR16" i="50"/>
  <c r="AV16" i="50" s="1"/>
  <c r="AR18" i="50"/>
  <c r="AR22" i="50"/>
  <c r="AR26" i="50"/>
  <c r="AJ2" i="52"/>
  <c r="AO7" i="52"/>
  <c r="AR39" i="50"/>
  <c r="AC7" i="51"/>
  <c r="AO4" i="52"/>
  <c r="AT3" i="52"/>
  <c r="AJ3" i="52"/>
  <c r="AJ4" i="52"/>
  <c r="AT4" i="52"/>
  <c r="AO2" i="44"/>
  <c r="AO7" i="44" s="1"/>
  <c r="AJ2" i="44"/>
  <c r="AJ7" i="44" s="1"/>
  <c r="AT5" i="44"/>
  <c r="AC4" i="45"/>
  <c r="AC8" i="45"/>
  <c r="AC12" i="45"/>
  <c r="AC13" i="45"/>
  <c r="AC22" i="45"/>
  <c r="AC122" i="45"/>
  <c r="AC124" i="45"/>
  <c r="AC3" i="45"/>
  <c r="AC7" i="45"/>
  <c r="AC11" i="45"/>
  <c r="AC18" i="45"/>
  <c r="AC25" i="45"/>
  <c r="AC88" i="45"/>
  <c r="AC96" i="45"/>
  <c r="AC173" i="45"/>
  <c r="AC184" i="45"/>
  <c r="AC189" i="45"/>
  <c r="AC200" i="45"/>
  <c r="AC205" i="45"/>
  <c r="AC216" i="45"/>
  <c r="AC221" i="45"/>
  <c r="AC222" i="45"/>
  <c r="AC232" i="45"/>
  <c r="AC237" i="45"/>
  <c r="AC238" i="45"/>
  <c r="AC248" i="45"/>
  <c r="AC253" i="45"/>
  <c r="AC254" i="45"/>
  <c r="AC264" i="45"/>
  <c r="AC269" i="45"/>
  <c r="AC270" i="45"/>
  <c r="AC223" i="45"/>
  <c r="AC228" i="45"/>
  <c r="AC233" i="45"/>
  <c r="AC234" i="45"/>
  <c r="AC244" i="45"/>
  <c r="AC249" i="45"/>
  <c r="AC250" i="45"/>
  <c r="AC260" i="45"/>
  <c r="AC265" i="45"/>
  <c r="AC266" i="45"/>
  <c r="AT7" i="44"/>
  <c r="AC176" i="45"/>
  <c r="AC181" i="45"/>
  <c r="AC182" i="45"/>
  <c r="AC192" i="45"/>
  <c r="AC197" i="45"/>
  <c r="AC198" i="45"/>
  <c r="AC208" i="45"/>
  <c r="AC213" i="45"/>
  <c r="AC214" i="45"/>
  <c r="AC224" i="45"/>
  <c r="AC229" i="45"/>
  <c r="AC230" i="45"/>
  <c r="AC240" i="45"/>
  <c r="AC245" i="45"/>
  <c r="AC246" i="45"/>
  <c r="AC256" i="45"/>
  <c r="AC261" i="45"/>
  <c r="AC262" i="45"/>
  <c r="AC272" i="45"/>
  <c r="AC87" i="45"/>
  <c r="AC91" i="45"/>
  <c r="AC95" i="45"/>
  <c r="AC172" i="45"/>
  <c r="AC177" i="45"/>
  <c r="AC178" i="45"/>
  <c r="AC188" i="45"/>
  <c r="AC193" i="45"/>
  <c r="AC194" i="45"/>
  <c r="AC204" i="45"/>
  <c r="AC209" i="45"/>
  <c r="AC210" i="45"/>
  <c r="AC220" i="45"/>
  <c r="AC225" i="45"/>
  <c r="AC226" i="45"/>
  <c r="AC236" i="45"/>
  <c r="AC241" i="45"/>
  <c r="AC242" i="45"/>
  <c r="AC252" i="45"/>
  <c r="AC257" i="45"/>
  <c r="AC258" i="45"/>
  <c r="AC268" i="45"/>
  <c r="AC171" i="45"/>
  <c r="AC179" i="45"/>
  <c r="AC187" i="45"/>
  <c r="AC195" i="45"/>
  <c r="AC203" i="45"/>
  <c r="AC211" i="45"/>
  <c r="AC219" i="45"/>
  <c r="AC227" i="45"/>
  <c r="AC231" i="45"/>
  <c r="AC235" i="45"/>
  <c r="AC239" i="45"/>
  <c r="AC243" i="45"/>
  <c r="AC247" i="45"/>
  <c r="AC251" i="45"/>
  <c r="AC255" i="45"/>
  <c r="AC259" i="45"/>
  <c r="AC263" i="45"/>
  <c r="AC267" i="45"/>
  <c r="AC271" i="45"/>
  <c r="AA48" i="35"/>
  <c r="AA48" i="34"/>
  <c r="AA48" i="33"/>
  <c r="AA48" i="32"/>
  <c r="AL55" i="31"/>
  <c r="AL55" i="29"/>
  <c r="AL57" i="28"/>
  <c r="AL56" i="31"/>
  <c r="AL56" i="29"/>
  <c r="AL58" i="28"/>
  <c r="AD55" i="31"/>
  <c r="AD55" i="30"/>
  <c r="AD55" i="29"/>
  <c r="AD57" i="28"/>
  <c r="W47" i="35"/>
  <c r="W47" i="34"/>
  <c r="W47" i="33"/>
  <c r="W47" i="32"/>
  <c r="AA46" i="35"/>
  <c r="AA46" i="32"/>
  <c r="U56" i="31"/>
  <c r="U56" i="30"/>
  <c r="U58" i="28"/>
  <c r="U56" i="29"/>
  <c r="U48" i="35"/>
  <c r="U48" i="34"/>
  <c r="U48" i="33"/>
  <c r="U48" i="32"/>
  <c r="AH55" i="31"/>
  <c r="AH55" i="30"/>
  <c r="AH55" i="29"/>
  <c r="AH57" i="28"/>
  <c r="AI56" i="31"/>
  <c r="AI56" i="30"/>
  <c r="AI58" i="28"/>
  <c r="AI56" i="29"/>
  <c r="Z46" i="35"/>
  <c r="Z46" i="34"/>
  <c r="Z50" i="34" s="1"/>
  <c r="Z46" i="33"/>
  <c r="Z50" i="33" s="1"/>
  <c r="Z46" i="32"/>
  <c r="AD56" i="31"/>
  <c r="AD56" i="30"/>
  <c r="AD56" i="29"/>
  <c r="AD58" i="28"/>
  <c r="W48" i="35"/>
  <c r="W48" i="34"/>
  <c r="W48" i="33"/>
  <c r="W48" i="32"/>
  <c r="F18" i="5"/>
  <c r="AB56" i="50" s="1"/>
  <c r="V56" i="31"/>
  <c r="V56" i="30"/>
  <c r="V56" i="29"/>
  <c r="V58" i="28"/>
  <c r="D18" i="5"/>
  <c r="AB56" i="28" s="1"/>
  <c r="AB54" i="50" s="1"/>
  <c r="W56" i="28"/>
  <c r="W54" i="50" s="1"/>
  <c r="W58" i="50" s="1"/>
  <c r="AH56" i="31"/>
  <c r="AH56" i="30"/>
  <c r="AH56" i="29"/>
  <c r="AH58" i="28"/>
  <c r="D28" i="5"/>
  <c r="AL56" i="28" s="1"/>
  <c r="AL54" i="50" s="1"/>
  <c r="AJ56" i="28"/>
  <c r="AJ54" i="50" s="1"/>
  <c r="AJ58" i="50" s="1"/>
  <c r="E45" i="5"/>
  <c r="AA47" i="51" s="1"/>
  <c r="Z47" i="35"/>
  <c r="Z47" i="34"/>
  <c r="Z47" i="32"/>
  <c r="Z47" i="33"/>
  <c r="AB55" i="31"/>
  <c r="AB55" i="30"/>
  <c r="AB57" i="28"/>
  <c r="AB55" i="29"/>
  <c r="AG54" i="31"/>
  <c r="AG54" i="30"/>
  <c r="AG54" i="29"/>
  <c r="Y46" i="35"/>
  <c r="Y46" i="33"/>
  <c r="Y46" i="32"/>
  <c r="Y46" i="34"/>
  <c r="R46" i="35"/>
  <c r="R46" i="34"/>
  <c r="R46" i="33"/>
  <c r="R46" i="32"/>
  <c r="Z56" i="31"/>
  <c r="Z56" i="30"/>
  <c r="Z56" i="29"/>
  <c r="Z58" i="28"/>
  <c r="R47" i="51"/>
  <c r="AI54" i="31"/>
  <c r="AI54" i="30"/>
  <c r="AI58" i="30" s="1"/>
  <c r="AI54" i="29"/>
  <c r="AJ55" i="31"/>
  <c r="AJ55" i="30"/>
  <c r="AJ55" i="29"/>
  <c r="AJ57" i="28"/>
  <c r="Z48" i="35"/>
  <c r="Z48" i="34"/>
  <c r="Z48" i="32"/>
  <c r="Z48" i="33"/>
  <c r="AD54" i="30"/>
  <c r="AD54" i="31"/>
  <c r="AD54" i="29"/>
  <c r="AG56" i="31"/>
  <c r="AG56" i="30"/>
  <c r="AG56" i="29"/>
  <c r="AG58" i="28"/>
  <c r="W46" i="35"/>
  <c r="W46" i="34"/>
  <c r="W46" i="33"/>
  <c r="W46" i="32"/>
  <c r="Y48" i="35"/>
  <c r="Y48" i="34"/>
  <c r="Y48" i="33"/>
  <c r="Y48" i="32"/>
  <c r="AA56" i="31"/>
  <c r="AA56" i="30"/>
  <c r="AA58" i="28"/>
  <c r="AA56" i="29"/>
  <c r="AH54" i="30"/>
  <c r="AH58" i="30" s="1"/>
  <c r="AH54" i="31"/>
  <c r="AH54" i="29"/>
  <c r="AI55" i="31"/>
  <c r="AI55" i="30"/>
  <c r="AI57" i="28"/>
  <c r="AI55" i="29"/>
  <c r="AJ56" i="31"/>
  <c r="AJ56" i="30"/>
  <c r="AJ58" i="28"/>
  <c r="AJ56" i="29"/>
  <c r="L54" i="30"/>
  <c r="L58" i="30" s="1"/>
  <c r="L54" i="31"/>
  <c r="L54" i="29"/>
  <c r="Q54" i="31"/>
  <c r="Q54" i="30"/>
  <c r="Q58" i="30" s="1"/>
  <c r="Q54" i="29"/>
  <c r="P54" i="30"/>
  <c r="P58" i="30" s="1"/>
  <c r="P54" i="31"/>
  <c r="P54" i="29"/>
  <c r="U54" i="31"/>
  <c r="U54" i="30"/>
  <c r="U54" i="29"/>
  <c r="X54" i="30"/>
  <c r="X58" i="30" s="1"/>
  <c r="X54" i="31"/>
  <c r="X54" i="29"/>
  <c r="AC54" i="31"/>
  <c r="AC54" i="30"/>
  <c r="AC58" i="30" s="1"/>
  <c r="AC54" i="29"/>
  <c r="AF54" i="30"/>
  <c r="AF54" i="31"/>
  <c r="AF54" i="29"/>
  <c r="Z54" i="30"/>
  <c r="Z58" i="30" s="1"/>
  <c r="Z11" i="31" s="1"/>
  <c r="Z54" i="31"/>
  <c r="Z54" i="29"/>
  <c r="O54" i="31"/>
  <c r="O54" i="30"/>
  <c r="O58" i="30" s="1"/>
  <c r="O54" i="29"/>
  <c r="S54" i="31"/>
  <c r="S54" i="30"/>
  <c r="S54" i="29"/>
  <c r="AA54" i="31"/>
  <c r="AA54" i="30"/>
  <c r="AA58" i="30" s="1"/>
  <c r="AA42" i="31" s="1"/>
  <c r="AA54" i="29"/>
  <c r="M54" i="31"/>
  <c r="M54" i="30"/>
  <c r="M58" i="30" s="1"/>
  <c r="M54" i="29"/>
  <c r="R54" i="30"/>
  <c r="R58" i="30" s="1"/>
  <c r="R54" i="31"/>
  <c r="R54" i="29"/>
  <c r="AE54" i="31"/>
  <c r="AE54" i="30"/>
  <c r="AE54" i="29"/>
  <c r="AK54" i="31"/>
  <c r="AK54" i="30"/>
  <c r="AK58" i="30" s="1"/>
  <c r="AK54" i="29"/>
  <c r="S8" i="33"/>
  <c r="O50" i="33"/>
  <c r="O50" i="34"/>
  <c r="AA11" i="31"/>
  <c r="Z17" i="31"/>
  <c r="Z43" i="31"/>
  <c r="Z34" i="31"/>
  <c r="Z41" i="31"/>
  <c r="Z29" i="31"/>
  <c r="Z23" i="31"/>
  <c r="AM57" i="29"/>
  <c r="D37" i="5"/>
  <c r="S46" i="51" s="1"/>
  <c r="R48" i="51"/>
  <c r="R50" i="51" s="1"/>
  <c r="R49" i="51" s="1"/>
  <c r="U2" i="3"/>
  <c r="U3" i="3"/>
  <c r="U4" i="3"/>
  <c r="U5" i="3"/>
  <c r="U6" i="3"/>
  <c r="U7" i="3"/>
  <c r="U8" i="3"/>
  <c r="U11" i="3"/>
  <c r="U12" i="3"/>
  <c r="U13" i="3"/>
  <c r="U14" i="3"/>
  <c r="U15" i="3"/>
  <c r="U16" i="3"/>
  <c r="U19" i="3"/>
  <c r="U20" i="3"/>
  <c r="U21" i="3"/>
  <c r="U22" i="3"/>
  <c r="U23" i="3"/>
  <c r="U24" i="3"/>
  <c r="U27" i="3"/>
  <c r="U28" i="3"/>
  <c r="U29" i="3"/>
  <c r="U31" i="3"/>
  <c r="U32" i="3"/>
  <c r="U35" i="3"/>
  <c r="U36" i="3"/>
  <c r="U37" i="3"/>
  <c r="U39" i="3"/>
  <c r="U40" i="3"/>
  <c r="U43" i="3"/>
  <c r="U44" i="3"/>
  <c r="U45" i="3"/>
  <c r="U46" i="3"/>
  <c r="U47" i="3"/>
  <c r="U48" i="3"/>
  <c r="U4" i="4"/>
  <c r="U5" i="4"/>
  <c r="U6" i="4"/>
  <c r="U7" i="4"/>
  <c r="U8" i="4"/>
  <c r="U9" i="4"/>
  <c r="U12" i="4"/>
  <c r="U13" i="4"/>
  <c r="U16" i="4"/>
  <c r="U17" i="4"/>
  <c r="U18" i="4"/>
  <c r="U19" i="4"/>
  <c r="U20" i="4"/>
  <c r="U24" i="4"/>
  <c r="U25" i="4"/>
  <c r="U27" i="4"/>
  <c r="U28" i="4"/>
  <c r="U30" i="4"/>
  <c r="U32" i="4"/>
  <c r="U33" i="4"/>
  <c r="U34" i="4"/>
  <c r="U35" i="4"/>
  <c r="U36" i="4"/>
  <c r="U40" i="4"/>
  <c r="U30" i="3"/>
  <c r="U38" i="3"/>
  <c r="U21" i="4"/>
  <c r="U22" i="4"/>
  <c r="U23" i="4"/>
  <c r="U37" i="4"/>
  <c r="U38" i="4"/>
  <c r="U39" i="4"/>
  <c r="U9" i="3"/>
  <c r="U10" i="3"/>
  <c r="U17" i="3"/>
  <c r="U18" i="3"/>
  <c r="U25" i="3"/>
  <c r="U26" i="3"/>
  <c r="U33" i="3"/>
  <c r="U34" i="3"/>
  <c r="U41" i="3"/>
  <c r="U42" i="3"/>
  <c r="U2" i="4"/>
  <c r="U3" i="4"/>
  <c r="U10" i="4"/>
  <c r="U11" i="4"/>
  <c r="U26" i="4"/>
  <c r="U14" i="4"/>
  <c r="U15" i="4"/>
  <c r="U29" i="4"/>
  <c r="U31" i="4"/>
  <c r="AA32" i="31" l="1"/>
  <c r="AJ8" i="44"/>
  <c r="AA29" i="31"/>
  <c r="Z16" i="31"/>
  <c r="Z26" i="31"/>
  <c r="AA25" i="31"/>
  <c r="Z7" i="31"/>
  <c r="AA46" i="33"/>
  <c r="Z12" i="31"/>
  <c r="P13" i="5"/>
  <c r="P16" i="5" s="1"/>
  <c r="Z31" i="31"/>
  <c r="Z18" i="31"/>
  <c r="Z47" i="31"/>
  <c r="Z15" i="31"/>
  <c r="P14" i="5"/>
  <c r="P17" i="5" s="1"/>
  <c r="Z10" i="31"/>
  <c r="Z25" i="31"/>
  <c r="Z33" i="31"/>
  <c r="Z20" i="31"/>
  <c r="Z32" i="31"/>
  <c r="Z50" i="31"/>
  <c r="Z49" i="31"/>
  <c r="Z13" i="31"/>
  <c r="AT8" i="44"/>
  <c r="Z39" i="31"/>
  <c r="Z27" i="31"/>
  <c r="Z37" i="31"/>
  <c r="Z5" i="31"/>
  <c r="P12" i="5"/>
  <c r="P15" i="5" s="1"/>
  <c r="Z21" i="31"/>
  <c r="Z8" i="31"/>
  <c r="Z36" i="31"/>
  <c r="Z38" i="31"/>
  <c r="Z22" i="31"/>
  <c r="Z40" i="31"/>
  <c r="Z44" i="31"/>
  <c r="Z51" i="31"/>
  <c r="AA28" i="31"/>
  <c r="AA12" i="31"/>
  <c r="AA34" i="31"/>
  <c r="AA47" i="31"/>
  <c r="AA46" i="34"/>
  <c r="AL56" i="30"/>
  <c r="AL55" i="30"/>
  <c r="E4" i="5"/>
  <c r="F4" i="5"/>
  <c r="AA39" i="31"/>
  <c r="AI2" i="45"/>
  <c r="AI3" i="45"/>
  <c r="I13" i="55"/>
  <c r="I13" i="51"/>
  <c r="I13" i="35"/>
  <c r="I13" i="32"/>
  <c r="I13" i="34"/>
  <c r="I13" i="33"/>
  <c r="I26" i="55"/>
  <c r="I26" i="51"/>
  <c r="I26" i="34"/>
  <c r="I26" i="33"/>
  <c r="I26" i="35"/>
  <c r="I26" i="32"/>
  <c r="I19" i="55"/>
  <c r="I19" i="51"/>
  <c r="I19" i="34"/>
  <c r="I19" i="33"/>
  <c r="I19" i="35"/>
  <c r="I19" i="32"/>
  <c r="I17" i="55"/>
  <c r="I17" i="51"/>
  <c r="I17" i="35"/>
  <c r="I17" i="32"/>
  <c r="I17" i="34"/>
  <c r="I17" i="33"/>
  <c r="I6" i="55"/>
  <c r="I6" i="51"/>
  <c r="I6" i="34"/>
  <c r="I6" i="33"/>
  <c r="I6" i="35"/>
  <c r="I6" i="32"/>
  <c r="I37" i="54"/>
  <c r="I37" i="50"/>
  <c r="I37" i="29"/>
  <c r="I37" i="30"/>
  <c r="I37" i="28"/>
  <c r="I37" i="31"/>
  <c r="I37" i="36"/>
  <c r="I21" i="54"/>
  <c r="I21" i="50"/>
  <c r="I21" i="30"/>
  <c r="I21" i="28"/>
  <c r="I21" i="36"/>
  <c r="I21" i="31"/>
  <c r="I21" i="29"/>
  <c r="I42" i="55"/>
  <c r="I42" i="51"/>
  <c r="I42" i="34"/>
  <c r="I42" i="33"/>
  <c r="I42" i="35"/>
  <c r="I42" i="32"/>
  <c r="I25" i="55"/>
  <c r="I25" i="51"/>
  <c r="I25" i="35"/>
  <c r="I25" i="32"/>
  <c r="I25" i="34"/>
  <c r="I25" i="33"/>
  <c r="I43" i="55"/>
  <c r="I43" i="51"/>
  <c r="I43" i="34"/>
  <c r="I43" i="33"/>
  <c r="I43" i="35"/>
  <c r="I43" i="32"/>
  <c r="I36" i="55"/>
  <c r="I36" i="51"/>
  <c r="I36" i="35"/>
  <c r="I36" i="32"/>
  <c r="I36" i="34"/>
  <c r="I36" i="33"/>
  <c r="I30" i="55"/>
  <c r="I30" i="51"/>
  <c r="I30" i="34"/>
  <c r="I30" i="33"/>
  <c r="I30" i="35"/>
  <c r="I30" i="32"/>
  <c r="I22" i="55"/>
  <c r="I22" i="51"/>
  <c r="I22" i="34"/>
  <c r="I22" i="33"/>
  <c r="I22" i="35"/>
  <c r="I22" i="32"/>
  <c r="I16" i="55"/>
  <c r="I16" i="51"/>
  <c r="I16" i="35"/>
  <c r="I16" i="32"/>
  <c r="I16" i="34"/>
  <c r="I16" i="33"/>
  <c r="I10" i="55"/>
  <c r="I10" i="51"/>
  <c r="I10" i="34"/>
  <c r="I10" i="33"/>
  <c r="I10" i="35"/>
  <c r="I10" i="32"/>
  <c r="I51" i="54"/>
  <c r="I51" i="50"/>
  <c r="I51" i="31"/>
  <c r="I51" i="29"/>
  <c r="I51" i="36"/>
  <c r="I51" i="30"/>
  <c r="I51" i="28"/>
  <c r="I47" i="54"/>
  <c r="I47" i="50"/>
  <c r="I47" i="31"/>
  <c r="I47" i="29"/>
  <c r="I47" i="36"/>
  <c r="I47" i="30"/>
  <c r="I47" i="28"/>
  <c r="I40" i="54"/>
  <c r="I40" i="50"/>
  <c r="I40" i="36"/>
  <c r="I40" i="30"/>
  <c r="I40" i="29"/>
  <c r="I40" i="28"/>
  <c r="I40" i="31"/>
  <c r="I34" i="54"/>
  <c r="I34" i="50"/>
  <c r="I34" i="30"/>
  <c r="I34" i="28"/>
  <c r="I34" i="36"/>
  <c r="I34" i="31"/>
  <c r="I34" i="29"/>
  <c r="I27" i="54"/>
  <c r="I27" i="50"/>
  <c r="I27" i="31"/>
  <c r="I27" i="29"/>
  <c r="I27" i="36"/>
  <c r="I27" i="30"/>
  <c r="I27" i="28"/>
  <c r="I23" i="54"/>
  <c r="I23" i="50"/>
  <c r="I23" i="31"/>
  <c r="I23" i="36"/>
  <c r="I23" i="30"/>
  <c r="I23" i="29"/>
  <c r="I23" i="28"/>
  <c r="I17" i="54"/>
  <c r="I17" i="50"/>
  <c r="I17" i="30"/>
  <c r="I17" i="28"/>
  <c r="I17" i="36"/>
  <c r="I17" i="31"/>
  <c r="I17" i="29"/>
  <c r="I11" i="54"/>
  <c r="I11" i="50"/>
  <c r="I11" i="36"/>
  <c r="I11" i="31"/>
  <c r="I11" i="29"/>
  <c r="I11" i="28"/>
  <c r="I11" i="30"/>
  <c r="I7" i="54"/>
  <c r="I7" i="50"/>
  <c r="I7" i="36"/>
  <c r="I7" i="31"/>
  <c r="I7" i="29"/>
  <c r="I7" i="28"/>
  <c r="I7" i="30"/>
  <c r="AA14" i="31"/>
  <c r="AA24" i="31"/>
  <c r="AA15" i="31"/>
  <c r="AA21" i="31"/>
  <c r="AA36" i="31"/>
  <c r="AA44" i="31"/>
  <c r="AA31" i="31"/>
  <c r="AA41" i="31"/>
  <c r="I44" i="54"/>
  <c r="I44" i="50"/>
  <c r="I44" i="36"/>
  <c r="I44" i="30"/>
  <c r="I44" i="29"/>
  <c r="I44" i="28"/>
  <c r="I44" i="31"/>
  <c r="I33" i="54"/>
  <c r="I33" i="50"/>
  <c r="I33" i="29"/>
  <c r="I33" i="30"/>
  <c r="I33" i="28"/>
  <c r="I33" i="31"/>
  <c r="I33" i="36"/>
  <c r="I37" i="55"/>
  <c r="I37" i="51"/>
  <c r="I37" i="35"/>
  <c r="I37" i="32"/>
  <c r="I37" i="34"/>
  <c r="I37" i="33"/>
  <c r="I23" i="55"/>
  <c r="I23" i="51"/>
  <c r="I23" i="34"/>
  <c r="I23" i="33"/>
  <c r="I23" i="35"/>
  <c r="I23" i="32"/>
  <c r="I7" i="55"/>
  <c r="I7" i="51"/>
  <c r="I7" i="34"/>
  <c r="I7" i="33"/>
  <c r="I7" i="35"/>
  <c r="I7" i="32"/>
  <c r="I48" i="54"/>
  <c r="I48" i="50"/>
  <c r="I48" i="36"/>
  <c r="I48" i="30"/>
  <c r="I48" i="29"/>
  <c r="I48" i="28"/>
  <c r="I48" i="31"/>
  <c r="I35" i="54"/>
  <c r="I35" i="50"/>
  <c r="I35" i="31"/>
  <c r="I35" i="29"/>
  <c r="I35" i="36"/>
  <c r="I35" i="30"/>
  <c r="I35" i="28"/>
  <c r="I24" i="54"/>
  <c r="I24" i="50"/>
  <c r="I24" i="36"/>
  <c r="I24" i="29"/>
  <c r="I24" i="30"/>
  <c r="I24" i="28"/>
  <c r="I24" i="31"/>
  <c r="I18" i="54"/>
  <c r="I18" i="50"/>
  <c r="I18" i="30"/>
  <c r="I18" i="28"/>
  <c r="I18" i="36"/>
  <c r="I18" i="31"/>
  <c r="I18" i="29"/>
  <c r="I14" i="54"/>
  <c r="I14" i="50"/>
  <c r="I14" i="30"/>
  <c r="I14" i="36"/>
  <c r="I14" i="31"/>
  <c r="I14" i="29"/>
  <c r="I14" i="28"/>
  <c r="I34" i="55"/>
  <c r="I34" i="51"/>
  <c r="I34" i="34"/>
  <c r="I34" i="33"/>
  <c r="I34" i="35"/>
  <c r="I34" i="32"/>
  <c r="I29" i="55"/>
  <c r="I29" i="51"/>
  <c r="I29" i="35"/>
  <c r="I29" i="32"/>
  <c r="I29" i="34"/>
  <c r="I29" i="33"/>
  <c r="I5" i="55"/>
  <c r="I5" i="51"/>
  <c r="I5" i="35"/>
  <c r="I5" i="32"/>
  <c r="I5" i="34"/>
  <c r="I5" i="33"/>
  <c r="I36" i="54"/>
  <c r="I36" i="50"/>
  <c r="I36" i="36"/>
  <c r="I36" i="30"/>
  <c r="I36" i="29"/>
  <c r="I36" i="28"/>
  <c r="I36" i="31"/>
  <c r="I20" i="54"/>
  <c r="I20" i="50"/>
  <c r="I20" i="29"/>
  <c r="I20" i="30"/>
  <c r="I20" i="28"/>
  <c r="I20" i="36"/>
  <c r="I20" i="31"/>
  <c r="I41" i="55"/>
  <c r="I41" i="51"/>
  <c r="I41" i="35"/>
  <c r="I41" i="32"/>
  <c r="I41" i="34"/>
  <c r="I41" i="33"/>
  <c r="I24" i="55"/>
  <c r="I24" i="51"/>
  <c r="I24" i="35"/>
  <c r="I24" i="32"/>
  <c r="I24" i="34"/>
  <c r="I24" i="33"/>
  <c r="I39" i="55"/>
  <c r="I39" i="51"/>
  <c r="I39" i="34"/>
  <c r="I39" i="33"/>
  <c r="I39" i="35"/>
  <c r="I39" i="32"/>
  <c r="I35" i="55"/>
  <c r="I35" i="51"/>
  <c r="I35" i="34"/>
  <c r="I35" i="33"/>
  <c r="I35" i="35"/>
  <c r="I35" i="32"/>
  <c r="I28" i="55"/>
  <c r="I28" i="51"/>
  <c r="I28" i="35"/>
  <c r="I28" i="32"/>
  <c r="I28" i="34"/>
  <c r="I28" i="33"/>
  <c r="I21" i="55"/>
  <c r="I21" i="51"/>
  <c r="I21" i="35"/>
  <c r="I21" i="32"/>
  <c r="I21" i="34"/>
  <c r="I21" i="33"/>
  <c r="I15" i="55"/>
  <c r="I15" i="51"/>
  <c r="I15" i="34"/>
  <c r="I15" i="33"/>
  <c r="I15" i="35"/>
  <c r="I15" i="32"/>
  <c r="I9" i="55"/>
  <c r="I9" i="51"/>
  <c r="I9" i="35"/>
  <c r="I9" i="32"/>
  <c r="I9" i="34"/>
  <c r="I9" i="33"/>
  <c r="I50" i="54"/>
  <c r="I50" i="50"/>
  <c r="I50" i="30"/>
  <c r="I50" i="28"/>
  <c r="I50" i="36"/>
  <c r="I50" i="31"/>
  <c r="I50" i="29"/>
  <c r="I46" i="54"/>
  <c r="I46" i="50"/>
  <c r="I46" i="30"/>
  <c r="I46" i="28"/>
  <c r="I46" i="36"/>
  <c r="I46" i="31"/>
  <c r="I46" i="29"/>
  <c r="I39" i="54"/>
  <c r="I39" i="50"/>
  <c r="I39" i="31"/>
  <c r="I39" i="29"/>
  <c r="I39" i="36"/>
  <c r="I39" i="30"/>
  <c r="I39" i="28"/>
  <c r="I32" i="54"/>
  <c r="I32" i="50"/>
  <c r="I32" i="36"/>
  <c r="I32" i="30"/>
  <c r="I32" i="29"/>
  <c r="I32" i="28"/>
  <c r="I32" i="31"/>
  <c r="I26" i="54"/>
  <c r="I26" i="50"/>
  <c r="I26" i="30"/>
  <c r="I26" i="28"/>
  <c r="I26" i="36"/>
  <c r="I26" i="31"/>
  <c r="I26" i="29"/>
  <c r="I22" i="54"/>
  <c r="I22" i="50"/>
  <c r="I22" i="36"/>
  <c r="I22" i="30"/>
  <c r="I22" i="28"/>
  <c r="I22" i="31"/>
  <c r="I22" i="29"/>
  <c r="I16" i="54"/>
  <c r="I16" i="50"/>
  <c r="I16" i="29"/>
  <c r="I16" i="30"/>
  <c r="I16" i="36"/>
  <c r="I16" i="31"/>
  <c r="I16" i="28"/>
  <c r="I10" i="54"/>
  <c r="I10" i="50"/>
  <c r="I10" i="30"/>
  <c r="I10" i="36"/>
  <c r="I10" i="31"/>
  <c r="I10" i="29"/>
  <c r="I10" i="28"/>
  <c r="I6" i="54"/>
  <c r="I6" i="50"/>
  <c r="I6" i="30"/>
  <c r="I6" i="36"/>
  <c r="I6" i="31"/>
  <c r="I6" i="29"/>
  <c r="I6" i="28"/>
  <c r="AA6" i="31"/>
  <c r="AA16" i="31"/>
  <c r="AA7" i="31"/>
  <c r="AA17" i="31"/>
  <c r="AA26" i="31"/>
  <c r="AA38" i="31"/>
  <c r="AA49" i="31"/>
  <c r="AA33" i="31"/>
  <c r="AA48" i="31"/>
  <c r="I28" i="54"/>
  <c r="I28" i="50"/>
  <c r="I28" i="36"/>
  <c r="I28" i="30"/>
  <c r="I28" i="29"/>
  <c r="I28" i="28"/>
  <c r="I28" i="31"/>
  <c r="I32" i="55"/>
  <c r="I32" i="51"/>
  <c r="I32" i="35"/>
  <c r="I32" i="32"/>
  <c r="I32" i="34"/>
  <c r="I32" i="33"/>
  <c r="I14" i="55"/>
  <c r="I14" i="51"/>
  <c r="I14" i="34"/>
  <c r="I14" i="33"/>
  <c r="I14" i="35"/>
  <c r="I14" i="32"/>
  <c r="I45" i="54"/>
  <c r="I45" i="50"/>
  <c r="I45" i="29"/>
  <c r="M68" i="28" s="1"/>
  <c r="I45" i="30"/>
  <c r="I45" i="28"/>
  <c r="I45" i="31"/>
  <c r="I45" i="36"/>
  <c r="I29" i="54"/>
  <c r="I29" i="50"/>
  <c r="I29" i="29"/>
  <c r="I29" i="30"/>
  <c r="I29" i="28"/>
  <c r="I29" i="31"/>
  <c r="I29" i="36"/>
  <c r="I13" i="54"/>
  <c r="I13" i="50"/>
  <c r="I13" i="30"/>
  <c r="I13" i="36"/>
  <c r="I13" i="31"/>
  <c r="I13" i="29"/>
  <c r="I13" i="28"/>
  <c r="I40" i="55"/>
  <c r="I40" i="51"/>
  <c r="I40" i="35"/>
  <c r="I40" i="32"/>
  <c r="I40" i="34"/>
  <c r="I40" i="33"/>
  <c r="I41" i="54"/>
  <c r="I41" i="50"/>
  <c r="I41" i="29"/>
  <c r="I41" i="30"/>
  <c r="I41" i="28"/>
  <c r="I41" i="31"/>
  <c r="I41" i="36"/>
  <c r="I38" i="55"/>
  <c r="I38" i="51"/>
  <c r="I38" i="34"/>
  <c r="I38" i="33"/>
  <c r="I38" i="35"/>
  <c r="I38" i="32"/>
  <c r="I33" i="55"/>
  <c r="I33" i="51"/>
  <c r="I33" i="35"/>
  <c r="I33" i="32"/>
  <c r="I33" i="34"/>
  <c r="I33" i="33"/>
  <c r="I27" i="55"/>
  <c r="I27" i="51"/>
  <c r="I27" i="34"/>
  <c r="I27" i="33"/>
  <c r="I27" i="35"/>
  <c r="I27" i="32"/>
  <c r="I20" i="55"/>
  <c r="I20" i="51"/>
  <c r="I20" i="35"/>
  <c r="I20" i="32"/>
  <c r="I20" i="34"/>
  <c r="I20" i="33"/>
  <c r="I12" i="55"/>
  <c r="I12" i="51"/>
  <c r="I12" i="35"/>
  <c r="I12" i="32"/>
  <c r="I12" i="34"/>
  <c r="I12" i="33"/>
  <c r="I8" i="55"/>
  <c r="I8" i="51"/>
  <c r="I8" i="35"/>
  <c r="I8" i="32"/>
  <c r="I8" i="34"/>
  <c r="I8" i="33"/>
  <c r="I49" i="54"/>
  <c r="I49" i="50"/>
  <c r="I49" i="29"/>
  <c r="I49" i="30"/>
  <c r="I49" i="28"/>
  <c r="I49" i="31"/>
  <c r="I49" i="36"/>
  <c r="I43" i="54"/>
  <c r="I43" i="50"/>
  <c r="I43" i="31"/>
  <c r="I43" i="29"/>
  <c r="I43" i="36"/>
  <c r="I43" i="30"/>
  <c r="I43" i="28"/>
  <c r="I38" i="54"/>
  <c r="I38" i="50"/>
  <c r="I38" i="30"/>
  <c r="I38" i="28"/>
  <c r="I38" i="36"/>
  <c r="I38" i="31"/>
  <c r="I38" i="29"/>
  <c r="I31" i="54"/>
  <c r="I31" i="50"/>
  <c r="I31" i="31"/>
  <c r="I31" i="29"/>
  <c r="I31" i="36"/>
  <c r="I31" i="30"/>
  <c r="I31" i="28"/>
  <c r="I25" i="54"/>
  <c r="I25" i="50"/>
  <c r="I25" i="30"/>
  <c r="I25" i="28"/>
  <c r="I25" i="36"/>
  <c r="I25" i="31"/>
  <c r="I25" i="29"/>
  <c r="I19" i="54"/>
  <c r="I19" i="50"/>
  <c r="I19" i="36"/>
  <c r="I19" i="31"/>
  <c r="I19" i="29"/>
  <c r="I19" i="30"/>
  <c r="I19" i="28"/>
  <c r="I15" i="54"/>
  <c r="I15" i="50"/>
  <c r="I15" i="36"/>
  <c r="I15" i="31"/>
  <c r="I15" i="28"/>
  <c r="I15" i="29"/>
  <c r="I15" i="30"/>
  <c r="I9" i="54"/>
  <c r="I9" i="50"/>
  <c r="I9" i="30"/>
  <c r="I9" i="36"/>
  <c r="I9" i="31"/>
  <c r="I9" i="29"/>
  <c r="I9" i="28"/>
  <c r="I5" i="54"/>
  <c r="I5" i="50"/>
  <c r="I5" i="30"/>
  <c r="I5" i="36"/>
  <c r="I5" i="31"/>
  <c r="Z53" i="31" s="1"/>
  <c r="I5" i="29"/>
  <c r="I5" i="28"/>
  <c r="AA10" i="31"/>
  <c r="AA22" i="31"/>
  <c r="AA9" i="31"/>
  <c r="AA19" i="31"/>
  <c r="AA23" i="31"/>
  <c r="AA46" i="31"/>
  <c r="AA51" i="31"/>
  <c r="AA37" i="31"/>
  <c r="Z30" i="31"/>
  <c r="Z9" i="31"/>
  <c r="Z19" i="31"/>
  <c r="Z45" i="31"/>
  <c r="Z42" i="31"/>
  <c r="Z35" i="31"/>
  <c r="Z24" i="31"/>
  <c r="Z46" i="31"/>
  <c r="Z48" i="31"/>
  <c r="Z28" i="31"/>
  <c r="Z6" i="31"/>
  <c r="Z14" i="31"/>
  <c r="I18" i="55"/>
  <c r="I18" i="51"/>
  <c r="I18" i="34"/>
  <c r="I18" i="33"/>
  <c r="I18" i="35"/>
  <c r="I18" i="32"/>
  <c r="I12" i="54"/>
  <c r="I12" i="50"/>
  <c r="I12" i="29"/>
  <c r="I12" i="28"/>
  <c r="I12" i="30"/>
  <c r="I12" i="36"/>
  <c r="I12" i="31"/>
  <c r="I31" i="55"/>
  <c r="I31" i="51"/>
  <c r="I31" i="34"/>
  <c r="I31" i="33"/>
  <c r="I31" i="35"/>
  <c r="I31" i="32"/>
  <c r="I11" i="55"/>
  <c r="I11" i="51"/>
  <c r="I11" i="34"/>
  <c r="I11" i="33"/>
  <c r="I11" i="35"/>
  <c r="I11" i="32"/>
  <c r="I42" i="54"/>
  <c r="I42" i="50"/>
  <c r="I42" i="30"/>
  <c r="I42" i="28"/>
  <c r="I42" i="36"/>
  <c r="I42" i="31"/>
  <c r="I42" i="29"/>
  <c r="I30" i="54"/>
  <c r="I30" i="50"/>
  <c r="I30" i="30"/>
  <c r="I30" i="28"/>
  <c r="I30" i="36"/>
  <c r="I30" i="31"/>
  <c r="I30" i="29"/>
  <c r="I8" i="54"/>
  <c r="I8" i="50"/>
  <c r="I8" i="29"/>
  <c r="I8" i="28"/>
  <c r="I8" i="30"/>
  <c r="I8" i="36"/>
  <c r="I8" i="31"/>
  <c r="AA50" i="31"/>
  <c r="AA45" i="31"/>
  <c r="AA35" i="31"/>
  <c r="AA27" i="31"/>
  <c r="AA40" i="31"/>
  <c r="AA30" i="31"/>
  <c r="AA43" i="31"/>
  <c r="AA20" i="31"/>
  <c r="AA13" i="31"/>
  <c r="AA5" i="31"/>
  <c r="AA18" i="31"/>
  <c r="AA8" i="31"/>
  <c r="U58" i="30"/>
  <c r="AI7" i="45"/>
  <c r="AO9" i="44"/>
  <c r="AI6" i="45"/>
  <c r="AI8" i="45"/>
  <c r="AI5" i="45"/>
  <c r="E19" i="49"/>
  <c r="AA53" i="31"/>
  <c r="AJ8" i="52"/>
  <c r="AC8" i="51"/>
  <c r="AR23" i="50"/>
  <c r="AV22" i="50"/>
  <c r="AR7" i="50"/>
  <c r="AV6" i="50"/>
  <c r="AT8" i="52"/>
  <c r="AV39" i="50"/>
  <c r="AR40" i="50"/>
  <c r="AV40" i="50" s="1"/>
  <c r="AR19" i="50"/>
  <c r="AV19" i="50" s="1"/>
  <c r="AV18" i="50"/>
  <c r="AQ8" i="50"/>
  <c r="AJ7" i="52"/>
  <c r="AO8" i="52"/>
  <c r="AR27" i="50"/>
  <c r="AV26" i="50"/>
  <c r="AR13" i="50"/>
  <c r="AV12" i="50"/>
  <c r="AT9" i="44"/>
  <c r="AJ9" i="44"/>
  <c r="F37" i="5"/>
  <c r="S48" i="51" s="1"/>
  <c r="R48" i="35"/>
  <c r="R48" i="34"/>
  <c r="R50" i="34" s="1"/>
  <c r="R48" i="32"/>
  <c r="R48" i="33"/>
  <c r="S46" i="35"/>
  <c r="S46" i="34"/>
  <c r="S46" i="33"/>
  <c r="S46" i="32"/>
  <c r="W54" i="31"/>
  <c r="W54" i="30"/>
  <c r="W58" i="30" s="1"/>
  <c r="W54" i="29"/>
  <c r="AA47" i="35"/>
  <c r="AA47" i="34"/>
  <c r="AA47" i="33"/>
  <c r="AA47" i="32"/>
  <c r="AB54" i="30"/>
  <c r="AB54" i="31"/>
  <c r="AB54" i="29"/>
  <c r="R47" i="35"/>
  <c r="R47" i="34"/>
  <c r="R47" i="32"/>
  <c r="R47" i="33"/>
  <c r="R50" i="33" s="1"/>
  <c r="R8" i="51" s="1"/>
  <c r="S8" i="51" s="1"/>
  <c r="E37" i="5"/>
  <c r="S47" i="51" s="1"/>
  <c r="AJ54" i="30"/>
  <c r="AJ58" i="30" s="1"/>
  <c r="AJ54" i="31"/>
  <c r="AJ54" i="29"/>
  <c r="AB56" i="31"/>
  <c r="AB56" i="30"/>
  <c r="AB56" i="29"/>
  <c r="AB58" i="28"/>
  <c r="AL54" i="30"/>
  <c r="AL54" i="31"/>
  <c r="AL54" i="29"/>
  <c r="L46" i="51"/>
  <c r="M69" i="28" l="1"/>
  <c r="M67" i="28"/>
  <c r="AV64" i="54"/>
  <c r="BD64" i="54"/>
  <c r="AX64" i="54"/>
  <c r="BA64" i="54"/>
  <c r="AK64" i="54"/>
  <c r="AT64" i="54"/>
  <c r="AW64" i="54"/>
  <c r="AR64" i="54"/>
  <c r="AN64" i="54"/>
  <c r="BB64" i="54"/>
  <c r="AU64" i="54"/>
  <c r="AJ64" i="54"/>
  <c r="AP64" i="54"/>
  <c r="AS64" i="54"/>
  <c r="AQ64" i="54"/>
  <c r="AZ64" i="54"/>
  <c r="AL64" i="54"/>
  <c r="AO64" i="54"/>
  <c r="BC64" i="54"/>
  <c r="AM64" i="54"/>
  <c r="AY64" i="54"/>
  <c r="AI64" i="54"/>
  <c r="AI55" i="28"/>
  <c r="AI60" i="28" s="1"/>
  <c r="R55" i="28"/>
  <c r="R60" i="28" s="1"/>
  <c r="Y55" i="28"/>
  <c r="Y60" i="28" s="1"/>
  <c r="AC55" i="28"/>
  <c r="AC60" i="28" s="1"/>
  <c r="Z55" i="28"/>
  <c r="L55" i="28"/>
  <c r="L60" i="28" s="1"/>
  <c r="AF55" i="28"/>
  <c r="AF60" i="28" s="1"/>
  <c r="X55" i="28"/>
  <c r="X60" i="28" s="1"/>
  <c r="O55" i="28"/>
  <c r="O60" i="28" s="1"/>
  <c r="AE55" i="28"/>
  <c r="AE60" i="28" s="1"/>
  <c r="P55" i="28"/>
  <c r="P60" i="28" s="1"/>
  <c r="AH55" i="28"/>
  <c r="AH60" i="28" s="1"/>
  <c r="AA55" i="28"/>
  <c r="U55" i="28"/>
  <c r="U60" i="28" s="1"/>
  <c r="W55" i="28"/>
  <c r="W60" i="28" s="1"/>
  <c r="Q55" i="28"/>
  <c r="Q60" i="28" s="1"/>
  <c r="S55" i="28"/>
  <c r="S60" i="28" s="1"/>
  <c r="V55" i="28"/>
  <c r="BD67" i="54"/>
  <c r="AJ67" i="54"/>
  <c r="AZ67" i="54"/>
  <c r="AT67" i="54"/>
  <c r="AW67" i="54"/>
  <c r="BC67" i="54"/>
  <c r="AM67" i="54"/>
  <c r="AP67" i="54"/>
  <c r="AS67" i="54"/>
  <c r="AY67" i="54"/>
  <c r="AI67" i="54"/>
  <c r="AN67" i="54"/>
  <c r="BB67" i="54"/>
  <c r="AL67" i="54"/>
  <c r="AO67" i="54"/>
  <c r="AU67" i="54"/>
  <c r="AX67" i="54"/>
  <c r="BA67" i="54"/>
  <c r="AK67" i="54"/>
  <c r="AQ67" i="54"/>
  <c r="AV67" i="54"/>
  <c r="AR67" i="54"/>
  <c r="AP90" i="54"/>
  <c r="AS90" i="54"/>
  <c r="AZ90" i="54"/>
  <c r="AJ90" i="54"/>
  <c r="AU90" i="54"/>
  <c r="BB90" i="54"/>
  <c r="AL90" i="54"/>
  <c r="AO90" i="54"/>
  <c r="AV90" i="54"/>
  <c r="AQ90" i="54"/>
  <c r="AX90" i="54"/>
  <c r="BA90" i="54"/>
  <c r="AK90" i="54"/>
  <c r="AR90" i="54"/>
  <c r="BC90" i="54"/>
  <c r="AM90" i="54"/>
  <c r="AT90" i="54"/>
  <c r="AW90" i="54"/>
  <c r="BD90" i="54"/>
  <c r="AN90" i="54"/>
  <c r="AY90" i="54"/>
  <c r="AI90" i="54"/>
  <c r="AF52" i="55"/>
  <c r="Z52" i="55"/>
  <c r="AG52" i="55"/>
  <c r="AB52" i="55"/>
  <c r="AE52" i="55"/>
  <c r="U52" i="55"/>
  <c r="AC52" i="55"/>
  <c r="X52" i="55"/>
  <c r="AA52" i="55"/>
  <c r="AH52" i="55"/>
  <c r="Y52" i="55"/>
  <c r="AD52" i="55"/>
  <c r="AB64" i="55"/>
  <c r="AA64" i="55"/>
  <c r="AG64" i="55"/>
  <c r="AC64" i="55"/>
  <c r="AE64" i="55"/>
  <c r="AD64" i="55"/>
  <c r="Y64" i="55"/>
  <c r="AH64" i="55"/>
  <c r="AF64" i="55"/>
  <c r="Z64" i="55"/>
  <c r="X64" i="55"/>
  <c r="AF77" i="55"/>
  <c r="Z77" i="55"/>
  <c r="AB77" i="55"/>
  <c r="AE77" i="55"/>
  <c r="AG77" i="55"/>
  <c r="X77" i="55"/>
  <c r="AA77" i="55"/>
  <c r="AH77" i="55"/>
  <c r="AD77" i="55"/>
  <c r="Y77" i="55"/>
  <c r="AC77" i="55"/>
  <c r="BB97" i="54"/>
  <c r="AL97" i="54"/>
  <c r="AO97" i="54"/>
  <c r="AV97" i="54"/>
  <c r="AQ97" i="54"/>
  <c r="AX97" i="54"/>
  <c r="BA97" i="54"/>
  <c r="AK97" i="54"/>
  <c r="AR97" i="54"/>
  <c r="BC97" i="54"/>
  <c r="AM97" i="54"/>
  <c r="AT97" i="54"/>
  <c r="AW97" i="54"/>
  <c r="BD97" i="54"/>
  <c r="AN97" i="54"/>
  <c r="AY97" i="54"/>
  <c r="AI97" i="54"/>
  <c r="AP97" i="54"/>
  <c r="AS97" i="54"/>
  <c r="AZ97" i="54"/>
  <c r="AJ97" i="54"/>
  <c r="AU97" i="54"/>
  <c r="AH76" i="55"/>
  <c r="AF76" i="55"/>
  <c r="AG76" i="55"/>
  <c r="AB76" i="55"/>
  <c r="AC76" i="55"/>
  <c r="X76" i="55"/>
  <c r="AA76" i="55"/>
  <c r="Y76" i="55"/>
  <c r="AE76" i="55"/>
  <c r="AD76" i="55"/>
  <c r="Z76" i="55"/>
  <c r="AZ74" i="54"/>
  <c r="AJ74" i="54"/>
  <c r="AU74" i="54"/>
  <c r="BB74" i="54"/>
  <c r="BA74" i="54"/>
  <c r="AK74" i="54"/>
  <c r="AV74" i="54"/>
  <c r="AQ74" i="54"/>
  <c r="AX74" i="54"/>
  <c r="AW74" i="54"/>
  <c r="AL74" i="54"/>
  <c r="AR74" i="54"/>
  <c r="BC74" i="54"/>
  <c r="AM74" i="54"/>
  <c r="AT74" i="54"/>
  <c r="AS74" i="54"/>
  <c r="BD74" i="54"/>
  <c r="AN74" i="54"/>
  <c r="AY74" i="54"/>
  <c r="AI74" i="54"/>
  <c r="R74" i="54"/>
  <c r="AP74" i="54"/>
  <c r="AO74" i="54"/>
  <c r="P74" i="54"/>
  <c r="AX98" i="54"/>
  <c r="BA98" i="54"/>
  <c r="AK98" i="54"/>
  <c r="AR98" i="54"/>
  <c r="BC98" i="54"/>
  <c r="AM98" i="54"/>
  <c r="AT98" i="54"/>
  <c r="AW98" i="54"/>
  <c r="BD98" i="54"/>
  <c r="AN98" i="54"/>
  <c r="AY98" i="54"/>
  <c r="AI98" i="54"/>
  <c r="AP98" i="54"/>
  <c r="AS98" i="54"/>
  <c r="AZ98" i="54"/>
  <c r="AJ98" i="54"/>
  <c r="AU98" i="54"/>
  <c r="BB98" i="54"/>
  <c r="AL98" i="54"/>
  <c r="AO98" i="54"/>
  <c r="AV98" i="54"/>
  <c r="AQ98" i="54"/>
  <c r="AA49" i="55"/>
  <c r="Z49" i="55"/>
  <c r="AC49" i="55"/>
  <c r="AE49" i="55"/>
  <c r="Y49" i="55"/>
  <c r="AF49" i="55"/>
  <c r="AH49" i="55"/>
  <c r="AB49" i="55"/>
  <c r="AD49" i="55"/>
  <c r="AG49" i="55"/>
  <c r="X49" i="55"/>
  <c r="AH78" i="55"/>
  <c r="AB78" i="55"/>
  <c r="AD78" i="55"/>
  <c r="AG78" i="55"/>
  <c r="X78" i="55"/>
  <c r="AE78" i="55"/>
  <c r="Z78" i="55"/>
  <c r="AC78" i="55"/>
  <c r="Y78" i="55"/>
  <c r="AF78" i="55"/>
  <c r="AA78" i="55"/>
  <c r="AZ87" i="54"/>
  <c r="AJ87" i="54"/>
  <c r="AU87" i="54"/>
  <c r="BB87" i="54"/>
  <c r="AL87" i="54"/>
  <c r="AO87" i="54"/>
  <c r="AV87" i="54"/>
  <c r="AQ87" i="54"/>
  <c r="AX87" i="54"/>
  <c r="BA87" i="54"/>
  <c r="AK87" i="54"/>
  <c r="AR87" i="54"/>
  <c r="BC87" i="54"/>
  <c r="AM87" i="54"/>
  <c r="AT87" i="54"/>
  <c r="AW87" i="54"/>
  <c r="BD87" i="54"/>
  <c r="AN87" i="54"/>
  <c r="AY87" i="54"/>
  <c r="AI87" i="54"/>
  <c r="AP87" i="54"/>
  <c r="AS87" i="54"/>
  <c r="AZ85" i="54"/>
  <c r="AJ85" i="54"/>
  <c r="AU85" i="54"/>
  <c r="BB85" i="54"/>
  <c r="AL85" i="54"/>
  <c r="AO85" i="54"/>
  <c r="AV85" i="54"/>
  <c r="AQ85" i="54"/>
  <c r="AX85" i="54"/>
  <c r="BA85" i="54"/>
  <c r="AK85" i="54"/>
  <c r="AR85" i="54"/>
  <c r="BC85" i="54"/>
  <c r="AM85" i="54"/>
  <c r="AT85" i="54"/>
  <c r="AW85" i="54"/>
  <c r="BD85" i="54"/>
  <c r="AN85" i="54"/>
  <c r="AY85" i="54"/>
  <c r="AI85" i="54"/>
  <c r="AP85" i="54"/>
  <c r="AS85" i="54"/>
  <c r="AV75" i="54"/>
  <c r="AQ75" i="54"/>
  <c r="AX75" i="54"/>
  <c r="BA75" i="54"/>
  <c r="AK75" i="54"/>
  <c r="AR75" i="54"/>
  <c r="BC75" i="54"/>
  <c r="AM75" i="54"/>
  <c r="AT75" i="54"/>
  <c r="AW75" i="54"/>
  <c r="BD75" i="54"/>
  <c r="AN75" i="54"/>
  <c r="AY75" i="54"/>
  <c r="AI75" i="54"/>
  <c r="R75" i="54"/>
  <c r="AP75" i="54"/>
  <c r="AS75" i="54"/>
  <c r="AZ75" i="54"/>
  <c r="AJ75" i="54"/>
  <c r="AU75" i="54"/>
  <c r="BB75" i="54"/>
  <c r="AL75" i="54"/>
  <c r="AO75" i="54"/>
  <c r="P75" i="54"/>
  <c r="BB99" i="54"/>
  <c r="AL99" i="54"/>
  <c r="AO99" i="54"/>
  <c r="AV99" i="54"/>
  <c r="AQ99" i="54"/>
  <c r="AX99" i="54"/>
  <c r="BA99" i="54"/>
  <c r="AK99" i="54"/>
  <c r="AR99" i="54"/>
  <c r="BC99" i="54"/>
  <c r="AM99" i="54"/>
  <c r="AT99" i="54"/>
  <c r="AW99" i="54"/>
  <c r="BD99" i="54"/>
  <c r="AP99" i="54"/>
  <c r="AS99" i="54"/>
  <c r="AZ99" i="54"/>
  <c r="AJ99" i="54"/>
  <c r="AU99" i="54"/>
  <c r="AY99" i="54"/>
  <c r="AI99" i="54"/>
  <c r="AN99" i="54"/>
  <c r="BB94" i="54"/>
  <c r="AL94" i="54"/>
  <c r="AO94" i="54"/>
  <c r="AV94" i="54"/>
  <c r="AQ94" i="54"/>
  <c r="AX94" i="54"/>
  <c r="BA94" i="54"/>
  <c r="AK94" i="54"/>
  <c r="AR94" i="54"/>
  <c r="BC94" i="54"/>
  <c r="AM94" i="54"/>
  <c r="AT94" i="54"/>
  <c r="AW94" i="54"/>
  <c r="BD94" i="54"/>
  <c r="AN94" i="54"/>
  <c r="AY94" i="54"/>
  <c r="AI94" i="54"/>
  <c r="AP94" i="54"/>
  <c r="AS94" i="54"/>
  <c r="AZ94" i="54"/>
  <c r="AJ94" i="54"/>
  <c r="AU94" i="54"/>
  <c r="AG75" i="55"/>
  <c r="X75" i="55"/>
  <c r="AA75" i="55"/>
  <c r="AH75" i="55"/>
  <c r="Z75" i="55"/>
  <c r="AC75" i="55"/>
  <c r="Y75" i="55"/>
  <c r="AF75" i="55"/>
  <c r="AD75" i="55"/>
  <c r="AB75" i="55"/>
  <c r="AE75" i="55"/>
  <c r="AF53" i="29"/>
  <c r="Z53" i="29"/>
  <c r="Z58" i="29" s="1"/>
  <c r="AG53" i="29"/>
  <c r="AE53" i="29"/>
  <c r="AA53" i="29"/>
  <c r="AA58" i="29" s="1"/>
  <c r="BB61" i="54"/>
  <c r="AL61" i="54"/>
  <c r="AO61" i="54"/>
  <c r="AU61" i="54"/>
  <c r="AZ61" i="54"/>
  <c r="AX61" i="54"/>
  <c r="BA61" i="54"/>
  <c r="AK61" i="54"/>
  <c r="AQ61" i="54"/>
  <c r="AR61" i="54"/>
  <c r="AT61" i="54"/>
  <c r="AW61" i="54"/>
  <c r="BC61" i="54"/>
  <c r="AM61" i="54"/>
  <c r="AP61" i="54"/>
  <c r="AS61" i="54"/>
  <c r="AY61" i="54"/>
  <c r="AI61" i="54"/>
  <c r="AV61" i="54"/>
  <c r="AN61" i="54"/>
  <c r="BD61" i="54"/>
  <c r="AJ61" i="54"/>
  <c r="BD83" i="54"/>
  <c r="AN83" i="54"/>
  <c r="AY83" i="54"/>
  <c r="AI83" i="54"/>
  <c r="AP83" i="54"/>
  <c r="AS83" i="54"/>
  <c r="AZ83" i="54"/>
  <c r="AJ83" i="54"/>
  <c r="AU83" i="54"/>
  <c r="BB83" i="54"/>
  <c r="AL83" i="54"/>
  <c r="AO83" i="54"/>
  <c r="AV83" i="54"/>
  <c r="AQ83" i="54"/>
  <c r="AX83" i="54"/>
  <c r="BA83" i="54"/>
  <c r="AK83" i="54"/>
  <c r="AR83" i="54"/>
  <c r="BC83" i="54"/>
  <c r="AM83" i="54"/>
  <c r="AT83" i="54"/>
  <c r="AW83" i="54"/>
  <c r="AP93" i="54"/>
  <c r="AS93" i="54"/>
  <c r="AZ93" i="54"/>
  <c r="AJ93" i="54"/>
  <c r="AU93" i="54"/>
  <c r="BB93" i="54"/>
  <c r="AL93" i="54"/>
  <c r="AO93" i="54"/>
  <c r="AV93" i="54"/>
  <c r="AQ93" i="54"/>
  <c r="AX93" i="54"/>
  <c r="BA93" i="54"/>
  <c r="AK93" i="54"/>
  <c r="AR93" i="54"/>
  <c r="BC93" i="54"/>
  <c r="AM93" i="54"/>
  <c r="AT93" i="54"/>
  <c r="AW93" i="54"/>
  <c r="BD93" i="54"/>
  <c r="AN93" i="54"/>
  <c r="AY93" i="54"/>
  <c r="AI93" i="54"/>
  <c r="BD81" i="54"/>
  <c r="AN81" i="54"/>
  <c r="AY81" i="54"/>
  <c r="AI81" i="54"/>
  <c r="R81" i="54"/>
  <c r="AP81" i="54"/>
  <c r="AS81" i="54"/>
  <c r="AZ81" i="54"/>
  <c r="AJ81" i="54"/>
  <c r="AU81" i="54"/>
  <c r="BB81" i="54"/>
  <c r="AL81" i="54"/>
  <c r="AO81" i="54"/>
  <c r="P81" i="54"/>
  <c r="AV81" i="54"/>
  <c r="AQ81" i="54"/>
  <c r="AX81" i="54"/>
  <c r="BA81" i="54"/>
  <c r="AK81" i="54"/>
  <c r="AR81" i="54"/>
  <c r="BC81" i="54"/>
  <c r="AM81" i="54"/>
  <c r="AT81" i="54"/>
  <c r="AW81" i="54"/>
  <c r="AV68" i="54"/>
  <c r="AN68" i="54"/>
  <c r="AR68" i="54"/>
  <c r="BD68" i="54"/>
  <c r="BB68" i="54"/>
  <c r="AL68" i="54"/>
  <c r="AO68" i="54"/>
  <c r="AU68" i="54"/>
  <c r="AZ68" i="54"/>
  <c r="AX68" i="54"/>
  <c r="BA68" i="54"/>
  <c r="AK68" i="54"/>
  <c r="AQ68" i="54"/>
  <c r="AT68" i="54"/>
  <c r="AW68" i="54"/>
  <c r="BC68" i="54"/>
  <c r="AM68" i="54"/>
  <c r="AP68" i="54"/>
  <c r="AS68" i="54"/>
  <c r="AY68" i="54"/>
  <c r="AI68" i="54"/>
  <c r="AJ68" i="54"/>
  <c r="AT91" i="54"/>
  <c r="AW91" i="54"/>
  <c r="BD91" i="54"/>
  <c r="AN91" i="54"/>
  <c r="AY91" i="54"/>
  <c r="AI91" i="54"/>
  <c r="AP91" i="54"/>
  <c r="AS91" i="54"/>
  <c r="AZ91" i="54"/>
  <c r="AJ91" i="54"/>
  <c r="AU91" i="54"/>
  <c r="BB91" i="54"/>
  <c r="AL91" i="54"/>
  <c r="AO91" i="54"/>
  <c r="AV91" i="54"/>
  <c r="AQ91" i="54"/>
  <c r="AX91" i="54"/>
  <c r="BA91" i="54"/>
  <c r="AK91" i="54"/>
  <c r="AR91" i="54"/>
  <c r="BC91" i="54"/>
  <c r="AM91" i="54"/>
  <c r="Z53" i="55"/>
  <c r="AC53" i="55"/>
  <c r="Y53" i="55"/>
  <c r="AF53" i="55"/>
  <c r="AH53" i="55"/>
  <c r="AB53" i="55"/>
  <c r="AE53" i="55"/>
  <c r="AD53" i="55"/>
  <c r="AG53" i="55"/>
  <c r="X53" i="55"/>
  <c r="AA53" i="55"/>
  <c r="AB65" i="55"/>
  <c r="AG65" i="55"/>
  <c r="X65" i="55"/>
  <c r="AD65" i="55"/>
  <c r="AC65" i="55"/>
  <c r="AE65" i="55"/>
  <c r="Y65" i="55"/>
  <c r="AF65" i="55"/>
  <c r="AA65" i="55"/>
  <c r="AH65" i="55"/>
  <c r="Z65" i="55"/>
  <c r="AD79" i="55"/>
  <c r="AC79" i="55"/>
  <c r="AG79" i="55"/>
  <c r="AF79" i="55"/>
  <c r="Z79" i="55"/>
  <c r="AB79" i="55"/>
  <c r="AE79" i="55"/>
  <c r="Y79" i="55"/>
  <c r="X79" i="55"/>
  <c r="AA79" i="55"/>
  <c r="AH79" i="55"/>
  <c r="AD68" i="55"/>
  <c r="AG68" i="55"/>
  <c r="AB68" i="55"/>
  <c r="Z68" i="55"/>
  <c r="AC68" i="55"/>
  <c r="X68" i="55"/>
  <c r="AE68" i="55"/>
  <c r="Y68" i="55"/>
  <c r="AF68" i="55"/>
  <c r="AA68" i="55"/>
  <c r="AH68" i="55"/>
  <c r="AR88" i="54"/>
  <c r="BC88" i="54"/>
  <c r="AM88" i="54"/>
  <c r="AT88" i="54"/>
  <c r="AW88" i="54"/>
  <c r="BD88" i="54"/>
  <c r="AN88" i="54"/>
  <c r="AY88" i="54"/>
  <c r="AI88" i="54"/>
  <c r="AP88" i="54"/>
  <c r="AS88" i="54"/>
  <c r="AZ88" i="54"/>
  <c r="AJ88" i="54"/>
  <c r="AU88" i="54"/>
  <c r="BB88" i="54"/>
  <c r="AL88" i="54"/>
  <c r="AO88" i="54"/>
  <c r="AV88" i="54"/>
  <c r="AQ88" i="54"/>
  <c r="AX88" i="54"/>
  <c r="BA88" i="54"/>
  <c r="AK88" i="54"/>
  <c r="AB45" i="32"/>
  <c r="X49" i="32"/>
  <c r="S45" i="32"/>
  <c r="Z45" i="32"/>
  <c r="V49" i="32"/>
  <c r="Q45" i="32"/>
  <c r="X45" i="32"/>
  <c r="X50" i="32" s="1"/>
  <c r="M49" i="32"/>
  <c r="N45" i="32"/>
  <c r="Y45" i="32"/>
  <c r="Z49" i="32"/>
  <c r="U45" i="32"/>
  <c r="O49" i="32"/>
  <c r="P45" i="32"/>
  <c r="N49" i="32"/>
  <c r="M45" i="32"/>
  <c r="M50" i="32" s="1"/>
  <c r="W45" i="32"/>
  <c r="U49" i="32"/>
  <c r="T45" i="32"/>
  <c r="P49" i="32"/>
  <c r="O45" i="32"/>
  <c r="O50" i="32" s="1"/>
  <c r="AA45" i="32"/>
  <c r="L45" i="32"/>
  <c r="V45" i="32"/>
  <c r="T49" i="32"/>
  <c r="R45" i="32"/>
  <c r="R50" i="32" s="1"/>
  <c r="BD76" i="54"/>
  <c r="AN76" i="54"/>
  <c r="AY76" i="54"/>
  <c r="AI76" i="54"/>
  <c r="R76" i="54"/>
  <c r="AP76" i="54"/>
  <c r="AS76" i="54"/>
  <c r="AZ76" i="54"/>
  <c r="AJ76" i="54"/>
  <c r="AU76" i="54"/>
  <c r="BB76" i="54"/>
  <c r="AL76" i="54"/>
  <c r="AO76" i="54"/>
  <c r="P76" i="54"/>
  <c r="AV76" i="54"/>
  <c r="AQ76" i="54"/>
  <c r="AX76" i="54"/>
  <c r="BA76" i="54"/>
  <c r="AK76" i="54"/>
  <c r="AR76" i="54"/>
  <c r="BC76" i="54"/>
  <c r="AM76" i="54"/>
  <c r="AT76" i="54"/>
  <c r="AW76" i="54"/>
  <c r="AD51" i="55"/>
  <c r="AG51" i="55"/>
  <c r="X51" i="55"/>
  <c r="Z51" i="55"/>
  <c r="AC51" i="55"/>
  <c r="AE51" i="55"/>
  <c r="Y51" i="55"/>
  <c r="AF51" i="55"/>
  <c r="AH51" i="55"/>
  <c r="AB51" i="55"/>
  <c r="AA51" i="55"/>
  <c r="AD81" i="55"/>
  <c r="AG81" i="55"/>
  <c r="Y81" i="55"/>
  <c r="AF81" i="55"/>
  <c r="Z81" i="55"/>
  <c r="AB81" i="55"/>
  <c r="AE81" i="55"/>
  <c r="AC81" i="55"/>
  <c r="X81" i="55"/>
  <c r="AA81" i="55"/>
  <c r="AH81" i="55"/>
  <c r="BB69" i="54"/>
  <c r="AL69" i="54"/>
  <c r="AO69" i="54"/>
  <c r="AU69" i="54"/>
  <c r="AZ69" i="54"/>
  <c r="AX69" i="54"/>
  <c r="BA69" i="54"/>
  <c r="AK69" i="54"/>
  <c r="AQ69" i="54"/>
  <c r="AT69" i="54"/>
  <c r="AW69" i="54"/>
  <c r="BC69" i="54"/>
  <c r="AM69" i="54"/>
  <c r="AP69" i="54"/>
  <c r="AS69" i="54"/>
  <c r="AY69" i="54"/>
  <c r="AI69" i="54"/>
  <c r="AR69" i="54"/>
  <c r="AV69" i="54"/>
  <c r="AJ69" i="54"/>
  <c r="AN69" i="54"/>
  <c r="BD69" i="54"/>
  <c r="BB92" i="54"/>
  <c r="AL92" i="54"/>
  <c r="AO92" i="54"/>
  <c r="AV92" i="54"/>
  <c r="AQ92" i="54"/>
  <c r="AX92" i="54"/>
  <c r="BA92" i="54"/>
  <c r="AK92" i="54"/>
  <c r="AR92" i="54"/>
  <c r="BC92" i="54"/>
  <c r="AM92" i="54"/>
  <c r="AT92" i="54"/>
  <c r="AW92" i="54"/>
  <c r="BD92" i="54"/>
  <c r="AN92" i="54"/>
  <c r="AY92" i="54"/>
  <c r="AI92" i="54"/>
  <c r="AP92" i="54"/>
  <c r="AS92" i="54"/>
  <c r="AZ92" i="54"/>
  <c r="AJ92" i="54"/>
  <c r="AU92" i="54"/>
  <c r="X54" i="55"/>
  <c r="AA54" i="55"/>
  <c r="AH54" i="55"/>
  <c r="AD54" i="55"/>
  <c r="AG54" i="55"/>
  <c r="AF54" i="55"/>
  <c r="Z54" i="55"/>
  <c r="AC54" i="55"/>
  <c r="AB54" i="55"/>
  <c r="AE54" i="55"/>
  <c r="Y54" i="55"/>
  <c r="Z66" i="55"/>
  <c r="AC66" i="55"/>
  <c r="AF66" i="55"/>
  <c r="AE66" i="55"/>
  <c r="Y66" i="55"/>
  <c r="AB66" i="55"/>
  <c r="AA66" i="55"/>
  <c r="AH66" i="55"/>
  <c r="X66" i="55"/>
  <c r="AD66" i="55"/>
  <c r="AG66" i="55"/>
  <c r="Y80" i="55"/>
  <c r="AF80" i="55"/>
  <c r="AH80" i="55"/>
  <c r="AB80" i="55"/>
  <c r="AA80" i="55"/>
  <c r="AD80" i="55"/>
  <c r="AG80" i="55"/>
  <c r="X80" i="55"/>
  <c r="Z80" i="55"/>
  <c r="AC80" i="55"/>
  <c r="AE80" i="55"/>
  <c r="Y69" i="55"/>
  <c r="AF69" i="55"/>
  <c r="AB69" i="55"/>
  <c r="AE69" i="55"/>
  <c r="AD69" i="55"/>
  <c r="AG69" i="55"/>
  <c r="X69" i="55"/>
  <c r="AA69" i="55"/>
  <c r="Z69" i="55"/>
  <c r="AC69" i="55"/>
  <c r="AH69" i="55"/>
  <c r="AT89" i="54"/>
  <c r="BA89" i="54"/>
  <c r="AK89" i="54"/>
  <c r="AR89" i="54"/>
  <c r="AY89" i="54"/>
  <c r="AI89" i="54"/>
  <c r="AP89" i="54"/>
  <c r="AW89" i="54"/>
  <c r="BD89" i="54"/>
  <c r="AN89" i="54"/>
  <c r="AU89" i="54"/>
  <c r="BB89" i="54"/>
  <c r="AL89" i="54"/>
  <c r="AS89" i="54"/>
  <c r="AZ89" i="54"/>
  <c r="AJ89" i="54"/>
  <c r="AQ89" i="54"/>
  <c r="AX89" i="54"/>
  <c r="AO89" i="54"/>
  <c r="AV89" i="54"/>
  <c r="BC89" i="54"/>
  <c r="AM89" i="54"/>
  <c r="AE61" i="55"/>
  <c r="AA61" i="55"/>
  <c r="AD61" i="55"/>
  <c r="AH61" i="55"/>
  <c r="AF61" i="55"/>
  <c r="Y61" i="55"/>
  <c r="AC61" i="55"/>
  <c r="AG61" i="55"/>
  <c r="Z61" i="55"/>
  <c r="X61" i="55"/>
  <c r="AB61" i="55"/>
  <c r="AD70" i="55"/>
  <c r="AG70" i="55"/>
  <c r="Z70" i="55"/>
  <c r="AC70" i="55"/>
  <c r="AB70" i="55"/>
  <c r="AE70" i="55"/>
  <c r="Y70" i="55"/>
  <c r="X70" i="55"/>
  <c r="AA70" i="55"/>
  <c r="AH70" i="55"/>
  <c r="AF70" i="55"/>
  <c r="AZ82" i="54"/>
  <c r="AJ82" i="54"/>
  <c r="AU82" i="54"/>
  <c r="BB82" i="54"/>
  <c r="AL82" i="54"/>
  <c r="AO82" i="54"/>
  <c r="AV82" i="54"/>
  <c r="AQ82" i="54"/>
  <c r="AX82" i="54"/>
  <c r="BA82" i="54"/>
  <c r="AK82" i="54"/>
  <c r="AR82" i="54"/>
  <c r="BC82" i="54"/>
  <c r="AM82" i="54"/>
  <c r="AT82" i="54"/>
  <c r="AW82" i="54"/>
  <c r="BD82" i="54"/>
  <c r="AN82" i="54"/>
  <c r="AY82" i="54"/>
  <c r="AI82" i="54"/>
  <c r="AP82" i="54"/>
  <c r="AS82" i="54"/>
  <c r="AG62" i="55"/>
  <c r="AC62" i="55"/>
  <c r="AE62" i="55"/>
  <c r="Y62" i="55"/>
  <c r="AD62" i="55"/>
  <c r="AH62" i="55"/>
  <c r="AF62" i="55"/>
  <c r="Z62" i="55"/>
  <c r="X62" i="55"/>
  <c r="AB62" i="55"/>
  <c r="AA62" i="55"/>
  <c r="BC57" i="54"/>
  <c r="AN57" i="54"/>
  <c r="BD57" i="54"/>
  <c r="AW57" i="54"/>
  <c r="AT57" i="54"/>
  <c r="AR57" i="54"/>
  <c r="AK57" i="54"/>
  <c r="BA57" i="54"/>
  <c r="AX57" i="54"/>
  <c r="AV57" i="54"/>
  <c r="AO57" i="54"/>
  <c r="AJ57" i="54"/>
  <c r="AZ57" i="54"/>
  <c r="AS57" i="54"/>
  <c r="AU57" i="54"/>
  <c r="AL57" i="54"/>
  <c r="AI57" i="54"/>
  <c r="AY57" i="54"/>
  <c r="AP57" i="54"/>
  <c r="AM57" i="54"/>
  <c r="BB57" i="54"/>
  <c r="AQ57" i="54"/>
  <c r="AR77" i="54"/>
  <c r="BC77" i="54"/>
  <c r="AM77" i="54"/>
  <c r="AT77" i="54"/>
  <c r="AW77" i="54"/>
  <c r="BD77" i="54"/>
  <c r="AN77" i="54"/>
  <c r="AY77" i="54"/>
  <c r="AI77" i="54"/>
  <c r="AP77" i="54"/>
  <c r="AS77" i="54"/>
  <c r="AZ77" i="54"/>
  <c r="AJ77" i="54"/>
  <c r="AU77" i="54"/>
  <c r="BB77" i="54"/>
  <c r="AL77" i="54"/>
  <c r="AO77" i="54"/>
  <c r="AV77" i="54"/>
  <c r="AQ77" i="54"/>
  <c r="AX77" i="54"/>
  <c r="BA77" i="54"/>
  <c r="AK77" i="54"/>
  <c r="AX101" i="54"/>
  <c r="BA101" i="54"/>
  <c r="AK101" i="54"/>
  <c r="AR101" i="54"/>
  <c r="BC101" i="54"/>
  <c r="AM101" i="54"/>
  <c r="AT101" i="54"/>
  <c r="AW101" i="54"/>
  <c r="BD101" i="54"/>
  <c r="AN101" i="54"/>
  <c r="AY101" i="54"/>
  <c r="AI101" i="54"/>
  <c r="AP101" i="54"/>
  <c r="AS101" i="54"/>
  <c r="AZ101" i="54"/>
  <c r="AJ101" i="54"/>
  <c r="AU101" i="54"/>
  <c r="BB101" i="54"/>
  <c r="AL101" i="54"/>
  <c r="AO101" i="54"/>
  <c r="AV101" i="54"/>
  <c r="AQ101" i="54"/>
  <c r="AB56" i="55"/>
  <c r="AE56" i="55"/>
  <c r="Y56" i="55"/>
  <c r="X56" i="55"/>
  <c r="AA56" i="55"/>
  <c r="AH56" i="55"/>
  <c r="AD56" i="55"/>
  <c r="AG56" i="55"/>
  <c r="AF56" i="55"/>
  <c r="Z56" i="55"/>
  <c r="AC56" i="55"/>
  <c r="AC71" i="55"/>
  <c r="Y71" i="55"/>
  <c r="AF71" i="55"/>
  <c r="Z71" i="55"/>
  <c r="AB71" i="55"/>
  <c r="AE71" i="55"/>
  <c r="AH71" i="55"/>
  <c r="AG71" i="55"/>
  <c r="X71" i="55"/>
  <c r="AA71" i="55"/>
  <c r="AD71" i="55"/>
  <c r="Y82" i="55"/>
  <c r="AF82" i="55"/>
  <c r="AE82" i="55"/>
  <c r="AH82" i="55"/>
  <c r="AB82" i="55"/>
  <c r="AA82" i="55"/>
  <c r="AD82" i="55"/>
  <c r="AG82" i="55"/>
  <c r="X82" i="55"/>
  <c r="Z82" i="55"/>
  <c r="AC82" i="55"/>
  <c r="BB65" i="54"/>
  <c r="AL65" i="54"/>
  <c r="AO65" i="54"/>
  <c r="AU65" i="54"/>
  <c r="AX65" i="54"/>
  <c r="BA65" i="54"/>
  <c r="AK65" i="54"/>
  <c r="AQ65" i="54"/>
  <c r="AV65" i="54"/>
  <c r="AJ65" i="54"/>
  <c r="AT65" i="54"/>
  <c r="AW65" i="54"/>
  <c r="BC65" i="54"/>
  <c r="AM65" i="54"/>
  <c r="AR65" i="54"/>
  <c r="AP65" i="54"/>
  <c r="AS65" i="54"/>
  <c r="AY65" i="54"/>
  <c r="AI65" i="54"/>
  <c r="BD65" i="54"/>
  <c r="AZ65" i="54"/>
  <c r="AN65" i="54"/>
  <c r="AB58" i="55"/>
  <c r="AE58" i="55"/>
  <c r="Y58" i="55"/>
  <c r="X58" i="55"/>
  <c r="AA58" i="55"/>
  <c r="AH58" i="55"/>
  <c r="AD58" i="55"/>
  <c r="AG58" i="55"/>
  <c r="AF58" i="55"/>
  <c r="Z58" i="55"/>
  <c r="AC58" i="55"/>
  <c r="AV62" i="54"/>
  <c r="AX62" i="54"/>
  <c r="BA62" i="54"/>
  <c r="AK62" i="54"/>
  <c r="AQ62" i="54"/>
  <c r="AT62" i="54"/>
  <c r="AW62" i="54"/>
  <c r="BC62" i="54"/>
  <c r="AM62" i="54"/>
  <c r="AJ62" i="54"/>
  <c r="AP62" i="54"/>
  <c r="AS62" i="54"/>
  <c r="AY62" i="54"/>
  <c r="AI62" i="54"/>
  <c r="AZ62" i="54"/>
  <c r="BB62" i="54"/>
  <c r="AL62" i="54"/>
  <c r="AO62" i="54"/>
  <c r="AU62" i="54"/>
  <c r="BD62" i="54"/>
  <c r="AN62" i="54"/>
  <c r="AR62" i="54"/>
  <c r="AV84" i="54"/>
  <c r="AQ84" i="54"/>
  <c r="AX84" i="54"/>
  <c r="BA84" i="54"/>
  <c r="AK84" i="54"/>
  <c r="AR84" i="54"/>
  <c r="BC84" i="54"/>
  <c r="AM84" i="54"/>
  <c r="AT84" i="54"/>
  <c r="AW84" i="54"/>
  <c r="BD84" i="54"/>
  <c r="AN84" i="54"/>
  <c r="AY84" i="54"/>
  <c r="AI84" i="54"/>
  <c r="AP84" i="54"/>
  <c r="AS84" i="54"/>
  <c r="AZ84" i="54"/>
  <c r="AJ84" i="54"/>
  <c r="AU84" i="54"/>
  <c r="BB84" i="54"/>
  <c r="AL84" i="54"/>
  <c r="AO84" i="54"/>
  <c r="AV72" i="54"/>
  <c r="AN72" i="54"/>
  <c r="BD72" i="54"/>
  <c r="AR72" i="54"/>
  <c r="BB72" i="54"/>
  <c r="AL72" i="54"/>
  <c r="AO72" i="54"/>
  <c r="AU72" i="54"/>
  <c r="AX72" i="54"/>
  <c r="BA72" i="54"/>
  <c r="AK72" i="54"/>
  <c r="AQ72" i="54"/>
  <c r="AT72" i="54"/>
  <c r="AW72" i="54"/>
  <c r="BC72" i="54"/>
  <c r="AM72" i="54"/>
  <c r="AJ72" i="54"/>
  <c r="AP72" i="54"/>
  <c r="AS72" i="54"/>
  <c r="AY72" i="54"/>
  <c r="AI72" i="54"/>
  <c r="AZ72" i="54"/>
  <c r="X45" i="33"/>
  <c r="Y45" i="33"/>
  <c r="AC73" i="55"/>
  <c r="Y73" i="55"/>
  <c r="AF73" i="55"/>
  <c r="AD73" i="55"/>
  <c r="AB73" i="55"/>
  <c r="AE73" i="55"/>
  <c r="AG73" i="55"/>
  <c r="X73" i="55"/>
  <c r="AA73" i="55"/>
  <c r="AH73" i="55"/>
  <c r="Z73" i="55"/>
  <c r="AV70" i="54"/>
  <c r="AX70" i="54"/>
  <c r="BA70" i="54"/>
  <c r="AK70" i="54"/>
  <c r="AQ70" i="54"/>
  <c r="AT70" i="54"/>
  <c r="AW70" i="54"/>
  <c r="BC70" i="54"/>
  <c r="AM70" i="54"/>
  <c r="AJ70" i="54"/>
  <c r="AP70" i="54"/>
  <c r="AS70" i="54"/>
  <c r="AY70" i="54"/>
  <c r="AI70" i="54"/>
  <c r="AZ70" i="54"/>
  <c r="BB70" i="54"/>
  <c r="AL70" i="54"/>
  <c r="AO70" i="54"/>
  <c r="AU70" i="54"/>
  <c r="AN70" i="54"/>
  <c r="AR70" i="54"/>
  <c r="BD70" i="54"/>
  <c r="M12" i="28"/>
  <c r="M11" i="28"/>
  <c r="M7" i="28"/>
  <c r="M8" i="28"/>
  <c r="M14" i="28"/>
  <c r="M13" i="28"/>
  <c r="BD63" i="54"/>
  <c r="AZ63" i="54"/>
  <c r="AJ63" i="54"/>
  <c r="AN63" i="54"/>
  <c r="AT63" i="54"/>
  <c r="AW63" i="54"/>
  <c r="BC63" i="54"/>
  <c r="AM63" i="54"/>
  <c r="AP63" i="54"/>
  <c r="AS63" i="54"/>
  <c r="AY63" i="54"/>
  <c r="AI63" i="54"/>
  <c r="AR63" i="54"/>
  <c r="BB63" i="54"/>
  <c r="AL63" i="54"/>
  <c r="AO63" i="54"/>
  <c r="AU63" i="54"/>
  <c r="AX63" i="54"/>
  <c r="BA63" i="54"/>
  <c r="AK63" i="54"/>
  <c r="AQ63" i="54"/>
  <c r="AV63" i="54"/>
  <c r="M51" i="28"/>
  <c r="M21" i="28"/>
  <c r="M25" i="28"/>
  <c r="M32" i="28"/>
  <c r="M48" i="28"/>
  <c r="M43" i="28"/>
  <c r="M26" i="28"/>
  <c r="M34" i="28"/>
  <c r="M42" i="28"/>
  <c r="M50" i="28"/>
  <c r="M29" i="28"/>
  <c r="M37" i="28"/>
  <c r="M45" i="28"/>
  <c r="M17" i="28"/>
  <c r="M28" i="28"/>
  <c r="M36" i="28"/>
  <c r="M44" i="28"/>
  <c r="M19" i="28"/>
  <c r="M31" i="28"/>
  <c r="M39" i="28"/>
  <c r="M47" i="28"/>
  <c r="M18" i="28"/>
  <c r="M40" i="28"/>
  <c r="M23" i="28"/>
  <c r="M30" i="28"/>
  <c r="M38" i="28"/>
  <c r="M46" i="28"/>
  <c r="M22" i="28"/>
  <c r="M20" i="28"/>
  <c r="M33" i="28"/>
  <c r="M41" i="28"/>
  <c r="M49" i="28"/>
  <c r="M24" i="28"/>
  <c r="M27" i="28"/>
  <c r="M35" i="28"/>
  <c r="AV86" i="54"/>
  <c r="AQ86" i="54"/>
  <c r="AX86" i="54"/>
  <c r="BA86" i="54"/>
  <c r="AK86" i="54"/>
  <c r="AR86" i="54"/>
  <c r="BC86" i="54"/>
  <c r="AM86" i="54"/>
  <c r="AT86" i="54"/>
  <c r="AW86" i="54"/>
  <c r="BD86" i="54"/>
  <c r="AN86" i="54"/>
  <c r="AY86" i="54"/>
  <c r="AI86" i="54"/>
  <c r="AP86" i="54"/>
  <c r="AS86" i="54"/>
  <c r="AZ86" i="54"/>
  <c r="AJ86" i="54"/>
  <c r="AU86" i="54"/>
  <c r="BB86" i="54"/>
  <c r="AL86" i="54"/>
  <c r="AO86" i="54"/>
  <c r="BD73" i="54"/>
  <c r="AT73" i="54"/>
  <c r="AW73" i="54"/>
  <c r="AY73" i="54"/>
  <c r="AI73" i="54"/>
  <c r="R73" i="54"/>
  <c r="AR73" i="54"/>
  <c r="AZ73" i="54"/>
  <c r="AP73" i="54"/>
  <c r="AS73" i="54"/>
  <c r="AU73" i="54"/>
  <c r="AV73" i="54"/>
  <c r="AJ73" i="54"/>
  <c r="BC73" i="54"/>
  <c r="AL73" i="54"/>
  <c r="AO73" i="54"/>
  <c r="P73" i="54"/>
  <c r="AQ73" i="54"/>
  <c r="AX73" i="54"/>
  <c r="BB73" i="54"/>
  <c r="AK73" i="54"/>
  <c r="AM73" i="54"/>
  <c r="BA73" i="54"/>
  <c r="AN73" i="54"/>
  <c r="AV60" i="54"/>
  <c r="AR60" i="54"/>
  <c r="AX60" i="54"/>
  <c r="BA60" i="54"/>
  <c r="AK60" i="54"/>
  <c r="AQ60" i="54"/>
  <c r="AT60" i="54"/>
  <c r="AW60" i="54"/>
  <c r="BC60" i="54"/>
  <c r="AM60" i="54"/>
  <c r="AN60" i="54"/>
  <c r="BD60" i="54"/>
  <c r="AL60" i="54"/>
  <c r="AO60" i="54"/>
  <c r="AU60" i="54"/>
  <c r="AI60" i="54"/>
  <c r="AJ60" i="54"/>
  <c r="BB60" i="54"/>
  <c r="AZ60" i="54"/>
  <c r="AP60" i="54"/>
  <c r="AS60" i="54"/>
  <c r="AY60" i="54"/>
  <c r="AD55" i="55"/>
  <c r="AG55" i="55"/>
  <c r="X55" i="55"/>
  <c r="AA55" i="55"/>
  <c r="Z55" i="55"/>
  <c r="AC55" i="55"/>
  <c r="Y55" i="55"/>
  <c r="AF55" i="55"/>
  <c r="AH55" i="55"/>
  <c r="AB55" i="55"/>
  <c r="AE55" i="55"/>
  <c r="BD71" i="54"/>
  <c r="AZ71" i="54"/>
  <c r="AJ71" i="54"/>
  <c r="AN71" i="54"/>
  <c r="AT71" i="54"/>
  <c r="AW71" i="54"/>
  <c r="BC71" i="54"/>
  <c r="AM71" i="54"/>
  <c r="AP71" i="54"/>
  <c r="AS71" i="54"/>
  <c r="AY71" i="54"/>
  <c r="AI71" i="54"/>
  <c r="AR71" i="54"/>
  <c r="BB71" i="54"/>
  <c r="AL71" i="54"/>
  <c r="AO71" i="54"/>
  <c r="AU71" i="54"/>
  <c r="AX71" i="54"/>
  <c r="BA71" i="54"/>
  <c r="AK71" i="54"/>
  <c r="AQ71" i="54"/>
  <c r="AV71" i="54"/>
  <c r="AP95" i="54"/>
  <c r="AS95" i="54"/>
  <c r="AZ95" i="54"/>
  <c r="AJ95" i="54"/>
  <c r="AU95" i="54"/>
  <c r="BB95" i="54"/>
  <c r="AL95" i="54"/>
  <c r="AO95" i="54"/>
  <c r="AV95" i="54"/>
  <c r="AQ95" i="54"/>
  <c r="AX95" i="54"/>
  <c r="BA95" i="54"/>
  <c r="AK95" i="54"/>
  <c r="AR95" i="54"/>
  <c r="BC95" i="54"/>
  <c r="AM95" i="54"/>
  <c r="AT95" i="54"/>
  <c r="AW95" i="54"/>
  <c r="BD95" i="54"/>
  <c r="AN95" i="54"/>
  <c r="AY95" i="54"/>
  <c r="AI95" i="54"/>
  <c r="Z84" i="55"/>
  <c r="AC84" i="55"/>
  <c r="AA84" i="55"/>
  <c r="Y84" i="55"/>
  <c r="AF84" i="55"/>
  <c r="AH84" i="55"/>
  <c r="AB84" i="55"/>
  <c r="AE84" i="55"/>
  <c r="AD84" i="55"/>
  <c r="AG84" i="55"/>
  <c r="X84" i="55"/>
  <c r="AZ80" i="54"/>
  <c r="AJ80" i="54"/>
  <c r="AU80" i="54"/>
  <c r="BB80" i="54"/>
  <c r="AL80" i="54"/>
  <c r="AO80" i="54"/>
  <c r="P80" i="54"/>
  <c r="AV80" i="54"/>
  <c r="AQ80" i="54"/>
  <c r="AX80" i="54"/>
  <c r="BA80" i="54"/>
  <c r="AK80" i="54"/>
  <c r="AR80" i="54"/>
  <c r="BC80" i="54"/>
  <c r="AM80" i="54"/>
  <c r="AT80" i="54"/>
  <c r="AW80" i="54"/>
  <c r="BD80" i="54"/>
  <c r="AN80" i="54"/>
  <c r="AY80" i="54"/>
  <c r="AI80" i="54"/>
  <c r="R80" i="54"/>
  <c r="AP80" i="54"/>
  <c r="AS80" i="54"/>
  <c r="AV58" i="54"/>
  <c r="AN58" i="54"/>
  <c r="AJ58" i="54"/>
  <c r="AP58" i="54"/>
  <c r="BC58" i="54"/>
  <c r="AZ58" i="54"/>
  <c r="AQ58" i="54"/>
  <c r="BB58" i="54"/>
  <c r="BA58" i="54"/>
  <c r="AY58" i="54"/>
  <c r="BD58" i="54"/>
  <c r="AX58" i="54"/>
  <c r="AW58" i="54"/>
  <c r="AU58" i="54"/>
  <c r="AK58" i="54"/>
  <c r="AT58" i="54"/>
  <c r="AS58" i="54"/>
  <c r="AO58" i="54"/>
  <c r="AR58" i="54"/>
  <c r="AL58" i="54"/>
  <c r="AI58" i="54"/>
  <c r="AM58" i="54"/>
  <c r="BD78" i="54"/>
  <c r="AN78" i="54"/>
  <c r="AY78" i="54"/>
  <c r="AI78" i="54"/>
  <c r="R78" i="54"/>
  <c r="AP78" i="54"/>
  <c r="AS78" i="54"/>
  <c r="AZ78" i="54"/>
  <c r="AJ78" i="54"/>
  <c r="AU78" i="54"/>
  <c r="BB78" i="54"/>
  <c r="AL78" i="54"/>
  <c r="AO78" i="54"/>
  <c r="P78" i="54"/>
  <c r="AV78" i="54"/>
  <c r="AQ78" i="54"/>
  <c r="AX78" i="54"/>
  <c r="BA78" i="54"/>
  <c r="AK78" i="54"/>
  <c r="AR78" i="54"/>
  <c r="BC78" i="54"/>
  <c r="AM78" i="54"/>
  <c r="AT78" i="54"/>
  <c r="AW78" i="54"/>
  <c r="AT102" i="54"/>
  <c r="AW102" i="54"/>
  <c r="BD102" i="54"/>
  <c r="AN102" i="54"/>
  <c r="AY102" i="54"/>
  <c r="AI102" i="54"/>
  <c r="AP102" i="54"/>
  <c r="AS102" i="54"/>
  <c r="AZ102" i="54"/>
  <c r="AJ102" i="54"/>
  <c r="AU102" i="54"/>
  <c r="BB102" i="54"/>
  <c r="AL102" i="54"/>
  <c r="AO102" i="54"/>
  <c r="AV102" i="54"/>
  <c r="AQ102" i="54"/>
  <c r="AX102" i="54"/>
  <c r="BA102" i="54"/>
  <c r="AK102" i="54"/>
  <c r="AR102" i="54"/>
  <c r="BC102" i="54"/>
  <c r="AM102" i="54"/>
  <c r="AH59" i="55"/>
  <c r="AB59" i="55"/>
  <c r="AE59" i="55"/>
  <c r="AD59" i="55"/>
  <c r="AG59" i="55"/>
  <c r="X59" i="55"/>
  <c r="AA59" i="55"/>
  <c r="Z59" i="55"/>
  <c r="AC59" i="55"/>
  <c r="Y59" i="55"/>
  <c r="AF59" i="55"/>
  <c r="AA72" i="55"/>
  <c r="AH72" i="55"/>
  <c r="AD72" i="55"/>
  <c r="AG72" i="55"/>
  <c r="AF72" i="55"/>
  <c r="Z72" i="55"/>
  <c r="AC72" i="55"/>
  <c r="AE72" i="55"/>
  <c r="Y72" i="55"/>
  <c r="X72" i="55"/>
  <c r="AB72" i="55"/>
  <c r="X83" i="55"/>
  <c r="AA83" i="55"/>
  <c r="AH83" i="55"/>
  <c r="AC83" i="55"/>
  <c r="AD83" i="55"/>
  <c r="AF83" i="55"/>
  <c r="Z83" i="55"/>
  <c r="AG83" i="55"/>
  <c r="Y83" i="55"/>
  <c r="AB83" i="55"/>
  <c r="AE83" i="55"/>
  <c r="X85" i="55"/>
  <c r="AA85" i="55"/>
  <c r="AH85" i="55"/>
  <c r="AD85" i="55"/>
  <c r="Y85" i="55"/>
  <c r="AC85" i="55"/>
  <c r="AF85" i="55"/>
  <c r="Z85" i="55"/>
  <c r="AB85" i="55"/>
  <c r="AE85" i="55"/>
  <c r="AG85" i="55"/>
  <c r="AV66" i="54"/>
  <c r="AX66" i="54"/>
  <c r="BA66" i="54"/>
  <c r="AK66" i="54"/>
  <c r="AQ66" i="54"/>
  <c r="AZ66" i="54"/>
  <c r="AN66" i="54"/>
  <c r="AT66" i="54"/>
  <c r="AW66" i="54"/>
  <c r="BC66" i="54"/>
  <c r="AM66" i="54"/>
  <c r="BD66" i="54"/>
  <c r="AP66" i="54"/>
  <c r="AS66" i="54"/>
  <c r="AY66" i="54"/>
  <c r="AI66" i="54"/>
  <c r="BB66" i="54"/>
  <c r="AL66" i="54"/>
  <c r="AO66" i="54"/>
  <c r="AU66" i="54"/>
  <c r="AJ66" i="54"/>
  <c r="AR66" i="54"/>
  <c r="AT100" i="54"/>
  <c r="AW100" i="54"/>
  <c r="BD100" i="54"/>
  <c r="AN100" i="54"/>
  <c r="AY100" i="54"/>
  <c r="AI100" i="54"/>
  <c r="AP100" i="54"/>
  <c r="AS100" i="54"/>
  <c r="AZ100" i="54"/>
  <c r="AJ100" i="54"/>
  <c r="AU100" i="54"/>
  <c r="BB100" i="54"/>
  <c r="AL100" i="54"/>
  <c r="AO100" i="54"/>
  <c r="AV100" i="54"/>
  <c r="AQ100" i="54"/>
  <c r="AX100" i="54"/>
  <c r="BA100" i="54"/>
  <c r="AK100" i="54"/>
  <c r="AR100" i="54"/>
  <c r="BC100" i="54"/>
  <c r="AM100" i="54"/>
  <c r="Y67" i="55"/>
  <c r="AF67" i="55"/>
  <c r="AD67" i="55"/>
  <c r="AB67" i="55"/>
  <c r="AE67" i="55"/>
  <c r="AG67" i="55"/>
  <c r="X67" i="55"/>
  <c r="AA67" i="55"/>
  <c r="AH67" i="55"/>
  <c r="Z67" i="55"/>
  <c r="AC67" i="55"/>
  <c r="AX96" i="54"/>
  <c r="BA96" i="54"/>
  <c r="AK96" i="54"/>
  <c r="AR96" i="54"/>
  <c r="BC96" i="54"/>
  <c r="AM96" i="54"/>
  <c r="AT96" i="54"/>
  <c r="AW96" i="54"/>
  <c r="BD96" i="54"/>
  <c r="AN96" i="54"/>
  <c r="AY96" i="54"/>
  <c r="AI96" i="54"/>
  <c r="AP96" i="54"/>
  <c r="AS96" i="54"/>
  <c r="AZ96" i="54"/>
  <c r="AJ96" i="54"/>
  <c r="AU96" i="54"/>
  <c r="BB96" i="54"/>
  <c r="AL96" i="54"/>
  <c r="AO96" i="54"/>
  <c r="AV96" i="54"/>
  <c r="AQ96" i="54"/>
  <c r="M63" i="28"/>
  <c r="BD59" i="54"/>
  <c r="AZ59" i="54"/>
  <c r="AJ59" i="54"/>
  <c r="AT59" i="54"/>
  <c r="AW59" i="54"/>
  <c r="BC59" i="54"/>
  <c r="AM59" i="54"/>
  <c r="AP59" i="54"/>
  <c r="AS59" i="54"/>
  <c r="AY59" i="54"/>
  <c r="AI59" i="54"/>
  <c r="AN59" i="54"/>
  <c r="BB59" i="54"/>
  <c r="AL59" i="54"/>
  <c r="AO59" i="54"/>
  <c r="AU59" i="54"/>
  <c r="AX59" i="54"/>
  <c r="BA59" i="54"/>
  <c r="AK59" i="54"/>
  <c r="AQ59" i="54"/>
  <c r="AR59" i="54"/>
  <c r="AV59" i="54"/>
  <c r="M66" i="28"/>
  <c r="M64" i="28" s="1"/>
  <c r="AR79" i="54"/>
  <c r="BC79" i="54"/>
  <c r="AM79" i="54"/>
  <c r="AT79" i="54"/>
  <c r="AW79" i="54"/>
  <c r="BD79" i="54"/>
  <c r="AN79" i="54"/>
  <c r="AY79" i="54"/>
  <c r="AI79" i="54"/>
  <c r="R79" i="54"/>
  <c r="AP79" i="54"/>
  <c r="AS79" i="54"/>
  <c r="AZ79" i="54"/>
  <c r="AJ79" i="54"/>
  <c r="AU79" i="54"/>
  <c r="BB79" i="54"/>
  <c r="AL79" i="54"/>
  <c r="AO79" i="54"/>
  <c r="P79" i="54"/>
  <c r="AV79" i="54"/>
  <c r="AQ79" i="54"/>
  <c r="AX79" i="54"/>
  <c r="BA79" i="54"/>
  <c r="AK79" i="54"/>
  <c r="AX103" i="54"/>
  <c r="BA103" i="54"/>
  <c r="AK103" i="54"/>
  <c r="AR103" i="54"/>
  <c r="BC103" i="54"/>
  <c r="AM103" i="54"/>
  <c r="AT103" i="54"/>
  <c r="AW103" i="54"/>
  <c r="BD103" i="54"/>
  <c r="AN103" i="54"/>
  <c r="AY103" i="54"/>
  <c r="AI103" i="54"/>
  <c r="BB103" i="54"/>
  <c r="AQ103" i="54"/>
  <c r="AP103" i="54"/>
  <c r="AS103" i="54"/>
  <c r="AZ103" i="54"/>
  <c r="AL103" i="54"/>
  <c r="AO103" i="54"/>
  <c r="AV103" i="54"/>
  <c r="AJ103" i="54"/>
  <c r="AU103" i="54"/>
  <c r="AF60" i="55"/>
  <c r="Z60" i="55"/>
  <c r="AC60" i="55"/>
  <c r="AB60" i="55"/>
  <c r="AE60" i="55"/>
  <c r="Y60" i="55"/>
  <c r="X60" i="55"/>
  <c r="AA60" i="55"/>
  <c r="AH60" i="55"/>
  <c r="AD60" i="55"/>
  <c r="AG60" i="55"/>
  <c r="AA74" i="55"/>
  <c r="AH74" i="55"/>
  <c r="X74" i="55"/>
  <c r="AD74" i="55"/>
  <c r="AG74" i="55"/>
  <c r="Z74" i="55"/>
  <c r="AC74" i="55"/>
  <c r="AF74" i="55"/>
  <c r="AE74" i="55"/>
  <c r="Y74" i="55"/>
  <c r="AB74" i="55"/>
  <c r="AB87" i="55"/>
  <c r="AE87" i="55"/>
  <c r="Y87" i="55"/>
  <c r="X87" i="55"/>
  <c r="AA87" i="55"/>
  <c r="AH87" i="55"/>
  <c r="AD87" i="55"/>
  <c r="AC87" i="55"/>
  <c r="AG87" i="55"/>
  <c r="AF87" i="55"/>
  <c r="Z87" i="55"/>
  <c r="Z86" i="55"/>
  <c r="AC86" i="55"/>
  <c r="Y86" i="55"/>
  <c r="AF86" i="55"/>
  <c r="AA86" i="55"/>
  <c r="AH86" i="55"/>
  <c r="AB86" i="55"/>
  <c r="AD86" i="55"/>
  <c r="AG86" i="55"/>
  <c r="X86" i="55"/>
  <c r="AE86" i="55"/>
  <c r="Y50" i="55"/>
  <c r="AB50" i="55"/>
  <c r="AE50" i="55"/>
  <c r="X50" i="55"/>
  <c r="B8" i="57" s="1"/>
  <c r="AA50" i="55"/>
  <c r="AH50" i="55"/>
  <c r="AC50" i="55"/>
  <c r="AG50" i="55"/>
  <c r="AD50" i="55"/>
  <c r="AF50" i="55"/>
  <c r="Z50" i="55"/>
  <c r="X63" i="55"/>
  <c r="AB63" i="55"/>
  <c r="AE63" i="55"/>
  <c r="AA63" i="55"/>
  <c r="AH63" i="55"/>
  <c r="AF63" i="55"/>
  <c r="AD63" i="55"/>
  <c r="AC63" i="55"/>
  <c r="AG63" i="55"/>
  <c r="Z63" i="55"/>
  <c r="Y63" i="55"/>
  <c r="AD57" i="55"/>
  <c r="AG57" i="55"/>
  <c r="X57" i="55"/>
  <c r="AA57" i="55"/>
  <c r="Z57" i="55"/>
  <c r="AC57" i="55"/>
  <c r="Y57" i="55"/>
  <c r="AF57" i="55"/>
  <c r="AH57" i="55"/>
  <c r="AB57" i="55"/>
  <c r="AE57" i="55"/>
  <c r="AO9" i="52"/>
  <c r="AQ9" i="50"/>
  <c r="AV13" i="50"/>
  <c r="AR14" i="50"/>
  <c r="AV14" i="50" s="1"/>
  <c r="AV23" i="50"/>
  <c r="AR24" i="50"/>
  <c r="AV24" i="50" s="1"/>
  <c r="AV27" i="50"/>
  <c r="AR28" i="50"/>
  <c r="AT9" i="52"/>
  <c r="AV7" i="50"/>
  <c r="AR8" i="50"/>
  <c r="AV8" i="50" s="1"/>
  <c r="AJ9" i="52"/>
  <c r="R49" i="33"/>
  <c r="R8" i="34"/>
  <c r="R49" i="34"/>
  <c r="R8" i="35"/>
  <c r="S8" i="35" s="1"/>
  <c r="M17" i="33"/>
  <c r="M12" i="33"/>
  <c r="M11" i="33"/>
  <c r="M10" i="33"/>
  <c r="M9" i="33"/>
  <c r="M7" i="33"/>
  <c r="M6" i="33"/>
  <c r="M5" i="33"/>
  <c r="M19" i="33"/>
  <c r="M18" i="33"/>
  <c r="M20" i="33"/>
  <c r="M16" i="33"/>
  <c r="M22" i="33"/>
  <c r="M38" i="33"/>
  <c r="M14" i="33"/>
  <c r="M31" i="33"/>
  <c r="M32" i="33"/>
  <c r="M21" i="33"/>
  <c r="M24" i="33"/>
  <c r="M29" i="33"/>
  <c r="M26" i="33"/>
  <c r="M42" i="33"/>
  <c r="M35" i="33"/>
  <c r="M40" i="33"/>
  <c r="M25" i="33"/>
  <c r="M36" i="33"/>
  <c r="M41" i="33"/>
  <c r="M30" i="33"/>
  <c r="M23" i="33"/>
  <c r="M39" i="33"/>
  <c r="M33" i="33"/>
  <c r="M15" i="33"/>
  <c r="M13" i="33"/>
  <c r="M34" i="33"/>
  <c r="M27" i="33"/>
  <c r="M43" i="33"/>
  <c r="M28" i="33"/>
  <c r="M37" i="33"/>
  <c r="L46" i="35"/>
  <c r="L46" i="34"/>
  <c r="L46" i="32"/>
  <c r="L46" i="33"/>
  <c r="S47" i="35"/>
  <c r="S47" i="34"/>
  <c r="S47" i="33"/>
  <c r="S47" i="32"/>
  <c r="S48" i="35"/>
  <c r="S48" i="34"/>
  <c r="S48" i="33"/>
  <c r="S48" i="32"/>
  <c r="D35" i="5"/>
  <c r="Q46" i="51" s="1"/>
  <c r="F8" i="56" l="1"/>
  <c r="M70" i="28"/>
  <c r="V50" i="32"/>
  <c r="U50" i="32"/>
  <c r="T50" i="32"/>
  <c r="M34" i="51"/>
  <c r="M36" i="51"/>
  <c r="M21" i="51"/>
  <c r="M18" i="51"/>
  <c r="M12" i="51"/>
  <c r="M28" i="51"/>
  <c r="M13" i="51"/>
  <c r="M23" i="51"/>
  <c r="M25" i="51"/>
  <c r="M26" i="51"/>
  <c r="M32" i="51"/>
  <c r="M22" i="51"/>
  <c r="M19" i="51"/>
  <c r="M9" i="51"/>
  <c r="M17" i="51"/>
  <c r="E6" i="57"/>
  <c r="O8" i="56"/>
  <c r="V10" i="56"/>
  <c r="R8" i="56"/>
  <c r="R10" i="56"/>
  <c r="R6" i="56"/>
  <c r="N8" i="56"/>
  <c r="N10" i="56"/>
  <c r="N6" i="56"/>
  <c r="H8" i="56"/>
  <c r="H6" i="56"/>
  <c r="H10" i="56"/>
  <c r="D6" i="56"/>
  <c r="D10" i="56"/>
  <c r="M8" i="56"/>
  <c r="M10" i="56"/>
  <c r="M6" i="56"/>
  <c r="W8" i="56"/>
  <c r="W10" i="56"/>
  <c r="W6" i="56"/>
  <c r="R10" i="33"/>
  <c r="R5" i="33"/>
  <c r="R38" i="33"/>
  <c r="R34" i="33"/>
  <c r="R41" i="33"/>
  <c r="R25" i="33"/>
  <c r="R39" i="33"/>
  <c r="R17" i="33"/>
  <c r="R9" i="33"/>
  <c r="R36" i="33"/>
  <c r="R22" i="33"/>
  <c r="R13" i="33"/>
  <c r="R29" i="33"/>
  <c r="R12" i="33"/>
  <c r="R7" i="33"/>
  <c r="R19" i="33"/>
  <c r="R35" i="33"/>
  <c r="R31" i="33"/>
  <c r="R43" i="33"/>
  <c r="R14" i="33"/>
  <c r="R30" i="33"/>
  <c r="R15" i="33"/>
  <c r="R11" i="33"/>
  <c r="R6" i="33"/>
  <c r="R24" i="33"/>
  <c r="R37" i="33"/>
  <c r="R32" i="33"/>
  <c r="R33" i="33"/>
  <c r="R28" i="33"/>
  <c r="R27" i="33"/>
  <c r="R20" i="33"/>
  <c r="R42" i="33"/>
  <c r="R40" i="33"/>
  <c r="R26" i="33"/>
  <c r="R16" i="33"/>
  <c r="R18" i="33"/>
  <c r="R21" i="33"/>
  <c r="R23" i="33"/>
  <c r="U8" i="33"/>
  <c r="U49" i="51"/>
  <c r="U49" i="34"/>
  <c r="U49" i="33"/>
  <c r="P50" i="32"/>
  <c r="J8" i="57"/>
  <c r="J10" i="57"/>
  <c r="J6" i="57"/>
  <c r="Q15" i="29"/>
  <c r="Q8" i="29"/>
  <c r="Q9" i="29"/>
  <c r="Q14" i="29"/>
  <c r="Q45" i="29"/>
  <c r="Q43" i="29"/>
  <c r="Q49" i="29"/>
  <c r="Q47" i="29"/>
  <c r="Q38" i="29"/>
  <c r="Q40" i="29"/>
  <c r="Q42" i="29"/>
  <c r="Q44" i="29"/>
  <c r="Q28" i="29"/>
  <c r="Q29" i="29"/>
  <c r="Q5" i="29"/>
  <c r="Q10" i="29"/>
  <c r="Q30" i="29"/>
  <c r="Q32" i="29"/>
  <c r="Q34" i="29"/>
  <c r="Q36" i="29"/>
  <c r="Q35" i="29"/>
  <c r="Q17" i="29"/>
  <c r="Q11" i="29"/>
  <c r="Q27" i="29"/>
  <c r="Q24" i="29"/>
  <c r="Q21" i="29"/>
  <c r="Q26" i="29"/>
  <c r="Q6" i="29"/>
  <c r="Q46" i="29"/>
  <c r="Q48" i="29"/>
  <c r="Q50" i="29"/>
  <c r="Q37" i="29"/>
  <c r="Q51" i="29"/>
  <c r="Q41" i="29"/>
  <c r="Q39" i="29"/>
  <c r="Q23" i="29"/>
  <c r="Q16" i="29"/>
  <c r="Q13" i="29"/>
  <c r="Q22" i="29"/>
  <c r="Q25" i="29"/>
  <c r="Q19" i="29"/>
  <c r="Q33" i="29"/>
  <c r="Q31" i="29"/>
  <c r="Q7" i="29"/>
  <c r="Q12" i="29"/>
  <c r="Q18" i="29"/>
  <c r="Q20" i="29"/>
  <c r="AH20" i="29"/>
  <c r="AH25" i="29"/>
  <c r="AH5" i="29"/>
  <c r="AH6" i="29"/>
  <c r="AH7" i="29"/>
  <c r="AH26" i="29"/>
  <c r="AH43" i="29"/>
  <c r="AH30" i="29"/>
  <c r="AH22" i="29"/>
  <c r="AH40" i="29"/>
  <c r="AH27" i="29"/>
  <c r="AH45" i="29"/>
  <c r="AH16" i="29"/>
  <c r="AH17" i="29"/>
  <c r="AH18" i="29"/>
  <c r="AH19" i="29"/>
  <c r="AH31" i="29"/>
  <c r="AH48" i="29"/>
  <c r="AH35" i="29"/>
  <c r="AH37" i="29"/>
  <c r="AH23" i="29"/>
  <c r="AH41" i="29"/>
  <c r="AH28" i="29"/>
  <c r="AH50" i="29"/>
  <c r="AH12" i="29"/>
  <c r="AH13" i="29"/>
  <c r="AH14" i="29"/>
  <c r="AH15" i="29"/>
  <c r="AH32" i="29"/>
  <c r="AH49" i="29"/>
  <c r="AH36" i="29"/>
  <c r="AH42" i="29"/>
  <c r="AH33" i="29"/>
  <c r="AH46" i="29"/>
  <c r="AH21" i="29"/>
  <c r="AH39" i="29"/>
  <c r="AH8" i="29"/>
  <c r="AH9" i="29"/>
  <c r="AH10" i="29"/>
  <c r="AH11" i="29"/>
  <c r="AH24" i="29"/>
  <c r="AH38" i="29"/>
  <c r="AH29" i="29"/>
  <c r="AH47" i="29"/>
  <c r="AH34" i="29"/>
  <c r="AH51" i="29"/>
  <c r="AH44" i="29"/>
  <c r="X46" i="29"/>
  <c r="X38" i="29"/>
  <c r="X45" i="29"/>
  <c r="X35" i="29"/>
  <c r="X21" i="29"/>
  <c r="X5" i="29"/>
  <c r="X18" i="29"/>
  <c r="X37" i="29"/>
  <c r="X27" i="29"/>
  <c r="X11" i="29"/>
  <c r="X24" i="29"/>
  <c r="X8" i="29"/>
  <c r="X44" i="29"/>
  <c r="X51" i="29"/>
  <c r="X43" i="29"/>
  <c r="X33" i="29"/>
  <c r="X17" i="29"/>
  <c r="X30" i="29"/>
  <c r="X14" i="29"/>
  <c r="X36" i="29"/>
  <c r="X23" i="29"/>
  <c r="X7" i="29"/>
  <c r="X20" i="29"/>
  <c r="X50" i="29"/>
  <c r="X42" i="29"/>
  <c r="X49" i="29"/>
  <c r="X41" i="29"/>
  <c r="X29" i="29"/>
  <c r="X13" i="29"/>
  <c r="X26" i="29"/>
  <c r="X10" i="29"/>
  <c r="X34" i="29"/>
  <c r="X19" i="29"/>
  <c r="X32" i="29"/>
  <c r="X16" i="29"/>
  <c r="X48" i="29"/>
  <c r="X40" i="29"/>
  <c r="X47" i="29"/>
  <c r="X39" i="29"/>
  <c r="X25" i="29"/>
  <c r="X9" i="29"/>
  <c r="X22" i="29"/>
  <c r="X6" i="29"/>
  <c r="X31" i="29"/>
  <c r="X15" i="29"/>
  <c r="X28" i="29"/>
  <c r="X12" i="29"/>
  <c r="AC25" i="29"/>
  <c r="AC5" i="29"/>
  <c r="AC6" i="29"/>
  <c r="AC7" i="29"/>
  <c r="AC8" i="29"/>
  <c r="AC28" i="29"/>
  <c r="AC37" i="29"/>
  <c r="AC50" i="29"/>
  <c r="AC24" i="29"/>
  <c r="AC38" i="29"/>
  <c r="AC29" i="29"/>
  <c r="AC42" i="29"/>
  <c r="AC17" i="29"/>
  <c r="AC18" i="29"/>
  <c r="AC19" i="29"/>
  <c r="AC20" i="29"/>
  <c r="AC33" i="29"/>
  <c r="AC46" i="29"/>
  <c r="AC34" i="29"/>
  <c r="AC39" i="29"/>
  <c r="AC21" i="29"/>
  <c r="AC43" i="29"/>
  <c r="AC26" i="29"/>
  <c r="AC47" i="29"/>
  <c r="AC13" i="29"/>
  <c r="AC14" i="29"/>
  <c r="AC15" i="29"/>
  <c r="AC16" i="29"/>
  <c r="AC30" i="29"/>
  <c r="AC51" i="29"/>
  <c r="AC27" i="29"/>
  <c r="AC40" i="29"/>
  <c r="AC31" i="29"/>
  <c r="AC44" i="29"/>
  <c r="AC35" i="29"/>
  <c r="AC48" i="29"/>
  <c r="AC9" i="29"/>
  <c r="AC10" i="29"/>
  <c r="AC11" i="29"/>
  <c r="AC12" i="29"/>
  <c r="AC22" i="29"/>
  <c r="AC41" i="29"/>
  <c r="AC32" i="29"/>
  <c r="AC45" i="29"/>
  <c r="AC36" i="29"/>
  <c r="AC49" i="29"/>
  <c r="AC23" i="29"/>
  <c r="M43" i="51"/>
  <c r="M15" i="51"/>
  <c r="M30" i="51"/>
  <c r="M40" i="51"/>
  <c r="M29" i="51"/>
  <c r="M31" i="51"/>
  <c r="M16" i="51"/>
  <c r="M5" i="51"/>
  <c r="M10" i="51"/>
  <c r="J8" i="56"/>
  <c r="J6" i="56"/>
  <c r="J10" i="56"/>
  <c r="F10" i="56"/>
  <c r="F6" i="56"/>
  <c r="B8" i="56"/>
  <c r="B6" i="56"/>
  <c r="B10" i="56"/>
  <c r="S8" i="56"/>
  <c r="S10" i="56"/>
  <c r="S6" i="56"/>
  <c r="Q10" i="56"/>
  <c r="Q6" i="56"/>
  <c r="Q8" i="56"/>
  <c r="G8" i="56"/>
  <c r="G10" i="56"/>
  <c r="G6" i="56"/>
  <c r="T49" i="51"/>
  <c r="T49" i="33"/>
  <c r="T49" i="34"/>
  <c r="T8" i="33"/>
  <c r="O20" i="33"/>
  <c r="O41" i="33"/>
  <c r="O28" i="33"/>
  <c r="O37" i="33"/>
  <c r="O24" i="33"/>
  <c r="O17" i="33"/>
  <c r="O9" i="33"/>
  <c r="O32" i="33"/>
  <c r="O35" i="33"/>
  <c r="O18" i="33"/>
  <c r="O15" i="33"/>
  <c r="O27" i="33"/>
  <c r="O19" i="33"/>
  <c r="O21" i="33"/>
  <c r="O7" i="33"/>
  <c r="O33" i="33"/>
  <c r="O29" i="33"/>
  <c r="O42" i="33"/>
  <c r="O38" i="33"/>
  <c r="O11" i="33"/>
  <c r="O6" i="33"/>
  <c r="O16" i="33"/>
  <c r="O25" i="33"/>
  <c r="O31" i="33"/>
  <c r="O13" i="33"/>
  <c r="O36" i="33"/>
  <c r="O30" i="33"/>
  <c r="O23" i="33"/>
  <c r="O26" i="33"/>
  <c r="O43" i="33"/>
  <c r="O22" i="33"/>
  <c r="O10" i="33"/>
  <c r="O5" i="33"/>
  <c r="O40" i="33"/>
  <c r="O14" i="33"/>
  <c r="O34" i="33"/>
  <c r="O39" i="33"/>
  <c r="O12" i="33"/>
  <c r="O8" i="33"/>
  <c r="O49" i="51"/>
  <c r="O49" i="33"/>
  <c r="O49" i="34"/>
  <c r="N50" i="32"/>
  <c r="V8" i="33"/>
  <c r="V49" i="51"/>
  <c r="V49" i="34"/>
  <c r="V49" i="33"/>
  <c r="K8" i="57"/>
  <c r="K10" i="57"/>
  <c r="K6" i="57"/>
  <c r="C8" i="57"/>
  <c r="C10" i="57"/>
  <c r="C6" i="57"/>
  <c r="E8" i="57"/>
  <c r="E10" i="57"/>
  <c r="W8" i="29"/>
  <c r="W9" i="29"/>
  <c r="W10" i="29"/>
  <c r="W11" i="29"/>
  <c r="W24" i="29"/>
  <c r="W50" i="29"/>
  <c r="W29" i="29"/>
  <c r="W43" i="29"/>
  <c r="W34" i="29"/>
  <c r="W27" i="29"/>
  <c r="W40" i="29"/>
  <c r="W20" i="29"/>
  <c r="W25" i="29"/>
  <c r="W5" i="29"/>
  <c r="W6" i="29"/>
  <c r="W7" i="29"/>
  <c r="W26" i="29"/>
  <c r="W39" i="29"/>
  <c r="W30" i="29"/>
  <c r="W22" i="29"/>
  <c r="W41" i="29"/>
  <c r="W28" i="29"/>
  <c r="W45" i="29"/>
  <c r="W16" i="29"/>
  <c r="W17" i="29"/>
  <c r="W18" i="29"/>
  <c r="W19" i="29"/>
  <c r="W31" i="29"/>
  <c r="W44" i="29"/>
  <c r="W35" i="29"/>
  <c r="W48" i="29"/>
  <c r="W23" i="29"/>
  <c r="W42" i="29"/>
  <c r="W37" i="29"/>
  <c r="W46" i="29"/>
  <c r="W12" i="29"/>
  <c r="W13" i="29"/>
  <c r="W14" i="29"/>
  <c r="W15" i="29"/>
  <c r="W32" i="29"/>
  <c r="W49" i="29"/>
  <c r="W36" i="29"/>
  <c r="W38" i="29"/>
  <c r="W33" i="29"/>
  <c r="W47" i="29"/>
  <c r="W21" i="29"/>
  <c r="W51" i="29"/>
  <c r="P22" i="29"/>
  <c r="P6" i="29"/>
  <c r="P15" i="29"/>
  <c r="P24" i="29"/>
  <c r="P8" i="29"/>
  <c r="P17" i="29"/>
  <c r="P43" i="29"/>
  <c r="P46" i="29"/>
  <c r="P48" i="29"/>
  <c r="P35" i="29"/>
  <c r="P49" i="29"/>
  <c r="P37" i="29"/>
  <c r="P18" i="29"/>
  <c r="P27" i="29"/>
  <c r="P11" i="29"/>
  <c r="P20" i="29"/>
  <c r="P29" i="29"/>
  <c r="P13" i="29"/>
  <c r="P44" i="29"/>
  <c r="P31" i="29"/>
  <c r="P45" i="29"/>
  <c r="P51" i="29"/>
  <c r="P38" i="29"/>
  <c r="P42" i="29"/>
  <c r="P14" i="29"/>
  <c r="P23" i="29"/>
  <c r="P7" i="29"/>
  <c r="P16" i="29"/>
  <c r="P25" i="29"/>
  <c r="P9" i="29"/>
  <c r="P41" i="29"/>
  <c r="P47" i="29"/>
  <c r="P34" i="29"/>
  <c r="P36" i="29"/>
  <c r="P39" i="29"/>
  <c r="P26" i="29"/>
  <c r="P10" i="29"/>
  <c r="P19" i="29"/>
  <c r="P28" i="29"/>
  <c r="P12" i="29"/>
  <c r="P21" i="29"/>
  <c r="P5" i="29"/>
  <c r="P30" i="29"/>
  <c r="P32" i="29"/>
  <c r="P50" i="29"/>
  <c r="P33" i="29"/>
  <c r="P40" i="29"/>
  <c r="Y48" i="29"/>
  <c r="Y40" i="29"/>
  <c r="Y47" i="29"/>
  <c r="Y39" i="29"/>
  <c r="Y22" i="29"/>
  <c r="Y6" i="29"/>
  <c r="Y27" i="29"/>
  <c r="Y11" i="29"/>
  <c r="Y24" i="29"/>
  <c r="Y8" i="29"/>
  <c r="Y25" i="29"/>
  <c r="Y9" i="29"/>
  <c r="Y46" i="29"/>
  <c r="Y38" i="29"/>
  <c r="Y45" i="29"/>
  <c r="Y37" i="29"/>
  <c r="Y18" i="29"/>
  <c r="Y36" i="29"/>
  <c r="Y23" i="29"/>
  <c r="Y7" i="29"/>
  <c r="Y20" i="29"/>
  <c r="Y35" i="29"/>
  <c r="Y21" i="29"/>
  <c r="Y5" i="29"/>
  <c r="Y44" i="29"/>
  <c r="Y51" i="29"/>
  <c r="Y43" i="29"/>
  <c r="Y30" i="29"/>
  <c r="Y14" i="29"/>
  <c r="Y34" i="29"/>
  <c r="Y19" i="29"/>
  <c r="Y32" i="29"/>
  <c r="Y16" i="29"/>
  <c r="Y33" i="29"/>
  <c r="Y17" i="29"/>
  <c r="Y50" i="29"/>
  <c r="Y42" i="29"/>
  <c r="Y49" i="29"/>
  <c r="Y41" i="29"/>
  <c r="Y26" i="29"/>
  <c r="Y10" i="29"/>
  <c r="Y31" i="29"/>
  <c r="Y15" i="29"/>
  <c r="Y28" i="29"/>
  <c r="Y12" i="29"/>
  <c r="Y29" i="29"/>
  <c r="Y13" i="29"/>
  <c r="I8" i="56"/>
  <c r="D8" i="56"/>
  <c r="M27" i="51"/>
  <c r="M33" i="51"/>
  <c r="M41" i="51"/>
  <c r="M35" i="51"/>
  <c r="M24" i="51"/>
  <c r="M14" i="51"/>
  <c r="M20" i="51"/>
  <c r="M6" i="51"/>
  <c r="M11" i="51"/>
  <c r="S8" i="34"/>
  <c r="Q8" i="55"/>
  <c r="Q52" i="55" s="1"/>
  <c r="M55" i="28"/>
  <c r="M60" i="28" s="1"/>
  <c r="C8" i="56"/>
  <c r="C10" i="56"/>
  <c r="C6" i="56"/>
  <c r="O10" i="56"/>
  <c r="O6" i="56"/>
  <c r="K6" i="56"/>
  <c r="K8" i="56"/>
  <c r="K10" i="56"/>
  <c r="P8" i="56"/>
  <c r="P10" i="56"/>
  <c r="P6" i="56"/>
  <c r="P8" i="33"/>
  <c r="P49" i="51"/>
  <c r="P49" i="33"/>
  <c r="P49" i="34"/>
  <c r="U33" i="33"/>
  <c r="U27" i="33"/>
  <c r="U16" i="33"/>
  <c r="U19" i="33"/>
  <c r="U38" i="33"/>
  <c r="U12" i="33"/>
  <c r="U43" i="33"/>
  <c r="U31" i="33"/>
  <c r="U20" i="33"/>
  <c r="U23" i="33"/>
  <c r="U22" i="33"/>
  <c r="U34" i="33"/>
  <c r="U41" i="33"/>
  <c r="U36" i="33"/>
  <c r="U30" i="33"/>
  <c r="U37" i="33"/>
  <c r="U28" i="33"/>
  <c r="U42" i="33"/>
  <c r="U15" i="33"/>
  <c r="U24" i="33"/>
  <c r="U10" i="33"/>
  <c r="U5" i="33"/>
  <c r="U18" i="33"/>
  <c r="U14" i="33"/>
  <c r="U11" i="33"/>
  <c r="U13" i="33"/>
  <c r="U26" i="33"/>
  <c r="U29" i="33"/>
  <c r="U17" i="33"/>
  <c r="U9" i="33"/>
  <c r="U40" i="33"/>
  <c r="U35" i="33"/>
  <c r="U39" i="33"/>
  <c r="U21" i="33"/>
  <c r="U7" i="33"/>
  <c r="U25" i="33"/>
  <c r="U6" i="33"/>
  <c r="U32" i="33"/>
  <c r="M8" i="33"/>
  <c r="M49" i="51"/>
  <c r="M49" i="33"/>
  <c r="M49" i="34"/>
  <c r="Z50" i="32"/>
  <c r="Z12" i="50"/>
  <c r="Z13" i="50"/>
  <c r="Z5" i="50"/>
  <c r="Z37" i="50"/>
  <c r="Z21" i="50"/>
  <c r="Z43" i="50"/>
  <c r="Z27" i="50"/>
  <c r="Z46" i="50"/>
  <c r="Z30" i="50"/>
  <c r="Z44" i="50"/>
  <c r="Z28" i="50"/>
  <c r="Z16" i="50"/>
  <c r="Z8" i="50"/>
  <c r="Z10" i="50"/>
  <c r="Z46" i="30"/>
  <c r="Y46" i="54" s="1"/>
  <c r="Y98" i="54" s="1"/>
  <c r="Z29" i="30"/>
  <c r="Y29" i="54" s="1"/>
  <c r="Y81" i="54" s="1"/>
  <c r="Z48" i="30"/>
  <c r="Y48" i="54" s="1"/>
  <c r="Y100" i="54" s="1"/>
  <c r="Z44" i="30"/>
  <c r="Y44" i="54" s="1"/>
  <c r="Y96" i="54" s="1"/>
  <c r="Z47" i="30"/>
  <c r="Y47" i="54" s="1"/>
  <c r="Y99" i="54" s="1"/>
  <c r="Z31" i="30"/>
  <c r="Y31" i="54" s="1"/>
  <c r="Y83" i="54" s="1"/>
  <c r="Z21" i="30"/>
  <c r="Y21" i="54" s="1"/>
  <c r="Y73" i="54" s="1"/>
  <c r="Z5" i="30"/>
  <c r="Z15" i="30"/>
  <c r="Y15" i="54" s="1"/>
  <c r="Y67" i="54" s="1"/>
  <c r="Z20" i="30"/>
  <c r="Y20" i="54" s="1"/>
  <c r="Y72" i="54" s="1"/>
  <c r="Z6" i="30"/>
  <c r="Y6" i="54" s="1"/>
  <c r="Y58" i="54" s="1"/>
  <c r="Z8" i="30"/>
  <c r="Y8" i="54" s="1"/>
  <c r="Y60" i="54" s="1"/>
  <c r="Z14" i="50"/>
  <c r="Z50" i="50"/>
  <c r="Z34" i="50"/>
  <c r="Z18" i="50"/>
  <c r="Z40" i="50"/>
  <c r="Z24" i="50"/>
  <c r="Z41" i="50"/>
  <c r="Z25" i="50"/>
  <c r="Z39" i="50"/>
  <c r="Z23" i="50"/>
  <c r="Z15" i="50"/>
  <c r="Z43" i="30"/>
  <c r="Y43" i="54" s="1"/>
  <c r="Y95" i="54" s="1"/>
  <c r="Z24" i="30"/>
  <c r="Y24" i="54" s="1"/>
  <c r="Y76" i="54" s="1"/>
  <c r="Z45" i="30"/>
  <c r="Y45" i="54" s="1"/>
  <c r="Y97" i="54" s="1"/>
  <c r="Z39" i="30"/>
  <c r="Y39" i="54" s="1"/>
  <c r="Y91" i="54" s="1"/>
  <c r="Z42" i="30"/>
  <c r="Y42" i="54" s="1"/>
  <c r="Y94" i="54" s="1"/>
  <c r="Z33" i="30"/>
  <c r="Y33" i="54" s="1"/>
  <c r="Y85" i="54" s="1"/>
  <c r="Z16" i="30"/>
  <c r="Y16" i="54" s="1"/>
  <c r="Y68" i="54" s="1"/>
  <c r="Z28" i="30"/>
  <c r="Y28" i="54" s="1"/>
  <c r="Y80" i="54" s="1"/>
  <c r="Z12" i="30"/>
  <c r="Y12" i="54" s="1"/>
  <c r="Y64" i="54" s="1"/>
  <c r="Z17" i="30"/>
  <c r="Y17" i="54" s="1"/>
  <c r="Y69" i="54" s="1"/>
  <c r="Z22" i="30"/>
  <c r="Y22" i="54" s="1"/>
  <c r="Y74" i="54" s="1"/>
  <c r="Z45" i="50"/>
  <c r="Z29" i="50"/>
  <c r="Z51" i="50"/>
  <c r="Z35" i="50"/>
  <c r="Z19" i="50"/>
  <c r="Z38" i="50"/>
  <c r="Z22" i="50"/>
  <c r="Z36" i="50"/>
  <c r="Z20" i="50"/>
  <c r="Z11" i="50"/>
  <c r="Z7" i="50"/>
  <c r="Z49" i="30"/>
  <c r="Y49" i="54" s="1"/>
  <c r="Y101" i="54" s="1"/>
  <c r="Z37" i="30"/>
  <c r="Y37" i="54" s="1"/>
  <c r="Y89" i="54" s="1"/>
  <c r="Z41" i="30"/>
  <c r="Y41" i="54" s="1"/>
  <c r="Y93" i="54" s="1"/>
  <c r="Z40" i="30"/>
  <c r="Y40" i="54" s="1"/>
  <c r="Y92" i="54" s="1"/>
  <c r="Z32" i="30"/>
  <c r="Y32" i="54" s="1"/>
  <c r="Y84" i="54" s="1"/>
  <c r="Z38" i="30"/>
  <c r="Y38" i="54" s="1"/>
  <c r="Y90" i="54" s="1"/>
  <c r="Z26" i="30"/>
  <c r="Y26" i="54" s="1"/>
  <c r="Y78" i="54" s="1"/>
  <c r="Z13" i="30"/>
  <c r="Y13" i="54" s="1"/>
  <c r="Y65" i="54" s="1"/>
  <c r="Z23" i="30"/>
  <c r="Y23" i="54" s="1"/>
  <c r="Y75" i="54" s="1"/>
  <c r="Z7" i="30"/>
  <c r="Y7" i="54" s="1"/>
  <c r="Y59" i="54" s="1"/>
  <c r="Z14" i="30"/>
  <c r="Y14" i="54" s="1"/>
  <c r="Y66" i="54" s="1"/>
  <c r="Z19" i="30"/>
  <c r="Y19" i="54" s="1"/>
  <c r="Y71" i="54" s="1"/>
  <c r="Z42" i="50"/>
  <c r="Z26" i="50"/>
  <c r="Z48" i="50"/>
  <c r="Z32" i="50"/>
  <c r="Z49" i="50"/>
  <c r="Z33" i="50"/>
  <c r="Z47" i="50"/>
  <c r="Z31" i="50"/>
  <c r="Z9" i="50"/>
  <c r="Z17" i="50"/>
  <c r="Z6" i="50"/>
  <c r="Z51" i="30"/>
  <c r="Y51" i="54" s="1"/>
  <c r="Y103" i="54" s="1"/>
  <c r="Z34" i="30"/>
  <c r="Y34" i="54" s="1"/>
  <c r="Y86" i="54" s="1"/>
  <c r="Z27" i="30"/>
  <c r="Y27" i="54" s="1"/>
  <c r="Y79" i="54" s="1"/>
  <c r="Z36" i="30"/>
  <c r="Y36" i="54" s="1"/>
  <c r="Y88" i="54" s="1"/>
  <c r="Z50" i="30"/>
  <c r="Y50" i="54" s="1"/>
  <c r="Y102" i="54" s="1"/>
  <c r="Z35" i="30"/>
  <c r="Y35" i="54" s="1"/>
  <c r="Y87" i="54" s="1"/>
  <c r="Z25" i="30"/>
  <c r="Y25" i="54" s="1"/>
  <c r="Y77" i="54" s="1"/>
  <c r="Z10" i="30"/>
  <c r="Y10" i="54" s="1"/>
  <c r="Y62" i="54" s="1"/>
  <c r="Z18" i="30"/>
  <c r="Y18" i="54" s="1"/>
  <c r="Y70" i="54" s="1"/>
  <c r="Z30" i="30"/>
  <c r="Y30" i="54" s="1"/>
  <c r="Y82" i="54" s="1"/>
  <c r="Z9" i="30"/>
  <c r="Y9" i="54" s="1"/>
  <c r="Y61" i="54" s="1"/>
  <c r="Z11" i="30"/>
  <c r="Y11" i="54" s="1"/>
  <c r="Y63" i="54" s="1"/>
  <c r="H6" i="57"/>
  <c r="H8" i="57"/>
  <c r="H10" i="57"/>
  <c r="L8" i="57"/>
  <c r="L10" i="57"/>
  <c r="L6" i="57"/>
  <c r="G8" i="57"/>
  <c r="G10" i="57"/>
  <c r="G6" i="57"/>
  <c r="Y56" i="28"/>
  <c r="V56" i="28"/>
  <c r="U14" i="29"/>
  <c r="U15" i="29"/>
  <c r="U16" i="29"/>
  <c r="U17" i="29"/>
  <c r="U27" i="29"/>
  <c r="U40" i="29"/>
  <c r="U31" i="29"/>
  <c r="U44" i="29"/>
  <c r="U35" i="29"/>
  <c r="U48" i="29"/>
  <c r="U28" i="29"/>
  <c r="U42" i="29"/>
  <c r="U10" i="29"/>
  <c r="U11" i="29"/>
  <c r="U12" i="29"/>
  <c r="U13" i="29"/>
  <c r="U32" i="29"/>
  <c r="U45" i="29"/>
  <c r="U36" i="29"/>
  <c r="U49" i="29"/>
  <c r="U23" i="29"/>
  <c r="U38" i="29"/>
  <c r="U37" i="29"/>
  <c r="U51" i="29"/>
  <c r="U6" i="29"/>
  <c r="U7" i="29"/>
  <c r="U8" i="29"/>
  <c r="U9" i="29"/>
  <c r="U24" i="29"/>
  <c r="U46" i="29"/>
  <c r="U29" i="29"/>
  <c r="U50" i="29"/>
  <c r="U33" i="29"/>
  <c r="U47" i="29"/>
  <c r="U21" i="29"/>
  <c r="U18" i="29"/>
  <c r="U19" i="29"/>
  <c r="U20" i="29"/>
  <c r="U25" i="29"/>
  <c r="U5" i="29"/>
  <c r="U26" i="29"/>
  <c r="U39" i="29"/>
  <c r="U30" i="29"/>
  <c r="U43" i="29"/>
  <c r="U34" i="29"/>
  <c r="U22" i="29"/>
  <c r="U41" i="29"/>
  <c r="L28" i="29"/>
  <c r="L29" i="29"/>
  <c r="L5" i="29"/>
  <c r="L10" i="29"/>
  <c r="L35" i="29"/>
  <c r="L33" i="29"/>
  <c r="L11" i="29"/>
  <c r="L37" i="29"/>
  <c r="L43" i="29"/>
  <c r="L18" i="29"/>
  <c r="L12" i="29"/>
  <c r="L27" i="29"/>
  <c r="L24" i="29"/>
  <c r="L21" i="29"/>
  <c r="L26" i="29"/>
  <c r="L6" i="29"/>
  <c r="L51" i="29"/>
  <c r="L49" i="29"/>
  <c r="L39" i="29"/>
  <c r="L7" i="29"/>
  <c r="L36" i="29"/>
  <c r="L42" i="29"/>
  <c r="L40" i="29"/>
  <c r="L23" i="29"/>
  <c r="L16" i="29"/>
  <c r="L13" i="29"/>
  <c r="L22" i="29"/>
  <c r="L30" i="29"/>
  <c r="L20" i="29"/>
  <c r="L34" i="29"/>
  <c r="L32" i="29"/>
  <c r="L38" i="29"/>
  <c r="L17" i="29"/>
  <c r="L31" i="29"/>
  <c r="L25" i="29"/>
  <c r="L15" i="29"/>
  <c r="L8" i="29"/>
  <c r="L9" i="29"/>
  <c r="L14" i="29"/>
  <c r="L46" i="29"/>
  <c r="L44" i="29"/>
  <c r="L50" i="29"/>
  <c r="L48" i="29"/>
  <c r="L19" i="29"/>
  <c r="L41" i="29"/>
  <c r="L47" i="29"/>
  <c r="L45" i="29"/>
  <c r="R28" i="29"/>
  <c r="R12" i="29"/>
  <c r="R21" i="29"/>
  <c r="R5" i="29"/>
  <c r="R14" i="29"/>
  <c r="R23" i="29"/>
  <c r="R7" i="29"/>
  <c r="R42" i="29"/>
  <c r="R30" i="29"/>
  <c r="R32" i="29"/>
  <c r="R35" i="29"/>
  <c r="R49" i="29"/>
  <c r="R24" i="29"/>
  <c r="R8" i="29"/>
  <c r="R17" i="29"/>
  <c r="R26" i="29"/>
  <c r="R10" i="29"/>
  <c r="R19" i="29"/>
  <c r="R39" i="29"/>
  <c r="R43" i="29"/>
  <c r="R46" i="29"/>
  <c r="R45" i="29"/>
  <c r="R51" i="29"/>
  <c r="R38" i="29"/>
  <c r="R20" i="29"/>
  <c r="R29" i="29"/>
  <c r="R13" i="29"/>
  <c r="R22" i="29"/>
  <c r="R6" i="29"/>
  <c r="R15" i="29"/>
  <c r="R40" i="29"/>
  <c r="R44" i="29"/>
  <c r="R31" i="29"/>
  <c r="R34" i="29"/>
  <c r="R36" i="29"/>
  <c r="R48" i="29"/>
  <c r="R16" i="29"/>
  <c r="R25" i="29"/>
  <c r="R9" i="29"/>
  <c r="R18" i="29"/>
  <c r="R27" i="29"/>
  <c r="R11" i="29"/>
  <c r="R37" i="29"/>
  <c r="R41" i="29"/>
  <c r="R47" i="29"/>
  <c r="R50" i="29"/>
  <c r="R33" i="29"/>
  <c r="T8" i="56"/>
  <c r="M37" i="51"/>
  <c r="M39" i="51"/>
  <c r="M42" i="51"/>
  <c r="M38" i="51"/>
  <c r="M7" i="51"/>
  <c r="U8" i="56"/>
  <c r="U10" i="56"/>
  <c r="U6" i="56"/>
  <c r="I10" i="56"/>
  <c r="I6" i="56"/>
  <c r="E8" i="56"/>
  <c r="E10" i="56"/>
  <c r="E6" i="56"/>
  <c r="L8" i="56"/>
  <c r="L10" i="56"/>
  <c r="L6" i="56"/>
  <c r="T10" i="56"/>
  <c r="T6" i="56"/>
  <c r="V8" i="56"/>
  <c r="V6" i="56"/>
  <c r="N49" i="51"/>
  <c r="N49" i="34"/>
  <c r="N49" i="33"/>
  <c r="N8" i="33"/>
  <c r="Z8" i="33"/>
  <c r="Z49" i="51"/>
  <c r="Z49" i="34"/>
  <c r="Z49" i="33"/>
  <c r="AA11" i="50"/>
  <c r="AA43" i="50"/>
  <c r="AA27" i="50"/>
  <c r="AA49" i="50"/>
  <c r="AA33" i="50"/>
  <c r="AA47" i="50"/>
  <c r="AA31" i="50"/>
  <c r="AA50" i="50"/>
  <c r="AA34" i="50"/>
  <c r="AA18" i="50"/>
  <c r="AA14" i="50"/>
  <c r="AA8" i="50"/>
  <c r="AA42" i="30"/>
  <c r="Z42" i="54" s="1"/>
  <c r="Z94" i="54" s="1"/>
  <c r="AA26" i="30"/>
  <c r="Z26" i="54" s="1"/>
  <c r="Z78" i="54" s="1"/>
  <c r="AA33" i="30"/>
  <c r="Z33" i="54" s="1"/>
  <c r="Z85" i="54" s="1"/>
  <c r="AA47" i="30"/>
  <c r="Z47" i="54" s="1"/>
  <c r="Z99" i="54" s="1"/>
  <c r="AA46" i="30"/>
  <c r="Z46" i="54" s="1"/>
  <c r="Z98" i="54" s="1"/>
  <c r="AA23" i="30"/>
  <c r="Z23" i="54" s="1"/>
  <c r="Z75" i="54" s="1"/>
  <c r="AA7" i="30"/>
  <c r="Z7" i="54" s="1"/>
  <c r="Z59" i="54" s="1"/>
  <c r="AA14" i="30"/>
  <c r="Z14" i="54" s="1"/>
  <c r="Z66" i="54" s="1"/>
  <c r="AA22" i="30"/>
  <c r="Z22" i="54" s="1"/>
  <c r="Z74" i="54" s="1"/>
  <c r="AA32" i="30"/>
  <c r="Z32" i="54" s="1"/>
  <c r="Z84" i="54" s="1"/>
  <c r="AA16" i="30"/>
  <c r="Z16" i="54" s="1"/>
  <c r="Z68" i="54" s="1"/>
  <c r="AA40" i="50"/>
  <c r="AA24" i="50"/>
  <c r="AA46" i="50"/>
  <c r="AA30" i="50"/>
  <c r="AA44" i="50"/>
  <c r="AA28" i="50"/>
  <c r="AA45" i="50"/>
  <c r="AA29" i="50"/>
  <c r="AA15" i="50"/>
  <c r="AA7" i="50"/>
  <c r="AA13" i="50"/>
  <c r="AA51" i="30"/>
  <c r="Z51" i="54" s="1"/>
  <c r="Z103" i="54" s="1"/>
  <c r="AA39" i="30"/>
  <c r="Z39" i="54" s="1"/>
  <c r="Z91" i="54" s="1"/>
  <c r="AA45" i="30"/>
  <c r="Z45" i="54" s="1"/>
  <c r="Z97" i="54" s="1"/>
  <c r="AA30" i="30"/>
  <c r="Z30" i="54" s="1"/>
  <c r="Z82" i="54" s="1"/>
  <c r="AA43" i="30"/>
  <c r="Z43" i="54" s="1"/>
  <c r="Z95" i="54" s="1"/>
  <c r="AA41" i="30"/>
  <c r="Z41" i="54" s="1"/>
  <c r="Z93" i="54" s="1"/>
  <c r="AA18" i="30"/>
  <c r="Z18" i="54" s="1"/>
  <c r="Z70" i="54" s="1"/>
  <c r="AA24" i="30"/>
  <c r="Z24" i="54" s="1"/>
  <c r="Z76" i="54" s="1"/>
  <c r="AA9" i="30"/>
  <c r="Z9" i="54" s="1"/>
  <c r="Z61" i="54" s="1"/>
  <c r="AA19" i="30"/>
  <c r="Z19" i="54" s="1"/>
  <c r="Z71" i="54" s="1"/>
  <c r="AA29" i="30"/>
  <c r="Z29" i="54" s="1"/>
  <c r="Z81" i="54" s="1"/>
  <c r="AA13" i="30"/>
  <c r="Z13" i="54" s="1"/>
  <c r="Z65" i="54" s="1"/>
  <c r="AA51" i="50"/>
  <c r="AA35" i="50"/>
  <c r="AA19" i="50"/>
  <c r="AA41" i="50"/>
  <c r="AA25" i="50"/>
  <c r="AA39" i="50"/>
  <c r="AA23" i="50"/>
  <c r="AA42" i="50"/>
  <c r="AA26" i="50"/>
  <c r="AA9" i="50"/>
  <c r="AA10" i="50"/>
  <c r="AA5" i="50"/>
  <c r="AA50" i="30"/>
  <c r="Z50" i="54" s="1"/>
  <c r="Z102" i="54" s="1"/>
  <c r="AA36" i="30"/>
  <c r="Z36" i="54" s="1"/>
  <c r="Z88" i="54" s="1"/>
  <c r="AA40" i="30"/>
  <c r="Z40" i="54" s="1"/>
  <c r="Z92" i="54" s="1"/>
  <c r="AA44" i="30"/>
  <c r="Z44" i="54" s="1"/>
  <c r="Z96" i="54" s="1"/>
  <c r="AA38" i="30"/>
  <c r="Z38" i="54" s="1"/>
  <c r="Z90" i="54" s="1"/>
  <c r="AA34" i="30"/>
  <c r="Z34" i="54" s="1"/>
  <c r="Z86" i="54" s="1"/>
  <c r="AA15" i="30"/>
  <c r="Z15" i="54" s="1"/>
  <c r="Z67" i="54" s="1"/>
  <c r="AA20" i="30"/>
  <c r="Z20" i="54" s="1"/>
  <c r="Z72" i="54" s="1"/>
  <c r="AA6" i="30"/>
  <c r="Z6" i="54" s="1"/>
  <c r="Z58" i="54" s="1"/>
  <c r="AA11" i="30"/>
  <c r="Z11" i="54" s="1"/>
  <c r="Z63" i="54" s="1"/>
  <c r="AA25" i="30"/>
  <c r="Z25" i="54" s="1"/>
  <c r="Z77" i="54" s="1"/>
  <c r="AA10" i="30"/>
  <c r="Z10" i="54" s="1"/>
  <c r="Z62" i="54" s="1"/>
  <c r="AA48" i="50"/>
  <c r="AA32" i="50"/>
  <c r="AA16" i="50"/>
  <c r="AA38" i="50"/>
  <c r="AA22" i="50"/>
  <c r="AA36" i="50"/>
  <c r="AA20" i="50"/>
  <c r="AA37" i="50"/>
  <c r="AA21" i="50"/>
  <c r="AA17" i="50"/>
  <c r="AA12" i="50"/>
  <c r="AA6" i="50"/>
  <c r="AA48" i="30"/>
  <c r="Z48" i="54" s="1"/>
  <c r="Z100" i="54" s="1"/>
  <c r="AA31" i="30"/>
  <c r="Z31" i="54" s="1"/>
  <c r="Z83" i="54" s="1"/>
  <c r="AA37" i="30"/>
  <c r="Z37" i="54" s="1"/>
  <c r="Z89" i="54" s="1"/>
  <c r="AA49" i="30"/>
  <c r="Z49" i="54" s="1"/>
  <c r="Z101" i="54" s="1"/>
  <c r="AA35" i="30"/>
  <c r="Z35" i="54" s="1"/>
  <c r="Z87" i="54" s="1"/>
  <c r="AA28" i="30"/>
  <c r="Z28" i="54" s="1"/>
  <c r="Z80" i="54" s="1"/>
  <c r="AA12" i="30"/>
  <c r="Z12" i="54" s="1"/>
  <c r="Z64" i="54" s="1"/>
  <c r="AA17" i="30"/>
  <c r="Z17" i="54" s="1"/>
  <c r="Z69" i="54" s="1"/>
  <c r="AA27" i="30"/>
  <c r="Z27" i="54" s="1"/>
  <c r="Z79" i="54" s="1"/>
  <c r="AA8" i="30"/>
  <c r="Z8" i="54" s="1"/>
  <c r="Z60" i="54" s="1"/>
  <c r="AA21" i="30"/>
  <c r="Z21" i="54" s="1"/>
  <c r="Z73" i="54" s="1"/>
  <c r="AA5" i="30"/>
  <c r="B10" i="57"/>
  <c r="B6" i="57"/>
  <c r="F8" i="57"/>
  <c r="F10" i="57"/>
  <c r="F6" i="57"/>
  <c r="I8" i="57"/>
  <c r="I10" i="57"/>
  <c r="I6" i="57"/>
  <c r="D8" i="57"/>
  <c r="D10" i="57"/>
  <c r="D6" i="57"/>
  <c r="S13" i="29"/>
  <c r="S14" i="29"/>
  <c r="S15" i="29"/>
  <c r="S16" i="29"/>
  <c r="S41" i="29"/>
  <c r="S28" i="29"/>
  <c r="S45" i="29"/>
  <c r="S32" i="29"/>
  <c r="S49" i="29"/>
  <c r="S36" i="29"/>
  <c r="S35" i="29"/>
  <c r="S40" i="29"/>
  <c r="S9" i="29"/>
  <c r="S10" i="29"/>
  <c r="S11" i="29"/>
  <c r="S12" i="29"/>
  <c r="S30" i="29"/>
  <c r="S38" i="29"/>
  <c r="S34" i="29"/>
  <c r="S42" i="29"/>
  <c r="S21" i="29"/>
  <c r="S46" i="29"/>
  <c r="S51" i="29"/>
  <c r="S25" i="29"/>
  <c r="S5" i="29"/>
  <c r="S6" i="29"/>
  <c r="S7" i="29"/>
  <c r="S8" i="29"/>
  <c r="S22" i="29"/>
  <c r="S44" i="29"/>
  <c r="S27" i="29"/>
  <c r="S48" i="29"/>
  <c r="S31" i="29"/>
  <c r="S37" i="29"/>
  <c r="S23" i="29"/>
  <c r="S17" i="29"/>
  <c r="S18" i="29"/>
  <c r="S19" i="29"/>
  <c r="S20" i="29"/>
  <c r="S24" i="29"/>
  <c r="S39" i="29"/>
  <c r="S29" i="29"/>
  <c r="S43" i="29"/>
  <c r="S33" i="29"/>
  <c r="S47" i="29"/>
  <c r="S26" i="29"/>
  <c r="S50" i="29"/>
  <c r="O13" i="29"/>
  <c r="O14" i="29"/>
  <c r="O15" i="29"/>
  <c r="O16" i="29"/>
  <c r="O49" i="29"/>
  <c r="O47" i="29"/>
  <c r="O38" i="29"/>
  <c r="O40" i="29"/>
  <c r="O42" i="29"/>
  <c r="O44" i="29"/>
  <c r="O46" i="29"/>
  <c r="O48" i="29"/>
  <c r="O9" i="29"/>
  <c r="O10" i="29"/>
  <c r="O11" i="29"/>
  <c r="O12" i="29"/>
  <c r="O34" i="29"/>
  <c r="O36" i="29"/>
  <c r="O35" i="29"/>
  <c r="O24" i="29"/>
  <c r="O22" i="29"/>
  <c r="O29" i="29"/>
  <c r="O27" i="29"/>
  <c r="O25" i="29"/>
  <c r="O5" i="29"/>
  <c r="O6" i="29"/>
  <c r="O7" i="29"/>
  <c r="O8" i="29"/>
  <c r="O50" i="29"/>
  <c r="O37" i="29"/>
  <c r="O51" i="29"/>
  <c r="O41" i="29"/>
  <c r="O39" i="29"/>
  <c r="O45" i="29"/>
  <c r="O43" i="29"/>
  <c r="O17" i="29"/>
  <c r="O18" i="29"/>
  <c r="O19" i="29"/>
  <c r="O20" i="29"/>
  <c r="O33" i="29"/>
  <c r="O31" i="29"/>
  <c r="O21" i="29"/>
  <c r="O23" i="29"/>
  <c r="O26" i="29"/>
  <c r="O28" i="29"/>
  <c r="O30" i="29"/>
  <c r="O32" i="29"/>
  <c r="AI24" i="29"/>
  <c r="AI38" i="29"/>
  <c r="AI43" i="29"/>
  <c r="AI37" i="29"/>
  <c r="AI46" i="29"/>
  <c r="AI47" i="29"/>
  <c r="AI40" i="29"/>
  <c r="AI36" i="29"/>
  <c r="AI44" i="29"/>
  <c r="AI51" i="29"/>
  <c r="AI32" i="29"/>
  <c r="AI41" i="29"/>
  <c r="AI49" i="29"/>
  <c r="AI39" i="29"/>
  <c r="AI26" i="29"/>
  <c r="AI29" i="29"/>
  <c r="AI25" i="29"/>
  <c r="AI5" i="29"/>
  <c r="AI6" i="29"/>
  <c r="AI8" i="29"/>
  <c r="AI28" i="29"/>
  <c r="AI19" i="29"/>
  <c r="AI42" i="29"/>
  <c r="AI35" i="29"/>
  <c r="AI17" i="29"/>
  <c r="AI20" i="29"/>
  <c r="AI45" i="29"/>
  <c r="AI23" i="29"/>
  <c r="AI13" i="29"/>
  <c r="AI14" i="29"/>
  <c r="AI15" i="29"/>
  <c r="AI16" i="29"/>
  <c r="AI30" i="29"/>
  <c r="AI33" i="29"/>
  <c r="AI27" i="29"/>
  <c r="AI48" i="29"/>
  <c r="AI22" i="29"/>
  <c r="AI21" i="29"/>
  <c r="AI9" i="29"/>
  <c r="AI10" i="29"/>
  <c r="AI11" i="29"/>
  <c r="AI12" i="29"/>
  <c r="AI34" i="29"/>
  <c r="AI50" i="29"/>
  <c r="AI7" i="29"/>
  <c r="AI18" i="29"/>
  <c r="AI31" i="29"/>
  <c r="AR29" i="50"/>
  <c r="AV29" i="50" s="1"/>
  <c r="AV28" i="50"/>
  <c r="AQ10" i="50"/>
  <c r="M37" i="34"/>
  <c r="M37" i="35"/>
  <c r="M34" i="34"/>
  <c r="M34" i="35"/>
  <c r="M39" i="34"/>
  <c r="M39" i="35"/>
  <c r="M36" i="34"/>
  <c r="M36" i="35"/>
  <c r="M42" i="34"/>
  <c r="M42" i="35"/>
  <c r="M21" i="34"/>
  <c r="M21" i="35"/>
  <c r="M38" i="34"/>
  <c r="M38" i="35"/>
  <c r="M18" i="34"/>
  <c r="M18" i="35"/>
  <c r="M7" i="34"/>
  <c r="M7" i="35"/>
  <c r="M12" i="34"/>
  <c r="M12" i="35"/>
  <c r="M28" i="34"/>
  <c r="M28" i="35"/>
  <c r="M13" i="34"/>
  <c r="M13" i="35"/>
  <c r="M23" i="34"/>
  <c r="M23" i="35"/>
  <c r="M25" i="34"/>
  <c r="M25" i="35"/>
  <c r="M26" i="34"/>
  <c r="M26" i="35"/>
  <c r="M32" i="34"/>
  <c r="M32" i="35"/>
  <c r="M22" i="34"/>
  <c r="M22" i="35"/>
  <c r="M19" i="34"/>
  <c r="M19" i="35"/>
  <c r="M9" i="34"/>
  <c r="M9" i="35"/>
  <c r="M17" i="34"/>
  <c r="M17" i="35"/>
  <c r="L49" i="32"/>
  <c r="L50" i="32" s="1"/>
  <c r="M43" i="34"/>
  <c r="M43" i="55" s="1"/>
  <c r="M87" i="55" s="1"/>
  <c r="M43" i="35"/>
  <c r="M15" i="34"/>
  <c r="M15" i="35"/>
  <c r="M30" i="34"/>
  <c r="M30" i="55" s="1"/>
  <c r="M74" i="55" s="1"/>
  <c r="M30" i="35"/>
  <c r="M40" i="34"/>
  <c r="M40" i="35"/>
  <c r="M29" i="34"/>
  <c r="M29" i="55" s="1"/>
  <c r="M73" i="55" s="1"/>
  <c r="M29" i="35"/>
  <c r="M31" i="34"/>
  <c r="M31" i="35"/>
  <c r="M16" i="34"/>
  <c r="M16" i="55" s="1"/>
  <c r="M60" i="55" s="1"/>
  <c r="M16" i="35"/>
  <c r="M5" i="34"/>
  <c r="M45" i="33"/>
  <c r="M5" i="35"/>
  <c r="M10" i="34"/>
  <c r="M10" i="35"/>
  <c r="D46" i="5"/>
  <c r="AB46" i="51" s="1"/>
  <c r="Q46" i="35"/>
  <c r="Q46" i="34"/>
  <c r="Q46" i="33"/>
  <c r="Q46" i="32"/>
  <c r="M27" i="34"/>
  <c r="M27" i="55" s="1"/>
  <c r="M71" i="55" s="1"/>
  <c r="M27" i="35"/>
  <c r="M33" i="34"/>
  <c r="M33" i="35"/>
  <c r="M41" i="34"/>
  <c r="M41" i="55" s="1"/>
  <c r="M85" i="55" s="1"/>
  <c r="M41" i="35"/>
  <c r="M35" i="34"/>
  <c r="M35" i="35"/>
  <c r="M24" i="34"/>
  <c r="M24" i="55" s="1"/>
  <c r="M68" i="55" s="1"/>
  <c r="M24" i="35"/>
  <c r="M14" i="34"/>
  <c r="M14" i="35"/>
  <c r="M20" i="34"/>
  <c r="M20" i="55" s="1"/>
  <c r="M64" i="55" s="1"/>
  <c r="M20" i="35"/>
  <c r="M6" i="34"/>
  <c r="M6" i="35"/>
  <c r="M11" i="34"/>
  <c r="M11" i="55" s="1"/>
  <c r="M55" i="55" s="1"/>
  <c r="M11" i="35"/>
  <c r="L48" i="51"/>
  <c r="L50" i="51" s="1"/>
  <c r="N56" i="28"/>
  <c r="N54" i="50" s="1"/>
  <c r="L47" i="51"/>
  <c r="N56" i="50"/>
  <c r="D10" i="5"/>
  <c r="T56" i="28" s="1"/>
  <c r="T54" i="50" s="1"/>
  <c r="N55" i="50"/>
  <c r="M17" i="55" l="1"/>
  <c r="M61" i="55" s="1"/>
  <c r="M19" i="55"/>
  <c r="M63" i="55" s="1"/>
  <c r="M32" i="55"/>
  <c r="M76" i="55" s="1"/>
  <c r="M25" i="55"/>
  <c r="M69" i="55" s="1"/>
  <c r="M13" i="55"/>
  <c r="M57" i="55" s="1"/>
  <c r="M12" i="55"/>
  <c r="M56" i="55" s="1"/>
  <c r="M18" i="55"/>
  <c r="M62" i="55" s="1"/>
  <c r="M21" i="55"/>
  <c r="M65" i="55" s="1"/>
  <c r="M36" i="55"/>
  <c r="M80" i="55" s="1"/>
  <c r="M34" i="55"/>
  <c r="M78" i="55" s="1"/>
  <c r="T10" i="33"/>
  <c r="T5" i="33"/>
  <c r="T37" i="33"/>
  <c r="T42" i="33"/>
  <c r="T41" i="33"/>
  <c r="T13" i="33"/>
  <c r="T18" i="33"/>
  <c r="T29" i="33"/>
  <c r="T17" i="33"/>
  <c r="T9" i="33"/>
  <c r="T30" i="33"/>
  <c r="T33" i="33"/>
  <c r="T31" i="33"/>
  <c r="T22" i="33"/>
  <c r="T43" i="33"/>
  <c r="T21" i="33"/>
  <c r="T14" i="33"/>
  <c r="T34" i="33"/>
  <c r="T12" i="33"/>
  <c r="T19" i="33"/>
  <c r="T38" i="33"/>
  <c r="T15" i="33"/>
  <c r="T27" i="33"/>
  <c r="T24" i="33"/>
  <c r="T26" i="33"/>
  <c r="T28" i="33"/>
  <c r="T39" i="33"/>
  <c r="T11" i="33"/>
  <c r="T6" i="33"/>
  <c r="T32" i="33"/>
  <c r="T23" i="33"/>
  <c r="T36" i="33"/>
  <c r="T20" i="33"/>
  <c r="T40" i="33"/>
  <c r="T35" i="33"/>
  <c r="T25" i="33"/>
  <c r="T16" i="33"/>
  <c r="T7" i="33"/>
  <c r="M6" i="55"/>
  <c r="M50" i="55" s="1"/>
  <c r="M14" i="55"/>
  <c r="M58" i="55" s="1"/>
  <c r="M35" i="55"/>
  <c r="M79" i="55" s="1"/>
  <c r="M33" i="55"/>
  <c r="M77" i="55" s="1"/>
  <c r="M5" i="55"/>
  <c r="M49" i="55" s="1"/>
  <c r="M31" i="55"/>
  <c r="M75" i="55" s="1"/>
  <c r="M40" i="55"/>
  <c r="M84" i="55" s="1"/>
  <c r="M15" i="55"/>
  <c r="M59" i="55" s="1"/>
  <c r="M9" i="55"/>
  <c r="M53" i="55" s="1"/>
  <c r="M22" i="55"/>
  <c r="M66" i="55" s="1"/>
  <c r="M26" i="55"/>
  <c r="M70" i="55" s="1"/>
  <c r="M23" i="55"/>
  <c r="M67" i="55" s="1"/>
  <c r="M28" i="55"/>
  <c r="M72" i="55" s="1"/>
  <c r="L49" i="51"/>
  <c r="X50" i="51"/>
  <c r="M10" i="55"/>
  <c r="M54" i="55" s="1"/>
  <c r="M7" i="55"/>
  <c r="M51" i="55" s="1"/>
  <c r="M38" i="55"/>
  <c r="M82" i="55" s="1"/>
  <c r="M42" i="55"/>
  <c r="M86" i="55" s="1"/>
  <c r="M39" i="55"/>
  <c r="M83" i="55" s="1"/>
  <c r="M37" i="55"/>
  <c r="M81" i="55" s="1"/>
  <c r="V11" i="33"/>
  <c r="V18" i="33"/>
  <c r="V21" i="33"/>
  <c r="V36" i="33"/>
  <c r="V14" i="33"/>
  <c r="V10" i="33"/>
  <c r="V5" i="33"/>
  <c r="V29" i="33"/>
  <c r="V28" i="33"/>
  <c r="V22" i="33"/>
  <c r="V37" i="33"/>
  <c r="V34" i="33"/>
  <c r="V25" i="33"/>
  <c r="V13" i="33"/>
  <c r="V35" i="33"/>
  <c r="V42" i="33"/>
  <c r="V19" i="33"/>
  <c r="V30" i="33"/>
  <c r="V41" i="33"/>
  <c r="V17" i="33"/>
  <c r="V12" i="33"/>
  <c r="V7" i="33"/>
  <c r="V24" i="33"/>
  <c r="V27" i="33"/>
  <c r="V26" i="33"/>
  <c r="V32" i="33"/>
  <c r="V39" i="33"/>
  <c r="V20" i="33"/>
  <c r="V38" i="33"/>
  <c r="V16" i="33"/>
  <c r="V6" i="33"/>
  <c r="V40" i="33"/>
  <c r="V31" i="33"/>
  <c r="V15" i="33"/>
  <c r="V43" i="33"/>
  <c r="V9" i="33"/>
  <c r="V33" i="33"/>
  <c r="V23" i="33"/>
  <c r="M10" i="57"/>
  <c r="AI31" i="31"/>
  <c r="AI34" i="31"/>
  <c r="AI9" i="31"/>
  <c r="AI27" i="31"/>
  <c r="AI15" i="31"/>
  <c r="AI45" i="31"/>
  <c r="AI42" i="31"/>
  <c r="AI6" i="31"/>
  <c r="AI26" i="31"/>
  <c r="AI32" i="31"/>
  <c r="AI40" i="31"/>
  <c r="AI43" i="31"/>
  <c r="O30" i="31"/>
  <c r="O21" i="31"/>
  <c r="O19" i="31"/>
  <c r="O45" i="31"/>
  <c r="O37" i="31"/>
  <c r="O6" i="31"/>
  <c r="O29" i="31"/>
  <c r="O36" i="31"/>
  <c r="O10" i="31"/>
  <c r="O44" i="31"/>
  <c r="O47" i="31"/>
  <c r="O14" i="31"/>
  <c r="S53" i="29"/>
  <c r="AA53" i="30"/>
  <c r="Z5" i="54"/>
  <c r="Z57" i="54" s="1"/>
  <c r="AA53" i="50"/>
  <c r="R47" i="31"/>
  <c r="R27" i="31"/>
  <c r="R16" i="31"/>
  <c r="R31" i="31"/>
  <c r="R6" i="31"/>
  <c r="R20" i="31"/>
  <c r="R46" i="31"/>
  <c r="R10" i="31"/>
  <c r="R24" i="31"/>
  <c r="R30" i="31"/>
  <c r="R14" i="31"/>
  <c r="R28" i="31"/>
  <c r="L19" i="31"/>
  <c r="L46" i="31"/>
  <c r="L15" i="31"/>
  <c r="L38" i="31"/>
  <c r="L30" i="31"/>
  <c r="L23" i="31"/>
  <c r="L7" i="31"/>
  <c r="L6" i="31"/>
  <c r="L27" i="31"/>
  <c r="L37" i="31"/>
  <c r="L10" i="31"/>
  <c r="U41" i="31"/>
  <c r="U30" i="31"/>
  <c r="U25" i="31"/>
  <c r="U21" i="31"/>
  <c r="U29" i="31"/>
  <c r="U8" i="31"/>
  <c r="U37" i="31"/>
  <c r="U36" i="31"/>
  <c r="U12" i="31"/>
  <c r="U28" i="31"/>
  <c r="U31" i="31"/>
  <c r="U16" i="31"/>
  <c r="Y54" i="50"/>
  <c r="Y58" i="50" s="1"/>
  <c r="Y54" i="29"/>
  <c r="Y54" i="31"/>
  <c r="Y54" i="30"/>
  <c r="Y58" i="30" s="1"/>
  <c r="Y11" i="31" s="1"/>
  <c r="M8" i="57"/>
  <c r="Z17" i="33"/>
  <c r="Z20" i="33"/>
  <c r="Z27" i="33"/>
  <c r="Z35" i="33"/>
  <c r="Z32" i="33"/>
  <c r="Z12" i="33"/>
  <c r="Z7" i="33"/>
  <c r="Z15" i="33"/>
  <c r="Z23" i="33"/>
  <c r="Z13" i="33"/>
  <c r="Z24" i="33"/>
  <c r="Z18" i="33"/>
  <c r="Z28" i="33"/>
  <c r="Z38" i="33"/>
  <c r="Z41" i="33"/>
  <c r="Z11" i="33"/>
  <c r="Z6" i="33"/>
  <c r="Z26" i="33"/>
  <c r="Z36" i="33"/>
  <c r="Z30" i="33"/>
  <c r="Z40" i="33"/>
  <c r="Z34" i="33"/>
  <c r="Z33" i="33"/>
  <c r="Z31" i="33"/>
  <c r="Z10" i="33"/>
  <c r="Z5" i="33"/>
  <c r="Z42" i="33"/>
  <c r="Z21" i="33"/>
  <c r="Z14" i="33"/>
  <c r="Z29" i="33"/>
  <c r="Z19" i="33"/>
  <c r="Z37" i="33"/>
  <c r="Z39" i="33"/>
  <c r="Z9" i="33"/>
  <c r="Z43" i="33"/>
  <c r="Z16" i="33"/>
  <c r="Z25" i="33"/>
  <c r="Z22" i="33"/>
  <c r="M8" i="35"/>
  <c r="M45" i="35" s="1"/>
  <c r="M8" i="51"/>
  <c r="M8" i="34"/>
  <c r="M8" i="55" s="1"/>
  <c r="M52" i="55" s="1"/>
  <c r="U7" i="51"/>
  <c r="U7" i="34"/>
  <c r="U7" i="35"/>
  <c r="U40" i="51"/>
  <c r="U40" i="34"/>
  <c r="U40" i="35"/>
  <c r="U26" i="51"/>
  <c r="U26" i="34"/>
  <c r="U26" i="35"/>
  <c r="U18" i="51"/>
  <c r="U18" i="34"/>
  <c r="W18" i="33"/>
  <c r="U18" i="35"/>
  <c r="U15" i="51"/>
  <c r="U15" i="34"/>
  <c r="U15" i="35"/>
  <c r="U30" i="51"/>
  <c r="U30" i="35"/>
  <c r="U30" i="34"/>
  <c r="U22" i="51"/>
  <c r="U22" i="34"/>
  <c r="U22" i="35"/>
  <c r="U43" i="51"/>
  <c r="U43" i="34"/>
  <c r="U43" i="35"/>
  <c r="U16" i="51"/>
  <c r="U16" i="34"/>
  <c r="U16" i="35"/>
  <c r="P33" i="31"/>
  <c r="P5" i="31"/>
  <c r="P53" i="29"/>
  <c r="P58" i="29" s="1"/>
  <c r="P19" i="50" s="1"/>
  <c r="P19" i="31"/>
  <c r="P36" i="31"/>
  <c r="P9" i="31"/>
  <c r="P23" i="31"/>
  <c r="P51" i="31"/>
  <c r="P13" i="31"/>
  <c r="P27" i="31"/>
  <c r="P35" i="31"/>
  <c r="P17" i="31"/>
  <c r="P6" i="31"/>
  <c r="W47" i="31"/>
  <c r="W49" i="31"/>
  <c r="W13" i="31"/>
  <c r="W42" i="31"/>
  <c r="W44" i="31"/>
  <c r="W17" i="31"/>
  <c r="W41" i="31"/>
  <c r="W26" i="31"/>
  <c r="W25" i="31"/>
  <c r="W34" i="31"/>
  <c r="W24" i="31"/>
  <c r="W8" i="31"/>
  <c r="V8" i="51"/>
  <c r="V8" i="34"/>
  <c r="V8" i="35"/>
  <c r="O34" i="34"/>
  <c r="O34" i="51"/>
  <c r="O34" i="35"/>
  <c r="O10" i="34"/>
  <c r="O10" i="51"/>
  <c r="O10" i="35"/>
  <c r="O23" i="34"/>
  <c r="O23" i="51"/>
  <c r="O23" i="35"/>
  <c r="O31" i="34"/>
  <c r="O31" i="51"/>
  <c r="O31" i="35"/>
  <c r="O11" i="34"/>
  <c r="O11" i="51"/>
  <c r="O11" i="35"/>
  <c r="O33" i="34"/>
  <c r="O33" i="51"/>
  <c r="O33" i="35"/>
  <c r="O27" i="34"/>
  <c r="O27" i="51"/>
  <c r="O27" i="35"/>
  <c r="O32" i="34"/>
  <c r="O32" i="51"/>
  <c r="O32" i="35"/>
  <c r="O37" i="34"/>
  <c r="O37" i="51"/>
  <c r="O37" i="35"/>
  <c r="T8" i="51"/>
  <c r="T8" i="35"/>
  <c r="W8" i="33"/>
  <c r="T8" i="34"/>
  <c r="AC45" i="31"/>
  <c r="AD45" i="31" s="1"/>
  <c r="AD45" i="29"/>
  <c r="AC12" i="31"/>
  <c r="AD12" i="31" s="1"/>
  <c r="AD12" i="29"/>
  <c r="AD48" i="29"/>
  <c r="AC48" i="31"/>
  <c r="AD48" i="31" s="1"/>
  <c r="AD40" i="29"/>
  <c r="AC40" i="31"/>
  <c r="AD40" i="31" s="1"/>
  <c r="AD16" i="29"/>
  <c r="AC16" i="31"/>
  <c r="AD16" i="31" s="1"/>
  <c r="AC47" i="31"/>
  <c r="AD47" i="31" s="1"/>
  <c r="AD47" i="29"/>
  <c r="AC39" i="31"/>
  <c r="AD39" i="31" s="1"/>
  <c r="AD39" i="29"/>
  <c r="AC20" i="31"/>
  <c r="AD20" i="31" s="1"/>
  <c r="AD20" i="29"/>
  <c r="AD42" i="29"/>
  <c r="AC42" i="31"/>
  <c r="AD42" i="31" s="1"/>
  <c r="AD50" i="29"/>
  <c r="AC50" i="31"/>
  <c r="AD50" i="31" s="1"/>
  <c r="AD7" i="29"/>
  <c r="AC7" i="31"/>
  <c r="AD7" i="31" s="1"/>
  <c r="X12" i="31"/>
  <c r="X6" i="31"/>
  <c r="X39" i="31"/>
  <c r="X16" i="31"/>
  <c r="X10" i="31"/>
  <c r="X41" i="31"/>
  <c r="X20" i="31"/>
  <c r="X14" i="31"/>
  <c r="X43" i="31"/>
  <c r="X24" i="31"/>
  <c r="X18" i="31"/>
  <c r="X45" i="31"/>
  <c r="AH51" i="31"/>
  <c r="AH38" i="31"/>
  <c r="AH9" i="31"/>
  <c r="AH46" i="31"/>
  <c r="AH49" i="31"/>
  <c r="AH13" i="31"/>
  <c r="AH41" i="31"/>
  <c r="AH48" i="31"/>
  <c r="AH17" i="31"/>
  <c r="AH40" i="31"/>
  <c r="AH26" i="31"/>
  <c r="AH25" i="31"/>
  <c r="Q12" i="31"/>
  <c r="Q19" i="31"/>
  <c r="Q16" i="31"/>
  <c r="Q51" i="31"/>
  <c r="Q46" i="31"/>
  <c r="Q24" i="31"/>
  <c r="Q35" i="31"/>
  <c r="Q30" i="31"/>
  <c r="Q28" i="31"/>
  <c r="Q38" i="31"/>
  <c r="Q45" i="31"/>
  <c r="Q15" i="31"/>
  <c r="P34" i="33"/>
  <c r="P17" i="33"/>
  <c r="P12" i="33"/>
  <c r="P7" i="33"/>
  <c r="P15" i="33"/>
  <c r="P38" i="33"/>
  <c r="P33" i="33"/>
  <c r="P37" i="33"/>
  <c r="P19" i="33"/>
  <c r="P30" i="33"/>
  <c r="P23" i="33"/>
  <c r="P16" i="33"/>
  <c r="P11" i="33"/>
  <c r="P6" i="33"/>
  <c r="P20" i="33"/>
  <c r="P27" i="33"/>
  <c r="P42" i="33"/>
  <c r="P26" i="33"/>
  <c r="P32" i="33"/>
  <c r="P43" i="33"/>
  <c r="P21" i="33"/>
  <c r="P14" i="33"/>
  <c r="P10" i="33"/>
  <c r="P5" i="33"/>
  <c r="P36" i="33"/>
  <c r="P24" i="33"/>
  <c r="P31" i="33"/>
  <c r="P39" i="33"/>
  <c r="P25" i="33"/>
  <c r="P35" i="33"/>
  <c r="P13" i="33"/>
  <c r="P9" i="33"/>
  <c r="P22" i="33"/>
  <c r="P29" i="33"/>
  <c r="P40" i="33"/>
  <c r="P28" i="33"/>
  <c r="P18" i="33"/>
  <c r="P41" i="33"/>
  <c r="U8" i="34"/>
  <c r="U8" i="51"/>
  <c r="U8" i="35"/>
  <c r="R16" i="51"/>
  <c r="S16" i="51" s="1"/>
  <c r="R16" i="35"/>
  <c r="S16" i="35" s="1"/>
  <c r="S16" i="33"/>
  <c r="R16" i="34"/>
  <c r="S16" i="34" s="1"/>
  <c r="R20" i="51"/>
  <c r="S20" i="51" s="1"/>
  <c r="R20" i="34"/>
  <c r="S20" i="34" s="1"/>
  <c r="R20" i="35"/>
  <c r="S20" i="35" s="1"/>
  <c r="S20" i="33"/>
  <c r="R32" i="51"/>
  <c r="S32" i="51" s="1"/>
  <c r="R32" i="35"/>
  <c r="S32" i="35" s="1"/>
  <c r="S32" i="33"/>
  <c r="R32" i="34"/>
  <c r="S32" i="34" s="1"/>
  <c r="R11" i="51"/>
  <c r="S11" i="51" s="1"/>
  <c r="S11" i="33"/>
  <c r="R11" i="34"/>
  <c r="S11" i="34" s="1"/>
  <c r="R11" i="35"/>
  <c r="S11" i="35" s="1"/>
  <c r="R43" i="51"/>
  <c r="S43" i="51" s="1"/>
  <c r="S43" i="33"/>
  <c r="R43" i="34"/>
  <c r="S43" i="34" s="1"/>
  <c r="R43" i="35"/>
  <c r="S43" i="35" s="1"/>
  <c r="R7" i="51"/>
  <c r="S7" i="51" s="1"/>
  <c r="R7" i="34"/>
  <c r="S7" i="34" s="1"/>
  <c r="R7" i="35"/>
  <c r="S7" i="35" s="1"/>
  <c r="S7" i="33"/>
  <c r="R22" i="51"/>
  <c r="S22" i="51" s="1"/>
  <c r="R22" i="35"/>
  <c r="S22" i="35" s="1"/>
  <c r="R22" i="34"/>
  <c r="S22" i="34" s="1"/>
  <c r="S22" i="33"/>
  <c r="R39" i="51"/>
  <c r="S39" i="51" s="1"/>
  <c r="S39" i="33"/>
  <c r="R39" i="34"/>
  <c r="S39" i="34" s="1"/>
  <c r="R39" i="35"/>
  <c r="S39" i="35" s="1"/>
  <c r="R38" i="51"/>
  <c r="S38" i="51" s="1"/>
  <c r="R38" i="34"/>
  <c r="S38" i="34" s="1"/>
  <c r="R38" i="35"/>
  <c r="S38" i="35" s="1"/>
  <c r="S38" i="33"/>
  <c r="AI18" i="31"/>
  <c r="AI12" i="31"/>
  <c r="AI21" i="31"/>
  <c r="AI33" i="31"/>
  <c r="AI14" i="31"/>
  <c r="AI20" i="31"/>
  <c r="AI19" i="31"/>
  <c r="AI5" i="31"/>
  <c r="AI53" i="29"/>
  <c r="AI58" i="29" s="1"/>
  <c r="AI15" i="50" s="1"/>
  <c r="AI39" i="31"/>
  <c r="AI51" i="31"/>
  <c r="AI47" i="31"/>
  <c r="AI38" i="31"/>
  <c r="O28" i="31"/>
  <c r="O31" i="31"/>
  <c r="O18" i="31"/>
  <c r="O39" i="31"/>
  <c r="O50" i="31"/>
  <c r="O53" i="29"/>
  <c r="O58" i="29" s="1"/>
  <c r="O45" i="50" s="1"/>
  <c r="O5" i="31"/>
  <c r="O22" i="31"/>
  <c r="O34" i="31"/>
  <c r="O9" i="31"/>
  <c r="O42" i="31"/>
  <c r="O49" i="31"/>
  <c r="O13" i="31"/>
  <c r="O13" i="30"/>
  <c r="Z8" i="51"/>
  <c r="AA8" i="51" s="1"/>
  <c r="Z8" i="34"/>
  <c r="AA8" i="34" s="1"/>
  <c r="Z8" i="35"/>
  <c r="AA8" i="35" s="1"/>
  <c r="AA8" i="33"/>
  <c r="R41" i="31"/>
  <c r="R18" i="31"/>
  <c r="R48" i="31"/>
  <c r="R44" i="31"/>
  <c r="R22" i="31"/>
  <c r="R38" i="31"/>
  <c r="R43" i="31"/>
  <c r="R26" i="31"/>
  <c r="R49" i="31"/>
  <c r="R42" i="31"/>
  <c r="R5" i="31"/>
  <c r="R53" i="29"/>
  <c r="L45" i="31"/>
  <c r="L48" i="31"/>
  <c r="L14" i="31"/>
  <c r="L25" i="31"/>
  <c r="L32" i="31"/>
  <c r="L22" i="31"/>
  <c r="L40" i="31"/>
  <c r="L39" i="31"/>
  <c r="L26" i="31"/>
  <c r="L12" i="31"/>
  <c r="L11" i="31"/>
  <c r="L53" i="29"/>
  <c r="L58" i="29" s="1"/>
  <c r="L45" i="30" s="1"/>
  <c r="L45" i="54" s="1"/>
  <c r="L97" i="54" s="1"/>
  <c r="L5" i="31"/>
  <c r="U22" i="31"/>
  <c r="U39" i="31"/>
  <c r="U20" i="31"/>
  <c r="U47" i="31"/>
  <c r="U46" i="31"/>
  <c r="U7" i="31"/>
  <c r="U38" i="31"/>
  <c r="U45" i="31"/>
  <c r="U11" i="31"/>
  <c r="U48" i="31"/>
  <c r="U40" i="31"/>
  <c r="U15" i="31"/>
  <c r="Z53" i="50"/>
  <c r="U32" i="51"/>
  <c r="U32" i="34"/>
  <c r="S32" i="55" s="1"/>
  <c r="S76" i="55" s="1"/>
  <c r="U32" i="35"/>
  <c r="U21" i="51"/>
  <c r="U21" i="35"/>
  <c r="U21" i="34"/>
  <c r="S21" i="55" s="1"/>
  <c r="S65" i="55" s="1"/>
  <c r="U9" i="51"/>
  <c r="U9" i="34"/>
  <c r="S9" i="55" s="1"/>
  <c r="S53" i="55" s="1"/>
  <c r="U9" i="35"/>
  <c r="U13" i="51"/>
  <c r="U13" i="34"/>
  <c r="S13" i="55" s="1"/>
  <c r="S57" i="55" s="1"/>
  <c r="U13" i="35"/>
  <c r="U5" i="51"/>
  <c r="U5" i="35"/>
  <c r="U5" i="34"/>
  <c r="S5" i="55" s="1"/>
  <c r="S49" i="55" s="1"/>
  <c r="U45" i="33"/>
  <c r="U42" i="51"/>
  <c r="U42" i="35"/>
  <c r="U42" i="34"/>
  <c r="S42" i="55" s="1"/>
  <c r="S86" i="55" s="1"/>
  <c r="U36" i="51"/>
  <c r="U36" i="34"/>
  <c r="U36" i="35"/>
  <c r="U23" i="51"/>
  <c r="U23" i="34"/>
  <c r="U23" i="35"/>
  <c r="U12" i="51"/>
  <c r="U12" i="34"/>
  <c r="U12" i="35"/>
  <c r="U27" i="51"/>
  <c r="U27" i="34"/>
  <c r="U27" i="35"/>
  <c r="P50" i="50"/>
  <c r="P50" i="31"/>
  <c r="P21" i="50"/>
  <c r="P21" i="31"/>
  <c r="P10" i="50"/>
  <c r="P10" i="31"/>
  <c r="P34" i="50"/>
  <c r="P34" i="30"/>
  <c r="P34" i="31"/>
  <c r="P25" i="50"/>
  <c r="P25" i="30"/>
  <c r="P25" i="31"/>
  <c r="P14" i="50"/>
  <c r="P14" i="30"/>
  <c r="P14" i="31"/>
  <c r="P45" i="50"/>
  <c r="P45" i="31"/>
  <c r="P45" i="30"/>
  <c r="P29" i="50"/>
  <c r="P29" i="31"/>
  <c r="P29" i="30"/>
  <c r="P18" i="50"/>
  <c r="P18" i="30"/>
  <c r="P18" i="31"/>
  <c r="P48" i="50"/>
  <c r="P48" i="31"/>
  <c r="P8" i="50"/>
  <c r="P8" i="31"/>
  <c r="P22" i="50"/>
  <c r="P22" i="31"/>
  <c r="W33" i="31"/>
  <c r="W32" i="31"/>
  <c r="W12" i="31"/>
  <c r="W23" i="31"/>
  <c r="W31" i="31"/>
  <c r="W16" i="31"/>
  <c r="W22" i="31"/>
  <c r="W7" i="31"/>
  <c r="W20" i="31"/>
  <c r="W43" i="31"/>
  <c r="W11" i="31"/>
  <c r="N11" i="33"/>
  <c r="N31" i="33"/>
  <c r="N38" i="33"/>
  <c r="N20" i="33"/>
  <c r="N10" i="33"/>
  <c r="N5" i="33"/>
  <c r="N43" i="33"/>
  <c r="N37" i="33"/>
  <c r="N32" i="33"/>
  <c r="N27" i="33"/>
  <c r="N41" i="33"/>
  <c r="N13" i="33"/>
  <c r="N25" i="33"/>
  <c r="N17" i="33"/>
  <c r="N9" i="33"/>
  <c r="N30" i="33"/>
  <c r="N18" i="33"/>
  <c r="N29" i="33"/>
  <c r="N16" i="33"/>
  <c r="N15" i="33"/>
  <c r="N22" i="33"/>
  <c r="N14" i="33"/>
  <c r="N26" i="33"/>
  <c r="N12" i="33"/>
  <c r="N7" i="33"/>
  <c r="N42" i="33"/>
  <c r="N19" i="33"/>
  <c r="N34" i="33"/>
  <c r="N33" i="33"/>
  <c r="N36" i="33"/>
  <c r="N35" i="33"/>
  <c r="N24" i="33"/>
  <c r="N39" i="33"/>
  <c r="N6" i="33"/>
  <c r="N28" i="33"/>
  <c r="N23" i="33"/>
  <c r="N21" i="33"/>
  <c r="N40" i="33"/>
  <c r="O8" i="34"/>
  <c r="O8" i="51"/>
  <c r="O8" i="35"/>
  <c r="O8" i="55" s="1"/>
  <c r="O52" i="55" s="1"/>
  <c r="O14" i="34"/>
  <c r="O14" i="51"/>
  <c r="O14" i="35"/>
  <c r="O22" i="34"/>
  <c r="O22" i="51"/>
  <c r="O22" i="35"/>
  <c r="O30" i="34"/>
  <c r="O30" i="51"/>
  <c r="O30" i="35"/>
  <c r="O25" i="34"/>
  <c r="O25" i="51"/>
  <c r="O25" i="35"/>
  <c r="O25" i="55" s="1"/>
  <c r="O69" i="55" s="1"/>
  <c r="O38" i="34"/>
  <c r="O38" i="51"/>
  <c r="O38" i="35"/>
  <c r="O7" i="34"/>
  <c r="O7" i="51"/>
  <c r="O7" i="35"/>
  <c r="O15" i="34"/>
  <c r="O15" i="51"/>
  <c r="O15" i="35"/>
  <c r="O9" i="34"/>
  <c r="O9" i="51"/>
  <c r="O9" i="35"/>
  <c r="O9" i="55" s="1"/>
  <c r="O53" i="55" s="1"/>
  <c r="O28" i="34"/>
  <c r="O28" i="51"/>
  <c r="O28" i="35"/>
  <c r="X10" i="56"/>
  <c r="M45" i="51"/>
  <c r="AC23" i="31"/>
  <c r="AD23" i="31" s="1"/>
  <c r="AD23" i="29"/>
  <c r="AD32" i="29"/>
  <c r="AC32" i="31"/>
  <c r="AD32" i="31" s="1"/>
  <c r="AC11" i="31"/>
  <c r="AD11" i="31" s="1"/>
  <c r="AD11" i="29"/>
  <c r="AC35" i="31"/>
  <c r="AD35" i="31" s="1"/>
  <c r="AD35" i="29"/>
  <c r="AC27" i="31"/>
  <c r="AD27" i="31" s="1"/>
  <c r="AD27" i="29"/>
  <c r="AC15" i="31"/>
  <c r="AD15" i="31" s="1"/>
  <c r="AD15" i="29"/>
  <c r="AD26" i="29"/>
  <c r="AC26" i="31"/>
  <c r="AD26" i="31" s="1"/>
  <c r="AD34" i="29"/>
  <c r="AC34" i="31"/>
  <c r="AD34" i="31" s="1"/>
  <c r="AD19" i="29"/>
  <c r="AC19" i="31"/>
  <c r="AD19" i="31" s="1"/>
  <c r="AC29" i="31"/>
  <c r="AD29" i="31" s="1"/>
  <c r="AD29" i="29"/>
  <c r="AC37" i="31"/>
  <c r="AD37" i="31" s="1"/>
  <c r="AD37" i="29"/>
  <c r="AC6" i="31"/>
  <c r="AD6" i="31" s="1"/>
  <c r="AD6" i="29"/>
  <c r="X28" i="31"/>
  <c r="X22" i="31"/>
  <c r="X47" i="31"/>
  <c r="X32" i="31"/>
  <c r="X26" i="31"/>
  <c r="X49" i="31"/>
  <c r="X7" i="31"/>
  <c r="X30" i="31"/>
  <c r="X51" i="31"/>
  <c r="X11" i="31"/>
  <c r="X5" i="31"/>
  <c r="X53" i="29"/>
  <c r="X58" i="29" s="1"/>
  <c r="X38" i="31"/>
  <c r="AH34" i="31"/>
  <c r="AH24" i="31"/>
  <c r="AH8" i="31"/>
  <c r="AH33" i="31"/>
  <c r="AH32" i="31"/>
  <c r="AH12" i="31"/>
  <c r="AH23" i="31"/>
  <c r="AH31" i="31"/>
  <c r="AH16" i="31"/>
  <c r="AH22" i="31"/>
  <c r="AH7" i="31"/>
  <c r="AH20" i="31"/>
  <c r="Q7" i="31"/>
  <c r="Q25" i="31"/>
  <c r="Q23" i="31"/>
  <c r="Q37" i="31"/>
  <c r="Q6" i="31"/>
  <c r="Q27" i="31"/>
  <c r="Q36" i="31"/>
  <c r="Q10" i="31"/>
  <c r="Q44" i="31"/>
  <c r="Q47" i="31"/>
  <c r="Q14" i="31"/>
  <c r="R23" i="51"/>
  <c r="S23" i="51" s="1"/>
  <c r="S23" i="33"/>
  <c r="R23" i="34"/>
  <c r="S23" i="34" s="1"/>
  <c r="R23" i="35"/>
  <c r="S23" i="35" s="1"/>
  <c r="R26" i="51"/>
  <c r="S26" i="51" s="1"/>
  <c r="R26" i="35"/>
  <c r="S26" i="35" s="1"/>
  <c r="S26" i="33"/>
  <c r="R26" i="34"/>
  <c r="S26" i="34" s="1"/>
  <c r="R27" i="51"/>
  <c r="S27" i="51" s="1"/>
  <c r="R27" i="35"/>
  <c r="S27" i="35" s="1"/>
  <c r="S27" i="33"/>
  <c r="R27" i="34"/>
  <c r="S27" i="34" s="1"/>
  <c r="R37" i="51"/>
  <c r="S37" i="51" s="1"/>
  <c r="S37" i="33"/>
  <c r="R37" i="34"/>
  <c r="S37" i="34" s="1"/>
  <c r="R37" i="35"/>
  <c r="S37" i="35" s="1"/>
  <c r="R15" i="51"/>
  <c r="S15" i="51" s="1"/>
  <c r="R15" i="35"/>
  <c r="S15" i="35" s="1"/>
  <c r="S15" i="33"/>
  <c r="R15" i="34"/>
  <c r="S15" i="34" s="1"/>
  <c r="R31" i="51"/>
  <c r="S31" i="51" s="1"/>
  <c r="S31" i="33"/>
  <c r="R31" i="34"/>
  <c r="S31" i="34" s="1"/>
  <c r="R31" i="35"/>
  <c r="S31" i="35" s="1"/>
  <c r="R12" i="51"/>
  <c r="S12" i="51" s="1"/>
  <c r="R12" i="35"/>
  <c r="S12" i="35" s="1"/>
  <c r="S12" i="33"/>
  <c r="R12" i="34"/>
  <c r="S12" i="34" s="1"/>
  <c r="R36" i="51"/>
  <c r="S36" i="51" s="1"/>
  <c r="R36" i="34"/>
  <c r="S36" i="34" s="1"/>
  <c r="S36" i="33"/>
  <c r="R36" i="35"/>
  <c r="S36" i="35" s="1"/>
  <c r="R25" i="51"/>
  <c r="S25" i="51" s="1"/>
  <c r="R25" i="35"/>
  <c r="S25" i="35" s="1"/>
  <c r="S25" i="33"/>
  <c r="R25" i="34"/>
  <c r="S25" i="34" s="1"/>
  <c r="R5" i="51"/>
  <c r="S5" i="33"/>
  <c r="R5" i="34"/>
  <c r="R45" i="33"/>
  <c r="R5" i="35"/>
  <c r="N58" i="50"/>
  <c r="AI7" i="50"/>
  <c r="AI7" i="31"/>
  <c r="AI11" i="50"/>
  <c r="AI11" i="30"/>
  <c r="AI11" i="31"/>
  <c r="AI22" i="50"/>
  <c r="AI22" i="31"/>
  <c r="AI30" i="50"/>
  <c r="AI30" i="31"/>
  <c r="AI13" i="50"/>
  <c r="AI13" i="30"/>
  <c r="AI13" i="31"/>
  <c r="AI17" i="50"/>
  <c r="AI17" i="31"/>
  <c r="AI28" i="50"/>
  <c r="AI28" i="30"/>
  <c r="AI28" i="31"/>
  <c r="AE28" i="54" s="1"/>
  <c r="AE80" i="54" s="1"/>
  <c r="AI25" i="50"/>
  <c r="AI25" i="31"/>
  <c r="AI49" i="50"/>
  <c r="AI49" i="31"/>
  <c r="AI44" i="50"/>
  <c r="AI44" i="31"/>
  <c r="AI46" i="50"/>
  <c r="AI46" i="31"/>
  <c r="AI24" i="50"/>
  <c r="AI24" i="31"/>
  <c r="O26" i="50"/>
  <c r="O26" i="31"/>
  <c r="O33" i="50"/>
  <c r="O33" i="31"/>
  <c r="O17" i="50"/>
  <c r="O17" i="31"/>
  <c r="O41" i="31"/>
  <c r="O8" i="50"/>
  <c r="O8" i="31"/>
  <c r="O25" i="50"/>
  <c r="O25" i="31"/>
  <c r="O24" i="50"/>
  <c r="O24" i="31"/>
  <c r="O24" i="30"/>
  <c r="O24" i="54" s="1"/>
  <c r="O76" i="54" s="1"/>
  <c r="O12" i="50"/>
  <c r="O12" i="31"/>
  <c r="O12" i="30"/>
  <c r="O48" i="50"/>
  <c r="O48" i="31"/>
  <c r="O48" i="30"/>
  <c r="O40" i="50"/>
  <c r="O40" i="31"/>
  <c r="O40" i="30"/>
  <c r="O16" i="50"/>
  <c r="O16" i="31"/>
  <c r="O16" i="30"/>
  <c r="O16" i="54" s="1"/>
  <c r="O68" i="54" s="1"/>
  <c r="M6" i="57"/>
  <c r="N8" i="51"/>
  <c r="N8" i="34"/>
  <c r="N8" i="35"/>
  <c r="R33" i="31"/>
  <c r="R37" i="31"/>
  <c r="R9" i="31"/>
  <c r="R36" i="31"/>
  <c r="R40" i="31"/>
  <c r="R13" i="31"/>
  <c r="R51" i="31"/>
  <c r="R39" i="31"/>
  <c r="R17" i="31"/>
  <c r="R35" i="31"/>
  <c r="R7" i="31"/>
  <c r="R21" i="31"/>
  <c r="L47" i="50"/>
  <c r="L47" i="30"/>
  <c r="L47" i="31"/>
  <c r="L50" i="50"/>
  <c r="L50" i="31"/>
  <c r="L50" i="30"/>
  <c r="L9" i="50"/>
  <c r="L9" i="30"/>
  <c r="L9" i="54" s="1"/>
  <c r="L61" i="54" s="1"/>
  <c r="L9" i="31"/>
  <c r="L31" i="50"/>
  <c r="L31" i="31"/>
  <c r="L34" i="50"/>
  <c r="L34" i="31"/>
  <c r="L13" i="50"/>
  <c r="L13" i="31"/>
  <c r="L42" i="50"/>
  <c r="L42" i="31"/>
  <c r="L49" i="50"/>
  <c r="L49" i="31"/>
  <c r="L21" i="50"/>
  <c r="L21" i="31"/>
  <c r="L18" i="50"/>
  <c r="L18" i="31"/>
  <c r="L33" i="50"/>
  <c r="L33" i="31"/>
  <c r="L29" i="50"/>
  <c r="L29" i="31"/>
  <c r="U34" i="31"/>
  <c r="U26" i="31"/>
  <c r="U19" i="31"/>
  <c r="U33" i="31"/>
  <c r="U24" i="31"/>
  <c r="U6" i="31"/>
  <c r="U23" i="31"/>
  <c r="U32" i="31"/>
  <c r="U10" i="31"/>
  <c r="U35" i="31"/>
  <c r="U27" i="31"/>
  <c r="U14" i="31"/>
  <c r="Y5" i="54"/>
  <c r="Y57" i="54" s="1"/>
  <c r="Z53" i="30"/>
  <c r="U6" i="51"/>
  <c r="U6" i="34"/>
  <c r="U6" i="35"/>
  <c r="S6" i="55" s="1"/>
  <c r="S50" i="55" s="1"/>
  <c r="U39" i="51"/>
  <c r="U39" i="34"/>
  <c r="U39" i="35"/>
  <c r="U17" i="51"/>
  <c r="U17" i="34"/>
  <c r="U17" i="35"/>
  <c r="U11" i="51"/>
  <c r="U11" i="34"/>
  <c r="U11" i="35"/>
  <c r="U10" i="51"/>
  <c r="U10" i="34"/>
  <c r="U10" i="35"/>
  <c r="S10" i="55" s="1"/>
  <c r="S54" i="55" s="1"/>
  <c r="U28" i="51"/>
  <c r="U28" i="35"/>
  <c r="U28" i="34"/>
  <c r="U41" i="51"/>
  <c r="U41" i="35"/>
  <c r="U41" i="34"/>
  <c r="U20" i="51"/>
  <c r="U20" i="34"/>
  <c r="W20" i="33"/>
  <c r="U20" i="35"/>
  <c r="U38" i="51"/>
  <c r="U38" i="34"/>
  <c r="W38" i="33"/>
  <c r="U38" i="35"/>
  <c r="U33" i="51"/>
  <c r="U33" i="34"/>
  <c r="S33" i="55" s="1"/>
  <c r="S77" i="55" s="1"/>
  <c r="U33" i="35"/>
  <c r="P8" i="34"/>
  <c r="P8" i="51"/>
  <c r="P8" i="35"/>
  <c r="M5" i="29"/>
  <c r="M51" i="29"/>
  <c r="M46" i="29"/>
  <c r="M18" i="29"/>
  <c r="M40" i="29"/>
  <c r="M10" i="29"/>
  <c r="M11" i="29"/>
  <c r="M13" i="29"/>
  <c r="M43" i="29"/>
  <c r="M26" i="29"/>
  <c r="M45" i="29"/>
  <c r="M47" i="29"/>
  <c r="M22" i="29"/>
  <c r="M42" i="29"/>
  <c r="M44" i="29"/>
  <c r="M16" i="29"/>
  <c r="M6" i="29"/>
  <c r="M21" i="29"/>
  <c r="M41" i="29"/>
  <c r="M28" i="29"/>
  <c r="M49" i="29"/>
  <c r="M34" i="29"/>
  <c r="M31" i="29"/>
  <c r="M30" i="29"/>
  <c r="M27" i="29"/>
  <c r="M39" i="29"/>
  <c r="M9" i="29"/>
  <c r="M15" i="29"/>
  <c r="M12" i="29"/>
  <c r="M23" i="29"/>
  <c r="M32" i="29"/>
  <c r="M36" i="29"/>
  <c r="M20" i="29"/>
  <c r="M29" i="29"/>
  <c r="M38" i="29"/>
  <c r="M48" i="29"/>
  <c r="M50" i="29"/>
  <c r="M8" i="29"/>
  <c r="M7" i="29"/>
  <c r="M14" i="29"/>
  <c r="M24" i="29"/>
  <c r="M19" i="29"/>
  <c r="M17" i="29"/>
  <c r="M33" i="29"/>
  <c r="M37" i="29"/>
  <c r="M25" i="29"/>
  <c r="M35" i="29"/>
  <c r="P32" i="50"/>
  <c r="P32" i="31"/>
  <c r="P12" i="50"/>
  <c r="P12" i="31"/>
  <c r="P26" i="50"/>
  <c r="P26" i="30"/>
  <c r="P26" i="31"/>
  <c r="P47" i="50"/>
  <c r="P47" i="30"/>
  <c r="P47" i="54" s="1"/>
  <c r="P99" i="54" s="1"/>
  <c r="P47" i="31"/>
  <c r="P16" i="50"/>
  <c r="P16" i="30"/>
  <c r="P16" i="31"/>
  <c r="P42" i="50"/>
  <c r="P42" i="31"/>
  <c r="P42" i="30"/>
  <c r="P31" i="50"/>
  <c r="P31" i="30"/>
  <c r="P31" i="31"/>
  <c r="P20" i="50"/>
  <c r="P20" i="31"/>
  <c r="P20" i="30"/>
  <c r="P37" i="50"/>
  <c r="P37" i="31"/>
  <c r="P46" i="50"/>
  <c r="P46" i="31"/>
  <c r="P24" i="50"/>
  <c r="P24" i="31"/>
  <c r="W51" i="31"/>
  <c r="W38" i="31"/>
  <c r="W15" i="31"/>
  <c r="W46" i="31"/>
  <c r="W48" i="31"/>
  <c r="W19" i="31"/>
  <c r="W45" i="31"/>
  <c r="W30" i="31"/>
  <c r="W6" i="31"/>
  <c r="W40" i="31"/>
  <c r="W29" i="31"/>
  <c r="W10" i="31"/>
  <c r="O12" i="34"/>
  <c r="O12" i="55" s="1"/>
  <c r="O56" i="55" s="1"/>
  <c r="O12" i="51"/>
  <c r="O12" i="35"/>
  <c r="O40" i="34"/>
  <c r="O40" i="51"/>
  <c r="O40" i="35"/>
  <c r="O43" i="34"/>
  <c r="O43" i="51"/>
  <c r="O43" i="35"/>
  <c r="O36" i="34"/>
  <c r="O36" i="55" s="1"/>
  <c r="O80" i="55" s="1"/>
  <c r="O36" i="51"/>
  <c r="O36" i="35"/>
  <c r="O16" i="34"/>
  <c r="O16" i="55" s="1"/>
  <c r="O60" i="55" s="1"/>
  <c r="O16" i="51"/>
  <c r="O16" i="35"/>
  <c r="O42" i="34"/>
  <c r="O42" i="51"/>
  <c r="O42" i="35"/>
  <c r="O21" i="34"/>
  <c r="O21" i="51"/>
  <c r="O21" i="35"/>
  <c r="O18" i="34"/>
  <c r="O18" i="55" s="1"/>
  <c r="O62" i="55" s="1"/>
  <c r="O18" i="51"/>
  <c r="O18" i="35"/>
  <c r="O17" i="34"/>
  <c r="O17" i="55" s="1"/>
  <c r="O61" i="55" s="1"/>
  <c r="O17" i="51"/>
  <c r="O17" i="35"/>
  <c r="O41" i="34"/>
  <c r="O41" i="51"/>
  <c r="O41" i="35"/>
  <c r="X6" i="56"/>
  <c r="AC49" i="31"/>
  <c r="AD49" i="31" s="1"/>
  <c r="AD49" i="29"/>
  <c r="AC41" i="31"/>
  <c r="AD41" i="31" s="1"/>
  <c r="AD41" i="29"/>
  <c r="AC10" i="31"/>
  <c r="AD10" i="31" s="1"/>
  <c r="AD10" i="29"/>
  <c r="AD44" i="29"/>
  <c r="AC44" i="31"/>
  <c r="AD44" i="31" s="1"/>
  <c r="AD51" i="29"/>
  <c r="AC51" i="31"/>
  <c r="AD51" i="31" s="1"/>
  <c r="AD14" i="29"/>
  <c r="AC14" i="31"/>
  <c r="AD14" i="31" s="1"/>
  <c r="AC43" i="31"/>
  <c r="AD43" i="31" s="1"/>
  <c r="AD43" i="29"/>
  <c r="AC46" i="31"/>
  <c r="AD46" i="31" s="1"/>
  <c r="AD46" i="29"/>
  <c r="AC18" i="31"/>
  <c r="AD18" i="31" s="1"/>
  <c r="AD18" i="29"/>
  <c r="AD38" i="29"/>
  <c r="AC38" i="31"/>
  <c r="AD38" i="31" s="1"/>
  <c r="AD28" i="29"/>
  <c r="AC28" i="31"/>
  <c r="AD28" i="31" s="1"/>
  <c r="AC5" i="31"/>
  <c r="AD5" i="29"/>
  <c r="AC53" i="29"/>
  <c r="AC58" i="29" s="1"/>
  <c r="X15" i="31"/>
  <c r="X9" i="31"/>
  <c r="X40" i="31"/>
  <c r="X19" i="31"/>
  <c r="X13" i="31"/>
  <c r="X42" i="31"/>
  <c r="X23" i="31"/>
  <c r="X17" i="31"/>
  <c r="X44" i="31"/>
  <c r="X27" i="31"/>
  <c r="X21" i="31"/>
  <c r="X46" i="31"/>
  <c r="AH47" i="31"/>
  <c r="AH11" i="31"/>
  <c r="AH39" i="31"/>
  <c r="AH42" i="31"/>
  <c r="AH15" i="31"/>
  <c r="AH50" i="31"/>
  <c r="AH37" i="31"/>
  <c r="AH19" i="31"/>
  <c r="AH45" i="31"/>
  <c r="AH30" i="31"/>
  <c r="AH6" i="31"/>
  <c r="Q20" i="31"/>
  <c r="Q31" i="31"/>
  <c r="Q22" i="31"/>
  <c r="Q39" i="31"/>
  <c r="Q50" i="31"/>
  <c r="Q26" i="31"/>
  <c r="Q11" i="31"/>
  <c r="Q34" i="31"/>
  <c r="Q53" i="29"/>
  <c r="Q58" i="29" s="1"/>
  <c r="Q5" i="31"/>
  <c r="Q42" i="31"/>
  <c r="Q49" i="31"/>
  <c r="Q9" i="31"/>
  <c r="R21" i="51"/>
  <c r="S21" i="51" s="1"/>
  <c r="R21" i="34"/>
  <c r="S21" i="34" s="1"/>
  <c r="R21" i="35"/>
  <c r="S21" i="35" s="1"/>
  <c r="S21" i="33"/>
  <c r="R40" i="51"/>
  <c r="S40" i="51" s="1"/>
  <c r="R40" i="34"/>
  <c r="S40" i="34" s="1"/>
  <c r="R40" i="35"/>
  <c r="S40" i="35" s="1"/>
  <c r="S40" i="33"/>
  <c r="R28" i="51"/>
  <c r="S28" i="51" s="1"/>
  <c r="S28" i="33"/>
  <c r="R28" i="34"/>
  <c r="S28" i="34" s="1"/>
  <c r="R28" i="35"/>
  <c r="S28" i="35" s="1"/>
  <c r="R24" i="51"/>
  <c r="S24" i="51" s="1"/>
  <c r="R24" i="34"/>
  <c r="S24" i="34" s="1"/>
  <c r="R24" i="35"/>
  <c r="S24" i="35" s="1"/>
  <c r="S24" i="33"/>
  <c r="R30" i="51"/>
  <c r="S30" i="51" s="1"/>
  <c r="R30" i="35"/>
  <c r="S30" i="35" s="1"/>
  <c r="S30" i="33"/>
  <c r="R30" i="34"/>
  <c r="S30" i="34" s="1"/>
  <c r="R35" i="51"/>
  <c r="S35" i="51" s="1"/>
  <c r="S35" i="33"/>
  <c r="R35" i="34"/>
  <c r="S35" i="34" s="1"/>
  <c r="R35" i="35"/>
  <c r="S35" i="35" s="1"/>
  <c r="R29" i="51"/>
  <c r="S29" i="51" s="1"/>
  <c r="S29" i="33"/>
  <c r="R29" i="34"/>
  <c r="S29" i="34" s="1"/>
  <c r="R29" i="35"/>
  <c r="S29" i="35" s="1"/>
  <c r="R9" i="51"/>
  <c r="S9" i="51" s="1"/>
  <c r="R9" i="35"/>
  <c r="S9" i="35" s="1"/>
  <c r="R9" i="34"/>
  <c r="S9" i="34" s="1"/>
  <c r="S9" i="33"/>
  <c r="R41" i="51"/>
  <c r="S41" i="51" s="1"/>
  <c r="S41" i="33"/>
  <c r="R41" i="34"/>
  <c r="S41" i="34" s="1"/>
  <c r="R41" i="35"/>
  <c r="S41" i="35" s="1"/>
  <c r="R10" i="51"/>
  <c r="S10" i="51" s="1"/>
  <c r="S10" i="33"/>
  <c r="R10" i="34"/>
  <c r="S10" i="34" s="1"/>
  <c r="R10" i="35"/>
  <c r="S10" i="35" s="1"/>
  <c r="W43" i="33"/>
  <c r="W30" i="33"/>
  <c r="AI50" i="50"/>
  <c r="AI50" i="30"/>
  <c r="AI50" i="31"/>
  <c r="AI10" i="50"/>
  <c r="AI10" i="30"/>
  <c r="AI10" i="31"/>
  <c r="AI48" i="31"/>
  <c r="AI48" i="50"/>
  <c r="AI16" i="50"/>
  <c r="AI16" i="31"/>
  <c r="AI16" i="30"/>
  <c r="AI23" i="31"/>
  <c r="AI23" i="50"/>
  <c r="AI35" i="50"/>
  <c r="AI35" i="30"/>
  <c r="AE35" i="54" s="1"/>
  <c r="AE87" i="54" s="1"/>
  <c r="AI35" i="31"/>
  <c r="AI8" i="50"/>
  <c r="AI8" i="31"/>
  <c r="AI29" i="50"/>
  <c r="AI29" i="30"/>
  <c r="AI29" i="31"/>
  <c r="AI41" i="50"/>
  <c r="AI41" i="31"/>
  <c r="AI36" i="50"/>
  <c r="AI36" i="31"/>
  <c r="AI37" i="50"/>
  <c r="AI37" i="31"/>
  <c r="O32" i="50"/>
  <c r="O32" i="31"/>
  <c r="O23" i="50"/>
  <c r="O23" i="31"/>
  <c r="O20" i="50"/>
  <c r="O20" i="31"/>
  <c r="O43" i="50"/>
  <c r="O43" i="31"/>
  <c r="O51" i="50"/>
  <c r="O51" i="31"/>
  <c r="O7" i="50"/>
  <c r="O7" i="31"/>
  <c r="O7" i="30"/>
  <c r="O27" i="50"/>
  <c r="O27" i="30"/>
  <c r="O27" i="31"/>
  <c r="O27" i="54" s="1"/>
  <c r="O79" i="54" s="1"/>
  <c r="O35" i="50"/>
  <c r="O35" i="30"/>
  <c r="O35" i="31"/>
  <c r="O35" i="54" s="1"/>
  <c r="O87" i="54" s="1"/>
  <c r="O11" i="50"/>
  <c r="O11" i="30"/>
  <c r="O11" i="31"/>
  <c r="O46" i="50"/>
  <c r="O46" i="31"/>
  <c r="O46" i="30"/>
  <c r="O38" i="50"/>
  <c r="O38" i="31"/>
  <c r="O38" i="30"/>
  <c r="O38" i="54" s="1"/>
  <c r="O90" i="54" s="1"/>
  <c r="O15" i="50"/>
  <c r="O15" i="31"/>
  <c r="O15" i="30"/>
  <c r="O15" i="54" s="1"/>
  <c r="O67" i="54" s="1"/>
  <c r="R50" i="31"/>
  <c r="R11" i="31"/>
  <c r="R25" i="31"/>
  <c r="R34" i="31"/>
  <c r="R15" i="31"/>
  <c r="R29" i="31"/>
  <c r="R45" i="31"/>
  <c r="R19" i="31"/>
  <c r="R8" i="31"/>
  <c r="R32" i="31"/>
  <c r="R23" i="31"/>
  <c r="R12" i="31"/>
  <c r="L41" i="50"/>
  <c r="L41" i="31"/>
  <c r="L41" i="54" s="1"/>
  <c r="L93" i="54" s="1"/>
  <c r="L41" i="30"/>
  <c r="L44" i="50"/>
  <c r="L44" i="31"/>
  <c r="L44" i="30"/>
  <c r="L8" i="50"/>
  <c r="L8" i="31"/>
  <c r="L8" i="30"/>
  <c r="L17" i="50"/>
  <c r="L17" i="31"/>
  <c r="L20" i="50"/>
  <c r="L20" i="31"/>
  <c r="L16" i="50"/>
  <c r="L16" i="31"/>
  <c r="L36" i="50"/>
  <c r="L36" i="31"/>
  <c r="L51" i="50"/>
  <c r="L51" i="31"/>
  <c r="L24" i="50"/>
  <c r="L24" i="31"/>
  <c r="L43" i="50"/>
  <c r="L43" i="31"/>
  <c r="L35" i="50"/>
  <c r="L35" i="31"/>
  <c r="L28" i="50"/>
  <c r="L28" i="30"/>
  <c r="L28" i="31"/>
  <c r="U43" i="31"/>
  <c r="U5" i="31"/>
  <c r="U53" i="29"/>
  <c r="U58" i="29" s="1"/>
  <c r="U29" i="30" s="1"/>
  <c r="T29" i="54" s="1"/>
  <c r="T81" i="54" s="1"/>
  <c r="U18" i="31"/>
  <c r="U50" i="31"/>
  <c r="U50" i="30"/>
  <c r="U9" i="31"/>
  <c r="U9" i="30"/>
  <c r="T9" i="54" s="1"/>
  <c r="T61" i="54" s="1"/>
  <c r="U51" i="31"/>
  <c r="U49" i="31"/>
  <c r="U13" i="31"/>
  <c r="U42" i="31"/>
  <c r="U44" i="31"/>
  <c r="U17" i="31"/>
  <c r="V54" i="50"/>
  <c r="V58" i="50" s="1"/>
  <c r="V54" i="30"/>
  <c r="V58" i="30" s="1"/>
  <c r="V54" i="31"/>
  <c r="V54" i="29"/>
  <c r="V60" i="28"/>
  <c r="U25" i="51"/>
  <c r="U25" i="35"/>
  <c r="U25" i="34"/>
  <c r="U35" i="51"/>
  <c r="U35" i="34"/>
  <c r="U35" i="35"/>
  <c r="U29" i="51"/>
  <c r="U29" i="34"/>
  <c r="U29" i="35"/>
  <c r="S29" i="55" s="1"/>
  <c r="S73" i="55" s="1"/>
  <c r="U14" i="51"/>
  <c r="U14" i="35"/>
  <c r="U14" i="34"/>
  <c r="U24" i="51"/>
  <c r="U24" i="35"/>
  <c r="U24" i="34"/>
  <c r="U37" i="51"/>
  <c r="U37" i="34"/>
  <c r="U37" i="35"/>
  <c r="U34" i="51"/>
  <c r="U34" i="34"/>
  <c r="U34" i="35"/>
  <c r="S34" i="55" s="1"/>
  <c r="S78" i="55" s="1"/>
  <c r="U31" i="51"/>
  <c r="U31" i="35"/>
  <c r="U31" i="34"/>
  <c r="U19" i="51"/>
  <c r="U19" i="34"/>
  <c r="U19" i="35"/>
  <c r="Y53" i="29"/>
  <c r="Y58" i="29" s="1"/>
  <c r="Y39" i="31"/>
  <c r="P40" i="50"/>
  <c r="P40" i="31"/>
  <c r="P30" i="50"/>
  <c r="P30" i="31"/>
  <c r="P28" i="50"/>
  <c r="P28" i="31"/>
  <c r="P39" i="50"/>
  <c r="P39" i="30"/>
  <c r="P39" i="31"/>
  <c r="P41" i="50"/>
  <c r="P41" i="30"/>
  <c r="P41" i="31"/>
  <c r="P7" i="50"/>
  <c r="P7" i="30"/>
  <c r="P7" i="54" s="1"/>
  <c r="P59" i="54" s="1"/>
  <c r="P7" i="31"/>
  <c r="P38" i="50"/>
  <c r="P38" i="31"/>
  <c r="P38" i="30"/>
  <c r="P44" i="50"/>
  <c r="P44" i="31"/>
  <c r="P44" i="30"/>
  <c r="P11" i="50"/>
  <c r="P11" i="31"/>
  <c r="P11" i="30"/>
  <c r="P49" i="50"/>
  <c r="P49" i="31"/>
  <c r="P43" i="50"/>
  <c r="P43" i="31"/>
  <c r="P15" i="50"/>
  <c r="P15" i="31"/>
  <c r="W21" i="31"/>
  <c r="W36" i="31"/>
  <c r="W14" i="31"/>
  <c r="W37" i="31"/>
  <c r="W35" i="31"/>
  <c r="W18" i="31"/>
  <c r="W28" i="31"/>
  <c r="W39" i="31"/>
  <c r="W5" i="31"/>
  <c r="W53" i="29"/>
  <c r="W58" i="29" s="1"/>
  <c r="W10" i="30" s="1"/>
  <c r="V10" i="54" s="1"/>
  <c r="V62" i="54" s="1"/>
  <c r="W27" i="31"/>
  <c r="W50" i="31"/>
  <c r="W9" i="31"/>
  <c r="O39" i="34"/>
  <c r="O39" i="51"/>
  <c r="O39" i="35"/>
  <c r="O5" i="51"/>
  <c r="O5" i="35"/>
  <c r="O5" i="34"/>
  <c r="O5" i="55" s="1"/>
  <c r="O49" i="55" s="1"/>
  <c r="O45" i="33"/>
  <c r="O26" i="34"/>
  <c r="O26" i="51"/>
  <c r="O26" i="35"/>
  <c r="O13" i="34"/>
  <c r="O13" i="55" s="1"/>
  <c r="O57" i="55" s="1"/>
  <c r="O13" i="51"/>
  <c r="O13" i="35"/>
  <c r="O6" i="34"/>
  <c r="O6" i="51"/>
  <c r="O6" i="35"/>
  <c r="O29" i="34"/>
  <c r="O29" i="51"/>
  <c r="O29" i="35"/>
  <c r="O19" i="34"/>
  <c r="O19" i="51"/>
  <c r="O19" i="35"/>
  <c r="O35" i="34"/>
  <c r="O35" i="55" s="1"/>
  <c r="O79" i="55" s="1"/>
  <c r="O35" i="51"/>
  <c r="O35" i="35"/>
  <c r="O24" i="34"/>
  <c r="O24" i="51"/>
  <c r="O24" i="35"/>
  <c r="O20" i="34"/>
  <c r="O20" i="51"/>
  <c r="O20" i="35"/>
  <c r="X8" i="56"/>
  <c r="AC36" i="31"/>
  <c r="AD36" i="31" s="1"/>
  <c r="AD36" i="29"/>
  <c r="AD22" i="29"/>
  <c r="AC22" i="31"/>
  <c r="AD22" i="31" s="1"/>
  <c r="AD9" i="29"/>
  <c r="AC9" i="31"/>
  <c r="AD9" i="31" s="1"/>
  <c r="AC31" i="31"/>
  <c r="AD31" i="31" s="1"/>
  <c r="AD31" i="29"/>
  <c r="AC30" i="31"/>
  <c r="AD30" i="31" s="1"/>
  <c r="AD30" i="29"/>
  <c r="AC13" i="31"/>
  <c r="AD13" i="31" s="1"/>
  <c r="AD13" i="29"/>
  <c r="AD21" i="29"/>
  <c r="AC21" i="31"/>
  <c r="AD21" i="31" s="1"/>
  <c r="AD33" i="29"/>
  <c r="AC33" i="31"/>
  <c r="AD33" i="31" s="1"/>
  <c r="AD17" i="29"/>
  <c r="AC17" i="31"/>
  <c r="AD17" i="31" s="1"/>
  <c r="AC24" i="31"/>
  <c r="AD24" i="31" s="1"/>
  <c r="AD24" i="29"/>
  <c r="AC8" i="31"/>
  <c r="AD8" i="31" s="1"/>
  <c r="AD8" i="29"/>
  <c r="AC25" i="31"/>
  <c r="AD25" i="31" s="1"/>
  <c r="AD25" i="29"/>
  <c r="X31" i="31"/>
  <c r="X25" i="31"/>
  <c r="X48" i="31"/>
  <c r="X34" i="31"/>
  <c r="X29" i="31"/>
  <c r="X50" i="31"/>
  <c r="X36" i="31"/>
  <c r="X33" i="31"/>
  <c r="X8" i="31"/>
  <c r="X37" i="31"/>
  <c r="X35" i="31"/>
  <c r="AH44" i="31"/>
  <c r="AH29" i="31"/>
  <c r="AH10" i="31"/>
  <c r="AH21" i="31"/>
  <c r="AH36" i="31"/>
  <c r="AH14" i="31"/>
  <c r="AH28" i="31"/>
  <c r="AH35" i="31"/>
  <c r="AH18" i="31"/>
  <c r="AH27" i="31"/>
  <c r="AH43" i="31"/>
  <c r="AH5" i="31"/>
  <c r="AH53" i="29"/>
  <c r="AH58" i="29" s="1"/>
  <c r="AH21" i="30" s="1"/>
  <c r="Q18" i="31"/>
  <c r="Q33" i="31"/>
  <c r="Q13" i="31"/>
  <c r="Q41" i="31"/>
  <c r="Q48" i="31"/>
  <c r="Q21" i="31"/>
  <c r="Q17" i="31"/>
  <c r="Q32" i="50"/>
  <c r="Q32" i="31"/>
  <c r="Q29" i="31"/>
  <c r="Q40" i="31"/>
  <c r="Q43" i="31"/>
  <c r="Q8" i="31"/>
  <c r="R18" i="51"/>
  <c r="S18" i="51" s="1"/>
  <c r="R18" i="34"/>
  <c r="S18" i="34" s="1"/>
  <c r="R18" i="35"/>
  <c r="S18" i="35" s="1"/>
  <c r="S18" i="33"/>
  <c r="R42" i="51"/>
  <c r="S42" i="51" s="1"/>
  <c r="R42" i="35"/>
  <c r="S42" i="35" s="1"/>
  <c r="S42" i="33"/>
  <c r="R42" i="34"/>
  <c r="S42" i="34" s="1"/>
  <c r="R33" i="51"/>
  <c r="S33" i="51" s="1"/>
  <c r="S33" i="33"/>
  <c r="R33" i="34"/>
  <c r="S33" i="34" s="1"/>
  <c r="R33" i="35"/>
  <c r="S33" i="35" s="1"/>
  <c r="R6" i="51"/>
  <c r="S6" i="51" s="1"/>
  <c r="S6" i="33"/>
  <c r="R6" i="34"/>
  <c r="S6" i="34" s="1"/>
  <c r="R6" i="35"/>
  <c r="S6" i="35" s="1"/>
  <c r="R14" i="51"/>
  <c r="S14" i="51" s="1"/>
  <c r="R14" i="35"/>
  <c r="S14" i="35" s="1"/>
  <c r="S14" i="33"/>
  <c r="R14" i="34"/>
  <c r="S14" i="34" s="1"/>
  <c r="R19" i="51"/>
  <c r="S19" i="51" s="1"/>
  <c r="S19" i="33"/>
  <c r="R19" i="34"/>
  <c r="S19" i="34" s="1"/>
  <c r="R19" i="35"/>
  <c r="S19" i="35" s="1"/>
  <c r="R13" i="51"/>
  <c r="S13" i="51" s="1"/>
  <c r="S13" i="33"/>
  <c r="R13" i="35"/>
  <c r="S13" i="35" s="1"/>
  <c r="R13" i="34"/>
  <c r="S13" i="34" s="1"/>
  <c r="R17" i="51"/>
  <c r="S17" i="51" s="1"/>
  <c r="R17" i="34"/>
  <c r="S17" i="34" s="1"/>
  <c r="R17" i="35"/>
  <c r="S17" i="35" s="1"/>
  <c r="S17" i="33"/>
  <c r="R34" i="51"/>
  <c r="S34" i="51" s="1"/>
  <c r="R34" i="34"/>
  <c r="S34" i="34" s="1"/>
  <c r="R34" i="35"/>
  <c r="S34" i="35" s="1"/>
  <c r="S34" i="33"/>
  <c r="W40" i="33"/>
  <c r="W23" i="33"/>
  <c r="W36" i="33"/>
  <c r="AQ11" i="50"/>
  <c r="L16" i="33"/>
  <c r="L14" i="33"/>
  <c r="L12" i="33"/>
  <c r="L10" i="33"/>
  <c r="L6" i="33"/>
  <c r="L17" i="33"/>
  <c r="L13" i="33"/>
  <c r="L11" i="33"/>
  <c r="L9" i="33"/>
  <c r="L7" i="33"/>
  <c r="L5" i="33"/>
  <c r="L20" i="33"/>
  <c r="L18" i="33"/>
  <c r="L32" i="33"/>
  <c r="L37" i="33"/>
  <c r="L30" i="33"/>
  <c r="L27" i="33"/>
  <c r="L24" i="33"/>
  <c r="L22" i="33"/>
  <c r="L19" i="33"/>
  <c r="L36" i="33"/>
  <c r="L25" i="33"/>
  <c r="L41" i="33"/>
  <c r="L38" i="33"/>
  <c r="L31" i="33"/>
  <c r="L28" i="33"/>
  <c r="L34" i="33"/>
  <c r="L23" i="33"/>
  <c r="L40" i="33"/>
  <c r="L29" i="33"/>
  <c r="L42" i="33"/>
  <c r="L39" i="33"/>
  <c r="L15" i="33"/>
  <c r="L35" i="33"/>
  <c r="L21" i="33"/>
  <c r="L33" i="33"/>
  <c r="L26" i="33"/>
  <c r="L43" i="33"/>
  <c r="T54" i="30"/>
  <c r="T54" i="31"/>
  <c r="T54" i="29"/>
  <c r="F35" i="5"/>
  <c r="Q48" i="51" s="1"/>
  <c r="L48" i="35"/>
  <c r="L48" i="34"/>
  <c r="L50" i="34" s="1"/>
  <c r="L48" i="33"/>
  <c r="L48" i="32"/>
  <c r="N56" i="31"/>
  <c r="N56" i="30"/>
  <c r="N56" i="29"/>
  <c r="AB46" i="35"/>
  <c r="AB46" i="34"/>
  <c r="X50" i="34" s="1"/>
  <c r="AB46" i="32"/>
  <c r="AB46" i="33"/>
  <c r="L47" i="35"/>
  <c r="L47" i="34"/>
  <c r="L47" i="32"/>
  <c r="L47" i="33"/>
  <c r="L50" i="33" s="1"/>
  <c r="L49" i="33" s="1"/>
  <c r="N55" i="31"/>
  <c r="N55" i="30"/>
  <c r="N55" i="29"/>
  <c r="N54" i="30"/>
  <c r="N54" i="31"/>
  <c r="N54" i="29"/>
  <c r="M45" i="34"/>
  <c r="L8" i="33"/>
  <c r="L49" i="34"/>
  <c r="E35" i="5"/>
  <c r="Q47" i="51" s="1"/>
  <c r="F10" i="5"/>
  <c r="N58" i="28"/>
  <c r="E10" i="5"/>
  <c r="T55" i="50" s="1"/>
  <c r="N57" i="28"/>
  <c r="D47" i="5"/>
  <c r="D29" i="5"/>
  <c r="O39" i="55" l="1"/>
  <c r="O83" i="55" s="1"/>
  <c r="P11" i="54"/>
  <c r="P63" i="54" s="1"/>
  <c r="P39" i="54"/>
  <c r="P91" i="54" s="1"/>
  <c r="L8" i="54"/>
  <c r="L60" i="54" s="1"/>
  <c r="AE50" i="54"/>
  <c r="AE102" i="54" s="1"/>
  <c r="S28" i="55"/>
  <c r="S72" i="55" s="1"/>
  <c r="S39" i="55"/>
  <c r="S83" i="55" s="1"/>
  <c r="S7" i="55"/>
  <c r="S51" i="55" s="1"/>
  <c r="AD21" i="54"/>
  <c r="AD73" i="54" s="1"/>
  <c r="O19" i="55"/>
  <c r="O63" i="55" s="1"/>
  <c r="O26" i="55"/>
  <c r="O70" i="55" s="1"/>
  <c r="O11" i="54"/>
  <c r="O63" i="54" s="1"/>
  <c r="AE29" i="54"/>
  <c r="AE81" i="54" s="1"/>
  <c r="O33" i="55"/>
  <c r="O77" i="55" s="1"/>
  <c r="O10" i="55"/>
  <c r="O54" i="55" s="1"/>
  <c r="P13" i="30"/>
  <c r="P13" i="54" s="1"/>
  <c r="P65" i="54" s="1"/>
  <c r="O46" i="54"/>
  <c r="O98" i="54" s="1"/>
  <c r="O7" i="54"/>
  <c r="O59" i="54" s="1"/>
  <c r="O39" i="50"/>
  <c r="O27" i="55"/>
  <c r="O71" i="55" s="1"/>
  <c r="O23" i="55"/>
  <c r="O67" i="55" s="1"/>
  <c r="S43" i="55"/>
  <c r="S87" i="55" s="1"/>
  <c r="S26" i="55"/>
  <c r="S70" i="55" s="1"/>
  <c r="S37" i="55"/>
  <c r="S81" i="55" s="1"/>
  <c r="S35" i="55"/>
  <c r="S79" i="55" s="1"/>
  <c r="O13" i="54"/>
  <c r="O65" i="54" s="1"/>
  <c r="AE11" i="54"/>
  <c r="AE63" i="54" s="1"/>
  <c r="S23" i="55"/>
  <c r="S67" i="55" s="1"/>
  <c r="T8" i="55"/>
  <c r="T52" i="55" s="1"/>
  <c r="S31" i="55"/>
  <c r="S75" i="55" s="1"/>
  <c r="S14" i="55"/>
  <c r="S58" i="55" s="1"/>
  <c r="S20" i="55"/>
  <c r="S64" i="55" s="1"/>
  <c r="S41" i="55"/>
  <c r="S85" i="55" s="1"/>
  <c r="S17" i="55"/>
  <c r="S61" i="55" s="1"/>
  <c r="L50" i="54"/>
  <c r="L102" i="54" s="1"/>
  <c r="L47" i="54"/>
  <c r="L99" i="54" s="1"/>
  <c r="O48" i="54"/>
  <c r="O100" i="54" s="1"/>
  <c r="S8" i="55"/>
  <c r="S52" i="55" s="1"/>
  <c r="P51" i="50"/>
  <c r="P36" i="30"/>
  <c r="P36" i="54" s="1"/>
  <c r="P88" i="54" s="1"/>
  <c r="S40" i="55"/>
  <c r="S84" i="55" s="1"/>
  <c r="S19" i="55"/>
  <c r="S63" i="55" s="1"/>
  <c r="S24" i="55"/>
  <c r="S68" i="55" s="1"/>
  <c r="S25" i="55"/>
  <c r="S69" i="55" s="1"/>
  <c r="T50" i="54"/>
  <c r="T102" i="54" s="1"/>
  <c r="S11" i="55"/>
  <c r="S55" i="55" s="1"/>
  <c r="O15" i="55"/>
  <c r="O59" i="55" s="1"/>
  <c r="O30" i="55"/>
  <c r="O74" i="55" s="1"/>
  <c r="P18" i="54"/>
  <c r="P70" i="54" s="1"/>
  <c r="P25" i="54"/>
  <c r="P77" i="54" s="1"/>
  <c r="O42" i="30"/>
  <c r="O42" i="54" s="1"/>
  <c r="O94" i="54" s="1"/>
  <c r="O34" i="30"/>
  <c r="Q17" i="55"/>
  <c r="Q61" i="55" s="1"/>
  <c r="AH29" i="30"/>
  <c r="AD29" i="54" s="1"/>
  <c r="AD81" i="54" s="1"/>
  <c r="O20" i="55"/>
  <c r="O64" i="55" s="1"/>
  <c r="O29" i="55"/>
  <c r="O73" i="55" s="1"/>
  <c r="P38" i="54"/>
  <c r="P90" i="54" s="1"/>
  <c r="AH25" i="50"/>
  <c r="AH34" i="30"/>
  <c r="AD34" i="54" s="1"/>
  <c r="AD86" i="54" s="1"/>
  <c r="AH23" i="30"/>
  <c r="AD23" i="54" s="1"/>
  <c r="AD75" i="54" s="1"/>
  <c r="AH11" i="50"/>
  <c r="AH42" i="50"/>
  <c r="AH50" i="50"/>
  <c r="AH19" i="50"/>
  <c r="AH44" i="30"/>
  <c r="AD44" i="54" s="1"/>
  <c r="AD96" i="54" s="1"/>
  <c r="AH51" i="30"/>
  <c r="AD51" i="54" s="1"/>
  <c r="AD103" i="54" s="1"/>
  <c r="AH9" i="30"/>
  <c r="AD9" i="54" s="1"/>
  <c r="AD61" i="54" s="1"/>
  <c r="AH49" i="30"/>
  <c r="AD49" i="54" s="1"/>
  <c r="AD101" i="54" s="1"/>
  <c r="AH41" i="30"/>
  <c r="AD41" i="54" s="1"/>
  <c r="AD93" i="54" s="1"/>
  <c r="AH17" i="30"/>
  <c r="AD17" i="54" s="1"/>
  <c r="AD69" i="54" s="1"/>
  <c r="AH32" i="30"/>
  <c r="AD32" i="54" s="1"/>
  <c r="AD84" i="54" s="1"/>
  <c r="AH31" i="30"/>
  <c r="AD31" i="54" s="1"/>
  <c r="AD83" i="54" s="1"/>
  <c r="AH20" i="50"/>
  <c r="AH47" i="50"/>
  <c r="AH39" i="50"/>
  <c r="AH15" i="50"/>
  <c r="AH37" i="50"/>
  <c r="AH45" i="50"/>
  <c r="AH38" i="30"/>
  <c r="AD38" i="54" s="1"/>
  <c r="AD90" i="54" s="1"/>
  <c r="AH46" i="30"/>
  <c r="AD46" i="54" s="1"/>
  <c r="AD98" i="54" s="1"/>
  <c r="AH13" i="30"/>
  <c r="AD13" i="54" s="1"/>
  <c r="AD65" i="54" s="1"/>
  <c r="AH48" i="30"/>
  <c r="AD48" i="54" s="1"/>
  <c r="AD100" i="54" s="1"/>
  <c r="AH14" i="30"/>
  <c r="AD14" i="54" s="1"/>
  <c r="AD66" i="54" s="1"/>
  <c r="O45" i="51"/>
  <c r="P44" i="54"/>
  <c r="P96" i="54" s="1"/>
  <c r="U53" i="31"/>
  <c r="E42" i="5"/>
  <c r="E21" i="5"/>
  <c r="Q21" i="55"/>
  <c r="Q65" i="55" s="1"/>
  <c r="O21" i="55"/>
  <c r="O65" i="55" s="1"/>
  <c r="O43" i="55"/>
  <c r="O87" i="55" s="1"/>
  <c r="P8" i="55"/>
  <c r="P52" i="55" s="1"/>
  <c r="L48" i="30"/>
  <c r="L48" i="54" s="1"/>
  <c r="L100" i="54" s="1"/>
  <c r="AI19" i="50"/>
  <c r="AI21" i="50"/>
  <c r="AI18" i="50"/>
  <c r="S22" i="55"/>
  <c r="S66" i="55" s="1"/>
  <c r="U8" i="30"/>
  <c r="T8" i="54" s="1"/>
  <c r="T60" i="54" s="1"/>
  <c r="AI15" i="30"/>
  <c r="AE15" i="54" s="1"/>
  <c r="AE67" i="54" s="1"/>
  <c r="AI9" i="30"/>
  <c r="AE9" i="54" s="1"/>
  <c r="AE61" i="54" s="1"/>
  <c r="AI31" i="50"/>
  <c r="V9" i="34"/>
  <c r="V9" i="51"/>
  <c r="V9" i="35"/>
  <c r="V40" i="51"/>
  <c r="V40" i="34"/>
  <c r="V40" i="35"/>
  <c r="V20" i="34"/>
  <c r="T20" i="55" s="1"/>
  <c r="T64" i="55" s="1"/>
  <c r="V20" i="35"/>
  <c r="V20" i="51"/>
  <c r="V27" i="34"/>
  <c r="V27" i="35"/>
  <c r="V27" i="51"/>
  <c r="V17" i="34"/>
  <c r="V17" i="51"/>
  <c r="V17" i="35"/>
  <c r="V42" i="35"/>
  <c r="V42" i="51"/>
  <c r="V42" i="34"/>
  <c r="T42" i="55" s="1"/>
  <c r="T86" i="55" s="1"/>
  <c r="V34" i="51"/>
  <c r="V34" i="34"/>
  <c r="V34" i="35"/>
  <c r="V29" i="51"/>
  <c r="V29" i="34"/>
  <c r="T29" i="55" s="1"/>
  <c r="T73" i="55" s="1"/>
  <c r="V29" i="35"/>
  <c r="V36" i="35"/>
  <c r="V36" i="51"/>
  <c r="V36" i="34"/>
  <c r="T35" i="34"/>
  <c r="T35" i="51"/>
  <c r="W35" i="33"/>
  <c r="T35" i="35"/>
  <c r="T23" i="51"/>
  <c r="T23" i="34"/>
  <c r="T23" i="35"/>
  <c r="W39" i="33"/>
  <c r="T39" i="51"/>
  <c r="T39" i="34"/>
  <c r="T39" i="35"/>
  <c r="W27" i="33"/>
  <c r="T27" i="51"/>
  <c r="W27" i="51" s="1"/>
  <c r="T27" i="34"/>
  <c r="T27" i="35"/>
  <c r="T12" i="34"/>
  <c r="R12" i="55" s="1"/>
  <c r="R56" i="55" s="1"/>
  <c r="T12" i="35"/>
  <c r="T12" i="51"/>
  <c r="W12" i="33"/>
  <c r="T43" i="34"/>
  <c r="T43" i="35"/>
  <c r="T43" i="51"/>
  <c r="T30" i="51"/>
  <c r="T30" i="35"/>
  <c r="T30" i="34"/>
  <c r="T18" i="34"/>
  <c r="T18" i="51"/>
  <c r="T18" i="35"/>
  <c r="T37" i="51"/>
  <c r="T37" i="34"/>
  <c r="W37" i="33"/>
  <c r="T37" i="35"/>
  <c r="L44" i="54"/>
  <c r="L96" i="54" s="1"/>
  <c r="AE10" i="54"/>
  <c r="AE62" i="54" s="1"/>
  <c r="P20" i="54"/>
  <c r="P72" i="54" s="1"/>
  <c r="P31" i="54"/>
  <c r="P83" i="54" s="1"/>
  <c r="U24" i="30"/>
  <c r="T24" i="54" s="1"/>
  <c r="T76" i="54" s="1"/>
  <c r="O40" i="54"/>
  <c r="O92" i="54" s="1"/>
  <c r="AE13" i="54"/>
  <c r="AE65" i="54" s="1"/>
  <c r="P14" i="54"/>
  <c r="P66" i="54" s="1"/>
  <c r="L26" i="50"/>
  <c r="L22" i="50"/>
  <c r="L14" i="30"/>
  <c r="L14" i="54" s="1"/>
  <c r="L66" i="54" s="1"/>
  <c r="O34" i="54"/>
  <c r="O86" i="54" s="1"/>
  <c r="AI38" i="50"/>
  <c r="AI51" i="50"/>
  <c r="Q38" i="55"/>
  <c r="Q82" i="55" s="1"/>
  <c r="W8" i="34"/>
  <c r="P6" i="50"/>
  <c r="P13" i="50"/>
  <c r="P9" i="30"/>
  <c r="P9" i="54" s="1"/>
  <c r="P61" i="54" s="1"/>
  <c r="P36" i="50"/>
  <c r="L10" i="50"/>
  <c r="O10" i="30"/>
  <c r="O10" i="54" s="1"/>
  <c r="O62" i="54" s="1"/>
  <c r="O29" i="30"/>
  <c r="O29" i="54" s="1"/>
  <c r="O81" i="54" s="1"/>
  <c r="O37" i="50"/>
  <c r="AI6" i="50"/>
  <c r="V43" i="34"/>
  <c r="V43" i="51"/>
  <c r="V43" i="35"/>
  <c r="W43" i="35" s="1"/>
  <c r="V6" i="34"/>
  <c r="V6" i="51"/>
  <c r="V6" i="35"/>
  <c r="V39" i="51"/>
  <c r="V39" i="34"/>
  <c r="V39" i="35"/>
  <c r="W39" i="35" s="1"/>
  <c r="V24" i="51"/>
  <c r="V24" i="34"/>
  <c r="V24" i="35"/>
  <c r="V41" i="34"/>
  <c r="T41" i="55" s="1"/>
  <c r="T85" i="55" s="1"/>
  <c r="V41" i="35"/>
  <c r="V41" i="51"/>
  <c r="V35" i="51"/>
  <c r="V35" i="34"/>
  <c r="T35" i="55" s="1"/>
  <c r="T79" i="55" s="1"/>
  <c r="V35" i="35"/>
  <c r="V37" i="34"/>
  <c r="V37" i="35"/>
  <c r="V37" i="51"/>
  <c r="V5" i="34"/>
  <c r="V5" i="51"/>
  <c r="V5" i="35"/>
  <c r="V45" i="33"/>
  <c r="V21" i="51"/>
  <c r="V21" i="34"/>
  <c r="V21" i="35"/>
  <c r="W7" i="33"/>
  <c r="T7" i="35"/>
  <c r="T7" i="51"/>
  <c r="T7" i="34"/>
  <c r="T40" i="35"/>
  <c r="W40" i="35" s="1"/>
  <c r="T40" i="51"/>
  <c r="W40" i="51" s="1"/>
  <c r="T40" i="34"/>
  <c r="T32" i="35"/>
  <c r="T32" i="51"/>
  <c r="T32" i="34"/>
  <c r="W32" i="33"/>
  <c r="T28" i="34"/>
  <c r="T28" i="35"/>
  <c r="T28" i="51"/>
  <c r="T15" i="34"/>
  <c r="T15" i="35"/>
  <c r="W15" i="33"/>
  <c r="T15" i="51"/>
  <c r="T34" i="51"/>
  <c r="W34" i="51" s="1"/>
  <c r="T34" i="34"/>
  <c r="W34" i="33"/>
  <c r="T34" i="35"/>
  <c r="W34" i="35" s="1"/>
  <c r="T22" i="35"/>
  <c r="T22" i="51"/>
  <c r="T22" i="34"/>
  <c r="W22" i="33"/>
  <c r="T9" i="51"/>
  <c r="W9" i="51" s="1"/>
  <c r="T9" i="34"/>
  <c r="T9" i="35"/>
  <c r="W9" i="35" s="1"/>
  <c r="W9" i="33"/>
  <c r="T13" i="51"/>
  <c r="T13" i="34"/>
  <c r="W13" i="33"/>
  <c r="T13" i="35"/>
  <c r="W5" i="33"/>
  <c r="T5" i="35"/>
  <c r="T5" i="51"/>
  <c r="T45" i="33"/>
  <c r="T5" i="34"/>
  <c r="U6" i="30"/>
  <c r="T6" i="54" s="1"/>
  <c r="T58" i="54" s="1"/>
  <c r="O28" i="55"/>
  <c r="O72" i="55" s="1"/>
  <c r="O38" i="55"/>
  <c r="O82" i="55" s="1"/>
  <c r="O14" i="55"/>
  <c r="O58" i="55" s="1"/>
  <c r="P45" i="54"/>
  <c r="P97" i="54" s="1"/>
  <c r="S27" i="55"/>
  <c r="S71" i="55" s="1"/>
  <c r="W9" i="34"/>
  <c r="U47" i="30"/>
  <c r="T47" i="54" s="1"/>
  <c r="T99" i="54" s="1"/>
  <c r="O49" i="30"/>
  <c r="O49" i="54" s="1"/>
  <c r="O101" i="54" s="1"/>
  <c r="AI39" i="50"/>
  <c r="AI5" i="50"/>
  <c r="AI14" i="30"/>
  <c r="AE14" i="54" s="1"/>
  <c r="AE66" i="54" s="1"/>
  <c r="AI33" i="50"/>
  <c r="AI12" i="50"/>
  <c r="Q7" i="55"/>
  <c r="Q51" i="55" s="1"/>
  <c r="O32" i="55"/>
  <c r="O76" i="55" s="1"/>
  <c r="O31" i="55"/>
  <c r="O75" i="55" s="1"/>
  <c r="P27" i="30"/>
  <c r="P23" i="30"/>
  <c r="P9" i="50"/>
  <c r="P5" i="50"/>
  <c r="S15" i="55"/>
  <c r="S59" i="55" s="1"/>
  <c r="L7" i="50"/>
  <c r="O30" i="50"/>
  <c r="AI34" i="30"/>
  <c r="AE34" i="54" s="1"/>
  <c r="AE86" i="54" s="1"/>
  <c r="V23" i="51"/>
  <c r="V23" i="35"/>
  <c r="V23" i="34"/>
  <c r="V15" i="51"/>
  <c r="V15" i="34"/>
  <c r="V15" i="35"/>
  <c r="V16" i="35"/>
  <c r="V16" i="51"/>
  <c r="V16" i="34"/>
  <c r="V32" i="34"/>
  <c r="V32" i="51"/>
  <c r="V32" i="35"/>
  <c r="V7" i="51"/>
  <c r="V7" i="34"/>
  <c r="V7" i="35"/>
  <c r="V30" i="51"/>
  <c r="V30" i="34"/>
  <c r="W30" i="34" s="1"/>
  <c r="V30" i="35"/>
  <c r="V13" i="35"/>
  <c r="V13" i="51"/>
  <c r="V13" i="34"/>
  <c r="V22" i="34"/>
  <c r="V22" i="51"/>
  <c r="V22" i="35"/>
  <c r="W22" i="35" s="1"/>
  <c r="V10" i="34"/>
  <c r="V10" i="35"/>
  <c r="V10" i="51"/>
  <c r="V18" i="34"/>
  <c r="V18" i="51"/>
  <c r="V18" i="35"/>
  <c r="T16" i="51"/>
  <c r="T16" i="35"/>
  <c r="W16" i="33"/>
  <c r="T16" i="34"/>
  <c r="T20" i="34"/>
  <c r="T20" i="35"/>
  <c r="T20" i="51"/>
  <c r="W20" i="51" s="1"/>
  <c r="W6" i="33"/>
  <c r="T6" i="34"/>
  <c r="T6" i="35"/>
  <c r="W6" i="35" s="1"/>
  <c r="T6" i="51"/>
  <c r="W6" i="51" s="1"/>
  <c r="T26" i="51"/>
  <c r="W26" i="33"/>
  <c r="T26" i="34"/>
  <c r="T26" i="35"/>
  <c r="T38" i="51"/>
  <c r="T38" i="34"/>
  <c r="T38" i="35"/>
  <c r="T14" i="34"/>
  <c r="T14" i="51"/>
  <c r="T14" i="35"/>
  <c r="W14" i="33"/>
  <c r="T31" i="34"/>
  <c r="T31" i="35"/>
  <c r="T31" i="51"/>
  <c r="W31" i="33"/>
  <c r="T17" i="35"/>
  <c r="W17" i="35" s="1"/>
  <c r="T17" i="51"/>
  <c r="W17" i="51" s="1"/>
  <c r="W17" i="33"/>
  <c r="T17" i="34"/>
  <c r="W41" i="33"/>
  <c r="T41" i="35"/>
  <c r="W41" i="35" s="1"/>
  <c r="T41" i="51"/>
  <c r="W41" i="51" s="1"/>
  <c r="T41" i="34"/>
  <c r="W10" i="33"/>
  <c r="T10" i="51"/>
  <c r="T10" i="35"/>
  <c r="T10" i="34"/>
  <c r="O24" i="55"/>
  <c r="O68" i="55" s="1"/>
  <c r="O6" i="55"/>
  <c r="O50" i="55" s="1"/>
  <c r="P41" i="54"/>
  <c r="P93" i="54" s="1"/>
  <c r="W34" i="34"/>
  <c r="W37" i="34"/>
  <c r="W35" i="34"/>
  <c r="L28" i="54"/>
  <c r="L80" i="54" s="1"/>
  <c r="AE16" i="54"/>
  <c r="AE68" i="54" s="1"/>
  <c r="Q40" i="55"/>
  <c r="Q84" i="55" s="1"/>
  <c r="O41" i="55"/>
  <c r="O85" i="55" s="1"/>
  <c r="O42" i="55"/>
  <c r="O86" i="55" s="1"/>
  <c r="O40" i="55"/>
  <c r="O84" i="55" s="1"/>
  <c r="P42" i="54"/>
  <c r="P94" i="54" s="1"/>
  <c r="P16" i="54"/>
  <c r="P68" i="54" s="1"/>
  <c r="N8" i="55"/>
  <c r="N52" i="55" s="1"/>
  <c r="O12" i="54"/>
  <c r="O64" i="54" s="1"/>
  <c r="O7" i="55"/>
  <c r="O51" i="55" s="1"/>
  <c r="O22" i="55"/>
  <c r="O66" i="55" s="1"/>
  <c r="P34" i="54"/>
  <c r="P86" i="54" s="1"/>
  <c r="W23" i="35"/>
  <c r="S36" i="55"/>
  <c r="S80" i="55" s="1"/>
  <c r="L12" i="50"/>
  <c r="L32" i="50"/>
  <c r="V8" i="55"/>
  <c r="V52" i="55" s="1"/>
  <c r="O9" i="30"/>
  <c r="O9" i="54" s="1"/>
  <c r="O61" i="54" s="1"/>
  <c r="O22" i="30"/>
  <c r="O22" i="54" s="1"/>
  <c r="O74" i="54" s="1"/>
  <c r="AI47" i="50"/>
  <c r="Q20" i="55"/>
  <c r="Q64" i="55" s="1"/>
  <c r="O37" i="55"/>
  <c r="O81" i="55" s="1"/>
  <c r="O11" i="55"/>
  <c r="O55" i="55" s="1"/>
  <c r="O34" i="55"/>
  <c r="O78" i="55" s="1"/>
  <c r="P17" i="50"/>
  <c r="P51" i="30"/>
  <c r="P51" i="54" s="1"/>
  <c r="P103" i="54" s="1"/>
  <c r="P23" i="50"/>
  <c r="W30" i="35"/>
  <c r="O44" i="30"/>
  <c r="O44" i="54" s="1"/>
  <c r="O96" i="54" s="1"/>
  <c r="O36" i="30"/>
  <c r="O36" i="54" s="1"/>
  <c r="O88" i="54" s="1"/>
  <c r="AI26" i="30"/>
  <c r="AE26" i="54" s="1"/>
  <c r="AE78" i="54" s="1"/>
  <c r="V33" i="34"/>
  <c r="V33" i="51"/>
  <c r="V33" i="35"/>
  <c r="V31" i="51"/>
  <c r="V31" i="34"/>
  <c r="T31" i="55" s="1"/>
  <c r="T75" i="55" s="1"/>
  <c r="V31" i="35"/>
  <c r="V38" i="51"/>
  <c r="V38" i="34"/>
  <c r="V38" i="35"/>
  <c r="W38" i="35" s="1"/>
  <c r="V26" i="51"/>
  <c r="V26" i="34"/>
  <c r="V26" i="35"/>
  <c r="V12" i="34"/>
  <c r="T12" i="55" s="1"/>
  <c r="T56" i="55" s="1"/>
  <c r="V12" i="35"/>
  <c r="V12" i="51"/>
  <c r="W12" i="51" s="1"/>
  <c r="V19" i="35"/>
  <c r="V19" i="51"/>
  <c r="V19" i="34"/>
  <c r="V25" i="51"/>
  <c r="V25" i="34"/>
  <c r="V25" i="35"/>
  <c r="V28" i="51"/>
  <c r="V28" i="34"/>
  <c r="V28" i="35"/>
  <c r="V14" i="51"/>
  <c r="V14" i="34"/>
  <c r="V14" i="35"/>
  <c r="V11" i="51"/>
  <c r="V11" i="34"/>
  <c r="T11" i="55" s="1"/>
  <c r="T55" i="55" s="1"/>
  <c r="V11" i="35"/>
  <c r="T25" i="51"/>
  <c r="W25" i="51" s="1"/>
  <c r="T25" i="34"/>
  <c r="W25" i="33"/>
  <c r="T25" i="35"/>
  <c r="T36" i="51"/>
  <c r="W36" i="51" s="1"/>
  <c r="T36" i="35"/>
  <c r="W36" i="35" s="1"/>
  <c r="T36" i="34"/>
  <c r="T11" i="51"/>
  <c r="T11" i="35"/>
  <c r="T11" i="34"/>
  <c r="W11" i="33"/>
  <c r="W24" i="33"/>
  <c r="T24" i="34"/>
  <c r="W24" i="34" s="1"/>
  <c r="T24" i="51"/>
  <c r="W24" i="51" s="1"/>
  <c r="T24" i="35"/>
  <c r="W24" i="35" s="1"/>
  <c r="T19" i="34"/>
  <c r="T19" i="51"/>
  <c r="T19" i="35"/>
  <c r="W19" i="35" s="1"/>
  <c r="W19" i="33"/>
  <c r="T21" i="35"/>
  <c r="W21" i="35" s="1"/>
  <c r="T21" i="34"/>
  <c r="T21" i="51"/>
  <c r="W21" i="51" s="1"/>
  <c r="W21" i="33"/>
  <c r="T33" i="51"/>
  <c r="W33" i="51" s="1"/>
  <c r="T33" i="34"/>
  <c r="T33" i="35"/>
  <c r="W33" i="33"/>
  <c r="W29" i="33"/>
  <c r="T29" i="51"/>
  <c r="W29" i="51" s="1"/>
  <c r="T29" i="34"/>
  <c r="T29" i="35"/>
  <c r="W29" i="35" s="1"/>
  <c r="W42" i="33"/>
  <c r="T42" i="51"/>
  <c r="W42" i="51" s="1"/>
  <c r="T42" i="35"/>
  <c r="W42" i="35" s="1"/>
  <c r="T42" i="34"/>
  <c r="W28" i="33"/>
  <c r="C7" i="57"/>
  <c r="C9" i="57"/>
  <c r="C14" i="57" s="1"/>
  <c r="C11" i="57"/>
  <c r="Q17" i="30"/>
  <c r="Q17" i="54" s="1"/>
  <c r="Q69" i="54" s="1"/>
  <c r="Q11" i="30"/>
  <c r="Q11" i="54" s="1"/>
  <c r="Q63" i="54" s="1"/>
  <c r="Q29" i="30"/>
  <c r="Q29" i="54" s="1"/>
  <c r="Q81" i="54" s="1"/>
  <c r="Q36" i="30"/>
  <c r="Q36" i="54" s="1"/>
  <c r="Q88" i="54" s="1"/>
  <c r="Q30" i="30"/>
  <c r="Q30" i="54" s="1"/>
  <c r="Q82" i="54" s="1"/>
  <c r="Q34" i="30"/>
  <c r="Q34" i="54" s="1"/>
  <c r="Q86" i="54" s="1"/>
  <c r="Q35" i="30"/>
  <c r="Q35" i="54" s="1"/>
  <c r="Q87" i="54" s="1"/>
  <c r="Q32" i="30"/>
  <c r="Q32" i="54" s="1"/>
  <c r="Q84" i="54" s="1"/>
  <c r="Q10" i="30"/>
  <c r="W40" i="30"/>
  <c r="V40" i="54" s="1"/>
  <c r="V92" i="54" s="1"/>
  <c r="M14" i="31"/>
  <c r="M15" i="31"/>
  <c r="M16" i="31"/>
  <c r="M18" i="31"/>
  <c r="S5" i="34"/>
  <c r="S45" i="34" s="1"/>
  <c r="R45" i="34"/>
  <c r="Q25" i="55"/>
  <c r="Q69" i="55" s="1"/>
  <c r="Q23" i="55"/>
  <c r="Q67" i="55" s="1"/>
  <c r="Q37" i="30"/>
  <c r="Q37" i="54" s="1"/>
  <c r="Q89" i="54" s="1"/>
  <c r="N40" i="51"/>
  <c r="N40" i="34"/>
  <c r="N40" i="35"/>
  <c r="N42" i="51"/>
  <c r="N42" i="34"/>
  <c r="N42" i="55" s="1"/>
  <c r="N86" i="55" s="1"/>
  <c r="N42" i="35"/>
  <c r="N5" i="51"/>
  <c r="N5" i="34"/>
  <c r="N5" i="55" s="1"/>
  <c r="N49" i="55" s="1"/>
  <c r="N45" i="33"/>
  <c r="N5" i="35"/>
  <c r="I11" i="57"/>
  <c r="AI53" i="31"/>
  <c r="P5" i="51"/>
  <c r="P5" i="35"/>
  <c r="P5" i="34"/>
  <c r="P45" i="33"/>
  <c r="Z19" i="51"/>
  <c r="AA19" i="51" s="1"/>
  <c r="Z19" i="35"/>
  <c r="AA19" i="35" s="1"/>
  <c r="AA19" i="33"/>
  <c r="Z19" i="34"/>
  <c r="AA19" i="34" s="1"/>
  <c r="Z33" i="51"/>
  <c r="AA33" i="51" s="1"/>
  <c r="AA33" i="33"/>
  <c r="Z33" i="34"/>
  <c r="AA33" i="34" s="1"/>
  <c r="Z33" i="35"/>
  <c r="AA33" i="35" s="1"/>
  <c r="Z41" i="51"/>
  <c r="AA41" i="51" s="1"/>
  <c r="AA41" i="33"/>
  <c r="Z41" i="34"/>
  <c r="AA41" i="34" s="1"/>
  <c r="Z41" i="35"/>
  <c r="AA41" i="35" s="1"/>
  <c r="Z7" i="51"/>
  <c r="AA7" i="51" s="1"/>
  <c r="Z7" i="34"/>
  <c r="AA7" i="34" s="1"/>
  <c r="AA7" i="33"/>
  <c r="Z7" i="35"/>
  <c r="AA7" i="35" s="1"/>
  <c r="Z27" i="51"/>
  <c r="AA27" i="51" s="1"/>
  <c r="Z27" i="34"/>
  <c r="AA27" i="34" s="1"/>
  <c r="Z27" i="35"/>
  <c r="AA27" i="35" s="1"/>
  <c r="AA27" i="33"/>
  <c r="L28" i="51"/>
  <c r="L15" i="51"/>
  <c r="L31" i="51"/>
  <c r="L27" i="51"/>
  <c r="L9" i="51"/>
  <c r="L16" i="51"/>
  <c r="Q19" i="55"/>
  <c r="Q63" i="55" s="1"/>
  <c r="Q42" i="55"/>
  <c r="Q86" i="55" s="1"/>
  <c r="Q8" i="50"/>
  <c r="Q43" i="50"/>
  <c r="Q40" i="50"/>
  <c r="Q21" i="30"/>
  <c r="Q21" i="54" s="1"/>
  <c r="Q73" i="54" s="1"/>
  <c r="Q41" i="30"/>
  <c r="Q41" i="54" s="1"/>
  <c r="Q93" i="54" s="1"/>
  <c r="Q18" i="30"/>
  <c r="Q18" i="54" s="1"/>
  <c r="Q70" i="54" s="1"/>
  <c r="AH53" i="31"/>
  <c r="AH43" i="50"/>
  <c r="O45" i="34"/>
  <c r="U37" i="30"/>
  <c r="T37" i="54" s="1"/>
  <c r="T89" i="54" s="1"/>
  <c r="U40" i="50"/>
  <c r="U31" i="50"/>
  <c r="U49" i="50"/>
  <c r="U43" i="50"/>
  <c r="U24" i="50"/>
  <c r="U34" i="50"/>
  <c r="U27" i="50"/>
  <c r="U45" i="50"/>
  <c r="U47" i="50"/>
  <c r="U5" i="50"/>
  <c r="U39" i="30"/>
  <c r="T39" i="54" s="1"/>
  <c r="T91" i="54" s="1"/>
  <c r="U19" i="30"/>
  <c r="T19" i="54" s="1"/>
  <c r="T71" i="54" s="1"/>
  <c r="U31" i="30"/>
  <c r="T31" i="54" s="1"/>
  <c r="T83" i="54" s="1"/>
  <c r="U13" i="30"/>
  <c r="T13" i="54" s="1"/>
  <c r="T65" i="54" s="1"/>
  <c r="U17" i="30"/>
  <c r="T17" i="54" s="1"/>
  <c r="T69" i="54" s="1"/>
  <c r="U30" i="30"/>
  <c r="T30" i="54" s="1"/>
  <c r="T82" i="54" s="1"/>
  <c r="U42" i="30"/>
  <c r="T42" i="54" s="1"/>
  <c r="T94" i="54" s="1"/>
  <c r="U12" i="30"/>
  <c r="T12" i="54" s="1"/>
  <c r="T64" i="54" s="1"/>
  <c r="U27" i="30"/>
  <c r="T27" i="54" s="1"/>
  <c r="T79" i="54" s="1"/>
  <c r="U28" i="30"/>
  <c r="T28" i="54" s="1"/>
  <c r="T80" i="54" s="1"/>
  <c r="U36" i="30"/>
  <c r="T36" i="54" s="1"/>
  <c r="T88" i="54" s="1"/>
  <c r="U12" i="50"/>
  <c r="U8" i="50"/>
  <c r="U21" i="50"/>
  <c r="U28" i="50"/>
  <c r="U51" i="50"/>
  <c r="U17" i="50"/>
  <c r="U10" i="50"/>
  <c r="U33" i="50"/>
  <c r="U25" i="50"/>
  <c r="U35" i="50"/>
  <c r="U38" i="50"/>
  <c r="U18" i="30"/>
  <c r="T18" i="54" s="1"/>
  <c r="T70" i="54" s="1"/>
  <c r="U41" i="30"/>
  <c r="T41" i="54" s="1"/>
  <c r="T93" i="54" s="1"/>
  <c r="U25" i="30"/>
  <c r="T25" i="54" s="1"/>
  <c r="T77" i="54" s="1"/>
  <c r="U48" i="30"/>
  <c r="T48" i="54" s="1"/>
  <c r="T100" i="54" s="1"/>
  <c r="U40" i="30"/>
  <c r="T40" i="54" s="1"/>
  <c r="T92" i="54" s="1"/>
  <c r="U10" i="30"/>
  <c r="T10" i="54" s="1"/>
  <c r="T62" i="54" s="1"/>
  <c r="U22" i="30"/>
  <c r="T22" i="54" s="1"/>
  <c r="T74" i="54" s="1"/>
  <c r="U32" i="30"/>
  <c r="T32" i="54" s="1"/>
  <c r="T84" i="54" s="1"/>
  <c r="U44" i="30"/>
  <c r="T44" i="54" s="1"/>
  <c r="T96" i="54" s="1"/>
  <c r="U11" i="30"/>
  <c r="T11" i="54" s="1"/>
  <c r="T63" i="54" s="1"/>
  <c r="U14" i="30"/>
  <c r="T14" i="54" s="1"/>
  <c r="T66" i="54" s="1"/>
  <c r="U15" i="50"/>
  <c r="U36" i="50"/>
  <c r="U29" i="50"/>
  <c r="U37" i="50"/>
  <c r="U9" i="50"/>
  <c r="U30" i="50"/>
  <c r="U44" i="50"/>
  <c r="U32" i="50"/>
  <c r="U22" i="50"/>
  <c r="U7" i="50"/>
  <c r="U20" i="50"/>
  <c r="U20" i="30"/>
  <c r="T20" i="54" s="1"/>
  <c r="T72" i="54" s="1"/>
  <c r="U26" i="30"/>
  <c r="T26" i="54" s="1"/>
  <c r="T78" i="54" s="1"/>
  <c r="U43" i="30"/>
  <c r="T43" i="54" s="1"/>
  <c r="T95" i="54" s="1"/>
  <c r="U45" i="30"/>
  <c r="T45" i="54" s="1"/>
  <c r="T97" i="54" s="1"/>
  <c r="U49" i="30"/>
  <c r="T49" i="54" s="1"/>
  <c r="T101" i="54" s="1"/>
  <c r="U26" i="50"/>
  <c r="U48" i="50"/>
  <c r="U39" i="50"/>
  <c r="U16" i="50"/>
  <c r="U13" i="50"/>
  <c r="U50" i="50"/>
  <c r="U19" i="50"/>
  <c r="U42" i="50"/>
  <c r="U23" i="50"/>
  <c r="U6" i="50"/>
  <c r="U18" i="50"/>
  <c r="U14" i="50"/>
  <c r="U11" i="50"/>
  <c r="U46" i="50"/>
  <c r="U41" i="50"/>
  <c r="U5" i="30"/>
  <c r="U34" i="30"/>
  <c r="T34" i="54" s="1"/>
  <c r="T86" i="54" s="1"/>
  <c r="U15" i="30"/>
  <c r="T15" i="54" s="1"/>
  <c r="T67" i="54" s="1"/>
  <c r="U23" i="30"/>
  <c r="T23" i="54" s="1"/>
  <c r="T75" i="54" s="1"/>
  <c r="U35" i="30"/>
  <c r="T35" i="54" s="1"/>
  <c r="T87" i="54" s="1"/>
  <c r="U51" i="30"/>
  <c r="T51" i="54" s="1"/>
  <c r="T103" i="54" s="1"/>
  <c r="U16" i="30"/>
  <c r="T16" i="54" s="1"/>
  <c r="T68" i="54" s="1"/>
  <c r="U38" i="30"/>
  <c r="T38" i="54" s="1"/>
  <c r="T90" i="54" s="1"/>
  <c r="Q9" i="55"/>
  <c r="Q53" i="55" s="1"/>
  <c r="Q24" i="55"/>
  <c r="Q68" i="55" s="1"/>
  <c r="Q9" i="30"/>
  <c r="Q9" i="54" s="1"/>
  <c r="Q61" i="54" s="1"/>
  <c r="Q49" i="30"/>
  <c r="Q49" i="54" s="1"/>
  <c r="Q101" i="54" s="1"/>
  <c r="Q42" i="30"/>
  <c r="Q42" i="54" s="1"/>
  <c r="Q94" i="54" s="1"/>
  <c r="Q53" i="31"/>
  <c r="Q26" i="30"/>
  <c r="Q26" i="54" s="1"/>
  <c r="Q78" i="54" s="1"/>
  <c r="Q50" i="30"/>
  <c r="Q50" i="54" s="1"/>
  <c r="Q102" i="54" s="1"/>
  <c r="Q39" i="30"/>
  <c r="Q39" i="54" s="1"/>
  <c r="Q91" i="54" s="1"/>
  <c r="Q22" i="30"/>
  <c r="Q22" i="54" s="1"/>
  <c r="Q74" i="54" s="1"/>
  <c r="Q31" i="30"/>
  <c r="Q31" i="54" s="1"/>
  <c r="Q83" i="54" s="1"/>
  <c r="Q20" i="30"/>
  <c r="Q20" i="54" s="1"/>
  <c r="Q72" i="54" s="1"/>
  <c r="AH6" i="50"/>
  <c r="AH19" i="30"/>
  <c r="AD19" i="54" s="1"/>
  <c r="AD71" i="54" s="1"/>
  <c r="AC44" i="30"/>
  <c r="AC36" i="30"/>
  <c r="AC22" i="30"/>
  <c r="AC25" i="50"/>
  <c r="AD25" i="50" s="1"/>
  <c r="AC9" i="30"/>
  <c r="AC41" i="50"/>
  <c r="AD41" i="50" s="1"/>
  <c r="AC49" i="30"/>
  <c r="AC5" i="30"/>
  <c r="AC8" i="50"/>
  <c r="AD8" i="50" s="1"/>
  <c r="AC26" i="50"/>
  <c r="AD26" i="50" s="1"/>
  <c r="AC44" i="50"/>
  <c r="AD44" i="50" s="1"/>
  <c r="AC38" i="50"/>
  <c r="AD38" i="50" s="1"/>
  <c r="AC47" i="50"/>
  <c r="AD47" i="50" s="1"/>
  <c r="AC9" i="50"/>
  <c r="AD9" i="50" s="1"/>
  <c r="AC6" i="50"/>
  <c r="AD6" i="50" s="1"/>
  <c r="AC17" i="50"/>
  <c r="AD17" i="50" s="1"/>
  <c r="AC10" i="50"/>
  <c r="AD10" i="50" s="1"/>
  <c r="AC40" i="50"/>
  <c r="AD40" i="50" s="1"/>
  <c r="AC28" i="30"/>
  <c r="AC50" i="50"/>
  <c r="AD50" i="50" s="1"/>
  <c r="AC43" i="50"/>
  <c r="AD43" i="50" s="1"/>
  <c r="AC25" i="30"/>
  <c r="AC39" i="30"/>
  <c r="AC40" i="30"/>
  <c r="AC26" i="30"/>
  <c r="AC16" i="30"/>
  <c r="AC27" i="30"/>
  <c r="AC15" i="30"/>
  <c r="AC45" i="30"/>
  <c r="AC8" i="30"/>
  <c r="AC23" i="30"/>
  <c r="AC12" i="30"/>
  <c r="AC42" i="30"/>
  <c r="AC15" i="50"/>
  <c r="AD15" i="50" s="1"/>
  <c r="AC45" i="50"/>
  <c r="AD45" i="50" s="1"/>
  <c r="AC37" i="50"/>
  <c r="AD37" i="50" s="1"/>
  <c r="AC33" i="50"/>
  <c r="AD33" i="50" s="1"/>
  <c r="AC48" i="50"/>
  <c r="AD48" i="50" s="1"/>
  <c r="AC50" i="30"/>
  <c r="AC42" i="50"/>
  <c r="AD42" i="50" s="1"/>
  <c r="AC13" i="50"/>
  <c r="AD13" i="50" s="1"/>
  <c r="AC12" i="50"/>
  <c r="AD12" i="50" s="1"/>
  <c r="AC38" i="30"/>
  <c r="AC21" i="30"/>
  <c r="AC31" i="30"/>
  <c r="AC7" i="30"/>
  <c r="AC19" i="30"/>
  <c r="AC35" i="30"/>
  <c r="AC18" i="30"/>
  <c r="AC33" i="30"/>
  <c r="AC14" i="50"/>
  <c r="AD14" i="50" s="1"/>
  <c r="AC41" i="30"/>
  <c r="AC24" i="50"/>
  <c r="AD24" i="50" s="1"/>
  <c r="AC5" i="50"/>
  <c r="AC20" i="50"/>
  <c r="AD20" i="50" s="1"/>
  <c r="AC36" i="50"/>
  <c r="AD36" i="50" s="1"/>
  <c r="AC27" i="50"/>
  <c r="AD27" i="50" s="1"/>
  <c r="AC29" i="50"/>
  <c r="AD29" i="50" s="1"/>
  <c r="AC21" i="50"/>
  <c r="AD21" i="50" s="1"/>
  <c r="AC11" i="50"/>
  <c r="AD11" i="50" s="1"/>
  <c r="AC24" i="30"/>
  <c r="AC18" i="50"/>
  <c r="AD18" i="50" s="1"/>
  <c r="AC22" i="50"/>
  <c r="AD22" i="50" s="1"/>
  <c r="AC30" i="50"/>
  <c r="AD30" i="50" s="1"/>
  <c r="AC23" i="50"/>
  <c r="AD23" i="50" s="1"/>
  <c r="AC29" i="30"/>
  <c r="AC47" i="30"/>
  <c r="AC14" i="30"/>
  <c r="AC20" i="30"/>
  <c r="AC13" i="30"/>
  <c r="AC48" i="30"/>
  <c r="AC37" i="30"/>
  <c r="AC46" i="30"/>
  <c r="AC11" i="30"/>
  <c r="AC10" i="30"/>
  <c r="AC19" i="50"/>
  <c r="AD19" i="50" s="1"/>
  <c r="AC32" i="50"/>
  <c r="AD32" i="50" s="1"/>
  <c r="AC32" i="30"/>
  <c r="AC34" i="50"/>
  <c r="AD34" i="50" s="1"/>
  <c r="AC51" i="50"/>
  <c r="AD51" i="50" s="1"/>
  <c r="AC28" i="50"/>
  <c r="AD28" i="50" s="1"/>
  <c r="AC39" i="50"/>
  <c r="AD39" i="50" s="1"/>
  <c r="AC35" i="50"/>
  <c r="AD35" i="50" s="1"/>
  <c r="AC16" i="50"/>
  <c r="AD16" i="50" s="1"/>
  <c r="AC49" i="50"/>
  <c r="AD49" i="50" s="1"/>
  <c r="AC6" i="30"/>
  <c r="AC7" i="50"/>
  <c r="AD7" i="50" s="1"/>
  <c r="AC46" i="50"/>
  <c r="AD46" i="50" s="1"/>
  <c r="AC31" i="50"/>
  <c r="AD31" i="50" s="1"/>
  <c r="AC17" i="30"/>
  <c r="AC34" i="30"/>
  <c r="AC30" i="30"/>
  <c r="AC43" i="30"/>
  <c r="AC51" i="30"/>
  <c r="M25" i="31"/>
  <c r="M19" i="31"/>
  <c r="M8" i="31"/>
  <c r="M29" i="31"/>
  <c r="M23" i="31"/>
  <c r="M39" i="31"/>
  <c r="M34" i="31"/>
  <c r="M21" i="31"/>
  <c r="M42" i="31"/>
  <c r="M26" i="31"/>
  <c r="M10" i="31"/>
  <c r="M51" i="31"/>
  <c r="W42" i="34"/>
  <c r="S5" i="35"/>
  <c r="S45" i="35" s="1"/>
  <c r="R45" i="35"/>
  <c r="S5" i="51"/>
  <c r="S45" i="51" s="1"/>
  <c r="R45" i="51"/>
  <c r="Q12" i="55"/>
  <c r="Q56" i="55" s="1"/>
  <c r="Q27" i="55"/>
  <c r="Q71" i="55" s="1"/>
  <c r="Q14" i="30"/>
  <c r="Q14" i="54" s="1"/>
  <c r="Q66" i="54" s="1"/>
  <c r="Q47" i="30"/>
  <c r="Q47" i="54" s="1"/>
  <c r="Q99" i="54" s="1"/>
  <c r="Q44" i="30"/>
  <c r="Q44" i="54" s="1"/>
  <c r="Q96" i="54" s="1"/>
  <c r="Q10" i="50"/>
  <c r="AH22" i="50"/>
  <c r="AH16" i="50"/>
  <c r="AH31" i="50"/>
  <c r="AH23" i="50"/>
  <c r="AH12" i="50"/>
  <c r="AH32" i="50"/>
  <c r="AH33" i="50"/>
  <c r="AH8" i="50"/>
  <c r="AH24" i="50"/>
  <c r="AH34" i="50"/>
  <c r="X7" i="30"/>
  <c r="W7" i="54" s="1"/>
  <c r="W59" i="54" s="1"/>
  <c r="X34" i="50"/>
  <c r="X17" i="50"/>
  <c r="X35" i="50"/>
  <c r="X25" i="30"/>
  <c r="W25" i="54" s="1"/>
  <c r="W77" i="54" s="1"/>
  <c r="X19" i="30"/>
  <c r="W19" i="54" s="1"/>
  <c r="W71" i="54" s="1"/>
  <c r="X42" i="30"/>
  <c r="W42" i="54" s="1"/>
  <c r="W94" i="54" s="1"/>
  <c r="X40" i="50"/>
  <c r="X36" i="50"/>
  <c r="X45" i="50"/>
  <c r="X7" i="50"/>
  <c r="X25" i="50"/>
  <c r="X49" i="50"/>
  <c r="X11" i="50"/>
  <c r="X12" i="30"/>
  <c r="W12" i="54" s="1"/>
  <c r="W64" i="54" s="1"/>
  <c r="X39" i="30"/>
  <c r="W39" i="54" s="1"/>
  <c r="W91" i="54" s="1"/>
  <c r="X26" i="30"/>
  <c r="W26" i="54" s="1"/>
  <c r="W78" i="54" s="1"/>
  <c r="X12" i="50"/>
  <c r="X21" i="50"/>
  <c r="X8" i="30"/>
  <c r="W8" i="54" s="1"/>
  <c r="W60" i="54" s="1"/>
  <c r="X14" i="30"/>
  <c r="W14" i="54" s="1"/>
  <c r="W66" i="54" s="1"/>
  <c r="X5" i="30"/>
  <c r="X30" i="30"/>
  <c r="W30" i="54" s="1"/>
  <c r="W82" i="54" s="1"/>
  <c r="X45" i="30"/>
  <c r="W45" i="54" s="1"/>
  <c r="W97" i="54" s="1"/>
  <c r="X17" i="30"/>
  <c r="W17" i="54" s="1"/>
  <c r="W69" i="54" s="1"/>
  <c r="X28" i="50"/>
  <c r="X29" i="50"/>
  <c r="X44" i="50"/>
  <c r="X28" i="30"/>
  <c r="W28" i="54" s="1"/>
  <c r="W80" i="54" s="1"/>
  <c r="X47" i="30"/>
  <c r="W47" i="54" s="1"/>
  <c r="W99" i="54" s="1"/>
  <c r="X10" i="30"/>
  <c r="W10" i="54" s="1"/>
  <c r="W62" i="54" s="1"/>
  <c r="X19" i="50"/>
  <c r="X16" i="50"/>
  <c r="X33" i="50"/>
  <c r="X6" i="50"/>
  <c r="X51" i="50"/>
  <c r="X48" i="50"/>
  <c r="X20" i="50"/>
  <c r="X5" i="50"/>
  <c r="X15" i="30"/>
  <c r="W15" i="54" s="1"/>
  <c r="W67" i="54" s="1"/>
  <c r="X40" i="30"/>
  <c r="W40" i="54" s="1"/>
  <c r="W92" i="54" s="1"/>
  <c r="X29" i="30"/>
  <c r="W29" i="54" s="1"/>
  <c r="W81" i="54" s="1"/>
  <c r="X42" i="50"/>
  <c r="X18" i="30"/>
  <c r="W18" i="54" s="1"/>
  <c r="W70" i="54" s="1"/>
  <c r="X23" i="30"/>
  <c r="W23" i="54" s="1"/>
  <c r="W75" i="54" s="1"/>
  <c r="X36" i="30"/>
  <c r="W36" i="54" s="1"/>
  <c r="W88" i="54" s="1"/>
  <c r="X37" i="30"/>
  <c r="W37" i="54" s="1"/>
  <c r="W89" i="54" s="1"/>
  <c r="X44" i="30"/>
  <c r="W44" i="54" s="1"/>
  <c r="W96" i="54" s="1"/>
  <c r="X22" i="50"/>
  <c r="X50" i="50"/>
  <c r="X8" i="50"/>
  <c r="X31" i="30"/>
  <c r="W31" i="54" s="1"/>
  <c r="W83" i="54" s="1"/>
  <c r="X48" i="30"/>
  <c r="W48" i="54" s="1"/>
  <c r="W100" i="54" s="1"/>
  <c r="X13" i="30"/>
  <c r="W13" i="54" s="1"/>
  <c r="W65" i="54" s="1"/>
  <c r="X15" i="50"/>
  <c r="X10" i="50"/>
  <c r="X24" i="50"/>
  <c r="X39" i="50"/>
  <c r="X46" i="50"/>
  <c r="X32" i="50"/>
  <c r="X14" i="50"/>
  <c r="X38" i="50"/>
  <c r="X6" i="30"/>
  <c r="W6" i="54" s="1"/>
  <c r="W58" i="54" s="1"/>
  <c r="X32" i="30"/>
  <c r="W32" i="54" s="1"/>
  <c r="W84" i="54" s="1"/>
  <c r="X49" i="30"/>
  <c r="W49" i="54" s="1"/>
  <c r="W101" i="54" s="1"/>
  <c r="X30" i="50"/>
  <c r="X35" i="30"/>
  <c r="W35" i="54" s="1"/>
  <c r="W87" i="54" s="1"/>
  <c r="X11" i="30"/>
  <c r="W11" i="54" s="1"/>
  <c r="W63" i="54" s="1"/>
  <c r="X51" i="30"/>
  <c r="W51" i="54" s="1"/>
  <c r="W103" i="54" s="1"/>
  <c r="X20" i="30"/>
  <c r="W20" i="54" s="1"/>
  <c r="W72" i="54" s="1"/>
  <c r="X24" i="30"/>
  <c r="W24" i="54" s="1"/>
  <c r="W76" i="54" s="1"/>
  <c r="X47" i="50"/>
  <c r="X23" i="50"/>
  <c r="X37" i="50"/>
  <c r="X22" i="30"/>
  <c r="W22" i="54" s="1"/>
  <c r="W74" i="54" s="1"/>
  <c r="X16" i="30"/>
  <c r="W16" i="54" s="1"/>
  <c r="W68" i="54" s="1"/>
  <c r="X41" i="30"/>
  <c r="W41" i="54" s="1"/>
  <c r="W93" i="54" s="1"/>
  <c r="X9" i="50"/>
  <c r="X41" i="50"/>
  <c r="X18" i="50"/>
  <c r="X13" i="50"/>
  <c r="X31" i="50"/>
  <c r="X26" i="50"/>
  <c r="X43" i="50"/>
  <c r="X38" i="30"/>
  <c r="W38" i="54" s="1"/>
  <c r="W90" i="54" s="1"/>
  <c r="X9" i="30"/>
  <c r="W9" i="54" s="1"/>
  <c r="W61" i="54" s="1"/>
  <c r="X34" i="30"/>
  <c r="W34" i="54" s="1"/>
  <c r="W86" i="54" s="1"/>
  <c r="X50" i="30"/>
  <c r="W50" i="54" s="1"/>
  <c r="W102" i="54" s="1"/>
  <c r="X27" i="50"/>
  <c r="X27" i="30"/>
  <c r="W27" i="54" s="1"/>
  <c r="W79" i="54" s="1"/>
  <c r="X33" i="30"/>
  <c r="W33" i="54" s="1"/>
  <c r="W85" i="54" s="1"/>
  <c r="X21" i="30"/>
  <c r="W21" i="54" s="1"/>
  <c r="W73" i="54" s="1"/>
  <c r="X46" i="30"/>
  <c r="W46" i="54" s="1"/>
  <c r="W98" i="54" s="1"/>
  <c r="X43" i="30"/>
  <c r="W43" i="54" s="1"/>
  <c r="W95" i="54" s="1"/>
  <c r="N23" i="51"/>
  <c r="N23" i="34"/>
  <c r="N23" i="35"/>
  <c r="N24" i="51"/>
  <c r="N24" i="34"/>
  <c r="N24" i="35"/>
  <c r="N34" i="51"/>
  <c r="N34" i="34"/>
  <c r="N34" i="35"/>
  <c r="N12" i="51"/>
  <c r="N12" i="34"/>
  <c r="N12" i="35"/>
  <c r="N15" i="51"/>
  <c r="N15" i="34"/>
  <c r="N15" i="35"/>
  <c r="N30" i="51"/>
  <c r="N30" i="34"/>
  <c r="N30" i="35"/>
  <c r="N13" i="51"/>
  <c r="N13" i="34"/>
  <c r="N13" i="35"/>
  <c r="N37" i="51"/>
  <c r="N37" i="34"/>
  <c r="N37" i="35"/>
  <c r="N20" i="51"/>
  <c r="N20" i="35"/>
  <c r="N20" i="34"/>
  <c r="U45" i="35"/>
  <c r="U7" i="30"/>
  <c r="T7" i="54" s="1"/>
  <c r="T59" i="54" s="1"/>
  <c r="L16" i="30"/>
  <c r="L16" i="54" s="1"/>
  <c r="L68" i="54" s="1"/>
  <c r="L33" i="30"/>
  <c r="L33" i="54" s="1"/>
  <c r="L85" i="54" s="1"/>
  <c r="L38" i="30"/>
  <c r="L38" i="54" s="1"/>
  <c r="L90" i="54" s="1"/>
  <c r="L24" i="30"/>
  <c r="L24" i="54" s="1"/>
  <c r="L76" i="54" s="1"/>
  <c r="L36" i="30"/>
  <c r="L36" i="54" s="1"/>
  <c r="L88" i="54" s="1"/>
  <c r="L23" i="30"/>
  <c r="L23" i="54" s="1"/>
  <c r="L75" i="54" s="1"/>
  <c r="L5" i="30"/>
  <c r="L12" i="30"/>
  <c r="L12" i="54" s="1"/>
  <c r="L64" i="54" s="1"/>
  <c r="L20" i="30"/>
  <c r="L20" i="54" s="1"/>
  <c r="L72" i="54" s="1"/>
  <c r="L29" i="30"/>
  <c r="L29" i="54" s="1"/>
  <c r="L81" i="54" s="1"/>
  <c r="L21" i="30"/>
  <c r="L21" i="54" s="1"/>
  <c r="L73" i="54" s="1"/>
  <c r="L42" i="30"/>
  <c r="L42" i="54" s="1"/>
  <c r="L94" i="54" s="1"/>
  <c r="L37" i="30"/>
  <c r="L37" i="54" s="1"/>
  <c r="L89" i="54" s="1"/>
  <c r="L31" i="30"/>
  <c r="L31" i="54" s="1"/>
  <c r="L83" i="54" s="1"/>
  <c r="L26" i="30"/>
  <c r="L26" i="54" s="1"/>
  <c r="L78" i="54" s="1"/>
  <c r="L40" i="30"/>
  <c r="L40" i="54" s="1"/>
  <c r="L92" i="54" s="1"/>
  <c r="L13" i="30"/>
  <c r="L13" i="54" s="1"/>
  <c r="L65" i="54" s="1"/>
  <c r="L35" i="30"/>
  <c r="L35" i="54" s="1"/>
  <c r="L87" i="54" s="1"/>
  <c r="L32" i="30"/>
  <c r="L32" i="54" s="1"/>
  <c r="L84" i="54" s="1"/>
  <c r="L6" i="30"/>
  <c r="L6" i="54" s="1"/>
  <c r="L58" i="54" s="1"/>
  <c r="L49" i="30"/>
  <c r="L49" i="54" s="1"/>
  <c r="L101" i="54" s="1"/>
  <c r="L18" i="30"/>
  <c r="L18" i="54" s="1"/>
  <c r="L70" i="54" s="1"/>
  <c r="L30" i="30"/>
  <c r="L30" i="54" s="1"/>
  <c r="L82" i="54" s="1"/>
  <c r="L51" i="30"/>
  <c r="L51" i="54" s="1"/>
  <c r="L103" i="54" s="1"/>
  <c r="L11" i="30"/>
  <c r="L11" i="54" s="1"/>
  <c r="L63" i="54" s="1"/>
  <c r="L17" i="30"/>
  <c r="L17" i="54" s="1"/>
  <c r="L69" i="54" s="1"/>
  <c r="L10" i="30"/>
  <c r="L10" i="54" s="1"/>
  <c r="L62" i="54" s="1"/>
  <c r="L34" i="30"/>
  <c r="L34" i="54" s="1"/>
  <c r="L86" i="54" s="1"/>
  <c r="L39" i="30"/>
  <c r="L39" i="54" s="1"/>
  <c r="L91" i="54" s="1"/>
  <c r="L43" i="30"/>
  <c r="L43" i="54" s="1"/>
  <c r="L95" i="54" s="1"/>
  <c r="L22" i="30"/>
  <c r="L22" i="54" s="1"/>
  <c r="L74" i="54" s="1"/>
  <c r="L25" i="30"/>
  <c r="L25" i="54" s="1"/>
  <c r="L77" i="54" s="1"/>
  <c r="L27" i="30"/>
  <c r="L27" i="54" s="1"/>
  <c r="L79" i="54" s="1"/>
  <c r="L7" i="30"/>
  <c r="L7" i="54" s="1"/>
  <c r="L59" i="54" s="1"/>
  <c r="L11" i="50"/>
  <c r="L40" i="50"/>
  <c r="R53" i="31"/>
  <c r="O13" i="50"/>
  <c r="O49" i="50"/>
  <c r="O42" i="50"/>
  <c r="O9" i="50"/>
  <c r="O34" i="50"/>
  <c r="O22" i="50"/>
  <c r="O5" i="50"/>
  <c r="O31" i="50"/>
  <c r="W20" i="35"/>
  <c r="W33" i="34"/>
  <c r="Q39" i="55"/>
  <c r="Q83" i="55" s="1"/>
  <c r="Q11" i="55"/>
  <c r="Q55" i="55" s="1"/>
  <c r="P41" i="51"/>
  <c r="P41" i="34"/>
  <c r="P41" i="35"/>
  <c r="P29" i="51"/>
  <c r="P29" i="34"/>
  <c r="P29" i="35"/>
  <c r="P35" i="51"/>
  <c r="P35" i="34"/>
  <c r="P35" i="55" s="1"/>
  <c r="P79" i="55" s="1"/>
  <c r="P35" i="35"/>
  <c r="P24" i="51"/>
  <c r="P24" i="34"/>
  <c r="P24" i="35"/>
  <c r="P14" i="51"/>
  <c r="P14" i="35"/>
  <c r="P14" i="34"/>
  <c r="P14" i="55" s="1"/>
  <c r="P58" i="55" s="1"/>
  <c r="P26" i="51"/>
  <c r="P26" i="34"/>
  <c r="P26" i="35"/>
  <c r="P6" i="51"/>
  <c r="P6" i="34"/>
  <c r="P6" i="55" s="1"/>
  <c r="P50" i="55" s="1"/>
  <c r="P6" i="35"/>
  <c r="P30" i="51"/>
  <c r="P30" i="34"/>
  <c r="P30" i="35"/>
  <c r="P38" i="51"/>
  <c r="P38" i="34"/>
  <c r="P38" i="35"/>
  <c r="P17" i="51"/>
  <c r="P17" i="34"/>
  <c r="P17" i="35"/>
  <c r="Q15" i="50"/>
  <c r="Q45" i="50"/>
  <c r="Q38" i="50"/>
  <c r="Q28" i="50"/>
  <c r="AH26" i="50"/>
  <c r="W8" i="35"/>
  <c r="P37" i="30"/>
  <c r="P37" i="54" s="1"/>
  <c r="P89" i="54" s="1"/>
  <c r="P12" i="30"/>
  <c r="P12" i="54" s="1"/>
  <c r="P64" i="54" s="1"/>
  <c r="P43" i="30"/>
  <c r="P43" i="54" s="1"/>
  <c r="P95" i="54" s="1"/>
  <c r="P28" i="30"/>
  <c r="P30" i="30"/>
  <c r="P30" i="54" s="1"/>
  <c r="P82" i="54" s="1"/>
  <c r="P6" i="30"/>
  <c r="P6" i="54" s="1"/>
  <c r="P58" i="54" s="1"/>
  <c r="P35" i="30"/>
  <c r="P35" i="54" s="1"/>
  <c r="P87" i="54" s="1"/>
  <c r="P5" i="30"/>
  <c r="P22" i="30"/>
  <c r="P48" i="30"/>
  <c r="P48" i="54" s="1"/>
  <c r="P100" i="54" s="1"/>
  <c r="P21" i="30"/>
  <c r="P50" i="30"/>
  <c r="P50" i="54" s="1"/>
  <c r="P102" i="54" s="1"/>
  <c r="P24" i="30"/>
  <c r="P40" i="30"/>
  <c r="P40" i="54" s="1"/>
  <c r="P92" i="54" s="1"/>
  <c r="P32" i="30"/>
  <c r="P32" i="54" s="1"/>
  <c r="P84" i="54" s="1"/>
  <c r="P15" i="30"/>
  <c r="P15" i="54" s="1"/>
  <c r="P67" i="54" s="1"/>
  <c r="P49" i="30"/>
  <c r="P49" i="54" s="1"/>
  <c r="P101" i="54" s="1"/>
  <c r="P19" i="30"/>
  <c r="P19" i="54" s="1"/>
  <c r="P71" i="54" s="1"/>
  <c r="P33" i="30"/>
  <c r="P33" i="54" s="1"/>
  <c r="P85" i="54" s="1"/>
  <c r="P8" i="30"/>
  <c r="P8" i="54" s="1"/>
  <c r="P60" i="54" s="1"/>
  <c r="P10" i="30"/>
  <c r="P10" i="54" s="1"/>
  <c r="P62" i="54" s="1"/>
  <c r="P46" i="30"/>
  <c r="P46" i="54" s="1"/>
  <c r="P98" i="54" s="1"/>
  <c r="P17" i="30"/>
  <c r="P17" i="54" s="1"/>
  <c r="P69" i="54" s="1"/>
  <c r="Z25" i="51"/>
  <c r="AA25" i="51" s="1"/>
  <c r="AA25" i="33"/>
  <c r="Z25" i="34"/>
  <c r="AA25" i="34" s="1"/>
  <c r="Z25" i="35"/>
  <c r="AA25" i="35" s="1"/>
  <c r="Z39" i="51"/>
  <c r="AA39" i="51" s="1"/>
  <c r="AA39" i="33"/>
  <c r="Z39" i="34"/>
  <c r="AA39" i="34" s="1"/>
  <c r="Z39" i="35"/>
  <c r="AA39" i="35" s="1"/>
  <c r="Z14" i="51"/>
  <c r="AA14" i="51" s="1"/>
  <c r="Z14" i="34"/>
  <c r="AA14" i="34" s="1"/>
  <c r="AA14" i="33"/>
  <c r="Z14" i="35"/>
  <c r="AA14" i="35" s="1"/>
  <c r="Z10" i="51"/>
  <c r="AA10" i="51" s="1"/>
  <c r="Z10" i="34"/>
  <c r="AA10" i="34" s="1"/>
  <c r="AA10" i="33"/>
  <c r="Z10" i="35"/>
  <c r="AA10" i="35" s="1"/>
  <c r="Z40" i="51"/>
  <c r="AA40" i="51" s="1"/>
  <c r="Z40" i="35"/>
  <c r="AA40" i="35" s="1"/>
  <c r="AA40" i="33"/>
  <c r="Z40" i="34"/>
  <c r="AA40" i="34" s="1"/>
  <c r="Z6" i="51"/>
  <c r="AA6" i="51" s="1"/>
  <c r="Z6" i="35"/>
  <c r="AA6" i="35" s="1"/>
  <c r="Z6" i="34"/>
  <c r="AA6" i="34" s="1"/>
  <c r="AA6" i="33"/>
  <c r="Z28" i="51"/>
  <c r="AA28" i="51" s="1"/>
  <c r="Z28" i="34"/>
  <c r="AA28" i="34" s="1"/>
  <c r="Z28" i="35"/>
  <c r="AA28" i="35" s="1"/>
  <c r="AA28" i="33"/>
  <c r="Z23" i="51"/>
  <c r="AA23" i="51" s="1"/>
  <c r="Z23" i="34"/>
  <c r="AA23" i="34" s="1"/>
  <c r="Z23" i="35"/>
  <c r="AA23" i="35" s="1"/>
  <c r="AA23" i="33"/>
  <c r="Z32" i="51"/>
  <c r="AA32" i="51" s="1"/>
  <c r="AA32" i="33"/>
  <c r="Z32" i="35"/>
  <c r="AA32" i="35" s="1"/>
  <c r="Z32" i="34"/>
  <c r="AA32" i="34" s="1"/>
  <c r="Z17" i="51"/>
  <c r="AA17" i="51" s="1"/>
  <c r="Z17" i="35"/>
  <c r="AA17" i="35" s="1"/>
  <c r="AA17" i="33"/>
  <c r="Z17" i="34"/>
  <c r="AA17" i="34" s="1"/>
  <c r="U21" i="30"/>
  <c r="T21" i="54" s="1"/>
  <c r="T73" i="54" s="1"/>
  <c r="L27" i="50"/>
  <c r="L30" i="50"/>
  <c r="O14" i="50"/>
  <c r="O47" i="50"/>
  <c r="O44" i="50"/>
  <c r="O10" i="50"/>
  <c r="O36" i="50"/>
  <c r="O29" i="50"/>
  <c r="O19" i="50"/>
  <c r="AI40" i="50"/>
  <c r="AI42" i="50"/>
  <c r="O51" i="30"/>
  <c r="O51" i="54" s="1"/>
  <c r="O103" i="54" s="1"/>
  <c r="L42" i="51"/>
  <c r="L41" i="51"/>
  <c r="L22" i="51"/>
  <c r="L5" i="51"/>
  <c r="L13" i="51"/>
  <c r="L12" i="51"/>
  <c r="W25" i="30"/>
  <c r="V25" i="54" s="1"/>
  <c r="V77" i="54" s="1"/>
  <c r="W49" i="30"/>
  <c r="V49" i="54" s="1"/>
  <c r="V101" i="54" s="1"/>
  <c r="W43" i="30"/>
  <c r="V43" i="54" s="1"/>
  <c r="V95" i="54" s="1"/>
  <c r="W32" i="30"/>
  <c r="V32" i="54" s="1"/>
  <c r="V84" i="54" s="1"/>
  <c r="W32" i="50"/>
  <c r="W35" i="50"/>
  <c r="W9" i="50"/>
  <c r="W6" i="50"/>
  <c r="W15" i="50"/>
  <c r="W48" i="50"/>
  <c r="W38" i="50"/>
  <c r="W40" i="50"/>
  <c r="W22" i="50"/>
  <c r="W16" i="50"/>
  <c r="W25" i="50"/>
  <c r="W44" i="50"/>
  <c r="W26" i="30"/>
  <c r="V26" i="54" s="1"/>
  <c r="V78" i="54" s="1"/>
  <c r="W31" i="30"/>
  <c r="V31" i="54" s="1"/>
  <c r="V83" i="54" s="1"/>
  <c r="W39" i="30"/>
  <c r="V39" i="54" s="1"/>
  <c r="V91" i="54" s="1"/>
  <c r="W44" i="30"/>
  <c r="V44" i="54" s="1"/>
  <c r="V96" i="54" s="1"/>
  <c r="W38" i="30"/>
  <c r="V38" i="54" s="1"/>
  <c r="V90" i="54" s="1"/>
  <c r="W28" i="50"/>
  <c r="W9" i="30"/>
  <c r="V9" i="54" s="1"/>
  <c r="V61" i="54" s="1"/>
  <c r="W27" i="30"/>
  <c r="V27" i="54" s="1"/>
  <c r="V79" i="54" s="1"/>
  <c r="W36" i="30"/>
  <c r="V36" i="54" s="1"/>
  <c r="V88" i="54" s="1"/>
  <c r="W21" i="50"/>
  <c r="W5" i="50"/>
  <c r="W18" i="50"/>
  <c r="W39" i="50"/>
  <c r="W20" i="30"/>
  <c r="V20" i="54" s="1"/>
  <c r="V72" i="54" s="1"/>
  <c r="W50" i="50"/>
  <c r="W30" i="50"/>
  <c r="W46" i="50"/>
  <c r="W51" i="50"/>
  <c r="W31" i="50"/>
  <c r="W14" i="50"/>
  <c r="W11" i="50"/>
  <c r="W26" i="50"/>
  <c r="W42" i="50"/>
  <c r="W47" i="50"/>
  <c r="W36" i="50"/>
  <c r="W30" i="30"/>
  <c r="V30" i="54" s="1"/>
  <c r="V82" i="54" s="1"/>
  <c r="W35" i="30"/>
  <c r="V35" i="54" s="1"/>
  <c r="V87" i="54" s="1"/>
  <c r="W22" i="30"/>
  <c r="V22" i="54" s="1"/>
  <c r="V74" i="54" s="1"/>
  <c r="W48" i="30"/>
  <c r="V48" i="54" s="1"/>
  <c r="V100" i="54" s="1"/>
  <c r="W13" i="30"/>
  <c r="V13" i="54" s="1"/>
  <c r="V65" i="54" s="1"/>
  <c r="W47" i="30"/>
  <c r="V47" i="54" s="1"/>
  <c r="V99" i="54" s="1"/>
  <c r="W37" i="50"/>
  <c r="W11" i="30"/>
  <c r="V11" i="54" s="1"/>
  <c r="V63" i="54" s="1"/>
  <c r="W34" i="50"/>
  <c r="W12" i="30"/>
  <c r="V12" i="54" s="1"/>
  <c r="V64" i="54" s="1"/>
  <c r="W33" i="30"/>
  <c r="V33" i="54" s="1"/>
  <c r="V85" i="54" s="1"/>
  <c r="W24" i="50"/>
  <c r="W49" i="50"/>
  <c r="W27" i="50"/>
  <c r="W45" i="50"/>
  <c r="W10" i="50"/>
  <c r="W20" i="50"/>
  <c r="W23" i="50"/>
  <c r="W33" i="50"/>
  <c r="W43" i="50"/>
  <c r="W41" i="50"/>
  <c r="W41" i="30"/>
  <c r="V41" i="54" s="1"/>
  <c r="V93" i="54" s="1"/>
  <c r="W16" i="30"/>
  <c r="V16" i="54" s="1"/>
  <c r="V68" i="54" s="1"/>
  <c r="W23" i="30"/>
  <c r="V23" i="54" s="1"/>
  <c r="V75" i="54" s="1"/>
  <c r="W5" i="30"/>
  <c r="W28" i="30"/>
  <c r="V28" i="54" s="1"/>
  <c r="V80" i="54" s="1"/>
  <c r="W17" i="30"/>
  <c r="V17" i="54" s="1"/>
  <c r="V69" i="54" s="1"/>
  <c r="W42" i="30"/>
  <c r="V42" i="54" s="1"/>
  <c r="V94" i="54" s="1"/>
  <c r="W15" i="30"/>
  <c r="V15" i="54" s="1"/>
  <c r="V67" i="54" s="1"/>
  <c r="W51" i="30"/>
  <c r="V51" i="54" s="1"/>
  <c r="V103" i="54" s="1"/>
  <c r="W50" i="30"/>
  <c r="V50" i="54" s="1"/>
  <c r="V102" i="54" s="1"/>
  <c r="W14" i="30"/>
  <c r="V14" i="54" s="1"/>
  <c r="V66" i="54" s="1"/>
  <c r="W21" i="30"/>
  <c r="V21" i="54" s="1"/>
  <c r="V73" i="54" s="1"/>
  <c r="W8" i="50"/>
  <c r="W12" i="50"/>
  <c r="W19" i="50"/>
  <c r="W13" i="50"/>
  <c r="W29" i="50"/>
  <c r="W7" i="50"/>
  <c r="W17" i="50"/>
  <c r="W6" i="30"/>
  <c r="V6" i="54" s="1"/>
  <c r="V58" i="54" s="1"/>
  <c r="W45" i="30"/>
  <c r="V45" i="54" s="1"/>
  <c r="V97" i="54" s="1"/>
  <c r="W18" i="30"/>
  <c r="V18" i="54" s="1"/>
  <c r="V70" i="54" s="1"/>
  <c r="W37" i="30"/>
  <c r="V37" i="54" s="1"/>
  <c r="V89" i="54" s="1"/>
  <c r="W7" i="30"/>
  <c r="V7" i="54" s="1"/>
  <c r="V59" i="54" s="1"/>
  <c r="W19" i="30"/>
  <c r="V19" i="54" s="1"/>
  <c r="V71" i="54" s="1"/>
  <c r="W46" i="30"/>
  <c r="V46" i="54" s="1"/>
  <c r="V98" i="54" s="1"/>
  <c r="Q10" i="55"/>
  <c r="Q54" i="55" s="1"/>
  <c r="Q49" i="50"/>
  <c r="M48" i="31"/>
  <c r="M28" i="31"/>
  <c r="M13" i="31"/>
  <c r="N36" i="51"/>
  <c r="N36" i="34"/>
  <c r="N36" i="35"/>
  <c r="N29" i="51"/>
  <c r="N29" i="34"/>
  <c r="N29" i="35"/>
  <c r="N17" i="51"/>
  <c r="N17" i="34"/>
  <c r="N17" i="35"/>
  <c r="N17" i="55" s="1"/>
  <c r="N61" i="55" s="1"/>
  <c r="N31" i="51"/>
  <c r="N31" i="34"/>
  <c r="N31" i="35"/>
  <c r="I9" i="57"/>
  <c r="I14" i="57" s="1"/>
  <c r="P9" i="51"/>
  <c r="P9" i="34"/>
  <c r="P9" i="35"/>
  <c r="P27" i="51"/>
  <c r="P27" i="34"/>
  <c r="P27" i="35"/>
  <c r="P7" i="51"/>
  <c r="P7" i="35"/>
  <c r="P7" i="34"/>
  <c r="Q45" i="30"/>
  <c r="Q45" i="54" s="1"/>
  <c r="Q97" i="54" s="1"/>
  <c r="Q24" i="50"/>
  <c r="Q12" i="50"/>
  <c r="S18" i="55"/>
  <c r="S62" i="55" s="1"/>
  <c r="Z43" i="51"/>
  <c r="AA43" i="51" s="1"/>
  <c r="AA43" i="33"/>
  <c r="Z43" i="34"/>
  <c r="AA43" i="34" s="1"/>
  <c r="Z43" i="35"/>
  <c r="AA43" i="35" s="1"/>
  <c r="Z42" i="51"/>
  <c r="AA42" i="51" s="1"/>
  <c r="Z42" i="35"/>
  <c r="AA42" i="35" s="1"/>
  <c r="Z42" i="34"/>
  <c r="AA42" i="34" s="1"/>
  <c r="AA42" i="33"/>
  <c r="Z36" i="51"/>
  <c r="AA36" i="51" s="1"/>
  <c r="AA36" i="33"/>
  <c r="Z36" i="34"/>
  <c r="AA36" i="34" s="1"/>
  <c r="Z36" i="35"/>
  <c r="AA36" i="35" s="1"/>
  <c r="Z24" i="51"/>
  <c r="AA24" i="51" s="1"/>
  <c r="AA24" i="33"/>
  <c r="Z24" i="34"/>
  <c r="AA24" i="34" s="1"/>
  <c r="Z24" i="35"/>
  <c r="AA24" i="35" s="1"/>
  <c r="Y9" i="31"/>
  <c r="Y37" i="31"/>
  <c r="Y38" i="31"/>
  <c r="Y43" i="31"/>
  <c r="Y17" i="31"/>
  <c r="Y34" i="31"/>
  <c r="Y45" i="31"/>
  <c r="Y21" i="31"/>
  <c r="Y5" i="31"/>
  <c r="Y35" i="31"/>
  <c r="Y7" i="31"/>
  <c r="Y14" i="31"/>
  <c r="Y32" i="31"/>
  <c r="Y18" i="31"/>
  <c r="Y36" i="31"/>
  <c r="Y19" i="31"/>
  <c r="Y51" i="31"/>
  <c r="Y33" i="31"/>
  <c r="Y23" i="31"/>
  <c r="Y44" i="31"/>
  <c r="Y16" i="31"/>
  <c r="Y30" i="31"/>
  <c r="Y46" i="31"/>
  <c r="Y20" i="31"/>
  <c r="L35" i="51"/>
  <c r="N58" i="30"/>
  <c r="L26" i="51"/>
  <c r="L40" i="51"/>
  <c r="L36" i="51"/>
  <c r="L18" i="51"/>
  <c r="L6" i="51"/>
  <c r="F47" i="5"/>
  <c r="T56" i="50"/>
  <c r="L8" i="51"/>
  <c r="Q8" i="51" s="1"/>
  <c r="L33" i="51"/>
  <c r="L39" i="51"/>
  <c r="L23" i="51"/>
  <c r="L38" i="51"/>
  <c r="L19" i="51"/>
  <c r="L30" i="51"/>
  <c r="Q30" i="51" s="1"/>
  <c r="L20" i="51"/>
  <c r="L11" i="51"/>
  <c r="L10" i="51"/>
  <c r="Q34" i="55"/>
  <c r="Q78" i="55" s="1"/>
  <c r="Q14" i="55"/>
  <c r="Q58" i="55" s="1"/>
  <c r="Q18" i="55"/>
  <c r="Q62" i="55" s="1"/>
  <c r="Q17" i="50"/>
  <c r="Q21" i="50"/>
  <c r="Q48" i="50"/>
  <c r="Q41" i="50"/>
  <c r="Q13" i="50"/>
  <c r="Q33" i="50"/>
  <c r="Q18" i="50"/>
  <c r="AH5" i="50"/>
  <c r="AH18" i="30"/>
  <c r="AD18" i="54" s="1"/>
  <c r="AD70" i="54" s="1"/>
  <c r="AH35" i="30"/>
  <c r="AD35" i="54" s="1"/>
  <c r="AD87" i="54" s="1"/>
  <c r="AH28" i="30"/>
  <c r="AD28" i="54" s="1"/>
  <c r="AD80" i="54" s="1"/>
  <c r="AH36" i="30"/>
  <c r="AD36" i="54" s="1"/>
  <c r="AD88" i="54" s="1"/>
  <c r="AH10" i="30"/>
  <c r="AD10" i="54" s="1"/>
  <c r="AD62" i="54" s="1"/>
  <c r="O45" i="35"/>
  <c r="Y33" i="30"/>
  <c r="X33" i="54" s="1"/>
  <c r="X85" i="54" s="1"/>
  <c r="Y34" i="50"/>
  <c r="Y26" i="30"/>
  <c r="Y27" i="30"/>
  <c r="Y21" i="50"/>
  <c r="Y33" i="50"/>
  <c r="Y9" i="30"/>
  <c r="Y15" i="30"/>
  <c r="Y39" i="30"/>
  <c r="X39" i="54" s="1"/>
  <c r="X91" i="54" s="1"/>
  <c r="Y7" i="30"/>
  <c r="Y45" i="50"/>
  <c r="Y20" i="30"/>
  <c r="Y43" i="50"/>
  <c r="Y27" i="50"/>
  <c r="Y18" i="50"/>
  <c r="Y10" i="50"/>
  <c r="Y9" i="50"/>
  <c r="Y13" i="50"/>
  <c r="Y44" i="50"/>
  <c r="Y12" i="50"/>
  <c r="Y43" i="30"/>
  <c r="Y17" i="30"/>
  <c r="Y34" i="30"/>
  <c r="X34" i="54" s="1"/>
  <c r="X86" i="54" s="1"/>
  <c r="Y45" i="30"/>
  <c r="Y31" i="30"/>
  <c r="Y48" i="30"/>
  <c r="Y24" i="30"/>
  <c r="Y24" i="50"/>
  <c r="Y23" i="30"/>
  <c r="Y42" i="30"/>
  <c r="Y12" i="30"/>
  <c r="Y6" i="30"/>
  <c r="Y48" i="50"/>
  <c r="Y40" i="50"/>
  <c r="Y37" i="50"/>
  <c r="Y19" i="50"/>
  <c r="Y38" i="30"/>
  <c r="Y25" i="50"/>
  <c r="Y20" i="50"/>
  <c r="Y50" i="50"/>
  <c r="Y38" i="50"/>
  <c r="Y14" i="50"/>
  <c r="Y14" i="30"/>
  <c r="X14" i="54" s="1"/>
  <c r="X66" i="54" s="1"/>
  <c r="Y32" i="30"/>
  <c r="X32" i="54" s="1"/>
  <c r="X84" i="54" s="1"/>
  <c r="Y51" i="30"/>
  <c r="Y22" i="50"/>
  <c r="Y50" i="30"/>
  <c r="Y28" i="30"/>
  <c r="Y47" i="30"/>
  <c r="Y25" i="30"/>
  <c r="Y26" i="50"/>
  <c r="Y42" i="50"/>
  <c r="Y41" i="30"/>
  <c r="Y13" i="30"/>
  <c r="Y11" i="30"/>
  <c r="X11" i="54" s="1"/>
  <c r="X63" i="54" s="1"/>
  <c r="Y46" i="30"/>
  <c r="Y6" i="50"/>
  <c r="Y7" i="50"/>
  <c r="Y17" i="50"/>
  <c r="Y41" i="50"/>
  <c r="Y36" i="30"/>
  <c r="Y28" i="50"/>
  <c r="Y30" i="50"/>
  <c r="Y39" i="50"/>
  <c r="Y36" i="50"/>
  <c r="Y16" i="50"/>
  <c r="Y35" i="30"/>
  <c r="X35" i="54" s="1"/>
  <c r="X87" i="54" s="1"/>
  <c r="Y19" i="30"/>
  <c r="Y23" i="50"/>
  <c r="Y49" i="30"/>
  <c r="Y29" i="30"/>
  <c r="Y22" i="30"/>
  <c r="Y37" i="30"/>
  <c r="X37" i="54" s="1"/>
  <c r="X89" i="54" s="1"/>
  <c r="Y29" i="50"/>
  <c r="Y10" i="30"/>
  <c r="Y40" i="30"/>
  <c r="Y8" i="30"/>
  <c r="Y51" i="50"/>
  <c r="Y18" i="30"/>
  <c r="X18" i="54" s="1"/>
  <c r="X70" i="54" s="1"/>
  <c r="Y8" i="50"/>
  <c r="Y5" i="50"/>
  <c r="Y31" i="50"/>
  <c r="Y21" i="30"/>
  <c r="X21" i="54" s="1"/>
  <c r="X73" i="54" s="1"/>
  <c r="Y47" i="50"/>
  <c r="Y46" i="50"/>
  <c r="Y32" i="50"/>
  <c r="Y11" i="50"/>
  <c r="Y35" i="50"/>
  <c r="Y49" i="50"/>
  <c r="Y15" i="50"/>
  <c r="Y5" i="30"/>
  <c r="Y44" i="30"/>
  <c r="Y16" i="30"/>
  <c r="Y30" i="30"/>
  <c r="X30" i="54" s="1"/>
  <c r="X82" i="54" s="1"/>
  <c r="Y50" i="31"/>
  <c r="Y28" i="31"/>
  <c r="Q29" i="55"/>
  <c r="Q73" i="55" s="1"/>
  <c r="Q28" i="55"/>
  <c r="Q72" i="55" s="1"/>
  <c r="Q5" i="30"/>
  <c r="Q5" i="54" s="1"/>
  <c r="Q57" i="54" s="1"/>
  <c r="Q11" i="50"/>
  <c r="Q26" i="50"/>
  <c r="Q50" i="50"/>
  <c r="Q39" i="50"/>
  <c r="Q22" i="50"/>
  <c r="Q31" i="50"/>
  <c r="Q20" i="50"/>
  <c r="AH37" i="30"/>
  <c r="AD37" i="54" s="1"/>
  <c r="AD89" i="54" s="1"/>
  <c r="AH50" i="30"/>
  <c r="AD50" i="54" s="1"/>
  <c r="AD102" i="54" s="1"/>
  <c r="AH15" i="30"/>
  <c r="AD15" i="54" s="1"/>
  <c r="AD67" i="54" s="1"/>
  <c r="AH42" i="30"/>
  <c r="AD42" i="54" s="1"/>
  <c r="AD94" i="54" s="1"/>
  <c r="AH39" i="30"/>
  <c r="AD39" i="54" s="1"/>
  <c r="AD91" i="54" s="1"/>
  <c r="AH11" i="30"/>
  <c r="AD11" i="54" s="1"/>
  <c r="AD63" i="54" s="1"/>
  <c r="AH47" i="30"/>
  <c r="AD47" i="54" s="1"/>
  <c r="AD99" i="54" s="1"/>
  <c r="AD53" i="29"/>
  <c r="Y22" i="31"/>
  <c r="Y10" i="31"/>
  <c r="M37" i="31"/>
  <c r="M24" i="31"/>
  <c r="M50" i="31"/>
  <c r="M20" i="31"/>
  <c r="M12" i="31"/>
  <c r="M27" i="31"/>
  <c r="M49" i="31"/>
  <c r="M6" i="31"/>
  <c r="M22" i="31"/>
  <c r="M43" i="31"/>
  <c r="M40" i="31"/>
  <c r="M53" i="29"/>
  <c r="M58" i="29" s="1"/>
  <c r="M30" i="50" s="1"/>
  <c r="M5" i="31"/>
  <c r="O9" i="56"/>
  <c r="O14" i="56" s="1"/>
  <c r="O11" i="56"/>
  <c r="O7" i="56"/>
  <c r="O13" i="56" s="1"/>
  <c r="U33" i="30"/>
  <c r="T33" i="54" s="1"/>
  <c r="T85" i="54" s="1"/>
  <c r="C13" i="57"/>
  <c r="O41" i="50"/>
  <c r="Q5" i="55"/>
  <c r="Q49" i="55" s="1"/>
  <c r="Q31" i="55"/>
  <c r="Q75" i="55" s="1"/>
  <c r="Q26" i="55"/>
  <c r="Q70" i="55" s="1"/>
  <c r="Q14" i="50"/>
  <c r="Q47" i="50"/>
  <c r="Q44" i="50"/>
  <c r="Q27" i="30"/>
  <c r="Q27" i="54" s="1"/>
  <c r="Q79" i="54" s="1"/>
  <c r="Q23" i="30"/>
  <c r="Q23" i="54" s="1"/>
  <c r="Q75" i="54" s="1"/>
  <c r="Q25" i="30"/>
  <c r="Q25" i="54" s="1"/>
  <c r="Q77" i="54" s="1"/>
  <c r="Q7" i="30"/>
  <c r="Q7" i="54" s="1"/>
  <c r="Q59" i="54" s="1"/>
  <c r="AH7" i="50"/>
  <c r="X53" i="31"/>
  <c r="N28" i="51"/>
  <c r="N28" i="35"/>
  <c r="N28" i="34"/>
  <c r="N35" i="51"/>
  <c r="N35" i="34"/>
  <c r="N35" i="35"/>
  <c r="N19" i="51"/>
  <c r="N19" i="34"/>
  <c r="N19" i="35"/>
  <c r="N26" i="51"/>
  <c r="N26" i="34"/>
  <c r="N26" i="35"/>
  <c r="N16" i="51"/>
  <c r="N16" i="34"/>
  <c r="N16" i="35"/>
  <c r="N9" i="51"/>
  <c r="N9" i="34"/>
  <c r="N9" i="35"/>
  <c r="N41" i="51"/>
  <c r="N41" i="35"/>
  <c r="N41" i="34"/>
  <c r="N43" i="51"/>
  <c r="N43" i="35"/>
  <c r="N43" i="34"/>
  <c r="N38" i="51"/>
  <c r="N38" i="35"/>
  <c r="N38" i="34"/>
  <c r="Y40" i="31"/>
  <c r="Y8" i="31"/>
  <c r="Y49" i="31"/>
  <c r="Y29" i="31"/>
  <c r="S12" i="55"/>
  <c r="S56" i="55" s="1"/>
  <c r="U45" i="51"/>
  <c r="L5" i="50"/>
  <c r="L39" i="50"/>
  <c r="L25" i="50"/>
  <c r="L14" i="50"/>
  <c r="L48" i="50"/>
  <c r="L45" i="50"/>
  <c r="O18" i="50"/>
  <c r="AI24" i="30"/>
  <c r="AE24" i="54" s="1"/>
  <c r="AE76" i="54" s="1"/>
  <c r="AI37" i="30"/>
  <c r="AE37" i="54" s="1"/>
  <c r="AE89" i="54" s="1"/>
  <c r="AI32" i="30"/>
  <c r="AE32" i="54" s="1"/>
  <c r="AE84" i="54" s="1"/>
  <c r="AI45" i="30"/>
  <c r="AE45" i="54" s="1"/>
  <c r="AE97" i="54" s="1"/>
  <c r="AI44" i="30"/>
  <c r="AE44" i="54" s="1"/>
  <c r="AE96" i="54" s="1"/>
  <c r="AI27" i="30"/>
  <c r="AE27" i="54" s="1"/>
  <c r="AE79" i="54" s="1"/>
  <c r="AI19" i="30"/>
  <c r="AE19" i="54" s="1"/>
  <c r="AE71" i="54" s="1"/>
  <c r="AI21" i="30"/>
  <c r="AE21" i="54" s="1"/>
  <c r="AE73" i="54" s="1"/>
  <c r="AI30" i="30"/>
  <c r="AE30" i="54" s="1"/>
  <c r="AE82" i="54" s="1"/>
  <c r="AI47" i="30"/>
  <c r="AE47" i="54" s="1"/>
  <c r="AE99" i="54" s="1"/>
  <c r="AI46" i="30"/>
  <c r="AE46" i="54" s="1"/>
  <c r="AE98" i="54" s="1"/>
  <c r="AI41" i="30"/>
  <c r="AE41" i="54" s="1"/>
  <c r="AE93" i="54" s="1"/>
  <c r="AI40" i="30"/>
  <c r="AE40" i="54" s="1"/>
  <c r="AE92" i="54" s="1"/>
  <c r="AI51" i="30"/>
  <c r="AE51" i="54" s="1"/>
  <c r="AE103" i="54" s="1"/>
  <c r="AI31" i="30"/>
  <c r="AE31" i="54" s="1"/>
  <c r="AE83" i="54" s="1"/>
  <c r="AI25" i="30"/>
  <c r="AE25" i="54" s="1"/>
  <c r="AE77" i="54" s="1"/>
  <c r="AI18" i="30"/>
  <c r="AE18" i="54" s="1"/>
  <c r="AE70" i="54" s="1"/>
  <c r="AI48" i="30"/>
  <c r="AE48" i="54" s="1"/>
  <c r="AE100" i="54" s="1"/>
  <c r="AI43" i="30"/>
  <c r="AE43" i="54" s="1"/>
  <c r="AE95" i="54" s="1"/>
  <c r="AI23" i="30"/>
  <c r="AE23" i="54" s="1"/>
  <c r="AE75" i="54" s="1"/>
  <c r="AI49" i="30"/>
  <c r="AE49" i="54" s="1"/>
  <c r="AE101" i="54" s="1"/>
  <c r="AI6" i="30"/>
  <c r="AE6" i="54" s="1"/>
  <c r="AE58" i="54" s="1"/>
  <c r="AI22" i="30"/>
  <c r="AE22" i="54" s="1"/>
  <c r="AE74" i="54" s="1"/>
  <c r="AI5" i="30"/>
  <c r="AI20" i="30"/>
  <c r="AE20" i="54" s="1"/>
  <c r="AE72" i="54" s="1"/>
  <c r="AI38" i="30"/>
  <c r="AE38" i="54" s="1"/>
  <c r="AE90" i="54" s="1"/>
  <c r="AI39" i="30"/>
  <c r="AE39" i="54" s="1"/>
  <c r="AE91" i="54" s="1"/>
  <c r="AI42" i="30"/>
  <c r="AE42" i="54" s="1"/>
  <c r="AE94" i="54" s="1"/>
  <c r="AI36" i="30"/>
  <c r="AE36" i="54" s="1"/>
  <c r="AE88" i="54" s="1"/>
  <c r="AI8" i="30"/>
  <c r="AE8" i="54" s="1"/>
  <c r="AE60" i="54" s="1"/>
  <c r="AI17" i="30"/>
  <c r="AE17" i="54" s="1"/>
  <c r="AE69" i="54" s="1"/>
  <c r="AI33" i="30"/>
  <c r="AE33" i="54" s="1"/>
  <c r="AE85" i="54" s="1"/>
  <c r="AI7" i="30"/>
  <c r="AE7" i="54" s="1"/>
  <c r="AE59" i="54" s="1"/>
  <c r="AI20" i="50"/>
  <c r="AI14" i="50"/>
  <c r="AI12" i="30"/>
  <c r="AE12" i="54" s="1"/>
  <c r="AE64" i="54" s="1"/>
  <c r="Q22" i="55"/>
  <c r="Q66" i="55" s="1"/>
  <c r="Q32" i="55"/>
  <c r="Q76" i="55" s="1"/>
  <c r="P18" i="51"/>
  <c r="P18" i="34"/>
  <c r="P18" i="55" s="1"/>
  <c r="P62" i="55" s="1"/>
  <c r="P18" i="35"/>
  <c r="P22" i="51"/>
  <c r="P22" i="34"/>
  <c r="P22" i="35"/>
  <c r="P25" i="51"/>
  <c r="P25" i="34"/>
  <c r="P25" i="35"/>
  <c r="P36" i="51"/>
  <c r="P36" i="34"/>
  <c r="P36" i="55" s="1"/>
  <c r="P80" i="55" s="1"/>
  <c r="P36" i="35"/>
  <c r="P21" i="51"/>
  <c r="P21" i="34"/>
  <c r="P21" i="55" s="1"/>
  <c r="P65" i="55" s="1"/>
  <c r="P21" i="35"/>
  <c r="P42" i="51"/>
  <c r="P42" i="35"/>
  <c r="P42" i="34"/>
  <c r="P42" i="55" s="1"/>
  <c r="P86" i="55" s="1"/>
  <c r="P11" i="51"/>
  <c r="P11" i="35"/>
  <c r="P11" i="34"/>
  <c r="P11" i="55" s="1"/>
  <c r="P55" i="55" s="1"/>
  <c r="P19" i="51"/>
  <c r="P19" i="35"/>
  <c r="P19" i="34"/>
  <c r="P15" i="51"/>
  <c r="P15" i="35"/>
  <c r="P15" i="34"/>
  <c r="P34" i="51"/>
  <c r="P34" i="35"/>
  <c r="P34" i="34"/>
  <c r="P34" i="55" s="1"/>
  <c r="P78" i="55" s="1"/>
  <c r="Q24" i="30"/>
  <c r="Q24" i="54" s="1"/>
  <c r="Q76" i="54" s="1"/>
  <c r="Q46" i="30"/>
  <c r="Q46" i="54" s="1"/>
  <c r="Q98" i="54" s="1"/>
  <c r="Q51" i="30"/>
  <c r="Q51" i="54" s="1"/>
  <c r="Q103" i="54" s="1"/>
  <c r="Q16" i="30"/>
  <c r="Q16" i="54" s="1"/>
  <c r="Q68" i="54" s="1"/>
  <c r="Q19" i="30"/>
  <c r="Q19" i="54" s="1"/>
  <c r="Q71" i="54" s="1"/>
  <c r="Q12" i="30"/>
  <c r="Q12" i="54" s="1"/>
  <c r="Q64" i="54" s="1"/>
  <c r="W8" i="51"/>
  <c r="W34" i="30"/>
  <c r="V34" i="54" s="1"/>
  <c r="V86" i="54" s="1"/>
  <c r="P35" i="50"/>
  <c r="P27" i="50"/>
  <c r="P53" i="31"/>
  <c r="P33" i="50"/>
  <c r="Y27" i="31"/>
  <c r="Y15" i="31"/>
  <c r="S16" i="55"/>
  <c r="S60" i="55" s="1"/>
  <c r="S30" i="55"/>
  <c r="S74" i="55" s="1"/>
  <c r="Z16" i="51"/>
  <c r="AA16" i="51" s="1"/>
  <c r="Z16" i="35"/>
  <c r="AA16" i="35" s="1"/>
  <c r="Z16" i="34"/>
  <c r="AA16" i="34" s="1"/>
  <c r="AA16" i="33"/>
  <c r="Z37" i="51"/>
  <c r="AA37" i="51" s="1"/>
  <c r="Z37" i="34"/>
  <c r="AA37" i="34" s="1"/>
  <c r="Z37" i="35"/>
  <c r="AA37" i="35" s="1"/>
  <c r="AA37" i="33"/>
  <c r="Z21" i="51"/>
  <c r="AA21" i="51" s="1"/>
  <c r="Z21" i="34"/>
  <c r="AA21" i="34" s="1"/>
  <c r="Z21" i="35"/>
  <c r="AA21" i="35" s="1"/>
  <c r="AA21" i="33"/>
  <c r="Z31" i="51"/>
  <c r="AA31" i="51" s="1"/>
  <c r="AA31" i="33"/>
  <c r="Z31" i="34"/>
  <c r="AA31" i="34" s="1"/>
  <c r="Z31" i="35"/>
  <c r="AA31" i="35" s="1"/>
  <c r="Z30" i="51"/>
  <c r="AA30" i="51" s="1"/>
  <c r="Z30" i="34"/>
  <c r="AA30" i="34" s="1"/>
  <c r="AA30" i="33"/>
  <c r="Z30" i="35"/>
  <c r="AA30" i="35" s="1"/>
  <c r="Z11" i="51"/>
  <c r="AA11" i="51" s="1"/>
  <c r="Z11" i="34"/>
  <c r="AA11" i="34" s="1"/>
  <c r="AA11" i="33"/>
  <c r="Z11" i="35"/>
  <c r="AA11" i="35" s="1"/>
  <c r="Z18" i="51"/>
  <c r="AA18" i="51" s="1"/>
  <c r="Z18" i="35"/>
  <c r="AA18" i="35" s="1"/>
  <c r="Z18" i="34"/>
  <c r="AA18" i="34" s="1"/>
  <c r="AA18" i="33"/>
  <c r="Z15" i="51"/>
  <c r="AA15" i="51" s="1"/>
  <c r="Z15" i="35"/>
  <c r="AA15" i="35" s="1"/>
  <c r="Z15" i="34"/>
  <c r="AA15" i="34" s="1"/>
  <c r="AA15" i="33"/>
  <c r="Z35" i="51"/>
  <c r="AA35" i="51" s="1"/>
  <c r="AA35" i="33"/>
  <c r="Z35" i="34"/>
  <c r="AA35" i="34" s="1"/>
  <c r="Z35" i="35"/>
  <c r="AA35" i="35" s="1"/>
  <c r="L37" i="50"/>
  <c r="L23" i="50"/>
  <c r="L15" i="30"/>
  <c r="L15" i="54" s="1"/>
  <c r="L67" i="54" s="1"/>
  <c r="L46" i="30"/>
  <c r="L46" i="54" s="1"/>
  <c r="L98" i="54" s="1"/>
  <c r="L19" i="30"/>
  <c r="L19" i="54" s="1"/>
  <c r="L71" i="54" s="1"/>
  <c r="AI43" i="50"/>
  <c r="L21" i="51"/>
  <c r="L34" i="51"/>
  <c r="Q34" i="51" s="1"/>
  <c r="L37" i="51"/>
  <c r="Q6" i="55"/>
  <c r="Q50" i="55" s="1"/>
  <c r="G9" i="57" s="1"/>
  <c r="G14" i="57" s="1"/>
  <c r="Q35" i="55"/>
  <c r="Q79" i="55" s="1"/>
  <c r="Q9" i="50"/>
  <c r="Q42" i="50"/>
  <c r="Q34" i="50"/>
  <c r="M33" i="31"/>
  <c r="M36" i="31"/>
  <c r="M30" i="31"/>
  <c r="M47" i="31"/>
  <c r="S38" i="55"/>
  <c r="S82" i="55" s="1"/>
  <c r="Q15" i="55"/>
  <c r="Q59" i="55" s="1"/>
  <c r="Q6" i="30"/>
  <c r="Q6" i="54" s="1"/>
  <c r="Q58" i="54" s="1"/>
  <c r="N6" i="51"/>
  <c r="N6" i="35"/>
  <c r="N6" i="34"/>
  <c r="N14" i="51"/>
  <c r="N14" i="34"/>
  <c r="N14" i="35"/>
  <c r="N27" i="51"/>
  <c r="N27" i="34"/>
  <c r="N27" i="35"/>
  <c r="O53" i="31"/>
  <c r="P28" i="51"/>
  <c r="P28" i="34"/>
  <c r="P28" i="35"/>
  <c r="P39" i="51"/>
  <c r="P39" i="34"/>
  <c r="P39" i="35"/>
  <c r="P43" i="51"/>
  <c r="P43" i="34"/>
  <c r="P43" i="35"/>
  <c r="P16" i="51"/>
  <c r="P16" i="34"/>
  <c r="P16" i="35"/>
  <c r="P37" i="51"/>
  <c r="P37" i="35"/>
  <c r="P37" i="34"/>
  <c r="Q15" i="30"/>
  <c r="Q15" i="54" s="1"/>
  <c r="Q67" i="54" s="1"/>
  <c r="Q38" i="30"/>
  <c r="Q38" i="54" s="1"/>
  <c r="Q90" i="54" s="1"/>
  <c r="Q35" i="50"/>
  <c r="Q46" i="50"/>
  <c r="Q51" i="50"/>
  <c r="Q16" i="50"/>
  <c r="Q19" i="50"/>
  <c r="R8" i="55"/>
  <c r="R52" i="55" s="1"/>
  <c r="M33" i="30"/>
  <c r="L43" i="51"/>
  <c r="L29" i="51"/>
  <c r="Q29" i="51" s="1"/>
  <c r="L25" i="51"/>
  <c r="L24" i="51"/>
  <c r="Q24" i="51" s="1"/>
  <c r="L32" i="51"/>
  <c r="L7" i="51"/>
  <c r="L17" i="51"/>
  <c r="Q17" i="51" s="1"/>
  <c r="L14" i="51"/>
  <c r="M36" i="50"/>
  <c r="M13" i="50"/>
  <c r="M15" i="50"/>
  <c r="Q13" i="55"/>
  <c r="Q57" i="55" s="1"/>
  <c r="Q33" i="55"/>
  <c r="Q77" i="55" s="1"/>
  <c r="Q8" i="30"/>
  <c r="Q8" i="54" s="1"/>
  <c r="Q60" i="54" s="1"/>
  <c r="Q43" i="30"/>
  <c r="Q43" i="54" s="1"/>
  <c r="Q95" i="54" s="1"/>
  <c r="Q40" i="30"/>
  <c r="Q40" i="54" s="1"/>
  <c r="Q92" i="54" s="1"/>
  <c r="Q29" i="50"/>
  <c r="Q48" i="30"/>
  <c r="Q48" i="54" s="1"/>
  <c r="Q100" i="54" s="1"/>
  <c r="Q13" i="30"/>
  <c r="Q13" i="54" s="1"/>
  <c r="Q65" i="54" s="1"/>
  <c r="Q33" i="30"/>
  <c r="Q33" i="54" s="1"/>
  <c r="Q85" i="54" s="1"/>
  <c r="AH45" i="30"/>
  <c r="AD45" i="54" s="1"/>
  <c r="AD97" i="54" s="1"/>
  <c r="AH20" i="30"/>
  <c r="AD20" i="54" s="1"/>
  <c r="AD72" i="54" s="1"/>
  <c r="AH6" i="30"/>
  <c r="AD6" i="54" s="1"/>
  <c r="AD58" i="54" s="1"/>
  <c r="AH5" i="30"/>
  <c r="AH26" i="30"/>
  <c r="AD26" i="54" s="1"/>
  <c r="AD78" i="54" s="1"/>
  <c r="AH30" i="30"/>
  <c r="AD30" i="54" s="1"/>
  <c r="AD82" i="54" s="1"/>
  <c r="AH43" i="30"/>
  <c r="AD43" i="54" s="1"/>
  <c r="AD95" i="54" s="1"/>
  <c r="AH7" i="30"/>
  <c r="AD7" i="54" s="1"/>
  <c r="AD59" i="54" s="1"/>
  <c r="AH27" i="30"/>
  <c r="AD27" i="54" s="1"/>
  <c r="AD79" i="54" s="1"/>
  <c r="AH22" i="30"/>
  <c r="AD22" i="54" s="1"/>
  <c r="AD74" i="54" s="1"/>
  <c r="AH25" i="30"/>
  <c r="AD25" i="54" s="1"/>
  <c r="AD77" i="54" s="1"/>
  <c r="AH40" i="30"/>
  <c r="AD40" i="54" s="1"/>
  <c r="AD92" i="54" s="1"/>
  <c r="AH27" i="50"/>
  <c r="AH18" i="50"/>
  <c r="AH35" i="50"/>
  <c r="AH28" i="50"/>
  <c r="AH14" i="50"/>
  <c r="AH36" i="50"/>
  <c r="AH21" i="50"/>
  <c r="AH10" i="50"/>
  <c r="AH29" i="50"/>
  <c r="AH44" i="50"/>
  <c r="E9" i="57"/>
  <c r="E14" i="57" s="1"/>
  <c r="E11" i="57"/>
  <c r="E7" i="57"/>
  <c r="E13" i="57" s="1"/>
  <c r="W53" i="31"/>
  <c r="Y26" i="31"/>
  <c r="V19" i="29"/>
  <c r="V20" i="29"/>
  <c r="V25" i="29"/>
  <c r="V5" i="29"/>
  <c r="V6" i="29"/>
  <c r="V28" i="29"/>
  <c r="V37" i="29"/>
  <c r="V32" i="29"/>
  <c r="V21" i="29"/>
  <c r="V39" i="29"/>
  <c r="V26" i="29"/>
  <c r="V43" i="29"/>
  <c r="V15" i="29"/>
  <c r="V16" i="29"/>
  <c r="V17" i="29"/>
  <c r="V18" i="29"/>
  <c r="V29" i="29"/>
  <c r="V42" i="29"/>
  <c r="V33" i="29"/>
  <c r="V46" i="29"/>
  <c r="V31" i="29"/>
  <c r="V40" i="29"/>
  <c r="V35" i="29"/>
  <c r="V44" i="29"/>
  <c r="V47" i="29"/>
  <c r="V11" i="29"/>
  <c r="V12" i="29"/>
  <c r="V13" i="29"/>
  <c r="V14" i="29"/>
  <c r="V30" i="29"/>
  <c r="V34" i="29"/>
  <c r="V51" i="29"/>
  <c r="V36" i="29"/>
  <c r="V45" i="29"/>
  <c r="V23" i="29"/>
  <c r="V49" i="29"/>
  <c r="V7" i="29"/>
  <c r="V8" i="29"/>
  <c r="V9" i="29"/>
  <c r="V10" i="29"/>
  <c r="V22" i="29"/>
  <c r="V48" i="29"/>
  <c r="V27" i="29"/>
  <c r="V41" i="29"/>
  <c r="V50" i="29"/>
  <c r="V24" i="29"/>
  <c r="V38" i="29"/>
  <c r="Q41" i="55"/>
  <c r="Q85" i="55" s="1"/>
  <c r="Q30" i="55"/>
  <c r="Q74" i="55" s="1"/>
  <c r="Q5" i="50"/>
  <c r="AH30" i="50"/>
  <c r="AD5" i="31"/>
  <c r="AD53" i="31" s="1"/>
  <c r="AC53" i="31"/>
  <c r="W29" i="30"/>
  <c r="V29" i="54" s="1"/>
  <c r="V81" i="54" s="1"/>
  <c r="Y48" i="31"/>
  <c r="Y24" i="31"/>
  <c r="Y42" i="31"/>
  <c r="Y12" i="31"/>
  <c r="M35" i="31"/>
  <c r="M17" i="31"/>
  <c r="M7" i="31"/>
  <c r="M38" i="31"/>
  <c r="M32" i="31"/>
  <c r="M9" i="31"/>
  <c r="M31" i="31"/>
  <c r="M41" i="31"/>
  <c r="M44" i="31"/>
  <c r="M45" i="31"/>
  <c r="M11" i="31"/>
  <c r="M46" i="31"/>
  <c r="S45" i="33"/>
  <c r="Q36" i="55"/>
  <c r="Q80" i="55" s="1"/>
  <c r="Q37" i="55"/>
  <c r="Q81" i="55" s="1"/>
  <c r="Q36" i="50"/>
  <c r="Q27" i="50"/>
  <c r="Q6" i="50"/>
  <c r="Q37" i="50"/>
  <c r="Q23" i="50"/>
  <c r="Q25" i="50"/>
  <c r="Q7" i="50"/>
  <c r="AH16" i="30"/>
  <c r="AD16" i="54" s="1"/>
  <c r="AD68" i="54" s="1"/>
  <c r="AH12" i="30"/>
  <c r="AD12" i="54" s="1"/>
  <c r="AD64" i="54" s="1"/>
  <c r="AH33" i="30"/>
  <c r="AD33" i="54" s="1"/>
  <c r="AD85" i="54" s="1"/>
  <c r="AH8" i="30"/>
  <c r="AD8" i="54" s="1"/>
  <c r="AD60" i="54" s="1"/>
  <c r="AH24" i="30"/>
  <c r="AD24" i="54" s="1"/>
  <c r="AD76" i="54" s="1"/>
  <c r="N21" i="51"/>
  <c r="N21" i="34"/>
  <c r="N21" i="35"/>
  <c r="N39" i="51"/>
  <c r="N39" i="34"/>
  <c r="N39" i="35"/>
  <c r="N33" i="51"/>
  <c r="N33" i="34"/>
  <c r="N33" i="35"/>
  <c r="N7" i="51"/>
  <c r="N7" i="34"/>
  <c r="N7" i="35"/>
  <c r="N22" i="51"/>
  <c r="N22" i="34"/>
  <c r="N22" i="35"/>
  <c r="N18" i="51"/>
  <c r="N18" i="34"/>
  <c r="N18" i="35"/>
  <c r="N25" i="51"/>
  <c r="N25" i="35"/>
  <c r="N25" i="34"/>
  <c r="N32" i="51"/>
  <c r="N32" i="35"/>
  <c r="N32" i="34"/>
  <c r="N10" i="51"/>
  <c r="N10" i="34"/>
  <c r="N10" i="35"/>
  <c r="N11" i="51"/>
  <c r="N11" i="34"/>
  <c r="N11" i="35"/>
  <c r="Y6" i="31"/>
  <c r="Y31" i="31"/>
  <c r="U45" i="34"/>
  <c r="U46" i="30"/>
  <c r="T46" i="54" s="1"/>
  <c r="T98" i="54" s="1"/>
  <c r="L53" i="31"/>
  <c r="R58" i="29"/>
  <c r="S58" i="29"/>
  <c r="O32" i="30"/>
  <c r="O32" i="54" s="1"/>
  <c r="O84" i="54" s="1"/>
  <c r="O25" i="30"/>
  <c r="O25" i="54" s="1"/>
  <c r="O77" i="54" s="1"/>
  <c r="O50" i="30"/>
  <c r="O50" i="54" s="1"/>
  <c r="O102" i="54" s="1"/>
  <c r="O19" i="30"/>
  <c r="O19" i="54" s="1"/>
  <c r="O71" i="54" s="1"/>
  <c r="O30" i="30"/>
  <c r="O30" i="54" s="1"/>
  <c r="O82" i="54" s="1"/>
  <c r="O37" i="30"/>
  <c r="O37" i="54" s="1"/>
  <c r="O89" i="54" s="1"/>
  <c r="O23" i="30"/>
  <c r="O23" i="54" s="1"/>
  <c r="O75" i="54" s="1"/>
  <c r="O33" i="30"/>
  <c r="O33" i="54" s="1"/>
  <c r="O85" i="54" s="1"/>
  <c r="O41" i="30"/>
  <c r="O41" i="54" s="1"/>
  <c r="O93" i="54" s="1"/>
  <c r="O18" i="30"/>
  <c r="O18" i="54" s="1"/>
  <c r="O70" i="54" s="1"/>
  <c r="O28" i="30"/>
  <c r="O28" i="54" s="1"/>
  <c r="O80" i="54" s="1"/>
  <c r="O5" i="30"/>
  <c r="O21" i="30"/>
  <c r="O21" i="54" s="1"/>
  <c r="O73" i="54" s="1"/>
  <c r="O6" i="30"/>
  <c r="O6" i="54" s="1"/>
  <c r="O58" i="54" s="1"/>
  <c r="O45" i="30"/>
  <c r="O45" i="54" s="1"/>
  <c r="O97" i="54" s="1"/>
  <c r="O20" i="30"/>
  <c r="O20" i="54" s="1"/>
  <c r="O72" i="54" s="1"/>
  <c r="O39" i="30"/>
  <c r="O39" i="54" s="1"/>
  <c r="O91" i="54" s="1"/>
  <c r="O17" i="30"/>
  <c r="O17" i="54" s="1"/>
  <c r="O69" i="54" s="1"/>
  <c r="O26" i="30"/>
  <c r="O26" i="54" s="1"/>
  <c r="O78" i="54" s="1"/>
  <c r="O8" i="30"/>
  <c r="O8" i="54" s="1"/>
  <c r="O60" i="54" s="1"/>
  <c r="O31" i="30"/>
  <c r="O31" i="54" s="1"/>
  <c r="O83" i="54" s="1"/>
  <c r="O50" i="50"/>
  <c r="O28" i="50"/>
  <c r="Q43" i="55"/>
  <c r="Q87" i="55" s="1"/>
  <c r="Q16" i="55"/>
  <c r="Q60" i="55" s="1"/>
  <c r="P40" i="51"/>
  <c r="P40" i="34"/>
  <c r="P40" i="35"/>
  <c r="P13" i="51"/>
  <c r="P13" i="34"/>
  <c r="P13" i="35"/>
  <c r="P31" i="51"/>
  <c r="P31" i="34"/>
  <c r="P31" i="35"/>
  <c r="P10" i="51"/>
  <c r="P10" i="34"/>
  <c r="P10" i="35"/>
  <c r="P32" i="51"/>
  <c r="P32" i="35"/>
  <c r="P32" i="34"/>
  <c r="P20" i="51"/>
  <c r="P20" i="35"/>
  <c r="P20" i="34"/>
  <c r="P23" i="51"/>
  <c r="P23" i="35"/>
  <c r="P23" i="34"/>
  <c r="P33" i="51"/>
  <c r="P33" i="35"/>
  <c r="P33" i="34"/>
  <c r="P12" i="51"/>
  <c r="P12" i="35"/>
  <c r="P12" i="34"/>
  <c r="Q28" i="30"/>
  <c r="Q28" i="54" s="1"/>
  <c r="Q80" i="54" s="1"/>
  <c r="Q30" i="50"/>
  <c r="AH40" i="50"/>
  <c r="AH17" i="50"/>
  <c r="AH48" i="50"/>
  <c r="AH41" i="50"/>
  <c r="AH13" i="50"/>
  <c r="AH49" i="50"/>
  <c r="AH46" i="50"/>
  <c r="AH9" i="50"/>
  <c r="AH38" i="50"/>
  <c r="AH51" i="50"/>
  <c r="W8" i="30"/>
  <c r="V8" i="54" s="1"/>
  <c r="V60" i="54" s="1"/>
  <c r="W24" i="30"/>
  <c r="V24" i="54" s="1"/>
  <c r="V76" i="54" s="1"/>
  <c r="Y47" i="31"/>
  <c r="Y25" i="31"/>
  <c r="Y41" i="31"/>
  <c r="Y13" i="31"/>
  <c r="Z22" i="51"/>
  <c r="AA22" i="51" s="1"/>
  <c r="Z22" i="35"/>
  <c r="AA22" i="35" s="1"/>
  <c r="AA22" i="33"/>
  <c r="Z22" i="34"/>
  <c r="AA22" i="34" s="1"/>
  <c r="Z9" i="51"/>
  <c r="AA9" i="51" s="1"/>
  <c r="AA9" i="33"/>
  <c r="Z9" i="35"/>
  <c r="AA9" i="35" s="1"/>
  <c r="Z9" i="34"/>
  <c r="AA9" i="34" s="1"/>
  <c r="Z29" i="51"/>
  <c r="AA29" i="51" s="1"/>
  <c r="AA29" i="33"/>
  <c r="Z29" i="34"/>
  <c r="AA29" i="34" s="1"/>
  <c r="Z29" i="35"/>
  <c r="AA29" i="35" s="1"/>
  <c r="Z5" i="51"/>
  <c r="Z5" i="35"/>
  <c r="Z5" i="34"/>
  <c r="AA5" i="33"/>
  <c r="Z45" i="33"/>
  <c r="Z34" i="51"/>
  <c r="AA34" i="51" s="1"/>
  <c r="AA34" i="33"/>
  <c r="Z34" i="35"/>
  <c r="AA34" i="35" s="1"/>
  <c r="Z34" i="34"/>
  <c r="AA34" i="34" s="1"/>
  <c r="Z26" i="51"/>
  <c r="AA26" i="51" s="1"/>
  <c r="AA26" i="33"/>
  <c r="Z26" i="35"/>
  <c r="AA26" i="35" s="1"/>
  <c r="Z26" i="34"/>
  <c r="AA26" i="34" s="1"/>
  <c r="Z38" i="51"/>
  <c r="AA38" i="51" s="1"/>
  <c r="Z38" i="34"/>
  <c r="AA38" i="34" s="1"/>
  <c r="AA38" i="33"/>
  <c r="Z38" i="35"/>
  <c r="AA38" i="35" s="1"/>
  <c r="Z13" i="51"/>
  <c r="AA13" i="51" s="1"/>
  <c r="Z13" i="34"/>
  <c r="AA13" i="34" s="1"/>
  <c r="AA13" i="33"/>
  <c r="Z13" i="35"/>
  <c r="AA13" i="35" s="1"/>
  <c r="Z12" i="51"/>
  <c r="AA12" i="51" s="1"/>
  <c r="Z12" i="34"/>
  <c r="AA12" i="34" s="1"/>
  <c r="AA12" i="33"/>
  <c r="Z12" i="35"/>
  <c r="AA12" i="35" s="1"/>
  <c r="Z20" i="51"/>
  <c r="AA20" i="51" s="1"/>
  <c r="AA20" i="33"/>
  <c r="Z20" i="34"/>
  <c r="AA20" i="34" s="1"/>
  <c r="Z20" i="35"/>
  <c r="AA20" i="35" s="1"/>
  <c r="L6" i="50"/>
  <c r="L38" i="50"/>
  <c r="L15" i="50"/>
  <c r="L46" i="50"/>
  <c r="L19" i="50"/>
  <c r="P9" i="56"/>
  <c r="P15" i="56" s="1"/>
  <c r="P11" i="56"/>
  <c r="P7" i="56"/>
  <c r="P13" i="56" s="1"/>
  <c r="O14" i="30"/>
  <c r="O14" i="54" s="1"/>
  <c r="O66" i="54" s="1"/>
  <c r="O47" i="30"/>
  <c r="O47" i="54" s="1"/>
  <c r="O99" i="54" s="1"/>
  <c r="O6" i="50"/>
  <c r="O21" i="50"/>
  <c r="AI32" i="50"/>
  <c r="AI26" i="50"/>
  <c r="AI45" i="50"/>
  <c r="AI27" i="50"/>
  <c r="AI9" i="50"/>
  <c r="AI34" i="50"/>
  <c r="O43" i="30"/>
  <c r="O43" i="54" s="1"/>
  <c r="O95" i="54" s="1"/>
  <c r="AQ12" i="50"/>
  <c r="L8" i="34"/>
  <c r="Q8" i="34" s="1"/>
  <c r="AB8" i="34" s="1"/>
  <c r="Q8" i="33"/>
  <c r="AB8" i="33" s="1"/>
  <c r="L8" i="35"/>
  <c r="Q8" i="35" s="1"/>
  <c r="AB8" i="35" s="1"/>
  <c r="AM56" i="28"/>
  <c r="AM54" i="31"/>
  <c r="AM54" i="29"/>
  <c r="F46" i="5"/>
  <c r="AB48" i="51" s="1"/>
  <c r="Q48" i="35"/>
  <c r="Q48" i="34"/>
  <c r="Q48" i="32"/>
  <c r="Q48" i="33"/>
  <c r="L21" i="34"/>
  <c r="L21" i="35"/>
  <c r="Q21" i="35" s="1"/>
  <c r="Q21" i="33"/>
  <c r="AB21" i="33" s="1"/>
  <c r="L42" i="34"/>
  <c r="Q42" i="34" s="1"/>
  <c r="L42" i="35"/>
  <c r="Q42" i="35" s="1"/>
  <c r="Q42" i="33"/>
  <c r="AB42" i="33" s="1"/>
  <c r="L34" i="34"/>
  <c r="Q34" i="34" s="1"/>
  <c r="L34" i="35"/>
  <c r="Q34" i="35" s="1"/>
  <c r="Q34" i="33"/>
  <c r="L41" i="34"/>
  <c r="Q41" i="34" s="1"/>
  <c r="L41" i="35"/>
  <c r="Q41" i="35" s="1"/>
  <c r="Q41" i="33"/>
  <c r="AB41" i="33" s="1"/>
  <c r="L22" i="34"/>
  <c r="L22" i="35"/>
  <c r="Q22" i="35" s="1"/>
  <c r="Q22" i="33"/>
  <c r="L37" i="34"/>
  <c r="Q37" i="34" s="1"/>
  <c r="L37" i="35"/>
  <c r="Q37" i="35" s="1"/>
  <c r="Q37" i="33"/>
  <c r="AB37" i="33" s="1"/>
  <c r="L5" i="34"/>
  <c r="L45" i="33"/>
  <c r="L5" i="35"/>
  <c r="Q5" i="33"/>
  <c r="L13" i="34"/>
  <c r="Q13" i="34" s="1"/>
  <c r="L13" i="35"/>
  <c r="Q13" i="35" s="1"/>
  <c r="Q13" i="33"/>
  <c r="L12" i="34"/>
  <c r="Q12" i="34" s="1"/>
  <c r="L12" i="35"/>
  <c r="Q12" i="33"/>
  <c r="AB12" i="33" s="1"/>
  <c r="L43" i="34"/>
  <c r="Q43" i="34" s="1"/>
  <c r="L43" i="35"/>
  <c r="Q43" i="35" s="1"/>
  <c r="Q43" i="33"/>
  <c r="AB43" i="33" s="1"/>
  <c r="L35" i="34"/>
  <c r="Q35" i="34" s="1"/>
  <c r="L35" i="35"/>
  <c r="Q35" i="35" s="1"/>
  <c r="Q35" i="33"/>
  <c r="AB35" i="33" s="1"/>
  <c r="L29" i="34"/>
  <c r="Q29" i="34" s="1"/>
  <c r="L29" i="35"/>
  <c r="Q29" i="35" s="1"/>
  <c r="Q29" i="33"/>
  <c r="AB29" i="33" s="1"/>
  <c r="L28" i="34"/>
  <c r="Q28" i="34" s="1"/>
  <c r="L28" i="35"/>
  <c r="Q28" i="35" s="1"/>
  <c r="Q28" i="33"/>
  <c r="AB28" i="33" s="1"/>
  <c r="L25" i="34"/>
  <c r="Q25" i="34" s="1"/>
  <c r="L25" i="35"/>
  <c r="Q25" i="35" s="1"/>
  <c r="Q25" i="33"/>
  <c r="AB25" i="33" s="1"/>
  <c r="L24" i="34"/>
  <c r="Q24" i="34" s="1"/>
  <c r="L24" i="35"/>
  <c r="Q24" i="35" s="1"/>
  <c r="Q24" i="33"/>
  <c r="AB24" i="33" s="1"/>
  <c r="L32" i="34"/>
  <c r="L32" i="35"/>
  <c r="Q32" i="35" s="1"/>
  <c r="Q32" i="33"/>
  <c r="AB32" i="33" s="1"/>
  <c r="L7" i="34"/>
  <c r="Q7" i="34" s="1"/>
  <c r="L7" i="35"/>
  <c r="Q7" i="35" s="1"/>
  <c r="Q7" i="33"/>
  <c r="AB7" i="33" s="1"/>
  <c r="L17" i="34"/>
  <c r="Q17" i="34" s="1"/>
  <c r="L17" i="35"/>
  <c r="Q17" i="35" s="1"/>
  <c r="Q17" i="33"/>
  <c r="AB17" i="33" s="1"/>
  <c r="L14" i="34"/>
  <c r="Q14" i="34" s="1"/>
  <c r="L14" i="35"/>
  <c r="Q14" i="35" s="1"/>
  <c r="Q14" i="33"/>
  <c r="AB14" i="33" s="1"/>
  <c r="T58" i="28"/>
  <c r="T56" i="31"/>
  <c r="T56" i="30"/>
  <c r="T56" i="29"/>
  <c r="Q47" i="35"/>
  <c r="Q47" i="33"/>
  <c r="Q47" i="32"/>
  <c r="Q47" i="34"/>
  <c r="L26" i="34"/>
  <c r="Q26" i="34" s="1"/>
  <c r="L26" i="35"/>
  <c r="Q26" i="35" s="1"/>
  <c r="Q26" i="33"/>
  <c r="L15" i="34"/>
  <c r="Q15" i="34" s="1"/>
  <c r="L15" i="35"/>
  <c r="Q15" i="35" s="1"/>
  <c r="Q15" i="33"/>
  <c r="AB15" i="33" s="1"/>
  <c r="L40" i="34"/>
  <c r="Q40" i="34" s="1"/>
  <c r="L40" i="35"/>
  <c r="Q40" i="35" s="1"/>
  <c r="Q40" i="33"/>
  <c r="AB40" i="33" s="1"/>
  <c r="L31" i="34"/>
  <c r="Q31" i="34" s="1"/>
  <c r="L31" i="35"/>
  <c r="Q31" i="35" s="1"/>
  <c r="Q31" i="33"/>
  <c r="AB31" i="33" s="1"/>
  <c r="L36" i="34"/>
  <c r="Q36" i="34" s="1"/>
  <c r="L36" i="35"/>
  <c r="Q36" i="35" s="1"/>
  <c r="Q36" i="33"/>
  <c r="AB36" i="33" s="1"/>
  <c r="L27" i="34"/>
  <c r="Q27" i="34" s="1"/>
  <c r="L27" i="35"/>
  <c r="Q27" i="35" s="1"/>
  <c r="Q27" i="33"/>
  <c r="AB27" i="33" s="1"/>
  <c r="L18" i="34"/>
  <c r="Q18" i="34" s="1"/>
  <c r="L18" i="35"/>
  <c r="Q18" i="35" s="1"/>
  <c r="Q18" i="33"/>
  <c r="AB18" i="33" s="1"/>
  <c r="L9" i="34"/>
  <c r="Q9" i="34" s="1"/>
  <c r="L9" i="35"/>
  <c r="Q9" i="35" s="1"/>
  <c r="Q9" i="33"/>
  <c r="AB9" i="33" s="1"/>
  <c r="L6" i="34"/>
  <c r="Q6" i="34" s="1"/>
  <c r="L6" i="35"/>
  <c r="Q6" i="35" s="1"/>
  <c r="Q6" i="33"/>
  <c r="AB6" i="33" s="1"/>
  <c r="L16" i="34"/>
  <c r="Q16" i="34" s="1"/>
  <c r="L16" i="35"/>
  <c r="Q16" i="35" s="1"/>
  <c r="Q16" i="33"/>
  <c r="AB16" i="33" s="1"/>
  <c r="F29" i="5"/>
  <c r="AM56" i="50" s="1"/>
  <c r="T57" i="28"/>
  <c r="T55" i="31"/>
  <c r="T55" i="30"/>
  <c r="T55" i="29"/>
  <c r="L33" i="34"/>
  <c r="Q33" i="34" s="1"/>
  <c r="L33" i="35"/>
  <c r="Q33" i="35" s="1"/>
  <c r="Q33" i="33"/>
  <c r="AB33" i="33" s="1"/>
  <c r="L39" i="34"/>
  <c r="Q39" i="34" s="1"/>
  <c r="L39" i="35"/>
  <c r="Q39" i="35" s="1"/>
  <c r="Q39" i="33"/>
  <c r="AB39" i="33" s="1"/>
  <c r="L23" i="34"/>
  <c r="Q23" i="34" s="1"/>
  <c r="L23" i="35"/>
  <c r="Q23" i="35" s="1"/>
  <c r="Q23" i="33"/>
  <c r="AB23" i="33" s="1"/>
  <c r="L38" i="34"/>
  <c r="Q38" i="34" s="1"/>
  <c r="L38" i="35"/>
  <c r="Q38" i="35" s="1"/>
  <c r="Q38" i="33"/>
  <c r="AB38" i="33" s="1"/>
  <c r="L19" i="34"/>
  <c r="Q19" i="34" s="1"/>
  <c r="L19" i="35"/>
  <c r="Q19" i="35" s="1"/>
  <c r="Q19" i="33"/>
  <c r="AB19" i="33" s="1"/>
  <c r="L30" i="34"/>
  <c r="Q30" i="34" s="1"/>
  <c r="L30" i="35"/>
  <c r="Q30" i="35" s="1"/>
  <c r="Q30" i="33"/>
  <c r="AB30" i="33" s="1"/>
  <c r="L20" i="34"/>
  <c r="Q20" i="34" s="1"/>
  <c r="L20" i="35"/>
  <c r="Q20" i="35" s="1"/>
  <c r="Q20" i="33"/>
  <c r="AB20" i="33" s="1"/>
  <c r="L11" i="34"/>
  <c r="Q11" i="34" s="1"/>
  <c r="L11" i="35"/>
  <c r="Q11" i="35" s="1"/>
  <c r="Q11" i="33"/>
  <c r="AB11" i="33" s="1"/>
  <c r="L10" i="34"/>
  <c r="Q10" i="34" s="1"/>
  <c r="L10" i="35"/>
  <c r="Q10" i="35" s="1"/>
  <c r="Q10" i="33"/>
  <c r="AB10" i="33" s="1"/>
  <c r="X47" i="51"/>
  <c r="AE55" i="50"/>
  <c r="AO54" i="50" s="1"/>
  <c r="I15" i="57" l="1"/>
  <c r="P31" i="55"/>
  <c r="P75" i="55" s="1"/>
  <c r="N10" i="55"/>
  <c r="N54" i="55" s="1"/>
  <c r="N22" i="55"/>
  <c r="N66" i="55" s="1"/>
  <c r="N21" i="55"/>
  <c r="N65" i="55" s="1"/>
  <c r="P28" i="55"/>
  <c r="P72" i="55" s="1"/>
  <c r="N27" i="55"/>
  <c r="N71" i="55" s="1"/>
  <c r="P19" i="55"/>
  <c r="P63" i="55" s="1"/>
  <c r="P25" i="55"/>
  <c r="P69" i="55" s="1"/>
  <c r="P9" i="55"/>
  <c r="P53" i="55" s="1"/>
  <c r="P38" i="55"/>
  <c r="P82" i="55" s="1"/>
  <c r="P41" i="55"/>
  <c r="P85" i="55" s="1"/>
  <c r="P12" i="55"/>
  <c r="P56" i="55" s="1"/>
  <c r="P32" i="55"/>
  <c r="P76" i="55" s="1"/>
  <c r="N25" i="55"/>
  <c r="N69" i="55" s="1"/>
  <c r="P15" i="55"/>
  <c r="P59" i="55" s="1"/>
  <c r="P7" i="55"/>
  <c r="P51" i="55" s="1"/>
  <c r="N29" i="55"/>
  <c r="N73" i="55" s="1"/>
  <c r="P17" i="55"/>
  <c r="P61" i="55" s="1"/>
  <c r="P26" i="55"/>
  <c r="P70" i="55" s="1"/>
  <c r="P29" i="55"/>
  <c r="P73" i="55" s="1"/>
  <c r="T14" i="55"/>
  <c r="T58" i="55" s="1"/>
  <c r="W27" i="35"/>
  <c r="T33" i="55"/>
  <c r="T77" i="55" s="1"/>
  <c r="T43" i="55"/>
  <c r="T87" i="55" s="1"/>
  <c r="R37" i="55"/>
  <c r="R81" i="55" s="1"/>
  <c r="T17" i="55"/>
  <c r="T61" i="55" s="1"/>
  <c r="T9" i="55"/>
  <c r="T53" i="55" s="1"/>
  <c r="N14" i="55"/>
  <c r="N58" i="55" s="1"/>
  <c r="P22" i="55"/>
  <c r="P66" i="55" s="1"/>
  <c r="P30" i="55"/>
  <c r="P74" i="55" s="1"/>
  <c r="P24" i="55"/>
  <c r="P68" i="55" s="1"/>
  <c r="W33" i="35"/>
  <c r="R11" i="55"/>
  <c r="R55" i="55" s="1"/>
  <c r="W10" i="35"/>
  <c r="W14" i="35"/>
  <c r="W16" i="51"/>
  <c r="W32" i="51"/>
  <c r="T23" i="55"/>
  <c r="T67" i="55" s="1"/>
  <c r="N9" i="55"/>
  <c r="N53" i="55" s="1"/>
  <c r="N35" i="55"/>
  <c r="N79" i="55" s="1"/>
  <c r="N30" i="55"/>
  <c r="N74" i="55" s="1"/>
  <c r="N24" i="55"/>
  <c r="N68" i="55" s="1"/>
  <c r="R42" i="55"/>
  <c r="R86" i="55" s="1"/>
  <c r="W16" i="35"/>
  <c r="W13" i="35"/>
  <c r="W28" i="51"/>
  <c r="T27" i="55"/>
  <c r="T71" i="55" s="1"/>
  <c r="P27" i="55"/>
  <c r="P71" i="55" s="1"/>
  <c r="W31" i="51"/>
  <c r="V5" i="55"/>
  <c r="V49" i="55" s="1"/>
  <c r="P10" i="55"/>
  <c r="P54" i="55" s="1"/>
  <c r="N11" i="55"/>
  <c r="N55" i="55" s="1"/>
  <c r="N18" i="55"/>
  <c r="N62" i="55" s="1"/>
  <c r="N39" i="55"/>
  <c r="N83" i="55" s="1"/>
  <c r="Q43" i="51"/>
  <c r="P39" i="55"/>
  <c r="P83" i="55" s="1"/>
  <c r="X10" i="54"/>
  <c r="X62" i="54" s="1"/>
  <c r="X9" i="54"/>
  <c r="X61" i="54" s="1"/>
  <c r="W19" i="51"/>
  <c r="W10" i="51"/>
  <c r="R16" i="55"/>
  <c r="R60" i="55" s="1"/>
  <c r="T22" i="55"/>
  <c r="T66" i="55" s="1"/>
  <c r="T32" i="55"/>
  <c r="T76" i="55" s="1"/>
  <c r="R9" i="55"/>
  <c r="R53" i="55" s="1"/>
  <c r="R34" i="55"/>
  <c r="R78" i="55" s="1"/>
  <c r="W15" i="35"/>
  <c r="T39" i="55"/>
  <c r="T83" i="55" s="1"/>
  <c r="T6" i="55"/>
  <c r="T50" i="55" s="1"/>
  <c r="W12" i="35"/>
  <c r="AB26" i="33"/>
  <c r="Q22" i="34"/>
  <c r="Q21" i="34"/>
  <c r="P20" i="55"/>
  <c r="P64" i="55" s="1"/>
  <c r="N32" i="55"/>
  <c r="N76" i="55" s="1"/>
  <c r="N6" i="55"/>
  <c r="N50" i="55" s="1"/>
  <c r="V16" i="55"/>
  <c r="V60" i="55" s="1"/>
  <c r="N38" i="55"/>
  <c r="N82" i="55" s="1"/>
  <c r="N16" i="55"/>
  <c r="N60" i="55" s="1"/>
  <c r="N28" i="55"/>
  <c r="N72" i="55" s="1"/>
  <c r="X17" i="54"/>
  <c r="X69" i="54" s="1"/>
  <c r="N20" i="55"/>
  <c r="N64" i="55" s="1"/>
  <c r="N15" i="55"/>
  <c r="N59" i="55" s="1"/>
  <c r="N23" i="55"/>
  <c r="N67" i="55" s="1"/>
  <c r="W11" i="51"/>
  <c r="W37" i="35"/>
  <c r="W18" i="35"/>
  <c r="Q32" i="34"/>
  <c r="Q12" i="35"/>
  <c r="L5" i="55"/>
  <c r="L49" i="55" s="1"/>
  <c r="AB22" i="33"/>
  <c r="P23" i="55"/>
  <c r="P67" i="55" s="1"/>
  <c r="P13" i="55"/>
  <c r="P57" i="55" s="1"/>
  <c r="N7" i="55"/>
  <c r="N51" i="55" s="1"/>
  <c r="P37" i="55"/>
  <c r="P81" i="55" s="1"/>
  <c r="P16" i="55"/>
  <c r="P60" i="55" s="1"/>
  <c r="N41" i="55"/>
  <c r="N85" i="55" s="1"/>
  <c r="N19" i="55"/>
  <c r="N63" i="55" s="1"/>
  <c r="X16" i="54"/>
  <c r="X68" i="54" s="1"/>
  <c r="X36" i="54"/>
  <c r="X88" i="54" s="1"/>
  <c r="X51" i="54"/>
  <c r="X103" i="54" s="1"/>
  <c r="X38" i="54"/>
  <c r="X90" i="54" s="1"/>
  <c r="X23" i="54"/>
  <c r="X75" i="54" s="1"/>
  <c r="X43" i="54"/>
  <c r="X95" i="54" s="1"/>
  <c r="N31" i="55"/>
  <c r="N75" i="55" s="1"/>
  <c r="N13" i="55"/>
  <c r="N57" i="55" s="1"/>
  <c r="N34" i="55"/>
  <c r="N78" i="55" s="1"/>
  <c r="P5" i="55"/>
  <c r="P49" i="55" s="1"/>
  <c r="N40" i="55"/>
  <c r="N84" i="55" s="1"/>
  <c r="R19" i="55"/>
  <c r="R63" i="55" s="1"/>
  <c r="W25" i="35"/>
  <c r="T19" i="55"/>
  <c r="T63" i="55" s="1"/>
  <c r="W11" i="34"/>
  <c r="W19" i="34"/>
  <c r="R10" i="55"/>
  <c r="R54" i="55" s="1"/>
  <c r="W10" i="34"/>
  <c r="R41" i="55"/>
  <c r="R85" i="55" s="1"/>
  <c r="W17" i="34"/>
  <c r="R17" i="55"/>
  <c r="R61" i="55" s="1"/>
  <c r="R26" i="55"/>
  <c r="R70" i="55" s="1"/>
  <c r="W26" i="34"/>
  <c r="T18" i="55"/>
  <c r="T62" i="55" s="1"/>
  <c r="W32" i="34"/>
  <c r="W41" i="34"/>
  <c r="W5" i="51"/>
  <c r="T45" i="51"/>
  <c r="W22" i="34"/>
  <c r="R22" i="55"/>
  <c r="R66" i="55" s="1"/>
  <c r="W28" i="35"/>
  <c r="R43" i="55"/>
  <c r="R87" i="55" s="1"/>
  <c r="W43" i="34"/>
  <c r="W35" i="35"/>
  <c r="T36" i="55"/>
  <c r="T80" i="55" s="1"/>
  <c r="AI53" i="50"/>
  <c r="P33" i="55"/>
  <c r="P77" i="55" s="1"/>
  <c r="P53" i="50"/>
  <c r="I7" i="57"/>
  <c r="I13" i="57" s="1"/>
  <c r="N43" i="55"/>
  <c r="N87" i="55" s="1"/>
  <c r="N26" i="55"/>
  <c r="N70" i="55" s="1"/>
  <c r="X44" i="54"/>
  <c r="X96" i="54" s="1"/>
  <c r="X19" i="54"/>
  <c r="X71" i="54" s="1"/>
  <c r="X20" i="54"/>
  <c r="X72" i="54" s="1"/>
  <c r="N36" i="55"/>
  <c r="N80" i="55" s="1"/>
  <c r="V23" i="55"/>
  <c r="V67" i="55" s="1"/>
  <c r="N37" i="55"/>
  <c r="N81" i="55" s="1"/>
  <c r="N12" i="55"/>
  <c r="N56" i="55" s="1"/>
  <c r="V27" i="55"/>
  <c r="V71" i="55" s="1"/>
  <c r="R36" i="55"/>
  <c r="R80" i="55" s="1"/>
  <c r="W36" i="34"/>
  <c r="R38" i="55"/>
  <c r="R82" i="55" s="1"/>
  <c r="W38" i="34"/>
  <c r="R6" i="55"/>
  <c r="R50" i="55" s="1"/>
  <c r="W6" i="34"/>
  <c r="R20" i="55"/>
  <c r="R64" i="55" s="1"/>
  <c r="W20" i="34"/>
  <c r="W16" i="34"/>
  <c r="W5" i="35"/>
  <c r="T45" i="35"/>
  <c r="W13" i="34"/>
  <c r="R13" i="55"/>
  <c r="R57" i="55" s="1"/>
  <c r="W22" i="51"/>
  <c r="R28" i="55"/>
  <c r="R72" i="55" s="1"/>
  <c r="W28" i="34"/>
  <c r="W32" i="35"/>
  <c r="R7" i="55"/>
  <c r="R51" i="55" s="1"/>
  <c r="W7" i="34"/>
  <c r="V45" i="35"/>
  <c r="W12" i="34"/>
  <c r="W18" i="51"/>
  <c r="W30" i="51"/>
  <c r="M18" i="50"/>
  <c r="F9" i="57"/>
  <c r="F14" i="57" s="1"/>
  <c r="R29" i="55"/>
  <c r="R73" i="55" s="1"/>
  <c r="R25" i="55"/>
  <c r="R69" i="55" s="1"/>
  <c r="W25" i="34"/>
  <c r="T25" i="55"/>
  <c r="T69" i="55" s="1"/>
  <c r="T38" i="55"/>
  <c r="T82" i="55" s="1"/>
  <c r="W31" i="35"/>
  <c r="W14" i="51"/>
  <c r="W38" i="51"/>
  <c r="W26" i="51"/>
  <c r="T7" i="55"/>
  <c r="T51" i="55" s="1"/>
  <c r="R5" i="55"/>
  <c r="R49" i="55" s="1"/>
  <c r="W5" i="34"/>
  <c r="T45" i="34"/>
  <c r="W45" i="33"/>
  <c r="W13" i="51"/>
  <c r="R15" i="55"/>
  <c r="R59" i="55" s="1"/>
  <c r="W15" i="34"/>
  <c r="R40" i="55"/>
  <c r="R84" i="55" s="1"/>
  <c r="W40" i="34"/>
  <c r="W7" i="51"/>
  <c r="T21" i="55"/>
  <c r="T65" i="55" s="1"/>
  <c r="V45" i="51"/>
  <c r="T37" i="55"/>
  <c r="T81" i="55" s="1"/>
  <c r="T24" i="55"/>
  <c r="T68" i="55" s="1"/>
  <c r="R18" i="55"/>
  <c r="R62" i="55" s="1"/>
  <c r="W18" i="34"/>
  <c r="W43" i="51"/>
  <c r="W27" i="34"/>
  <c r="R27" i="55"/>
  <c r="R71" i="55" s="1"/>
  <c r="R39" i="55"/>
  <c r="R83" i="55" s="1"/>
  <c r="W39" i="34"/>
  <c r="R23" i="55"/>
  <c r="R67" i="55" s="1"/>
  <c r="W23" i="34"/>
  <c r="W35" i="51"/>
  <c r="T40" i="55"/>
  <c r="T84" i="55" s="1"/>
  <c r="P40" i="55"/>
  <c r="P84" i="55" s="1"/>
  <c r="N33" i="55"/>
  <c r="N77" i="55" s="1"/>
  <c r="Q14" i="51"/>
  <c r="M33" i="54"/>
  <c r="M85" i="54" s="1"/>
  <c r="P43" i="55"/>
  <c r="P87" i="55" s="1"/>
  <c r="R33" i="55"/>
  <c r="R77" i="55" s="1"/>
  <c r="R21" i="55"/>
  <c r="R65" i="55" s="1"/>
  <c r="W21" i="34"/>
  <c r="R24" i="55"/>
  <c r="R68" i="55" s="1"/>
  <c r="W11" i="35"/>
  <c r="T28" i="55"/>
  <c r="T72" i="55" s="1"/>
  <c r="T26" i="55"/>
  <c r="T70" i="55" s="1"/>
  <c r="W29" i="34"/>
  <c r="R31" i="55"/>
  <c r="R75" i="55" s="1"/>
  <c r="W31" i="34"/>
  <c r="R14" i="55"/>
  <c r="R58" i="55" s="1"/>
  <c r="W14" i="34"/>
  <c r="W26" i="35"/>
  <c r="T10" i="55"/>
  <c r="T54" i="55" s="1"/>
  <c r="T13" i="55"/>
  <c r="T57" i="55" s="1"/>
  <c r="T30" i="55"/>
  <c r="T74" i="55" s="1"/>
  <c r="T16" i="55"/>
  <c r="T60" i="55" s="1"/>
  <c r="T15" i="55"/>
  <c r="T59" i="55" s="1"/>
  <c r="W15" i="51"/>
  <c r="R32" i="55"/>
  <c r="R76" i="55" s="1"/>
  <c r="W7" i="35"/>
  <c r="T5" i="55"/>
  <c r="T49" i="55" s="1"/>
  <c r="V45" i="34"/>
  <c r="W37" i="51"/>
  <c r="R30" i="55"/>
  <c r="R74" i="55" s="1"/>
  <c r="W39" i="51"/>
  <c r="W23" i="51"/>
  <c r="R35" i="55"/>
  <c r="R79" i="55" s="1"/>
  <c r="T34" i="55"/>
  <c r="T78" i="55" s="1"/>
  <c r="C15" i="57"/>
  <c r="O15" i="56"/>
  <c r="G15" i="57"/>
  <c r="F11" i="57"/>
  <c r="D9" i="57"/>
  <c r="D11" i="57"/>
  <c r="D7" i="57"/>
  <c r="D13" i="57" s="1"/>
  <c r="V12" i="55"/>
  <c r="V56" i="55" s="1"/>
  <c r="V34" i="55"/>
  <c r="V78" i="55" s="1"/>
  <c r="Z45" i="35"/>
  <c r="AA5" i="35"/>
  <c r="AA45" i="35" s="1"/>
  <c r="V9" i="55"/>
  <c r="V53" i="55" s="1"/>
  <c r="Q53" i="50"/>
  <c r="AB24" i="29"/>
  <c r="V24" i="31"/>
  <c r="AB24" i="31" s="1"/>
  <c r="V48" i="31"/>
  <c r="AB48" i="31" s="1"/>
  <c r="AB48" i="29"/>
  <c r="V8" i="31"/>
  <c r="AB8" i="31" s="1"/>
  <c r="AB8" i="29"/>
  <c r="V45" i="31"/>
  <c r="AB45" i="31" s="1"/>
  <c r="AB45" i="29"/>
  <c r="AB30" i="29"/>
  <c r="V30" i="31"/>
  <c r="AB30" i="31" s="1"/>
  <c r="V11" i="31"/>
  <c r="AB11" i="31" s="1"/>
  <c r="AB11" i="29"/>
  <c r="AB40" i="29"/>
  <c r="V40" i="31"/>
  <c r="AB40" i="31" s="1"/>
  <c r="V42" i="31"/>
  <c r="AB42" i="31" s="1"/>
  <c r="AB42" i="29"/>
  <c r="AB16" i="29"/>
  <c r="V16" i="31"/>
  <c r="AB16" i="31" s="1"/>
  <c r="V39" i="31"/>
  <c r="AB39" i="31" s="1"/>
  <c r="AB39" i="29"/>
  <c r="AB28" i="29"/>
  <c r="V28" i="31"/>
  <c r="AB28" i="31" s="1"/>
  <c r="AB20" i="29"/>
  <c r="V20" i="31"/>
  <c r="AB20" i="31" s="1"/>
  <c r="L17" i="55"/>
  <c r="L61" i="55" s="1"/>
  <c r="L32" i="55"/>
  <c r="L76" i="55" s="1"/>
  <c r="L25" i="55"/>
  <c r="L69" i="55" s="1"/>
  <c r="L43" i="55"/>
  <c r="L87" i="55" s="1"/>
  <c r="Q37" i="51"/>
  <c r="Q21" i="51"/>
  <c r="V18" i="55"/>
  <c r="V62" i="55" s="1"/>
  <c r="V21" i="55"/>
  <c r="V65" i="55" s="1"/>
  <c r="X5" i="54"/>
  <c r="X57" i="54" s="1"/>
  <c r="Y53" i="30"/>
  <c r="X29" i="54"/>
  <c r="X81" i="54" s="1"/>
  <c r="X50" i="54"/>
  <c r="X102" i="54" s="1"/>
  <c r="X12" i="54"/>
  <c r="X64" i="54" s="1"/>
  <c r="X24" i="54"/>
  <c r="X76" i="54" s="1"/>
  <c r="X26" i="54"/>
  <c r="X78" i="54" s="1"/>
  <c r="M14" i="50"/>
  <c r="Q10" i="51"/>
  <c r="Q20" i="51"/>
  <c r="Q19" i="51"/>
  <c r="Q23" i="51"/>
  <c r="Q33" i="51"/>
  <c r="M13" i="30"/>
  <c r="M13" i="54" s="1"/>
  <c r="M65" i="54" s="1"/>
  <c r="L18" i="55"/>
  <c r="L62" i="55" s="1"/>
  <c r="L40" i="55"/>
  <c r="L84" i="55" s="1"/>
  <c r="M28" i="30"/>
  <c r="M28" i="54" s="1"/>
  <c r="M80" i="54" s="1"/>
  <c r="L35" i="55"/>
  <c r="L79" i="55" s="1"/>
  <c r="Y53" i="31"/>
  <c r="V43" i="55"/>
  <c r="V87" i="55" s="1"/>
  <c r="V5" i="54"/>
  <c r="V57" i="54" s="1"/>
  <c r="L9" i="56" s="1"/>
  <c r="W53" i="30"/>
  <c r="Q13" i="51"/>
  <c r="Q22" i="51"/>
  <c r="Q42" i="51"/>
  <c r="V17" i="55"/>
  <c r="V61" i="55" s="1"/>
  <c r="V6" i="55"/>
  <c r="V50" i="55" s="1"/>
  <c r="V39" i="55"/>
  <c r="V83" i="55" s="1"/>
  <c r="O53" i="50"/>
  <c r="AD30" i="30"/>
  <c r="AA30" i="54"/>
  <c r="AA82" i="54" s="1"/>
  <c r="AD37" i="30"/>
  <c r="AA37" i="54"/>
  <c r="AA89" i="54" s="1"/>
  <c r="AD14" i="30"/>
  <c r="AA14" i="54"/>
  <c r="AA66" i="54" s="1"/>
  <c r="AD41" i="30"/>
  <c r="AA41" i="54"/>
  <c r="AA93" i="54" s="1"/>
  <c r="AD35" i="30"/>
  <c r="AA35" i="54"/>
  <c r="AA87" i="54" s="1"/>
  <c r="AD21" i="30"/>
  <c r="AA21" i="54"/>
  <c r="AA73" i="54" s="1"/>
  <c r="AD12" i="30"/>
  <c r="AA12" i="54"/>
  <c r="AA64" i="54" s="1"/>
  <c r="AD15" i="30"/>
  <c r="AA15" i="54"/>
  <c r="AA67" i="54" s="1"/>
  <c r="AD40" i="30"/>
  <c r="AA40" i="54"/>
  <c r="AA92" i="54" s="1"/>
  <c r="AD5" i="30"/>
  <c r="AA5" i="54"/>
  <c r="AA57" i="54" s="1"/>
  <c r="AC53" i="30"/>
  <c r="Q16" i="51"/>
  <c r="Q27" i="51"/>
  <c r="Q15" i="51"/>
  <c r="M15" i="30"/>
  <c r="M15" i="54" s="1"/>
  <c r="M67" i="54" s="1"/>
  <c r="V41" i="55"/>
  <c r="V85" i="55" s="1"/>
  <c r="N45" i="51"/>
  <c r="AM54" i="30"/>
  <c r="AM54" i="50"/>
  <c r="AJ8" i="51"/>
  <c r="V13" i="55"/>
  <c r="V57" i="55" s="1"/>
  <c r="AA5" i="51"/>
  <c r="AA45" i="51" s="1"/>
  <c r="Z45" i="51"/>
  <c r="V22" i="55"/>
  <c r="V66" i="55" s="1"/>
  <c r="AB50" i="29"/>
  <c r="V50" i="31"/>
  <c r="AB50" i="31" s="1"/>
  <c r="AB22" i="29"/>
  <c r="V22" i="31"/>
  <c r="AB22" i="31" s="1"/>
  <c r="AB7" i="29"/>
  <c r="V7" i="31"/>
  <c r="AB7" i="31" s="1"/>
  <c r="V36" i="31"/>
  <c r="AB36" i="31" s="1"/>
  <c r="AB36" i="29"/>
  <c r="V14" i="31"/>
  <c r="AB14" i="31" s="1"/>
  <c r="AB14" i="29"/>
  <c r="V47" i="31"/>
  <c r="AB47" i="31" s="1"/>
  <c r="AB47" i="29"/>
  <c r="V31" i="31"/>
  <c r="AB31" i="31" s="1"/>
  <c r="AB31" i="29"/>
  <c r="V29" i="31"/>
  <c r="AB29" i="31" s="1"/>
  <c r="AB29" i="29"/>
  <c r="V15" i="31"/>
  <c r="AB15" i="31" s="1"/>
  <c r="AB15" i="29"/>
  <c r="V21" i="31"/>
  <c r="AB21" i="31" s="1"/>
  <c r="AB21" i="29"/>
  <c r="V6" i="31"/>
  <c r="AB6" i="31" s="1"/>
  <c r="AB6" i="29"/>
  <c r="AB19" i="29"/>
  <c r="V19" i="31"/>
  <c r="AB19" i="31" s="1"/>
  <c r="AH53" i="30"/>
  <c r="AD5" i="54"/>
  <c r="AD57" i="54" s="1"/>
  <c r="Q7" i="51"/>
  <c r="L37" i="55"/>
  <c r="L81" i="55" s="1"/>
  <c r="L21" i="55"/>
  <c r="L65" i="55" s="1"/>
  <c r="V11" i="55"/>
  <c r="V55" i="55" s="1"/>
  <c r="V37" i="55"/>
  <c r="V81" i="55" s="1"/>
  <c r="AE5" i="54"/>
  <c r="AE57" i="54" s="1"/>
  <c r="AI53" i="30"/>
  <c r="P14" i="56"/>
  <c r="X49" i="54"/>
  <c r="X101" i="54" s="1"/>
  <c r="X13" i="54"/>
  <c r="X65" i="54" s="1"/>
  <c r="X25" i="54"/>
  <c r="X77" i="54" s="1"/>
  <c r="X42" i="54"/>
  <c r="X94" i="54" s="1"/>
  <c r="X48" i="54"/>
  <c r="X100" i="54" s="1"/>
  <c r="X7" i="54"/>
  <c r="X59" i="54" s="1"/>
  <c r="AH53" i="50"/>
  <c r="M48" i="50"/>
  <c r="L10" i="55"/>
  <c r="L54" i="55" s="1"/>
  <c r="L20" i="55"/>
  <c r="L64" i="55" s="1"/>
  <c r="L19" i="55"/>
  <c r="L63" i="55" s="1"/>
  <c r="L23" i="55"/>
  <c r="L67" i="55" s="1"/>
  <c r="L33" i="55"/>
  <c r="L77" i="55" s="1"/>
  <c r="Q6" i="51"/>
  <c r="Q36" i="51"/>
  <c r="Q26" i="51"/>
  <c r="M30" i="30"/>
  <c r="M30" i="54" s="1"/>
  <c r="M82" i="54" s="1"/>
  <c r="V24" i="55"/>
  <c r="V68" i="55" s="1"/>
  <c r="L13" i="55"/>
  <c r="L57" i="55" s="1"/>
  <c r="L22" i="55"/>
  <c r="L66" i="55" s="1"/>
  <c r="L42" i="55"/>
  <c r="L86" i="55" s="1"/>
  <c r="V32" i="55"/>
  <c r="V76" i="55" s="1"/>
  <c r="V40" i="55"/>
  <c r="V84" i="55" s="1"/>
  <c r="V25" i="55"/>
  <c r="V69" i="55" s="1"/>
  <c r="P5" i="54"/>
  <c r="P57" i="54" s="1"/>
  <c r="P53" i="30"/>
  <c r="L5" i="54"/>
  <c r="L57" i="54" s="1"/>
  <c r="L53" i="30"/>
  <c r="AD34" i="30"/>
  <c r="AA34" i="54"/>
  <c r="AA86" i="54" s="1"/>
  <c r="AD10" i="30"/>
  <c r="AA10" i="54"/>
  <c r="AA62" i="54" s="1"/>
  <c r="AD48" i="30"/>
  <c r="AA48" i="54"/>
  <c r="AA100" i="54" s="1"/>
  <c r="AD47" i="30"/>
  <c r="AA47" i="54"/>
  <c r="AA99" i="54" s="1"/>
  <c r="AD19" i="30"/>
  <c r="AA19" i="54"/>
  <c r="AA71" i="54" s="1"/>
  <c r="AD38" i="30"/>
  <c r="AA38" i="54"/>
  <c r="AA90" i="54" s="1"/>
  <c r="AD50" i="30"/>
  <c r="AA50" i="54"/>
  <c r="AA102" i="54" s="1"/>
  <c r="AD23" i="30"/>
  <c r="AA23" i="54"/>
  <c r="AA75" i="54" s="1"/>
  <c r="AD27" i="30"/>
  <c r="AA27" i="54"/>
  <c r="AA79" i="54" s="1"/>
  <c r="AD39" i="30"/>
  <c r="AA39" i="54"/>
  <c r="AA91" i="54" s="1"/>
  <c r="AD28" i="30"/>
  <c r="AA28" i="54"/>
  <c r="AA80" i="54" s="1"/>
  <c r="AD49" i="30"/>
  <c r="AA49" i="54"/>
  <c r="AA101" i="54" s="1"/>
  <c r="AD22" i="30"/>
  <c r="AA22" i="54"/>
  <c r="AA74" i="54" s="1"/>
  <c r="T5" i="54"/>
  <c r="T57" i="54" s="1"/>
  <c r="U53" i="30"/>
  <c r="L16" i="55"/>
  <c r="L60" i="55" s="1"/>
  <c r="L27" i="55"/>
  <c r="L71" i="55" s="1"/>
  <c r="L15" i="55"/>
  <c r="L59" i="55" s="1"/>
  <c r="V33" i="55"/>
  <c r="V77" i="55" s="1"/>
  <c r="P45" i="34"/>
  <c r="N45" i="35"/>
  <c r="Q53" i="30"/>
  <c r="Q10" i="54"/>
  <c r="Q62" i="54" s="1"/>
  <c r="G9" i="56" s="1"/>
  <c r="V38" i="55"/>
  <c r="V82" i="55" s="1"/>
  <c r="AA45" i="33"/>
  <c r="O5" i="54"/>
  <c r="O57" i="54" s="1"/>
  <c r="O53" i="30"/>
  <c r="S28" i="50"/>
  <c r="S41" i="50"/>
  <c r="S18" i="50"/>
  <c r="S48" i="50"/>
  <c r="S44" i="50"/>
  <c r="S23" i="50"/>
  <c r="S12" i="50"/>
  <c r="S30" i="30"/>
  <c r="S34" i="30"/>
  <c r="S10" i="30"/>
  <c r="S7" i="30"/>
  <c r="S15" i="30"/>
  <c r="S26" i="30"/>
  <c r="S50" i="30"/>
  <c r="S32" i="30"/>
  <c r="S18" i="30"/>
  <c r="S29" i="30"/>
  <c r="S26" i="50"/>
  <c r="S45" i="50"/>
  <c r="S27" i="50"/>
  <c r="S16" i="50"/>
  <c r="S31" i="50"/>
  <c r="S6" i="50"/>
  <c r="S20" i="50"/>
  <c r="S10" i="50"/>
  <c r="S22" i="50"/>
  <c r="S43" i="50"/>
  <c r="S5" i="50"/>
  <c r="S33" i="50"/>
  <c r="S37" i="50"/>
  <c r="S51" i="50"/>
  <c r="S39" i="50"/>
  <c r="S35" i="50"/>
  <c r="S7" i="50"/>
  <c r="S21" i="50"/>
  <c r="S11" i="50"/>
  <c r="S34" i="50"/>
  <c r="S32" i="50"/>
  <c r="S23" i="30"/>
  <c r="S40" i="30"/>
  <c r="S46" i="30"/>
  <c r="S8" i="30"/>
  <c r="S36" i="30"/>
  <c r="S43" i="30"/>
  <c r="S5" i="30"/>
  <c r="S37" i="30"/>
  <c r="S16" i="30"/>
  <c r="S28" i="30"/>
  <c r="S22" i="30"/>
  <c r="S49" i="50"/>
  <c r="S42" i="50"/>
  <c r="S19" i="50"/>
  <c r="S42" i="30"/>
  <c r="S44" i="30"/>
  <c r="S45" i="30"/>
  <c r="S17" i="30"/>
  <c r="S48" i="30"/>
  <c r="S51" i="30"/>
  <c r="S14" i="30"/>
  <c r="S41" i="30"/>
  <c r="S25" i="30"/>
  <c r="S21" i="30"/>
  <c r="S9" i="30"/>
  <c r="S20" i="30"/>
  <c r="S47" i="50"/>
  <c r="S46" i="50"/>
  <c r="S38" i="50"/>
  <c r="S9" i="50"/>
  <c r="S36" i="50"/>
  <c r="S40" i="50"/>
  <c r="S13" i="50"/>
  <c r="S17" i="50"/>
  <c r="S50" i="50"/>
  <c r="S25" i="50"/>
  <c r="S15" i="50"/>
  <c r="S35" i="30"/>
  <c r="S12" i="30"/>
  <c r="S6" i="30"/>
  <c r="S19" i="30"/>
  <c r="S24" i="30"/>
  <c r="S31" i="30"/>
  <c r="S39" i="30"/>
  <c r="S33" i="30"/>
  <c r="S11" i="30"/>
  <c r="S49" i="30"/>
  <c r="S47" i="30"/>
  <c r="S13" i="30"/>
  <c r="S38" i="30"/>
  <c r="S27" i="30"/>
  <c r="S24" i="50"/>
  <c r="S30" i="50"/>
  <c r="S14" i="50"/>
  <c r="S29" i="50"/>
  <c r="S8" i="50"/>
  <c r="V41" i="31"/>
  <c r="AB41" i="31" s="1"/>
  <c r="AB41" i="29"/>
  <c r="V10" i="31"/>
  <c r="AB10" i="31" s="1"/>
  <c r="AB10" i="29"/>
  <c r="V49" i="31"/>
  <c r="AB49" i="31" s="1"/>
  <c r="AB49" i="29"/>
  <c r="V51" i="31"/>
  <c r="AB51" i="31" s="1"/>
  <c r="AB51" i="29"/>
  <c r="V13" i="31"/>
  <c r="AB13" i="31" s="1"/>
  <c r="AB13" i="29"/>
  <c r="AB44" i="29"/>
  <c r="V44" i="31"/>
  <c r="AB44" i="31" s="1"/>
  <c r="AB46" i="29"/>
  <c r="V46" i="31"/>
  <c r="AB46" i="31" s="1"/>
  <c r="V18" i="31"/>
  <c r="AB18" i="31" s="1"/>
  <c r="AB18" i="29"/>
  <c r="V43" i="31"/>
  <c r="AB43" i="31" s="1"/>
  <c r="AB43" i="29"/>
  <c r="AB32" i="29"/>
  <c r="V32" i="31"/>
  <c r="AB32" i="31" s="1"/>
  <c r="V5" i="31"/>
  <c r="AB5" i="29"/>
  <c r="V53" i="29"/>
  <c r="V58" i="29" s="1"/>
  <c r="L14" i="55"/>
  <c r="L58" i="55" s="1"/>
  <c r="L7" i="55"/>
  <c r="L51" i="55" s="1"/>
  <c r="L24" i="55"/>
  <c r="L68" i="55" s="1"/>
  <c r="L29" i="55"/>
  <c r="L73" i="55" s="1"/>
  <c r="H9" i="57"/>
  <c r="H11" i="57"/>
  <c r="H7" i="57"/>
  <c r="H13" i="57" s="1"/>
  <c r="V35" i="55"/>
  <c r="V79" i="55" s="1"/>
  <c r="V30" i="55"/>
  <c r="V74" i="55" s="1"/>
  <c r="G11" i="57"/>
  <c r="G7" i="57"/>
  <c r="G13" i="57" s="1"/>
  <c r="M53" i="31"/>
  <c r="Y53" i="50"/>
  <c r="X8" i="54"/>
  <c r="X60" i="54" s="1"/>
  <c r="X41" i="54"/>
  <c r="X93" i="54" s="1"/>
  <c r="X47" i="54"/>
  <c r="X99" i="54" s="1"/>
  <c r="X31" i="54"/>
  <c r="X83" i="54" s="1"/>
  <c r="Q11" i="51"/>
  <c r="Q38" i="51"/>
  <c r="Q39" i="51"/>
  <c r="M16" i="30"/>
  <c r="M16" i="54" s="1"/>
  <c r="M68" i="54" s="1"/>
  <c r="L8" i="55"/>
  <c r="L52" i="55" s="1"/>
  <c r="L6" i="55"/>
  <c r="L50" i="55" s="1"/>
  <c r="L36" i="55"/>
  <c r="L80" i="55" s="1"/>
  <c r="L26" i="55"/>
  <c r="L70" i="55" s="1"/>
  <c r="V36" i="55"/>
  <c r="V80" i="55" s="1"/>
  <c r="Q12" i="51"/>
  <c r="Q5" i="51"/>
  <c r="L45" i="51"/>
  <c r="Q41" i="51"/>
  <c r="V10" i="55"/>
  <c r="V54" i="55" s="1"/>
  <c r="X53" i="50"/>
  <c r="AD51" i="30"/>
  <c r="AA51" i="54"/>
  <c r="AA103" i="54" s="1"/>
  <c r="AD17" i="30"/>
  <c r="AA17" i="54"/>
  <c r="AA69" i="54" s="1"/>
  <c r="AD6" i="30"/>
  <c r="AA6" i="54"/>
  <c r="AA58" i="54" s="1"/>
  <c r="AD32" i="30"/>
  <c r="AA32" i="54"/>
  <c r="AA84" i="54" s="1"/>
  <c r="AD11" i="30"/>
  <c r="AA11" i="54"/>
  <c r="AA63" i="54" s="1"/>
  <c r="AD13" i="30"/>
  <c r="AA13" i="54"/>
  <c r="AA65" i="54" s="1"/>
  <c r="AD29" i="30"/>
  <c r="AA29" i="54"/>
  <c r="AA81" i="54" s="1"/>
  <c r="AD5" i="50"/>
  <c r="AD53" i="50" s="1"/>
  <c r="AC53" i="50"/>
  <c r="AD33" i="30"/>
  <c r="AA33" i="54"/>
  <c r="AA85" i="54" s="1"/>
  <c r="AD7" i="30"/>
  <c r="AA7" i="54"/>
  <c r="AA59" i="54" s="1"/>
  <c r="AD8" i="30"/>
  <c r="AA8" i="54"/>
  <c r="AA60" i="54" s="1"/>
  <c r="AD16" i="30"/>
  <c r="AA16" i="54"/>
  <c r="AA68" i="54" s="1"/>
  <c r="AD25" i="30"/>
  <c r="AA25" i="54"/>
  <c r="AA77" i="54" s="1"/>
  <c r="AD36" i="30"/>
  <c r="AA36" i="54"/>
  <c r="AA88" i="54" s="1"/>
  <c r="J9" i="56"/>
  <c r="U53" i="50"/>
  <c r="Q9" i="51"/>
  <c r="Q31" i="51"/>
  <c r="Q28" i="51"/>
  <c r="V19" i="55"/>
  <c r="V63" i="55" s="1"/>
  <c r="P45" i="35"/>
  <c r="AB13" i="33"/>
  <c r="AB34" i="33"/>
  <c r="V20" i="55"/>
  <c r="V64" i="55" s="1"/>
  <c r="V26" i="55"/>
  <c r="V70" i="55" s="1"/>
  <c r="AA5" i="34"/>
  <c r="AA45" i="34" s="1"/>
  <c r="Z45" i="34"/>
  <c r="V29" i="55"/>
  <c r="V73" i="55" s="1"/>
  <c r="R47" i="50"/>
  <c r="R9" i="30"/>
  <c r="R9" i="54" s="1"/>
  <c r="R61" i="54" s="1"/>
  <c r="R26" i="30"/>
  <c r="R24" i="30"/>
  <c r="R5" i="30"/>
  <c r="R5" i="50"/>
  <c r="R32" i="50"/>
  <c r="R46" i="50"/>
  <c r="R24" i="50"/>
  <c r="R30" i="50"/>
  <c r="R14" i="50"/>
  <c r="R38" i="50"/>
  <c r="R26" i="50"/>
  <c r="R49" i="50"/>
  <c r="R42" i="50"/>
  <c r="R9" i="50"/>
  <c r="R36" i="50"/>
  <c r="R40" i="50"/>
  <c r="R13" i="50"/>
  <c r="R17" i="50"/>
  <c r="R50" i="50"/>
  <c r="R25" i="50"/>
  <c r="R15" i="50"/>
  <c r="R29" i="50"/>
  <c r="R45" i="50"/>
  <c r="R19" i="50"/>
  <c r="R8" i="50"/>
  <c r="R21" i="30"/>
  <c r="R36" i="30"/>
  <c r="R36" i="54" s="1"/>
  <c r="R88" i="54" s="1"/>
  <c r="R13" i="30"/>
  <c r="R13" i="54" s="1"/>
  <c r="R65" i="54" s="1"/>
  <c r="R43" i="30"/>
  <c r="R43" i="54" s="1"/>
  <c r="R95" i="54" s="1"/>
  <c r="R44" i="30"/>
  <c r="R44" i="54" s="1"/>
  <c r="R96" i="54" s="1"/>
  <c r="R45" i="30"/>
  <c r="R45" i="54" s="1"/>
  <c r="R97" i="54" s="1"/>
  <c r="R17" i="30"/>
  <c r="R17" i="54" s="1"/>
  <c r="R69" i="54" s="1"/>
  <c r="R18" i="30"/>
  <c r="R18" i="54" s="1"/>
  <c r="R70" i="54" s="1"/>
  <c r="R23" i="30"/>
  <c r="R33" i="30"/>
  <c r="R33" i="54" s="1"/>
  <c r="R85" i="54" s="1"/>
  <c r="R11" i="30"/>
  <c r="R11" i="54" s="1"/>
  <c r="R63" i="54" s="1"/>
  <c r="R49" i="30"/>
  <c r="R49" i="54" s="1"/>
  <c r="R101" i="54" s="1"/>
  <c r="R28" i="30"/>
  <c r="R31" i="30"/>
  <c r="R31" i="54" s="1"/>
  <c r="R83" i="54" s="1"/>
  <c r="R29" i="30"/>
  <c r="R39" i="30"/>
  <c r="R39" i="54" s="1"/>
  <c r="R91" i="54" s="1"/>
  <c r="R40" i="30"/>
  <c r="R40" i="54" s="1"/>
  <c r="R92" i="54" s="1"/>
  <c r="R46" i="30"/>
  <c r="R46" i="54" s="1"/>
  <c r="R98" i="54" s="1"/>
  <c r="R8" i="30"/>
  <c r="R8" i="54" s="1"/>
  <c r="R60" i="54" s="1"/>
  <c r="R35" i="30"/>
  <c r="R35" i="54" s="1"/>
  <c r="R87" i="54" s="1"/>
  <c r="R14" i="30"/>
  <c r="R14" i="54" s="1"/>
  <c r="R66" i="54" s="1"/>
  <c r="R50" i="30"/>
  <c r="R50" i="54" s="1"/>
  <c r="R102" i="54" s="1"/>
  <c r="R27" i="30"/>
  <c r="R32" i="30"/>
  <c r="R32" i="54" s="1"/>
  <c r="R84" i="54" s="1"/>
  <c r="R15" i="30"/>
  <c r="R15" i="54" s="1"/>
  <c r="R67" i="54" s="1"/>
  <c r="R20" i="30"/>
  <c r="R20" i="54" s="1"/>
  <c r="R72" i="54" s="1"/>
  <c r="R6" i="30"/>
  <c r="R6" i="54" s="1"/>
  <c r="R58" i="54" s="1"/>
  <c r="R19" i="30"/>
  <c r="R19" i="54" s="1"/>
  <c r="R71" i="54" s="1"/>
  <c r="R30" i="30"/>
  <c r="R30" i="54" s="1"/>
  <c r="R82" i="54" s="1"/>
  <c r="R41" i="30"/>
  <c r="R41" i="54" s="1"/>
  <c r="R93" i="54" s="1"/>
  <c r="R25" i="30"/>
  <c r="R25" i="54" s="1"/>
  <c r="R77" i="54" s="1"/>
  <c r="R23" i="50"/>
  <c r="R42" i="30"/>
  <c r="R42" i="54" s="1"/>
  <c r="R94" i="54" s="1"/>
  <c r="R27" i="50"/>
  <c r="R16" i="50"/>
  <c r="R31" i="50"/>
  <c r="R6" i="50"/>
  <c r="R20" i="50"/>
  <c r="R10" i="50"/>
  <c r="R41" i="50"/>
  <c r="R18" i="50"/>
  <c r="R48" i="50"/>
  <c r="R44" i="50"/>
  <c r="R22" i="50"/>
  <c r="R43" i="50"/>
  <c r="R33" i="50"/>
  <c r="R37" i="50"/>
  <c r="R51" i="50"/>
  <c r="R39" i="50"/>
  <c r="R35" i="50"/>
  <c r="R7" i="50"/>
  <c r="R11" i="50"/>
  <c r="R34" i="50"/>
  <c r="R28" i="50"/>
  <c r="R21" i="50"/>
  <c r="R12" i="50"/>
  <c r="R7" i="30"/>
  <c r="R7" i="54" s="1"/>
  <c r="R59" i="54" s="1"/>
  <c r="R48" i="30"/>
  <c r="R48" i="54" s="1"/>
  <c r="R100" i="54" s="1"/>
  <c r="R22" i="30"/>
  <c r="R51" i="30"/>
  <c r="R51" i="54" s="1"/>
  <c r="R103" i="54" s="1"/>
  <c r="R34" i="30"/>
  <c r="R34" i="54" s="1"/>
  <c r="R86" i="54" s="1"/>
  <c r="R38" i="30"/>
  <c r="R38" i="54" s="1"/>
  <c r="R90" i="54" s="1"/>
  <c r="R10" i="30"/>
  <c r="R10" i="54" s="1"/>
  <c r="R62" i="54" s="1"/>
  <c r="R47" i="30"/>
  <c r="R47" i="54" s="1"/>
  <c r="R99" i="54" s="1"/>
  <c r="R12" i="30"/>
  <c r="R12" i="54" s="1"/>
  <c r="R64" i="54" s="1"/>
  <c r="R37" i="30"/>
  <c r="R37" i="54" s="1"/>
  <c r="R89" i="54" s="1"/>
  <c r="R16" i="30"/>
  <c r="R16" i="54" s="1"/>
  <c r="R68" i="54" s="1"/>
  <c r="V38" i="31"/>
  <c r="AB38" i="31" s="1"/>
  <c r="AB38" i="29"/>
  <c r="AB27" i="29"/>
  <c r="V27" i="31"/>
  <c r="AB27" i="31" s="1"/>
  <c r="V9" i="31"/>
  <c r="AB9" i="31" s="1"/>
  <c r="AB9" i="29"/>
  <c r="V23" i="31"/>
  <c r="AB23" i="31" s="1"/>
  <c r="AB23" i="29"/>
  <c r="V34" i="31"/>
  <c r="AB34" i="31" s="1"/>
  <c r="AB34" i="29"/>
  <c r="V12" i="31"/>
  <c r="AB12" i="31" s="1"/>
  <c r="AB12" i="29"/>
  <c r="V35" i="31"/>
  <c r="AB35" i="31" s="1"/>
  <c r="AB35" i="29"/>
  <c r="V33" i="31"/>
  <c r="AB33" i="31" s="1"/>
  <c r="AB33" i="29"/>
  <c r="V17" i="31"/>
  <c r="AB17" i="31" s="1"/>
  <c r="AB17" i="29"/>
  <c r="AB26" i="29"/>
  <c r="V26" i="31"/>
  <c r="AB26" i="31" s="1"/>
  <c r="V37" i="31"/>
  <c r="AB37" i="31" s="1"/>
  <c r="AB37" i="29"/>
  <c r="V25" i="31"/>
  <c r="AB25" i="31" s="1"/>
  <c r="AB25" i="29"/>
  <c r="Q32" i="51"/>
  <c r="Q25" i="51"/>
  <c r="L34" i="55"/>
  <c r="L78" i="55" s="1"/>
  <c r="E15" i="57"/>
  <c r="V15" i="55"/>
  <c r="V59" i="55" s="1"/>
  <c r="V31" i="55"/>
  <c r="V75" i="55" s="1"/>
  <c r="L53" i="50"/>
  <c r="M31" i="30"/>
  <c r="M31" i="54" s="1"/>
  <c r="M83" i="54" s="1"/>
  <c r="M10" i="50"/>
  <c r="M49" i="50"/>
  <c r="M8" i="50"/>
  <c r="M7" i="50"/>
  <c r="M41" i="30"/>
  <c r="M41" i="54" s="1"/>
  <c r="M93" i="54" s="1"/>
  <c r="M32" i="30"/>
  <c r="M32" i="54" s="1"/>
  <c r="M84" i="54" s="1"/>
  <c r="M40" i="30"/>
  <c r="M40" i="54" s="1"/>
  <c r="M92" i="54" s="1"/>
  <c r="M27" i="50"/>
  <c r="M23" i="50"/>
  <c r="M33" i="50"/>
  <c r="M16" i="50"/>
  <c r="M47" i="50"/>
  <c r="M38" i="50"/>
  <c r="M22" i="50"/>
  <c r="M27" i="30"/>
  <c r="M27" i="54" s="1"/>
  <c r="M79" i="54" s="1"/>
  <c r="M7" i="30"/>
  <c r="M7" i="54" s="1"/>
  <c r="M59" i="54" s="1"/>
  <c r="M47" i="30"/>
  <c r="M47" i="54" s="1"/>
  <c r="M99" i="54" s="1"/>
  <c r="M51" i="50"/>
  <c r="M31" i="50"/>
  <c r="M50" i="50"/>
  <c r="M40" i="50"/>
  <c r="M41" i="50"/>
  <c r="M29" i="50"/>
  <c r="M9" i="50"/>
  <c r="M34" i="50"/>
  <c r="M46" i="30"/>
  <c r="M46" i="54" s="1"/>
  <c r="M98" i="54" s="1"/>
  <c r="M20" i="30"/>
  <c r="M20" i="54" s="1"/>
  <c r="M72" i="54" s="1"/>
  <c r="M22" i="30"/>
  <c r="M22" i="54" s="1"/>
  <c r="M74" i="54" s="1"/>
  <c r="M49" i="30"/>
  <c r="M49" i="54" s="1"/>
  <c r="M101" i="54" s="1"/>
  <c r="M12" i="30"/>
  <c r="M12" i="54" s="1"/>
  <c r="M64" i="54" s="1"/>
  <c r="M50" i="30"/>
  <c r="M50" i="54" s="1"/>
  <c r="M102" i="54" s="1"/>
  <c r="M34" i="30"/>
  <c r="M34" i="54" s="1"/>
  <c r="M86" i="54" s="1"/>
  <c r="M39" i="30"/>
  <c r="M39" i="54" s="1"/>
  <c r="M91" i="54" s="1"/>
  <c r="M51" i="30"/>
  <c r="M51" i="54" s="1"/>
  <c r="M103" i="54" s="1"/>
  <c r="M42" i="30"/>
  <c r="M42" i="54" s="1"/>
  <c r="M94" i="54" s="1"/>
  <c r="M24" i="30"/>
  <c r="M24" i="54" s="1"/>
  <c r="M76" i="54" s="1"/>
  <c r="M42" i="50"/>
  <c r="M32" i="50"/>
  <c r="M5" i="50"/>
  <c r="M37" i="50"/>
  <c r="M45" i="30"/>
  <c r="M45" i="54" s="1"/>
  <c r="M97" i="54" s="1"/>
  <c r="M37" i="30"/>
  <c r="M37" i="54" s="1"/>
  <c r="M89" i="54" s="1"/>
  <c r="M38" i="30"/>
  <c r="M38" i="54" s="1"/>
  <c r="M90" i="54" s="1"/>
  <c r="M44" i="30"/>
  <c r="M44" i="54" s="1"/>
  <c r="M96" i="54" s="1"/>
  <c r="M21" i="30"/>
  <c r="M21" i="54" s="1"/>
  <c r="M73" i="54" s="1"/>
  <c r="M35" i="30"/>
  <c r="M35" i="54" s="1"/>
  <c r="M87" i="54" s="1"/>
  <c r="M26" i="30"/>
  <c r="M26" i="54" s="1"/>
  <c r="M78" i="54" s="1"/>
  <c r="M29" i="30"/>
  <c r="M29" i="54" s="1"/>
  <c r="M81" i="54" s="1"/>
  <c r="M43" i="30"/>
  <c r="M43" i="54" s="1"/>
  <c r="M95" i="54" s="1"/>
  <c r="M19" i="30"/>
  <c r="M19" i="54" s="1"/>
  <c r="M71" i="54" s="1"/>
  <c r="M11" i="50"/>
  <c r="M20" i="50"/>
  <c r="M21" i="50"/>
  <c r="M46" i="50"/>
  <c r="M44" i="50"/>
  <c r="M5" i="30"/>
  <c r="M6" i="30"/>
  <c r="M6" i="54" s="1"/>
  <c r="M58" i="54" s="1"/>
  <c r="M23" i="30"/>
  <c r="M23" i="54" s="1"/>
  <c r="M75" i="54" s="1"/>
  <c r="M6" i="50"/>
  <c r="M39" i="50"/>
  <c r="M17" i="50"/>
  <c r="M25" i="50"/>
  <c r="M26" i="50"/>
  <c r="M19" i="50"/>
  <c r="M45" i="50"/>
  <c r="M24" i="50"/>
  <c r="M11" i="30"/>
  <c r="M11" i="54" s="1"/>
  <c r="M63" i="54" s="1"/>
  <c r="M17" i="30"/>
  <c r="M17" i="54" s="1"/>
  <c r="M69" i="54" s="1"/>
  <c r="M8" i="30"/>
  <c r="M8" i="54" s="1"/>
  <c r="M60" i="54" s="1"/>
  <c r="M12" i="50"/>
  <c r="M35" i="50"/>
  <c r="M43" i="50"/>
  <c r="M25" i="30"/>
  <c r="M25" i="54" s="1"/>
  <c r="M77" i="54" s="1"/>
  <c r="M14" i="30"/>
  <c r="M14" i="54" s="1"/>
  <c r="M66" i="54" s="1"/>
  <c r="M9" i="30"/>
  <c r="M9" i="54" s="1"/>
  <c r="M61" i="54" s="1"/>
  <c r="M10" i="30"/>
  <c r="M10" i="54" s="1"/>
  <c r="M62" i="54" s="1"/>
  <c r="X40" i="54"/>
  <c r="X92" i="54" s="1"/>
  <c r="X22" i="54"/>
  <c r="X74" i="54" s="1"/>
  <c r="X46" i="54"/>
  <c r="X98" i="54" s="1"/>
  <c r="X28" i="54"/>
  <c r="X80" i="54" s="1"/>
  <c r="X6" i="54"/>
  <c r="X58" i="54" s="1"/>
  <c r="X45" i="54"/>
  <c r="X97" i="54" s="1"/>
  <c r="X15" i="54"/>
  <c r="X67" i="54" s="1"/>
  <c r="X27" i="54"/>
  <c r="X79" i="54" s="1"/>
  <c r="M28" i="50"/>
  <c r="L11" i="55"/>
  <c r="L55" i="55" s="1"/>
  <c r="L30" i="55"/>
  <c r="L74" i="55" s="1"/>
  <c r="L38" i="55"/>
  <c r="L82" i="55" s="1"/>
  <c r="L39" i="55"/>
  <c r="L83" i="55" s="1"/>
  <c r="M48" i="30"/>
  <c r="M48" i="54" s="1"/>
  <c r="M100" i="54" s="1"/>
  <c r="Q18" i="51"/>
  <c r="Q40" i="51"/>
  <c r="M18" i="30"/>
  <c r="M18" i="54" s="1"/>
  <c r="M70" i="54" s="1"/>
  <c r="Q35" i="51"/>
  <c r="V42" i="55"/>
  <c r="V86" i="55" s="1"/>
  <c r="W53" i="50"/>
  <c r="L12" i="55"/>
  <c r="L56" i="55" s="1"/>
  <c r="L41" i="55"/>
  <c r="L85" i="55" s="1"/>
  <c r="V28" i="55"/>
  <c r="V72" i="55" s="1"/>
  <c r="V14" i="55"/>
  <c r="V58" i="55" s="1"/>
  <c r="X53" i="30"/>
  <c r="W5" i="54"/>
  <c r="W57" i="54" s="1"/>
  <c r="AD43" i="30"/>
  <c r="AA43" i="54"/>
  <c r="AA95" i="54" s="1"/>
  <c r="AD46" i="30"/>
  <c r="AA46" i="54"/>
  <c r="AA98" i="54" s="1"/>
  <c r="AD20" i="30"/>
  <c r="AA20" i="54"/>
  <c r="AA72" i="54" s="1"/>
  <c r="AD24" i="30"/>
  <c r="AA24" i="54"/>
  <c r="AA76" i="54" s="1"/>
  <c r="AD18" i="30"/>
  <c r="AA18" i="54"/>
  <c r="AA70" i="54" s="1"/>
  <c r="AD31" i="30"/>
  <c r="AA31" i="54"/>
  <c r="AA83" i="54" s="1"/>
  <c r="AD42" i="30"/>
  <c r="AA42" i="54"/>
  <c r="AA94" i="54" s="1"/>
  <c r="AD45" i="30"/>
  <c r="AA45" i="54"/>
  <c r="AA97" i="54" s="1"/>
  <c r="AD26" i="30"/>
  <c r="AA26" i="54"/>
  <c r="AA78" i="54" s="1"/>
  <c r="AD9" i="30"/>
  <c r="AA9" i="54"/>
  <c r="AA61" i="54" s="1"/>
  <c r="AD44" i="30"/>
  <c r="AA44" i="54"/>
  <c r="AA96" i="54" s="1"/>
  <c r="L9" i="55"/>
  <c r="L53" i="55" s="1"/>
  <c r="L31" i="55"/>
  <c r="L75" i="55" s="1"/>
  <c r="L28" i="55"/>
  <c r="L72" i="55" s="1"/>
  <c r="V7" i="55"/>
  <c r="V51" i="55" s="1"/>
  <c r="L7" i="57" s="1"/>
  <c r="L13" i="57" s="1"/>
  <c r="P45" i="51"/>
  <c r="N45" i="34"/>
  <c r="M36" i="30"/>
  <c r="M36" i="54" s="1"/>
  <c r="M88" i="54" s="1"/>
  <c r="AQ13" i="50"/>
  <c r="X20" i="35"/>
  <c r="X23" i="35"/>
  <c r="X18" i="35"/>
  <c r="X40" i="35"/>
  <c r="X32" i="35"/>
  <c r="X29" i="35"/>
  <c r="X13" i="35"/>
  <c r="L45" i="35"/>
  <c r="Q5" i="35"/>
  <c r="X34" i="35"/>
  <c r="E43" i="5"/>
  <c r="Y47" i="51" s="1"/>
  <c r="X47" i="35"/>
  <c r="X47" i="34"/>
  <c r="X47" i="33"/>
  <c r="X50" i="33" s="1"/>
  <c r="X6" i="34" s="1"/>
  <c r="Y6" i="34" s="1"/>
  <c r="AB6" i="34" s="1"/>
  <c r="X47" i="32"/>
  <c r="X11" i="35"/>
  <c r="X38" i="35"/>
  <c r="X9" i="35"/>
  <c r="X31" i="35"/>
  <c r="X7" i="35"/>
  <c r="X28" i="35"/>
  <c r="X12" i="35"/>
  <c r="X41" i="35"/>
  <c r="AB48" i="35"/>
  <c r="AB48" i="34"/>
  <c r="AB48" i="33"/>
  <c r="AB48" i="32"/>
  <c r="X10" i="35"/>
  <c r="X19" i="35"/>
  <c r="X33" i="35"/>
  <c r="AM58" i="28"/>
  <c r="AM56" i="31"/>
  <c r="AM56" i="30"/>
  <c r="AM56" i="29"/>
  <c r="X6" i="35"/>
  <c r="X36" i="35"/>
  <c r="X26" i="35"/>
  <c r="X17" i="35"/>
  <c r="X25" i="35"/>
  <c r="X43" i="35"/>
  <c r="Q5" i="34"/>
  <c r="L45" i="34"/>
  <c r="X22" i="35"/>
  <c r="X21" i="35"/>
  <c r="AE55" i="31"/>
  <c r="AE55" i="30"/>
  <c r="AO54" i="30" s="1"/>
  <c r="AE55" i="29"/>
  <c r="X30" i="35"/>
  <c r="X39" i="35"/>
  <c r="X16" i="35"/>
  <c r="X27" i="35"/>
  <c r="X15" i="35"/>
  <c r="X14" i="35"/>
  <c r="X24" i="35"/>
  <c r="X35" i="35"/>
  <c r="Q45" i="33"/>
  <c r="AB5" i="33"/>
  <c r="X37" i="35"/>
  <c r="X42" i="35"/>
  <c r="E23" i="5"/>
  <c r="AG55" i="50" s="1"/>
  <c r="AE57" i="28"/>
  <c r="F7" i="57" l="1"/>
  <c r="F13" i="57" s="1"/>
  <c r="W45" i="51"/>
  <c r="F15" i="57"/>
  <c r="W45" i="34"/>
  <c r="B7" i="57"/>
  <c r="B13" i="57" s="1"/>
  <c r="W45" i="35"/>
  <c r="J11" i="57"/>
  <c r="J7" i="57"/>
  <c r="J13" i="57" s="1"/>
  <c r="J9" i="57"/>
  <c r="L14" i="56"/>
  <c r="L15" i="56"/>
  <c r="G14" i="56"/>
  <c r="G15" i="56"/>
  <c r="X5" i="51"/>
  <c r="M53" i="30"/>
  <c r="M5" i="54"/>
  <c r="M57" i="54" s="1"/>
  <c r="X13" i="51"/>
  <c r="Y13" i="51" s="1"/>
  <c r="X40" i="51"/>
  <c r="Y40" i="51" s="1"/>
  <c r="X39" i="51"/>
  <c r="Y39" i="51" s="1"/>
  <c r="X35" i="51"/>
  <c r="Y35" i="51" s="1"/>
  <c r="X19" i="51"/>
  <c r="Y19" i="51" s="1"/>
  <c r="AB53" i="29"/>
  <c r="E9" i="56"/>
  <c r="E7" i="56"/>
  <c r="E13" i="56" s="1"/>
  <c r="E11" i="56"/>
  <c r="X43" i="51"/>
  <c r="Y43" i="51" s="1"/>
  <c r="X26" i="51"/>
  <c r="Y26" i="51" s="1"/>
  <c r="X14" i="34"/>
  <c r="Y14" i="34" s="1"/>
  <c r="AB14" i="34" s="1"/>
  <c r="M11" i="56"/>
  <c r="M7" i="56"/>
  <c r="M13" i="56" s="1"/>
  <c r="M9" i="56"/>
  <c r="X32" i="51"/>
  <c r="Y32" i="51" s="1"/>
  <c r="X18" i="51"/>
  <c r="Y18" i="51" s="1"/>
  <c r="X30" i="51"/>
  <c r="Y30" i="51" s="1"/>
  <c r="X15" i="51"/>
  <c r="Y15" i="51" s="1"/>
  <c r="J15" i="56"/>
  <c r="J14" i="56"/>
  <c r="H14" i="57"/>
  <c r="H15" i="57"/>
  <c r="S53" i="30"/>
  <c r="L11" i="57"/>
  <c r="X38" i="51"/>
  <c r="Y38" i="51" s="1"/>
  <c r="U9" i="56"/>
  <c r="U11" i="56"/>
  <c r="U7" i="56"/>
  <c r="U13" i="56" s="1"/>
  <c r="X22" i="51"/>
  <c r="Y22" i="51" s="1"/>
  <c r="X25" i="51"/>
  <c r="Y25" i="51" s="1"/>
  <c r="X17" i="51"/>
  <c r="Y17" i="51" s="1"/>
  <c r="X36" i="51"/>
  <c r="Y36" i="51" s="1"/>
  <c r="Q45" i="51"/>
  <c r="AD53" i="30"/>
  <c r="N9" i="56"/>
  <c r="N11" i="56"/>
  <c r="N7" i="56"/>
  <c r="N13" i="56" s="1"/>
  <c r="X12" i="51"/>
  <c r="Y12" i="51" s="1"/>
  <c r="X7" i="51"/>
  <c r="Y7" i="51" s="1"/>
  <c r="X10" i="51"/>
  <c r="Y10" i="51" s="1"/>
  <c r="D14" i="57"/>
  <c r="D15" i="57"/>
  <c r="B11" i="57"/>
  <c r="R53" i="50"/>
  <c r="S58" i="50" s="1"/>
  <c r="G11" i="56"/>
  <c r="E47" i="5"/>
  <c r="X42" i="34"/>
  <c r="Y42" i="34" s="1"/>
  <c r="AB42" i="34" s="1"/>
  <c r="X37" i="34"/>
  <c r="Y37" i="34" s="1"/>
  <c r="AB37" i="34" s="1"/>
  <c r="X35" i="34"/>
  <c r="Y35" i="34" s="1"/>
  <c r="AB35" i="34" s="1"/>
  <c r="X39" i="34"/>
  <c r="Y39" i="34" s="1"/>
  <c r="AB39" i="34" s="1"/>
  <c r="X34" i="51"/>
  <c r="Y34" i="51" s="1"/>
  <c r="X16" i="51"/>
  <c r="Y16" i="51" s="1"/>
  <c r="L9" i="57"/>
  <c r="V40" i="30"/>
  <c r="V51" i="30"/>
  <c r="V8" i="30"/>
  <c r="V34" i="30"/>
  <c r="V5" i="50"/>
  <c r="V19" i="50"/>
  <c r="AB19" i="50" s="1"/>
  <c r="V6" i="50"/>
  <c r="AB6" i="50" s="1"/>
  <c r="V47" i="50"/>
  <c r="AB47" i="50" s="1"/>
  <c r="V24" i="50"/>
  <c r="AB24" i="50" s="1"/>
  <c r="V30" i="30"/>
  <c r="V10" i="30"/>
  <c r="V40" i="50"/>
  <c r="AB40" i="50" s="1"/>
  <c r="V49" i="50"/>
  <c r="AB49" i="50" s="1"/>
  <c r="V32" i="50"/>
  <c r="AB32" i="50" s="1"/>
  <c r="V35" i="50"/>
  <c r="AB35" i="50" s="1"/>
  <c r="V30" i="50"/>
  <c r="AB30" i="50" s="1"/>
  <c r="V22" i="50"/>
  <c r="AB22" i="50" s="1"/>
  <c r="V44" i="30"/>
  <c r="V46" i="30"/>
  <c r="V18" i="30"/>
  <c r="V16" i="30"/>
  <c r="V38" i="30"/>
  <c r="V32" i="30"/>
  <c r="V15" i="30"/>
  <c r="V49" i="30"/>
  <c r="V20" i="30"/>
  <c r="V23" i="30"/>
  <c r="V15" i="50"/>
  <c r="AB15" i="50" s="1"/>
  <c r="V13" i="50"/>
  <c r="AB13" i="50" s="1"/>
  <c r="V9" i="50"/>
  <c r="AB9" i="50" s="1"/>
  <c r="V18" i="50"/>
  <c r="AB18" i="50" s="1"/>
  <c r="V45" i="50"/>
  <c r="AB45" i="50" s="1"/>
  <c r="V20" i="50"/>
  <c r="AB20" i="50" s="1"/>
  <c r="V47" i="30"/>
  <c r="V50" i="30"/>
  <c r="V37" i="50"/>
  <c r="AB37" i="50" s="1"/>
  <c r="V28" i="50"/>
  <c r="AB28" i="50" s="1"/>
  <c r="V36" i="30"/>
  <c r="V25" i="50"/>
  <c r="AB25" i="50" s="1"/>
  <c r="V36" i="50"/>
  <c r="AB36" i="50" s="1"/>
  <c r="V50" i="50"/>
  <c r="AB50" i="50" s="1"/>
  <c r="V41" i="30"/>
  <c r="V22" i="30"/>
  <c r="V29" i="30"/>
  <c r="V17" i="30"/>
  <c r="V19" i="30"/>
  <c r="V21" i="30"/>
  <c r="V42" i="30"/>
  <c r="V13" i="30"/>
  <c r="V44" i="50"/>
  <c r="AB44" i="50" s="1"/>
  <c r="V7" i="30"/>
  <c r="V29" i="50"/>
  <c r="AB29" i="50" s="1"/>
  <c r="V34" i="50"/>
  <c r="AB34" i="50" s="1"/>
  <c r="V27" i="50"/>
  <c r="AB27" i="50" s="1"/>
  <c r="V46" i="50"/>
  <c r="AB46" i="50" s="1"/>
  <c r="V43" i="50"/>
  <c r="AB43" i="50" s="1"/>
  <c r="V11" i="30"/>
  <c r="V45" i="30"/>
  <c r="V16" i="50"/>
  <c r="AB16" i="50" s="1"/>
  <c r="V14" i="50"/>
  <c r="AB14" i="50" s="1"/>
  <c r="V10" i="50"/>
  <c r="AB10" i="50" s="1"/>
  <c r="V17" i="50"/>
  <c r="AB17" i="50" s="1"/>
  <c r="V39" i="50"/>
  <c r="AB39" i="50" s="1"/>
  <c r="V21" i="50"/>
  <c r="AB21" i="50" s="1"/>
  <c r="V26" i="50"/>
  <c r="AB26" i="50" s="1"/>
  <c r="V28" i="30"/>
  <c r="V48" i="30"/>
  <c r="V26" i="30"/>
  <c r="V31" i="30"/>
  <c r="V39" i="30"/>
  <c r="V33" i="30"/>
  <c r="V5" i="30"/>
  <c r="V14" i="30"/>
  <c r="V48" i="50"/>
  <c r="AB48" i="50" s="1"/>
  <c r="V27" i="30"/>
  <c r="V31" i="50"/>
  <c r="AB31" i="50" s="1"/>
  <c r="V23" i="50"/>
  <c r="AB23" i="50" s="1"/>
  <c r="V38" i="50"/>
  <c r="AB38" i="50" s="1"/>
  <c r="V12" i="50"/>
  <c r="AB12" i="50" s="1"/>
  <c r="V8" i="50"/>
  <c r="AB8" i="50" s="1"/>
  <c r="V12" i="30"/>
  <c r="V9" i="30"/>
  <c r="V42" i="50"/>
  <c r="AB42" i="50" s="1"/>
  <c r="V51" i="50"/>
  <c r="AB51" i="50" s="1"/>
  <c r="V41" i="50"/>
  <c r="AB41" i="50" s="1"/>
  <c r="V33" i="50"/>
  <c r="AB33" i="50" s="1"/>
  <c r="V11" i="50"/>
  <c r="AB11" i="50" s="1"/>
  <c r="V7" i="50"/>
  <c r="AB7" i="50" s="1"/>
  <c r="V37" i="30"/>
  <c r="V25" i="30"/>
  <c r="V43" i="30"/>
  <c r="V35" i="30"/>
  <c r="V24" i="30"/>
  <c r="V6" i="30"/>
  <c r="S53" i="50"/>
  <c r="X37" i="51"/>
  <c r="Y37" i="51" s="1"/>
  <c r="X27" i="51"/>
  <c r="Y27" i="51" s="1"/>
  <c r="F9" i="56"/>
  <c r="F11" i="56"/>
  <c r="F7" i="56"/>
  <c r="F13" i="56" s="1"/>
  <c r="X6" i="51"/>
  <c r="Y6" i="51" s="1"/>
  <c r="G7" i="56"/>
  <c r="G13" i="56" s="1"/>
  <c r="X31" i="51"/>
  <c r="Y31" i="51" s="1"/>
  <c r="X23" i="51"/>
  <c r="Y23" i="51" s="1"/>
  <c r="B9" i="57"/>
  <c r="T11" i="56"/>
  <c r="T7" i="56"/>
  <c r="T13" i="56" s="1"/>
  <c r="T9" i="56"/>
  <c r="X41" i="51"/>
  <c r="Y41" i="51" s="1"/>
  <c r="X28" i="51"/>
  <c r="Y28" i="51" s="1"/>
  <c r="M53" i="50"/>
  <c r="R5" i="54"/>
  <c r="R57" i="54" s="1"/>
  <c r="R53" i="30"/>
  <c r="S58" i="30" s="1"/>
  <c r="X29" i="51"/>
  <c r="Y29" i="51" s="1"/>
  <c r="X14" i="51"/>
  <c r="Y14" i="51" s="1"/>
  <c r="X11" i="51"/>
  <c r="Y11" i="51" s="1"/>
  <c r="V53" i="31"/>
  <c r="AB5" i="31"/>
  <c r="AB53" i="31" s="1"/>
  <c r="X42" i="51"/>
  <c r="Y42" i="51" s="1"/>
  <c r="X24" i="51"/>
  <c r="Y24" i="51" s="1"/>
  <c r="X33" i="51"/>
  <c r="Y33" i="51" s="1"/>
  <c r="J7" i="56"/>
  <c r="J13" i="56" s="1"/>
  <c r="J11" i="56"/>
  <c r="B9" i="56"/>
  <c r="B11" i="56"/>
  <c r="B7" i="56"/>
  <c r="B13" i="56" s="1"/>
  <c r="X21" i="51"/>
  <c r="Y21" i="51" s="1"/>
  <c r="Q9" i="56"/>
  <c r="Q11" i="56"/>
  <c r="Q7" i="56"/>
  <c r="Q13" i="56" s="1"/>
  <c r="L7" i="56"/>
  <c r="L13" i="56" s="1"/>
  <c r="L11" i="56"/>
  <c r="X9" i="51"/>
  <c r="Y9" i="51" s="1"/>
  <c r="X20" i="51"/>
  <c r="Y20" i="51" s="1"/>
  <c r="Y7" i="35"/>
  <c r="AB7" i="35" s="1"/>
  <c r="Y34" i="35"/>
  <c r="AB34" i="35" s="1"/>
  <c r="Y29" i="35"/>
  <c r="AB29" i="35" s="1"/>
  <c r="Y20" i="35"/>
  <c r="AB20" i="35" s="1"/>
  <c r="Y24" i="35"/>
  <c r="AB24" i="35" s="1"/>
  <c r="S14" i="65" s="1"/>
  <c r="Y27" i="35"/>
  <c r="AB27" i="35" s="1"/>
  <c r="S18" i="65" s="1"/>
  <c r="Y30" i="35"/>
  <c r="AB30" i="35" s="1"/>
  <c r="S22" i="65" s="1"/>
  <c r="Y17" i="35"/>
  <c r="AB17" i="35" s="1"/>
  <c r="S8" i="65" s="1"/>
  <c r="Y33" i="35"/>
  <c r="AB33" i="35" s="1"/>
  <c r="Y41" i="35"/>
  <c r="AB41" i="35" s="1"/>
  <c r="S30" i="65" s="1"/>
  <c r="Y31" i="35"/>
  <c r="AB31" i="35" s="1"/>
  <c r="S23" i="65" s="1"/>
  <c r="Y38" i="35"/>
  <c r="AB38" i="35" s="1"/>
  <c r="S28" i="65" s="1"/>
  <c r="Y32" i="35"/>
  <c r="AB32" i="35" s="1"/>
  <c r="S24" i="65" s="1"/>
  <c r="Y42" i="35"/>
  <c r="AB42" i="35" s="1"/>
  <c r="S32" i="65" s="1"/>
  <c r="U42" i="55"/>
  <c r="U86" i="55" s="1"/>
  <c r="Y15" i="35"/>
  <c r="AB15" i="35" s="1"/>
  <c r="Y6" i="35"/>
  <c r="AB6" i="35" s="1"/>
  <c r="AA60" i="44" s="1"/>
  <c r="L60" i="63" s="1"/>
  <c r="O60" i="63" s="1"/>
  <c r="U6" i="55"/>
  <c r="U50" i="55" s="1"/>
  <c r="Y37" i="35"/>
  <c r="AB37" i="35" s="1"/>
  <c r="U37" i="55"/>
  <c r="U81" i="55" s="1"/>
  <c r="Y14" i="35"/>
  <c r="AB14" i="35" s="1"/>
  <c r="AJ14" i="51" s="1"/>
  <c r="U14" i="55"/>
  <c r="U58" i="55" s="1"/>
  <c r="Y16" i="35"/>
  <c r="AB16" i="35" s="1"/>
  <c r="Y21" i="35"/>
  <c r="AB21" i="35" s="1"/>
  <c r="Y43" i="35"/>
  <c r="AB43" i="35" s="1"/>
  <c r="S33" i="65" s="1"/>
  <c r="Y26" i="35"/>
  <c r="AB26" i="35" s="1"/>
  <c r="S17" i="65" s="1"/>
  <c r="Y19" i="35"/>
  <c r="AB19" i="35" s="1"/>
  <c r="Y12" i="35"/>
  <c r="AB12" i="35" s="1"/>
  <c r="S9" i="65" s="1"/>
  <c r="Y9" i="35"/>
  <c r="AB9" i="35" s="1"/>
  <c r="S5" i="65" s="1"/>
  <c r="Y11" i="35"/>
  <c r="AB11" i="35" s="1"/>
  <c r="S7" i="65" s="1"/>
  <c r="Y40" i="35"/>
  <c r="AB40" i="35" s="1"/>
  <c r="S31" i="65" s="1"/>
  <c r="Y35" i="35"/>
  <c r="AB35" i="35" s="1"/>
  <c r="AJ35" i="51" s="1"/>
  <c r="U35" i="55"/>
  <c r="U79" i="55" s="1"/>
  <c r="Y39" i="35"/>
  <c r="AB39" i="35" s="1"/>
  <c r="S29" i="65" s="1"/>
  <c r="U39" i="55"/>
  <c r="U83" i="55" s="1"/>
  <c r="Y22" i="35"/>
  <c r="AB22" i="35" s="1"/>
  <c r="S12" i="65" s="1"/>
  <c r="Y25" i="35"/>
  <c r="AB25" i="35" s="1"/>
  <c r="Y36" i="35"/>
  <c r="AB36" i="35" s="1"/>
  <c r="Y10" i="35"/>
  <c r="AB10" i="35" s="1"/>
  <c r="S6" i="65" s="1"/>
  <c r="Y28" i="35"/>
  <c r="AB28" i="35" s="1"/>
  <c r="S19" i="65" s="1"/>
  <c r="Y13" i="35"/>
  <c r="AB13" i="35" s="1"/>
  <c r="S11" i="65" s="1"/>
  <c r="Y18" i="35"/>
  <c r="AB18" i="35" s="1"/>
  <c r="S10" i="65" s="1"/>
  <c r="Y23" i="35"/>
  <c r="AB23" i="35" s="1"/>
  <c r="S13" i="65" s="1"/>
  <c r="AQ14" i="50"/>
  <c r="AA139" i="45"/>
  <c r="AA284" i="44"/>
  <c r="AG284" i="44" s="1"/>
  <c r="AA140" i="45"/>
  <c r="AA94" i="45"/>
  <c r="AA177" i="44"/>
  <c r="L177" i="63" s="1"/>
  <c r="O177" i="63" s="1"/>
  <c r="AA50" i="44"/>
  <c r="L50" i="63" s="1"/>
  <c r="O50" i="63" s="1"/>
  <c r="AA179" i="44"/>
  <c r="L179" i="63" s="1"/>
  <c r="O179" i="63" s="1"/>
  <c r="AA66" i="44"/>
  <c r="L66" i="63" s="1"/>
  <c r="O66" i="63" s="1"/>
  <c r="AA619" i="44"/>
  <c r="L619" i="63" s="1"/>
  <c r="O619" i="63" s="1"/>
  <c r="AA618" i="44"/>
  <c r="L618" i="63" s="1"/>
  <c r="X24" i="34"/>
  <c r="Y24" i="34" s="1"/>
  <c r="AB24" i="34" s="1"/>
  <c r="X16" i="34"/>
  <c r="Y16" i="34" s="1"/>
  <c r="AB16" i="34" s="1"/>
  <c r="X22" i="34"/>
  <c r="Y22" i="34" s="1"/>
  <c r="AB22" i="34" s="1"/>
  <c r="X27" i="34"/>
  <c r="Y27" i="34" s="1"/>
  <c r="AB27" i="34" s="1"/>
  <c r="X21" i="34"/>
  <c r="Y21" i="34" s="1"/>
  <c r="AB21" i="34" s="1"/>
  <c r="X15" i="34"/>
  <c r="Y15" i="34" s="1"/>
  <c r="AB15" i="34" s="1"/>
  <c r="X30" i="34"/>
  <c r="Y30" i="34" s="1"/>
  <c r="AB30" i="34" s="1"/>
  <c r="X26" i="34"/>
  <c r="Y26" i="34" s="1"/>
  <c r="AB26" i="34" s="1"/>
  <c r="X13" i="34"/>
  <c r="Y13" i="34" s="1"/>
  <c r="AB13" i="34" s="1"/>
  <c r="X29" i="34"/>
  <c r="Y29" i="34" s="1"/>
  <c r="AB29" i="34" s="1"/>
  <c r="X32" i="34"/>
  <c r="Y32" i="34" s="1"/>
  <c r="AB32" i="34" s="1"/>
  <c r="X5" i="34"/>
  <c r="X5" i="35"/>
  <c r="AB45" i="33"/>
  <c r="X33" i="34"/>
  <c r="Y33" i="34" s="1"/>
  <c r="AB33" i="34" s="1"/>
  <c r="X19" i="34"/>
  <c r="Y19" i="34" s="1"/>
  <c r="AB19" i="34" s="1"/>
  <c r="X10" i="34"/>
  <c r="Y10" i="34" s="1"/>
  <c r="AB10" i="34" s="1"/>
  <c r="X41" i="34"/>
  <c r="Y41" i="34" s="1"/>
  <c r="AB41" i="34" s="1"/>
  <c r="X12" i="34"/>
  <c r="Y12" i="34" s="1"/>
  <c r="AB12" i="34" s="1"/>
  <c r="X28" i="34"/>
  <c r="Y28" i="34" s="1"/>
  <c r="AB28" i="34" s="1"/>
  <c r="X7" i="34"/>
  <c r="Y7" i="34" s="1"/>
  <c r="AB7" i="34" s="1"/>
  <c r="X38" i="34"/>
  <c r="Y38" i="34" s="1"/>
  <c r="AB38" i="34" s="1"/>
  <c r="X11" i="34"/>
  <c r="Y11" i="34" s="1"/>
  <c r="AB11" i="34" s="1"/>
  <c r="Q45" i="35"/>
  <c r="Q45" i="34"/>
  <c r="X43" i="34"/>
  <c r="Y43" i="34" s="1"/>
  <c r="AB43" i="34" s="1"/>
  <c r="X25" i="34"/>
  <c r="Y25" i="34" s="1"/>
  <c r="AB25" i="34" s="1"/>
  <c r="X17" i="34"/>
  <c r="Y17" i="34" s="1"/>
  <c r="AB17" i="34" s="1"/>
  <c r="X31" i="34"/>
  <c r="Y31" i="34" s="1"/>
  <c r="AB31" i="34" s="1"/>
  <c r="X9" i="34"/>
  <c r="Y9" i="34" s="1"/>
  <c r="AB9" i="34" s="1"/>
  <c r="E46" i="5"/>
  <c r="AB47" i="51" s="1"/>
  <c r="Y47" i="35"/>
  <c r="Y47" i="34"/>
  <c r="Y47" i="33"/>
  <c r="Y47" i="32"/>
  <c r="X34" i="34"/>
  <c r="Y34" i="34" s="1"/>
  <c r="AB34" i="34" s="1"/>
  <c r="X40" i="34"/>
  <c r="Y40" i="34" s="1"/>
  <c r="AB40" i="34" s="1"/>
  <c r="X18" i="34"/>
  <c r="Y18" i="34" s="1"/>
  <c r="AB18" i="34" s="1"/>
  <c r="X23" i="34"/>
  <c r="Y23" i="34" s="1"/>
  <c r="AB23" i="34" s="1"/>
  <c r="X20" i="34"/>
  <c r="Y20" i="34" s="1"/>
  <c r="AB20" i="34" s="1"/>
  <c r="AG57" i="28"/>
  <c r="AG55" i="31"/>
  <c r="AG55" i="30"/>
  <c r="AG55" i="29"/>
  <c r="X36" i="34"/>
  <c r="Y36" i="34" s="1"/>
  <c r="AB36" i="34" s="1"/>
  <c r="E29" i="5"/>
  <c r="AM55" i="50" s="1"/>
  <c r="AA628" i="44" l="1"/>
  <c r="L628" i="63" s="1"/>
  <c r="O628" i="63" s="1"/>
  <c r="AA629" i="44"/>
  <c r="L629" i="63" s="1"/>
  <c r="O629" i="63" s="1"/>
  <c r="AA624" i="44"/>
  <c r="L624" i="63" s="1"/>
  <c r="O624" i="63" s="1"/>
  <c r="AA187" i="45"/>
  <c r="AA623" i="44"/>
  <c r="L623" i="63" s="1"/>
  <c r="O623" i="63" s="1"/>
  <c r="AA527" i="44"/>
  <c r="L527" i="63" s="1"/>
  <c r="O527" i="63" s="1"/>
  <c r="S27" i="65"/>
  <c r="S20" i="65"/>
  <c r="S25" i="65"/>
  <c r="S15" i="65"/>
  <c r="S21" i="65"/>
  <c r="S26" i="65"/>
  <c r="S16" i="65"/>
  <c r="AJ6" i="51"/>
  <c r="G11" i="65"/>
  <c r="G6" i="65"/>
  <c r="AA216" i="45"/>
  <c r="AA225" i="45"/>
  <c r="AA203" i="45"/>
  <c r="AA211" i="45"/>
  <c r="AA455" i="44"/>
  <c r="AG455" i="44" s="1"/>
  <c r="AA267" i="44"/>
  <c r="AG267" i="44" s="1"/>
  <c r="AA230" i="44"/>
  <c r="L230" i="63" s="1"/>
  <c r="O230" i="63" s="1"/>
  <c r="AA445" i="44"/>
  <c r="AG445" i="44" s="1"/>
  <c r="AA6" i="45"/>
  <c r="AA101" i="45"/>
  <c r="AJ17" i="51"/>
  <c r="AA453" i="44"/>
  <c r="AG453" i="44" s="1"/>
  <c r="AA63" i="44"/>
  <c r="L63" i="63" s="1"/>
  <c r="O63" i="63" s="1"/>
  <c r="AA58" i="44"/>
  <c r="L58" i="63" s="1"/>
  <c r="O58" i="63" s="1"/>
  <c r="AA176" i="44"/>
  <c r="L176" i="63" s="1"/>
  <c r="O176" i="63" s="1"/>
  <c r="AA61" i="44"/>
  <c r="L61" i="63" s="1"/>
  <c r="O61" i="63" s="1"/>
  <c r="AA86" i="45"/>
  <c r="AA442" i="44"/>
  <c r="AG442" i="44" s="1"/>
  <c r="AA197" i="45"/>
  <c r="AA137" i="45"/>
  <c r="AA2" i="45"/>
  <c r="AA270" i="44"/>
  <c r="AG270" i="44" s="1"/>
  <c r="AA160" i="44"/>
  <c r="L160" i="63" s="1"/>
  <c r="O160" i="63" s="1"/>
  <c r="AA241" i="44"/>
  <c r="L325" i="63" s="1"/>
  <c r="AA192" i="45"/>
  <c r="AA170" i="45"/>
  <c r="AA163" i="44"/>
  <c r="L163" i="63" s="1"/>
  <c r="O163" i="63" s="1"/>
  <c r="AA238" i="44"/>
  <c r="L238" i="63" s="1"/>
  <c r="O238" i="63" s="1"/>
  <c r="AA240" i="44"/>
  <c r="L240" i="63" s="1"/>
  <c r="O240" i="63" s="1"/>
  <c r="AA161" i="44"/>
  <c r="L161" i="63" s="1"/>
  <c r="O161" i="63" s="1"/>
  <c r="AA90" i="45"/>
  <c r="AA447" i="44"/>
  <c r="AG447" i="44" s="1"/>
  <c r="AA13" i="44"/>
  <c r="O13" i="63" s="1"/>
  <c r="AA278" i="44"/>
  <c r="AG278" i="44" s="1"/>
  <c r="AA11" i="44"/>
  <c r="O11" i="63" s="1"/>
  <c r="AA167" i="44"/>
  <c r="L167" i="63" s="1"/>
  <c r="O167" i="63" s="1"/>
  <c r="AA164" i="44"/>
  <c r="L164" i="63" s="1"/>
  <c r="O164" i="63" s="1"/>
  <c r="AA266" i="44"/>
  <c r="AG266" i="44" s="1"/>
  <c r="AA181" i="44"/>
  <c r="L181" i="63" s="1"/>
  <c r="O181" i="63" s="1"/>
  <c r="AA269" i="44"/>
  <c r="AG269" i="44" s="1"/>
  <c r="AA95" i="45"/>
  <c r="AA437" i="44"/>
  <c r="AG437" i="44" s="1"/>
  <c r="AA446" i="44"/>
  <c r="AG446" i="44" s="1"/>
  <c r="AA440" i="44"/>
  <c r="AG440" i="44" s="1"/>
  <c r="AA188" i="45"/>
  <c r="AA193" i="45"/>
  <c r="AA199" i="45"/>
  <c r="AA13" i="45"/>
  <c r="AA287" i="44"/>
  <c r="AG287" i="44" s="1"/>
  <c r="AA8" i="44"/>
  <c r="O8" i="63" s="1"/>
  <c r="AA141" i="45"/>
  <c r="AA279" i="44"/>
  <c r="AG279" i="44" s="1"/>
  <c r="AA317" i="44"/>
  <c r="AG317" i="44" s="1"/>
  <c r="AA109" i="45"/>
  <c r="AA3" i="44"/>
  <c r="O3" i="63" s="1"/>
  <c r="AA12" i="44"/>
  <c r="O12" i="63" s="1"/>
  <c r="AA143" i="45"/>
  <c r="G14" i="49"/>
  <c r="I14" i="49" s="1"/>
  <c r="AA162" i="44"/>
  <c r="L162" i="63" s="1"/>
  <c r="O162" i="63" s="1"/>
  <c r="AA67" i="44"/>
  <c r="L67" i="63" s="1"/>
  <c r="O67" i="63" s="1"/>
  <c r="AA271" i="44"/>
  <c r="AG271" i="44" s="1"/>
  <c r="AA274" i="44"/>
  <c r="AG274" i="44" s="1"/>
  <c r="AA268" i="44"/>
  <c r="AG268" i="44" s="1"/>
  <c r="AA65" i="44"/>
  <c r="L65" i="63" s="1"/>
  <c r="O65" i="63" s="1"/>
  <c r="AA87" i="45"/>
  <c r="AJ32" i="51"/>
  <c r="AA235" i="44"/>
  <c r="L235" i="63" s="1"/>
  <c r="O235" i="63" s="1"/>
  <c r="AA168" i="44"/>
  <c r="L168" i="63" s="1"/>
  <c r="O168" i="63" s="1"/>
  <c r="AA53" i="44"/>
  <c r="L53" i="63" s="1"/>
  <c r="O53" i="63" s="1"/>
  <c r="AA273" i="44"/>
  <c r="AG273" i="44" s="1"/>
  <c r="AA441" i="44"/>
  <c r="AG441" i="44" s="1"/>
  <c r="AA195" i="45"/>
  <c r="AA99" i="45"/>
  <c r="AA286" i="44"/>
  <c r="AG286" i="44" s="1"/>
  <c r="AA134" i="45"/>
  <c r="AA98" i="45"/>
  <c r="AA288" i="44"/>
  <c r="AG288" i="44" s="1"/>
  <c r="AA51" i="44"/>
  <c r="L51" i="63" s="1"/>
  <c r="O51" i="63" s="1"/>
  <c r="AA231" i="44"/>
  <c r="L231" i="63" s="1"/>
  <c r="O231" i="63" s="1"/>
  <c r="AA70" i="44"/>
  <c r="L70" i="63" s="1"/>
  <c r="O70" i="63" s="1"/>
  <c r="AA64" i="44"/>
  <c r="L64" i="63" s="1"/>
  <c r="O64" i="63" s="1"/>
  <c r="AA180" i="44"/>
  <c r="L180" i="63" s="1"/>
  <c r="O180" i="63" s="1"/>
  <c r="AA62" i="44"/>
  <c r="L62" i="63" s="1"/>
  <c r="O62" i="63" s="1"/>
  <c r="AA165" i="44"/>
  <c r="L165" i="63" s="1"/>
  <c r="O165" i="63" s="1"/>
  <c r="AA91" i="45"/>
  <c r="AA269" i="45"/>
  <c r="AA174" i="44"/>
  <c r="L174" i="63" s="1"/>
  <c r="O174" i="63" s="1"/>
  <c r="AA55" i="44"/>
  <c r="L55" i="63" s="1"/>
  <c r="O55" i="63" s="1"/>
  <c r="AA71" i="44"/>
  <c r="L71" i="63" s="1"/>
  <c r="O71" i="63" s="1"/>
  <c r="AA171" i="44"/>
  <c r="L171" i="63" s="1"/>
  <c r="O171" i="63" s="1"/>
  <c r="AA275" i="44"/>
  <c r="AG275" i="44" s="1"/>
  <c r="AA166" i="44"/>
  <c r="L166" i="63" s="1"/>
  <c r="O166" i="63" s="1"/>
  <c r="AA52" i="44"/>
  <c r="L52" i="63" s="1"/>
  <c r="O52" i="63" s="1"/>
  <c r="AA68" i="44"/>
  <c r="L68" i="63" s="1"/>
  <c r="O68" i="63" s="1"/>
  <c r="AA232" i="44"/>
  <c r="L232" i="63" s="1"/>
  <c r="O232" i="63" s="1"/>
  <c r="AA272" i="44"/>
  <c r="AG272" i="44" s="1"/>
  <c r="AA158" i="44"/>
  <c r="L158" i="63" s="1"/>
  <c r="O158" i="63" s="1"/>
  <c r="AA69" i="44"/>
  <c r="L69" i="63" s="1"/>
  <c r="O69" i="63" s="1"/>
  <c r="AA169" i="44"/>
  <c r="L169" i="63" s="1"/>
  <c r="O169" i="63" s="1"/>
  <c r="AA233" i="44"/>
  <c r="L233" i="63" s="1"/>
  <c r="O233" i="63" s="1"/>
  <c r="AA88" i="45"/>
  <c r="AA92" i="45"/>
  <c r="AA96" i="45"/>
  <c r="AA439" i="44"/>
  <c r="AG439" i="44" s="1"/>
  <c r="AA444" i="44"/>
  <c r="AG444" i="44" s="1"/>
  <c r="AA189" i="45"/>
  <c r="AA200" i="45"/>
  <c r="AA319" i="44"/>
  <c r="AG319" i="44" s="1"/>
  <c r="AA8" i="45"/>
  <c r="AA282" i="44"/>
  <c r="AG282" i="44" s="1"/>
  <c r="AA321" i="44"/>
  <c r="AG321" i="44" s="1"/>
  <c r="AA4" i="45"/>
  <c r="AA54" i="44"/>
  <c r="L54" i="63" s="1"/>
  <c r="O54" i="63" s="1"/>
  <c r="AA234" i="44"/>
  <c r="L234" i="63" s="1"/>
  <c r="O234" i="63" s="1"/>
  <c r="AA59" i="44"/>
  <c r="L59" i="63" s="1"/>
  <c r="O59" i="63" s="1"/>
  <c r="AA159" i="44"/>
  <c r="L159" i="63" s="1"/>
  <c r="O159" i="63" s="1"/>
  <c r="AA175" i="44"/>
  <c r="L175" i="63" s="1"/>
  <c r="O175" i="63" s="1"/>
  <c r="AA239" i="44"/>
  <c r="L239" i="63" s="1"/>
  <c r="O239" i="63" s="1"/>
  <c r="AA178" i="44"/>
  <c r="L178" i="63" s="1"/>
  <c r="O178" i="63" s="1"/>
  <c r="AA56" i="44"/>
  <c r="L56" i="63" s="1"/>
  <c r="O56" i="63" s="1"/>
  <c r="AA72" i="44"/>
  <c r="L72" i="63" s="1"/>
  <c r="O72" i="63" s="1"/>
  <c r="AA172" i="44"/>
  <c r="L172" i="63" s="1"/>
  <c r="O172" i="63" s="1"/>
  <c r="AA236" i="44"/>
  <c r="L236" i="63" s="1"/>
  <c r="O236" i="63" s="1"/>
  <c r="AA276" i="44"/>
  <c r="AG276" i="44" s="1"/>
  <c r="AA170" i="44"/>
  <c r="L170" i="63" s="1"/>
  <c r="O170" i="63" s="1"/>
  <c r="AA57" i="44"/>
  <c r="L57" i="63" s="1"/>
  <c r="O57" i="63" s="1"/>
  <c r="AA73" i="44"/>
  <c r="L73" i="63" s="1"/>
  <c r="O73" i="63" s="1"/>
  <c r="AA173" i="44"/>
  <c r="L173" i="63" s="1"/>
  <c r="O173" i="63" s="1"/>
  <c r="AA237" i="44"/>
  <c r="L237" i="63" s="1"/>
  <c r="O237" i="63" s="1"/>
  <c r="AA277" i="44"/>
  <c r="AG277" i="44" s="1"/>
  <c r="AA89" i="45"/>
  <c r="AA93" i="45"/>
  <c r="AA97" i="45"/>
  <c r="AA438" i="44"/>
  <c r="AG438" i="44" s="1"/>
  <c r="AA443" i="44"/>
  <c r="AG443" i="44" s="1"/>
  <c r="AA448" i="44"/>
  <c r="AG448" i="44" s="1"/>
  <c r="AA191" i="45"/>
  <c r="AA196" i="45"/>
  <c r="AA201" i="45"/>
  <c r="AA136" i="45"/>
  <c r="AA6" i="44"/>
  <c r="O6" i="63" s="1"/>
  <c r="AA100" i="45"/>
  <c r="AA318" i="44"/>
  <c r="AG318" i="44" s="1"/>
  <c r="AA283" i="44"/>
  <c r="AG283" i="44" s="1"/>
  <c r="AA9" i="44"/>
  <c r="O9" i="63" s="1"/>
  <c r="AA2" i="44"/>
  <c r="O2" i="63" s="1"/>
  <c r="W7" i="63" s="1"/>
  <c r="Z7" i="63" s="1"/>
  <c r="AA10" i="44"/>
  <c r="O10" i="63" s="1"/>
  <c r="AA102" i="45"/>
  <c r="AA324" i="44"/>
  <c r="AG324" i="44" s="1"/>
  <c r="AA230" i="45"/>
  <c r="L317" i="63"/>
  <c r="O317" i="63" s="1"/>
  <c r="L277" i="63"/>
  <c r="L314" i="63"/>
  <c r="L275" i="63"/>
  <c r="L320" i="63"/>
  <c r="L270" i="63"/>
  <c r="O270" i="63" s="1"/>
  <c r="L279" i="63"/>
  <c r="O279" i="63" s="1"/>
  <c r="L319" i="63"/>
  <c r="L282" i="63"/>
  <c r="O282" i="63" s="1"/>
  <c r="O618" i="63"/>
  <c r="AG6" i="44"/>
  <c r="AJ43" i="51"/>
  <c r="AA384" i="44"/>
  <c r="L384" i="63" s="1"/>
  <c r="O384" i="63" s="1"/>
  <c r="AA179" i="45"/>
  <c r="AG11" i="44"/>
  <c r="AA457" i="44"/>
  <c r="AG457" i="44" s="1"/>
  <c r="AA463" i="44"/>
  <c r="AG463" i="44" s="1"/>
  <c r="AA205" i="45"/>
  <c r="AA213" i="45"/>
  <c r="AA454" i="44"/>
  <c r="AG454" i="44" s="1"/>
  <c r="AA207" i="45"/>
  <c r="AA215" i="45"/>
  <c r="AA470" i="44"/>
  <c r="AG470" i="44" s="1"/>
  <c r="J14" i="57"/>
  <c r="J15" i="57"/>
  <c r="AA456" i="44"/>
  <c r="AG456" i="44" s="1"/>
  <c r="U5" i="55"/>
  <c r="U49" i="55" s="1"/>
  <c r="AA462" i="44"/>
  <c r="AG462" i="44" s="1"/>
  <c r="AA464" i="44"/>
  <c r="AG464" i="44" s="1"/>
  <c r="AA209" i="45"/>
  <c r="AA217" i="45"/>
  <c r="AA476" i="44"/>
  <c r="AG476" i="44" s="1"/>
  <c r="AA449" i="44"/>
  <c r="AG449" i="44" s="1"/>
  <c r="AA434" i="44"/>
  <c r="AG434" i="44" s="1"/>
  <c r="AA435" i="44"/>
  <c r="AG435" i="44" s="1"/>
  <c r="AA436" i="44"/>
  <c r="AG436" i="44" s="1"/>
  <c r="AA186" i="45"/>
  <c r="AA190" i="45"/>
  <c r="AA194" i="45"/>
  <c r="AA198" i="45"/>
  <c r="AA5" i="44"/>
  <c r="O5" i="63" s="1"/>
  <c r="AA107" i="45"/>
  <c r="AA315" i="44"/>
  <c r="AG315" i="44" s="1"/>
  <c r="AA7" i="44"/>
  <c r="O7" i="63" s="1"/>
  <c r="AA108" i="45"/>
  <c r="AA314" i="44"/>
  <c r="AG314" i="44" s="1"/>
  <c r="AA280" i="44"/>
  <c r="AG280" i="44" s="1"/>
  <c r="AA289" i="44"/>
  <c r="AG289" i="44" s="1"/>
  <c r="AA9" i="45"/>
  <c r="AA138" i="45"/>
  <c r="AA4" i="44"/>
  <c r="O4" i="63" s="1"/>
  <c r="AA11" i="45"/>
  <c r="AA106" i="45"/>
  <c r="AA320" i="44"/>
  <c r="AG320" i="44" s="1"/>
  <c r="AA223" i="45"/>
  <c r="AJ37" i="51"/>
  <c r="AJ39" i="51"/>
  <c r="AA275" i="45"/>
  <c r="AA373" i="44"/>
  <c r="L373" i="63" s="1"/>
  <c r="O373" i="63" s="1"/>
  <c r="AA478" i="44"/>
  <c r="AG478" i="44" s="1"/>
  <c r="AJ27" i="51"/>
  <c r="AA625" i="44"/>
  <c r="L625" i="63" s="1"/>
  <c r="O625" i="63" s="1"/>
  <c r="AA622" i="44"/>
  <c r="L622" i="63" s="1"/>
  <c r="O622" i="63" s="1"/>
  <c r="AA627" i="44"/>
  <c r="L627" i="63" s="1"/>
  <c r="O627" i="63" s="1"/>
  <c r="AA477" i="44"/>
  <c r="AG477" i="44" s="1"/>
  <c r="AA471" i="44"/>
  <c r="AG471" i="44" s="1"/>
  <c r="AA221" i="45"/>
  <c r="AA229" i="45"/>
  <c r="AG8" i="44"/>
  <c r="AA522" i="44"/>
  <c r="L522" i="63" s="1"/>
  <c r="O522" i="63" s="1"/>
  <c r="AJ31" i="51"/>
  <c r="AA219" i="45"/>
  <c r="AA227" i="45"/>
  <c r="AA528" i="44"/>
  <c r="L528" i="63" s="1"/>
  <c r="O528" i="63" s="1"/>
  <c r="AJ23" i="51"/>
  <c r="AA353" i="44"/>
  <c r="L353" i="63" s="1"/>
  <c r="O353" i="63" s="1"/>
  <c r="AA621" i="44"/>
  <c r="AA626" i="44"/>
  <c r="L626" i="63" s="1"/>
  <c r="O626" i="63" s="1"/>
  <c r="AA620" i="44"/>
  <c r="L620" i="63" s="1"/>
  <c r="O620" i="63" s="1"/>
  <c r="AA473" i="44"/>
  <c r="AG473" i="44" s="1"/>
  <c r="AA468" i="44"/>
  <c r="AG468" i="44" s="1"/>
  <c r="AA529" i="44"/>
  <c r="AA523" i="44"/>
  <c r="L523" i="63" s="1"/>
  <c r="O523" i="63" s="1"/>
  <c r="AJ42" i="51"/>
  <c r="AA383" i="44"/>
  <c r="AA385" i="44"/>
  <c r="AA372" i="44"/>
  <c r="L372" i="63" s="1"/>
  <c r="O372" i="63" s="1"/>
  <c r="AA425" i="44"/>
  <c r="AG425" i="44" s="1"/>
  <c r="AA420" i="44"/>
  <c r="AG420" i="44" s="1"/>
  <c r="AA175" i="45"/>
  <c r="AA183" i="45"/>
  <c r="AA603" i="44"/>
  <c r="L603" i="63" s="1"/>
  <c r="O603" i="63" s="1"/>
  <c r="AA374" i="44"/>
  <c r="L374" i="63" s="1"/>
  <c r="O374" i="63" s="1"/>
  <c r="AA382" i="44"/>
  <c r="L382" i="63" s="1"/>
  <c r="O382" i="63" s="1"/>
  <c r="AA378" i="44"/>
  <c r="L378" i="63" s="1"/>
  <c r="O378" i="63" s="1"/>
  <c r="AA362" i="44"/>
  <c r="L362" i="63" s="1"/>
  <c r="O362" i="63" s="1"/>
  <c r="AA370" i="44"/>
  <c r="L370" i="63" s="1"/>
  <c r="O370" i="63" s="1"/>
  <c r="AA366" i="44"/>
  <c r="L366" i="63" s="1"/>
  <c r="O366" i="63" s="1"/>
  <c r="AA465" i="44"/>
  <c r="AG465" i="44" s="1"/>
  <c r="AA450" i="44"/>
  <c r="AG450" i="44" s="1"/>
  <c r="AA451" i="44"/>
  <c r="AG451" i="44" s="1"/>
  <c r="AA452" i="44"/>
  <c r="AG452" i="44" s="1"/>
  <c r="AA202" i="45"/>
  <c r="AA206" i="45"/>
  <c r="AA210" i="45"/>
  <c r="AA214" i="45"/>
  <c r="AA429" i="44"/>
  <c r="AG429" i="44" s="1"/>
  <c r="AA422" i="44"/>
  <c r="AG422" i="44" s="1"/>
  <c r="AA423" i="44"/>
  <c r="AG423" i="44" s="1"/>
  <c r="AA424" i="44"/>
  <c r="AG424" i="44" s="1"/>
  <c r="AA172" i="45"/>
  <c r="AA176" i="45"/>
  <c r="AA180" i="45"/>
  <c r="AA184" i="45"/>
  <c r="AA524" i="44"/>
  <c r="L524" i="63" s="1"/>
  <c r="O524" i="63" s="1"/>
  <c r="AA466" i="44"/>
  <c r="AA467" i="44"/>
  <c r="AG467" i="44" s="1"/>
  <c r="AA472" i="44"/>
  <c r="AG472" i="44" s="1"/>
  <c r="AA220" i="45"/>
  <c r="AA224" i="45"/>
  <c r="AA228" i="45"/>
  <c r="AA541" i="44"/>
  <c r="L541" i="63" s="1"/>
  <c r="O541" i="63" s="1"/>
  <c r="AA577" i="44"/>
  <c r="L577" i="63" s="1"/>
  <c r="O577" i="63" s="1"/>
  <c r="AA549" i="44"/>
  <c r="AA557" i="44"/>
  <c r="L557" i="63" s="1"/>
  <c r="O557" i="63" s="1"/>
  <c r="AA569" i="44"/>
  <c r="L569" i="63" s="1"/>
  <c r="O569" i="63" s="1"/>
  <c r="AA530" i="44"/>
  <c r="L530" i="63" s="1"/>
  <c r="O530" i="63" s="1"/>
  <c r="AA546" i="44"/>
  <c r="AA562" i="44"/>
  <c r="L562" i="63" s="1"/>
  <c r="O562" i="63" s="1"/>
  <c r="AA578" i="44"/>
  <c r="L578" i="63" s="1"/>
  <c r="O578" i="63" s="1"/>
  <c r="AA594" i="44"/>
  <c r="L594" i="63" s="1"/>
  <c r="O594" i="63" s="1"/>
  <c r="AA543" i="44"/>
  <c r="AA559" i="44"/>
  <c r="L559" i="63" s="1"/>
  <c r="O559" i="63" s="1"/>
  <c r="AA575" i="44"/>
  <c r="L575" i="63" s="1"/>
  <c r="O575" i="63" s="1"/>
  <c r="AA591" i="44"/>
  <c r="L591" i="63" s="1"/>
  <c r="O591" i="63" s="1"/>
  <c r="AA544" i="44"/>
  <c r="AA560" i="44"/>
  <c r="L560" i="63" s="1"/>
  <c r="O560" i="63" s="1"/>
  <c r="AA576" i="44"/>
  <c r="L576" i="63" s="1"/>
  <c r="O576" i="63" s="1"/>
  <c r="AA592" i="44"/>
  <c r="L592" i="63" s="1"/>
  <c r="O592" i="63" s="1"/>
  <c r="AA355" i="44"/>
  <c r="AA356" i="44"/>
  <c r="L356" i="63" s="1"/>
  <c r="O356" i="63" s="1"/>
  <c r="AA357" i="44"/>
  <c r="L357" i="63" s="1"/>
  <c r="O357" i="63" s="1"/>
  <c r="AA392" i="44"/>
  <c r="L392" i="63" s="1"/>
  <c r="O392" i="63" s="1"/>
  <c r="AA388" i="44"/>
  <c r="AA413" i="44"/>
  <c r="L413" i="63" s="1"/>
  <c r="O413" i="63" s="1"/>
  <c r="AA390" i="44"/>
  <c r="L390" i="63" s="1"/>
  <c r="O390" i="63" s="1"/>
  <c r="AA406" i="44"/>
  <c r="L406" i="63" s="1"/>
  <c r="O406" i="63" s="1"/>
  <c r="AA399" i="44"/>
  <c r="AA415" i="44"/>
  <c r="L415" i="63" s="1"/>
  <c r="O415" i="63" s="1"/>
  <c r="AA408" i="44"/>
  <c r="L408" i="63" s="1"/>
  <c r="O408" i="63" s="1"/>
  <c r="AA521" i="44"/>
  <c r="L521" i="63" s="1"/>
  <c r="AA497" i="44"/>
  <c r="AG497" i="44" s="1"/>
  <c r="AA501" i="44"/>
  <c r="AG501" i="44" s="1"/>
  <c r="AA505" i="44"/>
  <c r="AG505" i="44" s="1"/>
  <c r="AA494" i="44"/>
  <c r="AG494" i="44" s="1"/>
  <c r="AA510" i="44"/>
  <c r="AG510" i="44" s="1"/>
  <c r="AA483" i="44"/>
  <c r="AG483" i="44" s="1"/>
  <c r="AA499" i="44"/>
  <c r="AG499" i="44" s="1"/>
  <c r="AA515" i="44"/>
  <c r="AG515" i="44" s="1"/>
  <c r="AA488" i="44"/>
  <c r="AG488" i="44" s="1"/>
  <c r="AA504" i="44"/>
  <c r="AG504" i="44" s="1"/>
  <c r="AA520" i="44"/>
  <c r="AG520" i="44" s="1"/>
  <c r="AA234" i="45"/>
  <c r="AA238" i="45"/>
  <c r="AA242" i="45"/>
  <c r="AA246" i="45"/>
  <c r="AA250" i="45"/>
  <c r="AA254" i="45"/>
  <c r="AA258" i="45"/>
  <c r="AA262" i="45"/>
  <c r="AA266" i="45"/>
  <c r="AA270" i="45"/>
  <c r="AA607" i="44"/>
  <c r="AG607" i="44" s="1"/>
  <c r="AA277" i="45"/>
  <c r="AA281" i="45"/>
  <c r="AA606" i="44"/>
  <c r="AG606" i="44" s="1"/>
  <c r="AA609" i="44"/>
  <c r="AG609" i="44" s="1"/>
  <c r="AA608" i="44"/>
  <c r="AG608" i="44" s="1"/>
  <c r="AA5" i="45"/>
  <c r="AA103" i="45"/>
  <c r="AA144" i="45"/>
  <c r="AA323" i="44"/>
  <c r="AG323" i="44" s="1"/>
  <c r="AA7" i="45"/>
  <c r="AA104" i="45"/>
  <c r="AA145" i="45"/>
  <c r="AA322" i="44"/>
  <c r="AG322" i="44" s="1"/>
  <c r="AA281" i="44"/>
  <c r="AG281" i="44" s="1"/>
  <c r="AA285" i="44"/>
  <c r="AG285" i="44" s="1"/>
  <c r="AA325" i="44"/>
  <c r="AG325" i="44" s="1"/>
  <c r="AA105" i="45"/>
  <c r="AA142" i="45"/>
  <c r="AA3" i="45"/>
  <c r="AA10" i="45"/>
  <c r="AA12" i="45"/>
  <c r="AA135" i="45"/>
  <c r="AA316" i="44"/>
  <c r="AG316" i="44" s="1"/>
  <c r="G9" i="49"/>
  <c r="I9" i="49" s="1"/>
  <c r="AJ13" i="51"/>
  <c r="AJ11" i="51"/>
  <c r="AJ38" i="51"/>
  <c r="AJ41" i="51"/>
  <c r="AJ30" i="51"/>
  <c r="AJ24" i="51"/>
  <c r="AJ34" i="51"/>
  <c r="U18" i="55"/>
  <c r="U62" i="55" s="1"/>
  <c r="U28" i="55"/>
  <c r="U72" i="55" s="1"/>
  <c r="U36" i="55"/>
  <c r="U80" i="55" s="1"/>
  <c r="U22" i="55"/>
  <c r="U66" i="55" s="1"/>
  <c r="U11" i="55"/>
  <c r="U55" i="55" s="1"/>
  <c r="U12" i="55"/>
  <c r="U56" i="55" s="1"/>
  <c r="U26" i="55"/>
  <c r="U70" i="55" s="1"/>
  <c r="U21" i="55"/>
  <c r="U65" i="55" s="1"/>
  <c r="U38" i="55"/>
  <c r="U82" i="55" s="1"/>
  <c r="U41" i="55"/>
  <c r="U85" i="55" s="1"/>
  <c r="U17" i="55"/>
  <c r="U61" i="55" s="1"/>
  <c r="U27" i="55"/>
  <c r="U71" i="55" s="1"/>
  <c r="U20" i="55"/>
  <c r="U64" i="55" s="1"/>
  <c r="U34" i="55"/>
  <c r="U78" i="55" s="1"/>
  <c r="H9" i="56"/>
  <c r="H11" i="56"/>
  <c r="H7" i="56"/>
  <c r="H13" i="56" s="1"/>
  <c r="T15" i="56"/>
  <c r="T14" i="56"/>
  <c r="AB35" i="30"/>
  <c r="U35" i="54"/>
  <c r="U87" i="54" s="1"/>
  <c r="AB5" i="30"/>
  <c r="V53" i="30"/>
  <c r="U5" i="54"/>
  <c r="U57" i="54" s="1"/>
  <c r="AB26" i="30"/>
  <c r="U26" i="54"/>
  <c r="U78" i="54" s="1"/>
  <c r="AB42" i="30"/>
  <c r="U42" i="54"/>
  <c r="U94" i="54" s="1"/>
  <c r="AB29" i="30"/>
  <c r="U29" i="54"/>
  <c r="U81" i="54" s="1"/>
  <c r="AB15" i="30"/>
  <c r="U15" i="54"/>
  <c r="U67" i="54" s="1"/>
  <c r="AB18" i="30"/>
  <c r="U18" i="54"/>
  <c r="U70" i="54" s="1"/>
  <c r="AB34" i="30"/>
  <c r="U34" i="54"/>
  <c r="U86" i="54" s="1"/>
  <c r="L14" i="57"/>
  <c r="L15" i="57"/>
  <c r="AA375" i="44"/>
  <c r="L375" i="63" s="1"/>
  <c r="O375" i="63" s="1"/>
  <c r="AA376" i="44"/>
  <c r="AA377" i="44"/>
  <c r="L377" i="63" s="1"/>
  <c r="O377" i="63" s="1"/>
  <c r="AA363" i="44"/>
  <c r="L363" i="63" s="1"/>
  <c r="O363" i="63" s="1"/>
  <c r="AA364" i="44"/>
  <c r="L364" i="63" s="1"/>
  <c r="O364" i="63" s="1"/>
  <c r="AA365" i="44"/>
  <c r="AA433" i="44"/>
  <c r="AG433" i="44" s="1"/>
  <c r="AA426" i="44"/>
  <c r="AG426" i="44" s="1"/>
  <c r="AA427" i="44"/>
  <c r="AG427" i="44" s="1"/>
  <c r="AA428" i="44"/>
  <c r="AG428" i="44" s="1"/>
  <c r="AA173" i="45"/>
  <c r="AA177" i="45"/>
  <c r="AA181" i="45"/>
  <c r="AA185" i="45"/>
  <c r="AA589" i="44"/>
  <c r="L589" i="63" s="1"/>
  <c r="O589" i="63" s="1"/>
  <c r="AA593" i="44"/>
  <c r="AA565" i="44"/>
  <c r="L565" i="63" s="1"/>
  <c r="O565" i="63" s="1"/>
  <c r="AA605" i="44"/>
  <c r="AA585" i="44"/>
  <c r="L585" i="63" s="1"/>
  <c r="O585" i="63" s="1"/>
  <c r="AA534" i="44"/>
  <c r="L534" i="63" s="1"/>
  <c r="O534" i="63" s="1"/>
  <c r="AA550" i="44"/>
  <c r="L550" i="63" s="1"/>
  <c r="O550" i="63" s="1"/>
  <c r="AA566" i="44"/>
  <c r="AA582" i="44"/>
  <c r="L582" i="63" s="1"/>
  <c r="O582" i="63" s="1"/>
  <c r="AA598" i="44"/>
  <c r="L598" i="63" s="1"/>
  <c r="O598" i="63" s="1"/>
  <c r="AA531" i="44"/>
  <c r="L531" i="63" s="1"/>
  <c r="O531" i="63" s="1"/>
  <c r="AA547" i="44"/>
  <c r="AA563" i="44"/>
  <c r="L563" i="63" s="1"/>
  <c r="O563" i="63" s="1"/>
  <c r="AA579" i="44"/>
  <c r="L579" i="63" s="1"/>
  <c r="O579" i="63" s="1"/>
  <c r="AA595" i="44"/>
  <c r="L595" i="63" s="1"/>
  <c r="O595" i="63" s="1"/>
  <c r="AA532" i="44"/>
  <c r="AA548" i="44"/>
  <c r="L548" i="63" s="1"/>
  <c r="O548" i="63" s="1"/>
  <c r="AA564" i="44"/>
  <c r="L564" i="63" s="1"/>
  <c r="O564" i="63" s="1"/>
  <c r="AA580" i="44"/>
  <c r="L580" i="63" s="1"/>
  <c r="O580" i="63" s="1"/>
  <c r="AA596" i="44"/>
  <c r="AA359" i="44"/>
  <c r="L359" i="63" s="1"/>
  <c r="O359" i="63" s="1"/>
  <c r="AA360" i="44"/>
  <c r="L360" i="63" s="1"/>
  <c r="O360" i="63" s="1"/>
  <c r="AA361" i="44"/>
  <c r="L361" i="63" s="1"/>
  <c r="O361" i="63" s="1"/>
  <c r="AA401" i="44"/>
  <c r="AA393" i="44"/>
  <c r="L393" i="63" s="1"/>
  <c r="O393" i="63" s="1"/>
  <c r="AA389" i="44"/>
  <c r="L389" i="63" s="1"/>
  <c r="O389" i="63" s="1"/>
  <c r="AA394" i="44"/>
  <c r="L394" i="63" s="1"/>
  <c r="O394" i="63" s="1"/>
  <c r="AA410" i="44"/>
  <c r="AA403" i="44"/>
  <c r="L403" i="63" s="1"/>
  <c r="O403" i="63" s="1"/>
  <c r="AA396" i="44"/>
  <c r="L396" i="63" s="1"/>
  <c r="O396" i="63" s="1"/>
  <c r="AA412" i="44"/>
  <c r="L412" i="63" s="1"/>
  <c r="O412" i="63" s="1"/>
  <c r="AA513" i="44"/>
  <c r="AG513" i="44" s="1"/>
  <c r="AA517" i="44"/>
  <c r="AG517" i="44" s="1"/>
  <c r="AA482" i="44"/>
  <c r="AG482" i="44" s="1"/>
  <c r="AA498" i="44"/>
  <c r="AG498" i="44" s="1"/>
  <c r="AA514" i="44"/>
  <c r="AG514" i="44" s="1"/>
  <c r="AA487" i="44"/>
  <c r="AG487" i="44" s="1"/>
  <c r="AA503" i="44"/>
  <c r="AG503" i="44" s="1"/>
  <c r="AA519" i="44"/>
  <c r="AG519" i="44" s="1"/>
  <c r="AA492" i="44"/>
  <c r="AG492" i="44" s="1"/>
  <c r="AA508" i="44"/>
  <c r="AG508" i="44" s="1"/>
  <c r="AA231" i="45"/>
  <c r="AA235" i="45"/>
  <c r="AA239" i="45"/>
  <c r="AA243" i="45"/>
  <c r="AA247" i="45"/>
  <c r="AA251" i="45"/>
  <c r="AA255" i="45"/>
  <c r="AA259" i="45"/>
  <c r="AA263" i="45"/>
  <c r="AA267" i="45"/>
  <c r="AA271" i="45"/>
  <c r="AA611" i="44"/>
  <c r="AG611" i="44" s="1"/>
  <c r="AA278" i="45"/>
  <c r="AA282" i="45"/>
  <c r="AA610" i="44"/>
  <c r="AG610" i="44" s="1"/>
  <c r="AA613" i="44"/>
  <c r="AG613" i="44" s="1"/>
  <c r="AA612" i="44"/>
  <c r="AG612" i="44" s="1"/>
  <c r="AJ10" i="51"/>
  <c r="AJ12" i="51"/>
  <c r="AJ36" i="51"/>
  <c r="AJ21" i="51"/>
  <c r="AJ20" i="51"/>
  <c r="F15" i="56"/>
  <c r="F14" i="56"/>
  <c r="AB43" i="30"/>
  <c r="U43" i="54"/>
  <c r="U95" i="54" s="1"/>
  <c r="AB27" i="30"/>
  <c r="U27" i="54"/>
  <c r="U79" i="54" s="1"/>
  <c r="AB33" i="30"/>
  <c r="U33" i="54"/>
  <c r="U85" i="54" s="1"/>
  <c r="AB48" i="30"/>
  <c r="U48" i="54"/>
  <c r="U100" i="54" s="1"/>
  <c r="AB7" i="30"/>
  <c r="U7" i="54"/>
  <c r="U59" i="54" s="1"/>
  <c r="AB21" i="30"/>
  <c r="U21" i="54"/>
  <c r="U73" i="54" s="1"/>
  <c r="AB22" i="30"/>
  <c r="U22" i="54"/>
  <c r="U74" i="54" s="1"/>
  <c r="AB50" i="30"/>
  <c r="U50" i="54"/>
  <c r="U102" i="54" s="1"/>
  <c r="AB23" i="30"/>
  <c r="U23" i="54"/>
  <c r="U75" i="54" s="1"/>
  <c r="AB32" i="30"/>
  <c r="U32" i="54"/>
  <c r="U84" i="54" s="1"/>
  <c r="AB46" i="30"/>
  <c r="U46" i="54"/>
  <c r="U98" i="54" s="1"/>
  <c r="AB10" i="30"/>
  <c r="U10" i="54"/>
  <c r="U62" i="54" s="1"/>
  <c r="AB8" i="30"/>
  <c r="U8" i="54"/>
  <c r="U60" i="54" s="1"/>
  <c r="N14" i="56"/>
  <c r="N15" i="56"/>
  <c r="Y5" i="51"/>
  <c r="Y45" i="51" s="1"/>
  <c r="X45" i="51"/>
  <c r="AA379" i="44"/>
  <c r="L379" i="63" s="1"/>
  <c r="O379" i="63" s="1"/>
  <c r="AA380" i="44"/>
  <c r="AA381" i="44"/>
  <c r="L381" i="63" s="1"/>
  <c r="O381" i="63" s="1"/>
  <c r="AA367" i="44"/>
  <c r="L367" i="63" s="1"/>
  <c r="O367" i="63" s="1"/>
  <c r="AA368" i="44"/>
  <c r="L368" i="63" s="1"/>
  <c r="O368" i="63" s="1"/>
  <c r="AA369" i="44"/>
  <c r="AA461" i="44"/>
  <c r="AG461" i="44" s="1"/>
  <c r="AA458" i="44"/>
  <c r="AG458" i="44" s="1"/>
  <c r="AA459" i="44"/>
  <c r="AG459" i="44" s="1"/>
  <c r="AA460" i="44"/>
  <c r="AG460" i="44" s="1"/>
  <c r="AA204" i="45"/>
  <c r="AA208" i="45"/>
  <c r="AA212" i="45"/>
  <c r="AA421" i="44"/>
  <c r="AG421" i="44" s="1"/>
  <c r="AA430" i="44"/>
  <c r="AG430" i="44" s="1"/>
  <c r="AA431" i="44"/>
  <c r="AG431" i="44" s="1"/>
  <c r="AA432" i="44"/>
  <c r="AG432" i="44" s="1"/>
  <c r="AA174" i="45"/>
  <c r="AA178" i="45"/>
  <c r="AA182" i="45"/>
  <c r="AA525" i="44"/>
  <c r="L525" i="63" s="1"/>
  <c r="O525" i="63" s="1"/>
  <c r="AA469" i="44"/>
  <c r="AG469" i="44" s="1"/>
  <c r="AA474" i="44"/>
  <c r="AG474" i="44" s="1"/>
  <c r="AA475" i="44"/>
  <c r="AG475" i="44" s="1"/>
  <c r="AA218" i="45"/>
  <c r="AA222" i="45"/>
  <c r="AA226" i="45"/>
  <c r="AA545" i="44"/>
  <c r="L545" i="63" s="1"/>
  <c r="O545" i="63" s="1"/>
  <c r="AA573" i="44"/>
  <c r="L573" i="63" s="1"/>
  <c r="O573" i="63" s="1"/>
  <c r="AA581" i="44"/>
  <c r="AA537" i="44"/>
  <c r="L537" i="63" s="1"/>
  <c r="O537" i="63" s="1"/>
  <c r="AA601" i="44"/>
  <c r="L601" i="63" s="1"/>
  <c r="O601" i="63" s="1"/>
  <c r="AA538" i="44"/>
  <c r="L538" i="63" s="1"/>
  <c r="O538" i="63" s="1"/>
  <c r="AA554" i="44"/>
  <c r="AA570" i="44"/>
  <c r="L570" i="63" s="1"/>
  <c r="O570" i="63" s="1"/>
  <c r="AA586" i="44"/>
  <c r="L586" i="63" s="1"/>
  <c r="O586" i="63" s="1"/>
  <c r="AA602" i="44"/>
  <c r="L602" i="63" s="1"/>
  <c r="O602" i="63" s="1"/>
  <c r="AA535" i="44"/>
  <c r="AA551" i="44"/>
  <c r="AA567" i="44"/>
  <c r="L567" i="63" s="1"/>
  <c r="O567" i="63" s="1"/>
  <c r="AA583" i="44"/>
  <c r="L583" i="63" s="1"/>
  <c r="O583" i="63" s="1"/>
  <c r="AA599" i="44"/>
  <c r="AA536" i="44"/>
  <c r="L536" i="63" s="1"/>
  <c r="O536" i="63" s="1"/>
  <c r="AA552" i="44"/>
  <c r="L552" i="63" s="1"/>
  <c r="O552" i="63" s="1"/>
  <c r="AA568" i="44"/>
  <c r="L568" i="63" s="1"/>
  <c r="O568" i="63" s="1"/>
  <c r="AA584" i="44"/>
  <c r="AA600" i="44"/>
  <c r="L600" i="63" s="1"/>
  <c r="O600" i="63" s="1"/>
  <c r="AA350" i="44"/>
  <c r="L350" i="63" s="1"/>
  <c r="AA358" i="44"/>
  <c r="L358" i="63" s="1"/>
  <c r="O358" i="63" s="1"/>
  <c r="AA354" i="44"/>
  <c r="AA391" i="44"/>
  <c r="L391" i="63" s="1"/>
  <c r="O391" i="63" s="1"/>
  <c r="AA417" i="44"/>
  <c r="L417" i="63" s="1"/>
  <c r="O417" i="63" s="1"/>
  <c r="AA405" i="44"/>
  <c r="L405" i="63" s="1"/>
  <c r="O405" i="63" s="1"/>
  <c r="AA395" i="44"/>
  <c r="AA398" i="44"/>
  <c r="L398" i="63" s="1"/>
  <c r="O398" i="63" s="1"/>
  <c r="AA414" i="44"/>
  <c r="L414" i="63" s="1"/>
  <c r="O414" i="63" s="1"/>
  <c r="AA407" i="44"/>
  <c r="L407" i="63" s="1"/>
  <c r="O407" i="63" s="1"/>
  <c r="AA400" i="44"/>
  <c r="AA416" i="44"/>
  <c r="L416" i="63" s="1"/>
  <c r="O416" i="63" s="1"/>
  <c r="AA509" i="44"/>
  <c r="AG509" i="44" s="1"/>
  <c r="AA493" i="44"/>
  <c r="AG493" i="44" s="1"/>
  <c r="AA486" i="44"/>
  <c r="AG486" i="44" s="1"/>
  <c r="AA502" i="44"/>
  <c r="AG502" i="44" s="1"/>
  <c r="AA518" i="44"/>
  <c r="AG518" i="44" s="1"/>
  <c r="AA491" i="44"/>
  <c r="AG491" i="44" s="1"/>
  <c r="AA507" i="44"/>
  <c r="AG507" i="44" s="1"/>
  <c r="AA480" i="44"/>
  <c r="AG480" i="44" s="1"/>
  <c r="AA496" i="44"/>
  <c r="AG496" i="44" s="1"/>
  <c r="AA512" i="44"/>
  <c r="AG512" i="44" s="1"/>
  <c r="AA232" i="45"/>
  <c r="AA236" i="45"/>
  <c r="AA240" i="45"/>
  <c r="AA244" i="45"/>
  <c r="AA248" i="45"/>
  <c r="AA252" i="45"/>
  <c r="AA256" i="45"/>
  <c r="AA260" i="45"/>
  <c r="AA264" i="45"/>
  <c r="AA268" i="45"/>
  <c r="AA272" i="45"/>
  <c r="AA615" i="44"/>
  <c r="AG615" i="44" s="1"/>
  <c r="AA279" i="45"/>
  <c r="AA283" i="45"/>
  <c r="AA614" i="44"/>
  <c r="AG614" i="44" s="1"/>
  <c r="AA617" i="44"/>
  <c r="AG617" i="44" s="1"/>
  <c r="AA616" i="44"/>
  <c r="AG616" i="44" s="1"/>
  <c r="AJ25" i="51"/>
  <c r="U23" i="55"/>
  <c r="U67" i="55" s="1"/>
  <c r="U13" i="55"/>
  <c r="U57" i="55" s="1"/>
  <c r="U10" i="55"/>
  <c r="U54" i="55" s="1"/>
  <c r="U25" i="55"/>
  <c r="U69" i="55" s="1"/>
  <c r="U40" i="55"/>
  <c r="U84" i="55" s="1"/>
  <c r="U9" i="55"/>
  <c r="U53" i="55" s="1"/>
  <c r="U19" i="55"/>
  <c r="U63" i="55" s="1"/>
  <c r="U43" i="55"/>
  <c r="U87" i="55" s="1"/>
  <c r="U16" i="55"/>
  <c r="U60" i="55" s="1"/>
  <c r="U15" i="55"/>
  <c r="U59" i="55" s="1"/>
  <c r="U32" i="55"/>
  <c r="U76" i="55" s="1"/>
  <c r="U31" i="55"/>
  <c r="U75" i="55" s="1"/>
  <c r="U33" i="55"/>
  <c r="U77" i="55" s="1"/>
  <c r="U30" i="55"/>
  <c r="U74" i="55" s="1"/>
  <c r="U24" i="55"/>
  <c r="U68" i="55" s="1"/>
  <c r="U29" i="55"/>
  <c r="U73" i="55" s="1"/>
  <c r="U7" i="55"/>
  <c r="U51" i="55" s="1"/>
  <c r="Q15" i="56"/>
  <c r="Q14" i="56"/>
  <c r="B15" i="56"/>
  <c r="B14" i="56"/>
  <c r="B14" i="57"/>
  <c r="B15" i="57"/>
  <c r="AB6" i="30"/>
  <c r="U6" i="54"/>
  <c r="U58" i="54" s="1"/>
  <c r="AB25" i="30"/>
  <c r="U25" i="54"/>
  <c r="U77" i="54" s="1"/>
  <c r="AB9" i="30"/>
  <c r="U9" i="54"/>
  <c r="U61" i="54" s="1"/>
  <c r="AB39" i="30"/>
  <c r="U39" i="54"/>
  <c r="U91" i="54" s="1"/>
  <c r="AB28" i="30"/>
  <c r="U28" i="54"/>
  <c r="U80" i="54" s="1"/>
  <c r="AB45" i="30"/>
  <c r="U45" i="54"/>
  <c r="U97" i="54" s="1"/>
  <c r="AB19" i="30"/>
  <c r="U19" i="54"/>
  <c r="U71" i="54" s="1"/>
  <c r="AB41" i="30"/>
  <c r="U41" i="54"/>
  <c r="U93" i="54" s="1"/>
  <c r="AB36" i="30"/>
  <c r="U36" i="54"/>
  <c r="U88" i="54" s="1"/>
  <c r="AB47" i="30"/>
  <c r="U47" i="54"/>
  <c r="U99" i="54" s="1"/>
  <c r="AB20" i="30"/>
  <c r="U20" i="54"/>
  <c r="U72" i="54" s="1"/>
  <c r="AB38" i="30"/>
  <c r="U38" i="54"/>
  <c r="U90" i="54" s="1"/>
  <c r="AB44" i="30"/>
  <c r="U44" i="54"/>
  <c r="U96" i="54" s="1"/>
  <c r="AB30" i="30"/>
  <c r="U30" i="54"/>
  <c r="U82" i="54" s="1"/>
  <c r="AB51" i="30"/>
  <c r="U51" i="54"/>
  <c r="U103" i="54" s="1"/>
  <c r="U15" i="56"/>
  <c r="U14" i="56"/>
  <c r="AA371" i="44"/>
  <c r="AA419" i="44"/>
  <c r="AG419" i="44" s="1"/>
  <c r="AA171" i="45"/>
  <c r="AA526" i="44"/>
  <c r="AA561" i="44"/>
  <c r="L561" i="63" s="1"/>
  <c r="O561" i="63" s="1"/>
  <c r="AA533" i="44"/>
  <c r="L533" i="63" s="1"/>
  <c r="O533" i="63" s="1"/>
  <c r="AA597" i="44"/>
  <c r="AA553" i="44"/>
  <c r="AA542" i="44"/>
  <c r="L542" i="63" s="1"/>
  <c r="O542" i="63" s="1"/>
  <c r="AA558" i="44"/>
  <c r="L558" i="63" s="1"/>
  <c r="O558" i="63" s="1"/>
  <c r="AA574" i="44"/>
  <c r="AA590" i="44"/>
  <c r="AA539" i="44"/>
  <c r="L539" i="63" s="1"/>
  <c r="O539" i="63" s="1"/>
  <c r="AA555" i="44"/>
  <c r="L555" i="63" s="1"/>
  <c r="O555" i="63" s="1"/>
  <c r="AA571" i="44"/>
  <c r="AA587" i="44"/>
  <c r="L587" i="63" s="1"/>
  <c r="O587" i="63" s="1"/>
  <c r="AA540" i="44"/>
  <c r="L540" i="63" s="1"/>
  <c r="O540" i="63" s="1"/>
  <c r="AA556" i="44"/>
  <c r="L556" i="63" s="1"/>
  <c r="O556" i="63" s="1"/>
  <c r="AA572" i="44"/>
  <c r="AA588" i="44"/>
  <c r="L588" i="63" s="1"/>
  <c r="O588" i="63" s="1"/>
  <c r="AA604" i="44"/>
  <c r="L604" i="63" s="1"/>
  <c r="O604" i="63" s="1"/>
  <c r="AA351" i="44"/>
  <c r="L351" i="63" s="1"/>
  <c r="O351" i="63" s="1"/>
  <c r="AA352" i="44"/>
  <c r="AA387" i="44"/>
  <c r="L387" i="63" s="1"/>
  <c r="O387" i="63" s="1"/>
  <c r="AA397" i="44"/>
  <c r="L397" i="63" s="1"/>
  <c r="O397" i="63" s="1"/>
  <c r="AA386" i="44"/>
  <c r="AA409" i="44"/>
  <c r="AA402" i="44"/>
  <c r="L402" i="63" s="1"/>
  <c r="O402" i="63" s="1"/>
  <c r="AA418" i="44"/>
  <c r="L418" i="63" s="1"/>
  <c r="O418" i="63" s="1"/>
  <c r="AA411" i="44"/>
  <c r="L411" i="63" s="1"/>
  <c r="O411" i="63" s="1"/>
  <c r="AA404" i="44"/>
  <c r="AA481" i="44"/>
  <c r="AG481" i="44" s="1"/>
  <c r="AA485" i="44"/>
  <c r="AG485" i="44" s="1"/>
  <c r="AA489" i="44"/>
  <c r="AG489" i="44" s="1"/>
  <c r="AA490" i="44"/>
  <c r="AG490" i="44" s="1"/>
  <c r="AA506" i="44"/>
  <c r="AG506" i="44" s="1"/>
  <c r="AA479" i="44"/>
  <c r="AG479" i="44" s="1"/>
  <c r="AA495" i="44"/>
  <c r="AG495" i="44" s="1"/>
  <c r="AA511" i="44"/>
  <c r="AG511" i="44" s="1"/>
  <c r="AA484" i="44"/>
  <c r="AG484" i="44" s="1"/>
  <c r="AA500" i="44"/>
  <c r="AG500" i="44" s="1"/>
  <c r="AA516" i="44"/>
  <c r="AG516" i="44" s="1"/>
  <c r="AA233" i="45"/>
  <c r="AA237" i="45"/>
  <c r="AA241" i="45"/>
  <c r="AA245" i="45"/>
  <c r="AA249" i="45"/>
  <c r="AA253" i="45"/>
  <c r="AA257" i="45"/>
  <c r="AA261" i="45"/>
  <c r="AA265" i="45"/>
  <c r="AA276" i="45"/>
  <c r="AA273" i="45"/>
  <c r="AA280" i="45"/>
  <c r="AA284" i="45"/>
  <c r="AA274" i="45"/>
  <c r="AJ19" i="51"/>
  <c r="AJ16" i="51"/>
  <c r="AJ15" i="51"/>
  <c r="AJ33" i="51"/>
  <c r="AJ29" i="51"/>
  <c r="AJ7" i="51"/>
  <c r="S35" i="31"/>
  <c r="S35" i="54" s="1"/>
  <c r="S87" i="54" s="1"/>
  <c r="S28" i="31"/>
  <c r="S28" i="54" s="1"/>
  <c r="S80" i="54" s="1"/>
  <c r="S15" i="31"/>
  <c r="S15" i="54" s="1"/>
  <c r="S67" i="54" s="1"/>
  <c r="S37" i="31"/>
  <c r="S37" i="54" s="1"/>
  <c r="S89" i="54" s="1"/>
  <c r="S33" i="31"/>
  <c r="S33" i="54" s="1"/>
  <c r="S85" i="54" s="1"/>
  <c r="S16" i="31"/>
  <c r="S16" i="54" s="1"/>
  <c r="S68" i="54" s="1"/>
  <c r="S48" i="31"/>
  <c r="S48" i="54" s="1"/>
  <c r="S100" i="54" s="1"/>
  <c r="S43" i="31"/>
  <c r="S43" i="54" s="1"/>
  <c r="S95" i="54" s="1"/>
  <c r="S6" i="31"/>
  <c r="S6" i="54" s="1"/>
  <c r="S58" i="54" s="1"/>
  <c r="S26" i="31"/>
  <c r="S26" i="54" s="1"/>
  <c r="S78" i="54" s="1"/>
  <c r="S27" i="31"/>
  <c r="S27" i="54" s="1"/>
  <c r="S79" i="54" s="1"/>
  <c r="S42" i="31"/>
  <c r="S42" i="54" s="1"/>
  <c r="S94" i="54" s="1"/>
  <c r="S50" i="31"/>
  <c r="S50" i="54" s="1"/>
  <c r="S102" i="54" s="1"/>
  <c r="S18" i="31"/>
  <c r="S18" i="54" s="1"/>
  <c r="S70" i="54" s="1"/>
  <c r="S22" i="31"/>
  <c r="S22" i="54" s="1"/>
  <c r="S74" i="54" s="1"/>
  <c r="S21" i="31"/>
  <c r="S21" i="54" s="1"/>
  <c r="S73" i="54" s="1"/>
  <c r="S36" i="31"/>
  <c r="S36" i="54" s="1"/>
  <c r="S88" i="54" s="1"/>
  <c r="S20" i="31"/>
  <c r="S20" i="54" s="1"/>
  <c r="S72" i="54" s="1"/>
  <c r="S39" i="31"/>
  <c r="S39" i="54" s="1"/>
  <c r="S91" i="54" s="1"/>
  <c r="S34" i="31"/>
  <c r="S34" i="54" s="1"/>
  <c r="S86" i="54" s="1"/>
  <c r="S25" i="31"/>
  <c r="S25" i="54" s="1"/>
  <c r="S77" i="54" s="1"/>
  <c r="S45" i="31"/>
  <c r="S45" i="54" s="1"/>
  <c r="S97" i="54" s="1"/>
  <c r="S17" i="31"/>
  <c r="S17" i="54" s="1"/>
  <c r="S69" i="54" s="1"/>
  <c r="S49" i="31"/>
  <c r="S49" i="54" s="1"/>
  <c r="S101" i="54" s="1"/>
  <c r="S23" i="31"/>
  <c r="S23" i="54" s="1"/>
  <c r="S75" i="54" s="1"/>
  <c r="S47" i="31"/>
  <c r="S47" i="54" s="1"/>
  <c r="S99" i="54" s="1"/>
  <c r="S9" i="31"/>
  <c r="S9" i="54" s="1"/>
  <c r="S61" i="54" s="1"/>
  <c r="S29" i="31"/>
  <c r="S29" i="54" s="1"/>
  <c r="S81" i="54" s="1"/>
  <c r="S12" i="31"/>
  <c r="S12" i="54" s="1"/>
  <c r="S64" i="54" s="1"/>
  <c r="S31" i="31"/>
  <c r="S31" i="54" s="1"/>
  <c r="S83" i="54" s="1"/>
  <c r="S38" i="31"/>
  <c r="S38" i="54" s="1"/>
  <c r="S90" i="54" s="1"/>
  <c r="S10" i="31"/>
  <c r="S10" i="54" s="1"/>
  <c r="S62" i="54" s="1"/>
  <c r="S44" i="31"/>
  <c r="S44" i="54" s="1"/>
  <c r="S96" i="54" s="1"/>
  <c r="S46" i="31"/>
  <c r="S46" i="54" s="1"/>
  <c r="S98" i="54" s="1"/>
  <c r="S14" i="31"/>
  <c r="S14" i="54" s="1"/>
  <c r="S66" i="54" s="1"/>
  <c r="S5" i="31"/>
  <c r="S41" i="31"/>
  <c r="S41" i="54" s="1"/>
  <c r="S93" i="54" s="1"/>
  <c r="S30" i="31"/>
  <c r="S30" i="54" s="1"/>
  <c r="S82" i="54" s="1"/>
  <c r="S40" i="31"/>
  <c r="S40" i="54" s="1"/>
  <c r="S92" i="54" s="1"/>
  <c r="S51" i="31"/>
  <c r="S51" i="54" s="1"/>
  <c r="S103" i="54" s="1"/>
  <c r="S8" i="31"/>
  <c r="S8" i="54" s="1"/>
  <c r="S60" i="54" s="1"/>
  <c r="S19" i="31"/>
  <c r="S19" i="54" s="1"/>
  <c r="S71" i="54" s="1"/>
  <c r="S32" i="31"/>
  <c r="S32" i="54" s="1"/>
  <c r="S84" i="54" s="1"/>
  <c r="S11" i="31"/>
  <c r="S11" i="54" s="1"/>
  <c r="S63" i="54" s="1"/>
  <c r="S7" i="31"/>
  <c r="S7" i="54" s="1"/>
  <c r="S59" i="54" s="1"/>
  <c r="S13" i="31"/>
  <c r="S13" i="54" s="1"/>
  <c r="S65" i="54" s="1"/>
  <c r="S24" i="31"/>
  <c r="S24" i="54" s="1"/>
  <c r="S76" i="54" s="1"/>
  <c r="AB24" i="30"/>
  <c r="U24" i="54"/>
  <c r="U76" i="54" s="1"/>
  <c r="AB37" i="30"/>
  <c r="U37" i="54"/>
  <c r="U89" i="54" s="1"/>
  <c r="AB12" i="30"/>
  <c r="U12" i="54"/>
  <c r="U64" i="54" s="1"/>
  <c r="AB14" i="30"/>
  <c r="U14" i="54"/>
  <c r="U66" i="54" s="1"/>
  <c r="AB31" i="30"/>
  <c r="U31" i="54"/>
  <c r="U83" i="54" s="1"/>
  <c r="AB11" i="30"/>
  <c r="U11" i="54"/>
  <c r="U63" i="54" s="1"/>
  <c r="AB13" i="30"/>
  <c r="U13" i="54"/>
  <c r="U65" i="54" s="1"/>
  <c r="AB17" i="30"/>
  <c r="U17" i="54"/>
  <c r="U69" i="54" s="1"/>
  <c r="AB49" i="30"/>
  <c r="U49" i="54"/>
  <c r="U101" i="54" s="1"/>
  <c r="AB16" i="30"/>
  <c r="U16" i="54"/>
  <c r="U68" i="54" s="1"/>
  <c r="AB5" i="50"/>
  <c r="AB53" i="50" s="1"/>
  <c r="V53" i="50"/>
  <c r="AB40" i="30"/>
  <c r="U40" i="54"/>
  <c r="U92" i="54" s="1"/>
  <c r="M14" i="56"/>
  <c r="M15" i="56"/>
  <c r="E14" i="56"/>
  <c r="E15" i="56"/>
  <c r="C7" i="56"/>
  <c r="C13" i="56" s="1"/>
  <c r="C11" i="56"/>
  <c r="C9" i="56"/>
  <c r="AJ18" i="51"/>
  <c r="AJ40" i="51"/>
  <c r="AJ26" i="51"/>
  <c r="AJ28" i="51"/>
  <c r="AJ22" i="51"/>
  <c r="AJ9" i="51"/>
  <c r="AG5" i="44"/>
  <c r="AG384" i="44"/>
  <c r="AG618" i="44"/>
  <c r="AG628" i="44"/>
  <c r="AG234" i="44"/>
  <c r="AG171" i="44"/>
  <c r="AG58" i="44"/>
  <c r="AG72" i="44"/>
  <c r="AG172" i="44"/>
  <c r="AG50" i="44"/>
  <c r="AG230" i="44"/>
  <c r="AG57" i="44"/>
  <c r="AG589" i="44"/>
  <c r="AG560" i="44"/>
  <c r="AG353" i="44"/>
  <c r="AG382" i="44"/>
  <c r="AG362" i="44"/>
  <c r="AG627" i="44"/>
  <c r="AG466" i="44"/>
  <c r="AG527" i="44"/>
  <c r="AG66" i="44"/>
  <c r="AG239" i="44"/>
  <c r="AG60" i="44"/>
  <c r="AG160" i="44"/>
  <c r="AG176" i="44"/>
  <c r="AG62" i="44"/>
  <c r="AG61" i="44"/>
  <c r="AG161" i="44"/>
  <c r="AG177" i="44"/>
  <c r="AG545" i="44"/>
  <c r="AG557" i="44"/>
  <c r="AG562" i="44"/>
  <c r="AG603" i="44"/>
  <c r="AG548" i="44"/>
  <c r="AG580" i="44"/>
  <c r="AG356" i="44"/>
  <c r="AG413" i="44"/>
  <c r="AG406" i="44"/>
  <c r="AG415" i="44"/>
  <c r="AG377" i="44"/>
  <c r="AG163" i="44"/>
  <c r="AG179" i="44"/>
  <c r="AG166" i="44"/>
  <c r="AG180" i="44"/>
  <c r="AG181" i="44"/>
  <c r="AG585" i="44"/>
  <c r="AG534" i="44"/>
  <c r="AG582" i="44"/>
  <c r="AG559" i="44"/>
  <c r="AG359" i="44"/>
  <c r="AG393" i="44"/>
  <c r="AG403" i="44"/>
  <c r="AG629" i="44"/>
  <c r="AG619" i="44"/>
  <c r="AG624" i="44"/>
  <c r="AG51" i="44"/>
  <c r="AG167" i="44"/>
  <c r="AG178" i="44"/>
  <c r="AG68" i="44"/>
  <c r="AG232" i="44"/>
  <c r="AG69" i="44"/>
  <c r="AG169" i="44"/>
  <c r="AG541" i="44"/>
  <c r="AG602" i="44"/>
  <c r="AG563" i="44"/>
  <c r="AG556" i="44"/>
  <c r="AG588" i="44"/>
  <c r="AG358" i="44"/>
  <c r="AG414" i="44"/>
  <c r="AM57" i="28"/>
  <c r="AM55" i="31"/>
  <c r="AM55" i="30"/>
  <c r="AM55" i="29"/>
  <c r="AB47" i="35"/>
  <c r="AB47" i="33"/>
  <c r="AB47" i="34"/>
  <c r="AB47" i="32"/>
  <c r="X45" i="35"/>
  <c r="Y5" i="35"/>
  <c r="Y5" i="34"/>
  <c r="X45" i="34"/>
  <c r="AG595" i="44" l="1"/>
  <c r="AG586" i="44"/>
  <c r="AG233" i="44"/>
  <c r="AG168" i="44"/>
  <c r="AG67" i="44"/>
  <c r="AG394" i="44"/>
  <c r="AG552" i="44"/>
  <c r="AG550" i="44"/>
  <c r="AG165" i="44"/>
  <c r="AG375" i="44"/>
  <c r="AG530" i="44"/>
  <c r="AG241" i="44"/>
  <c r="AG70" i="44"/>
  <c r="AG567" i="44"/>
  <c r="AG56" i="44"/>
  <c r="AG55" i="44"/>
  <c r="L316" i="63"/>
  <c r="L268" i="63"/>
  <c r="L284" i="63"/>
  <c r="O284" i="63" s="1"/>
  <c r="L278" i="63"/>
  <c r="O278" i="63" s="1"/>
  <c r="L323" i="63"/>
  <c r="L280" i="63"/>
  <c r="L322" i="63"/>
  <c r="L281" i="63"/>
  <c r="O281" i="63" s="1"/>
  <c r="L321" i="63"/>
  <c r="AG350" i="44"/>
  <c r="AG601" i="44"/>
  <c r="AG367" i="44"/>
  <c r="AG591" i="44"/>
  <c r="AG65" i="44"/>
  <c r="AG521" i="44"/>
  <c r="AG392" i="44"/>
  <c r="AG238" i="44"/>
  <c r="AG12" i="44"/>
  <c r="L241" i="63"/>
  <c r="O241" i="63" s="1"/>
  <c r="L324" i="63"/>
  <c r="O324" i="63" s="1"/>
  <c r="L271" i="63"/>
  <c r="L287" i="63"/>
  <c r="L286" i="63"/>
  <c r="O286" i="63" s="1"/>
  <c r="L267" i="63"/>
  <c r="O267" i="63" s="1"/>
  <c r="L283" i="63"/>
  <c r="L269" i="63"/>
  <c r="L285" i="63"/>
  <c r="AG531" i="44"/>
  <c r="AG577" i="44"/>
  <c r="AG412" i="44"/>
  <c r="AG361" i="44"/>
  <c r="AG364" i="44"/>
  <c r="AG594" i="44"/>
  <c r="AG565" i="44"/>
  <c r="AG159" i="44"/>
  <c r="AG592" i="44"/>
  <c r="AG173" i="44"/>
  <c r="L266" i="63"/>
  <c r="O266" i="63" s="1"/>
  <c r="L274" i="63"/>
  <c r="O274" i="63" s="1"/>
  <c r="L276" i="63"/>
  <c r="L318" i="63"/>
  <c r="L315" i="63"/>
  <c r="L272" i="63"/>
  <c r="O272" i="63" s="1"/>
  <c r="L288" i="63"/>
  <c r="L273" i="63"/>
  <c r="O273" i="63" s="1"/>
  <c r="L289" i="63"/>
  <c r="AG604" i="44"/>
  <c r="AG408" i="44"/>
  <c r="AG625" i="44"/>
  <c r="AG558" i="44"/>
  <c r="AG623" i="44"/>
  <c r="AG360" i="44"/>
  <c r="AG158" i="44"/>
  <c r="AG363" i="44"/>
  <c r="AG417" i="44"/>
  <c r="AG533" i="44"/>
  <c r="AG528" i="44"/>
  <c r="AG555" i="44"/>
  <c r="AG240" i="44"/>
  <c r="AG366" i="44"/>
  <c r="AG13" i="44"/>
  <c r="AG2" i="44"/>
  <c r="O269" i="63"/>
  <c r="AG522" i="44"/>
  <c r="AG626" i="44"/>
  <c r="AG54" i="44"/>
  <c r="O319" i="63"/>
  <c r="O276" i="63"/>
  <c r="AG573" i="44"/>
  <c r="AG402" i="44"/>
  <c r="O283" i="63"/>
  <c r="AG71" i="44"/>
  <c r="AG170" i="44"/>
  <c r="AG52" i="44"/>
  <c r="AG164" i="44"/>
  <c r="AG175" i="44"/>
  <c r="AG370" i="44"/>
  <c r="AG583" i="44"/>
  <c r="AG237" i="44"/>
  <c r="AG7" i="44"/>
  <c r="O271" i="63"/>
  <c r="O287" i="63"/>
  <c r="AG407" i="44"/>
  <c r="AG53" i="44"/>
  <c r="AG374" i="44"/>
  <c r="AG525" i="44"/>
  <c r="AG368" i="44"/>
  <c r="AG64" i="44"/>
  <c r="AG63" i="44"/>
  <c r="AG9" i="44"/>
  <c r="O288" i="63"/>
  <c r="AG391" i="44"/>
  <c r="AG579" i="44"/>
  <c r="AG537" i="44"/>
  <c r="AG389" i="44"/>
  <c r="AG536" i="44"/>
  <c r="AG598" i="44"/>
  <c r="AG620" i="44"/>
  <c r="AG564" i="44"/>
  <c r="AG539" i="44"/>
  <c r="AG622" i="44"/>
  <c r="AG418" i="44"/>
  <c r="AG235" i="44"/>
  <c r="AG10" i="44"/>
  <c r="AG3" i="44"/>
  <c r="O318" i="63"/>
  <c r="AG398" i="44"/>
  <c r="AG570" i="44"/>
  <c r="AG381" i="44"/>
  <c r="AG600" i="44"/>
  <c r="AG357" i="44"/>
  <c r="AG569" i="44"/>
  <c r="AG378" i="44"/>
  <c r="AG576" i="44"/>
  <c r="AG373" i="44"/>
  <c r="O275" i="63"/>
  <c r="O277" i="63"/>
  <c r="AG523" i="44"/>
  <c r="AG396" i="44"/>
  <c r="AG416" i="44"/>
  <c r="AG405" i="44"/>
  <c r="AG540" i="44"/>
  <c r="AG538" i="44"/>
  <c r="AG231" i="44"/>
  <c r="AG174" i="44"/>
  <c r="AG379" i="44"/>
  <c r="AG568" i="44"/>
  <c r="AG575" i="44"/>
  <c r="AG561" i="44"/>
  <c r="AG162" i="44"/>
  <c r="AG390" i="44"/>
  <c r="AG578" i="44"/>
  <c r="AG59" i="44"/>
  <c r="AG524" i="44"/>
  <c r="AG397" i="44"/>
  <c r="AG542" i="44"/>
  <c r="AG73" i="44"/>
  <c r="AG236" i="44"/>
  <c r="AG372" i="44"/>
  <c r="K9" i="57"/>
  <c r="O268" i="63"/>
  <c r="O321" i="63"/>
  <c r="O280" i="63"/>
  <c r="AG351" i="44"/>
  <c r="L519" i="63"/>
  <c r="O519" i="63" s="1"/>
  <c r="L512" i="63"/>
  <c r="O512" i="63" s="1"/>
  <c r="L511" i="63"/>
  <c r="O511" i="63" s="1"/>
  <c r="L520" i="63"/>
  <c r="O520" i="63" s="1"/>
  <c r="L516" i="63"/>
  <c r="O516" i="63" s="1"/>
  <c r="L515" i="63"/>
  <c r="O515" i="63" s="1"/>
  <c r="L504" i="63"/>
  <c r="O504" i="63" s="1"/>
  <c r="L503" i="63"/>
  <c r="O503" i="63" s="1"/>
  <c r="L496" i="63"/>
  <c r="O496" i="63" s="1"/>
  <c r="L495" i="63"/>
  <c r="O495" i="63" s="1"/>
  <c r="L488" i="63"/>
  <c r="O488" i="63" s="1"/>
  <c r="L487" i="63"/>
  <c r="O487" i="63" s="1"/>
  <c r="L509" i="63"/>
  <c r="O509" i="63" s="1"/>
  <c r="L502" i="63"/>
  <c r="O502" i="63" s="1"/>
  <c r="L501" i="63"/>
  <c r="O501" i="63" s="1"/>
  <c r="L494" i="63"/>
  <c r="O494" i="63" s="1"/>
  <c r="L493" i="63"/>
  <c r="O493" i="63" s="1"/>
  <c r="L486" i="63"/>
  <c r="O486" i="63" s="1"/>
  <c r="L485" i="63"/>
  <c r="O485" i="63" s="1"/>
  <c r="L483" i="63"/>
  <c r="O483" i="63" s="1"/>
  <c r="L481" i="63"/>
  <c r="O481" i="63" s="1"/>
  <c r="L479" i="63"/>
  <c r="L517" i="63"/>
  <c r="O517" i="63" s="1"/>
  <c r="L513" i="63"/>
  <c r="O513" i="63" s="1"/>
  <c r="L510" i="63"/>
  <c r="O510" i="63" s="1"/>
  <c r="L508" i="63"/>
  <c r="O508" i="63" s="1"/>
  <c r="L507" i="63"/>
  <c r="O507" i="63" s="1"/>
  <c r="L500" i="63"/>
  <c r="O500" i="63" s="1"/>
  <c r="L499" i="63"/>
  <c r="O499" i="63" s="1"/>
  <c r="L492" i="63"/>
  <c r="O492" i="63" s="1"/>
  <c r="L491" i="63"/>
  <c r="O491" i="63" s="1"/>
  <c r="L480" i="63"/>
  <c r="O480" i="63" s="1"/>
  <c r="L514" i="63"/>
  <c r="O514" i="63" s="1"/>
  <c r="L506" i="63"/>
  <c r="O506" i="63" s="1"/>
  <c r="L498" i="63"/>
  <c r="O498" i="63" s="1"/>
  <c r="L490" i="63"/>
  <c r="O490" i="63" s="1"/>
  <c r="L386" i="63"/>
  <c r="O386" i="63" s="1"/>
  <c r="L518" i="63"/>
  <c r="O518" i="63" s="1"/>
  <c r="L484" i="63"/>
  <c r="O484" i="63" s="1"/>
  <c r="L505" i="63"/>
  <c r="O505" i="63" s="1"/>
  <c r="L497" i="63"/>
  <c r="O497" i="63" s="1"/>
  <c r="L482" i="63"/>
  <c r="O482" i="63" s="1"/>
  <c r="L489" i="63"/>
  <c r="O489" i="63" s="1"/>
  <c r="O350" i="63"/>
  <c r="O521" i="63"/>
  <c r="L478" i="63"/>
  <c r="O478" i="63" s="1"/>
  <c r="L476" i="63"/>
  <c r="O476" i="63" s="1"/>
  <c r="L474" i="63"/>
  <c r="O474" i="63" s="1"/>
  <c r="L472" i="63"/>
  <c r="O472" i="63" s="1"/>
  <c r="L470" i="63"/>
  <c r="O470" i="63" s="1"/>
  <c r="L468" i="63"/>
  <c r="O468" i="63" s="1"/>
  <c r="L466" i="63"/>
  <c r="O466" i="63" s="1"/>
  <c r="L464" i="63"/>
  <c r="O464" i="63" s="1"/>
  <c r="L462" i="63"/>
  <c r="O462" i="63" s="1"/>
  <c r="L460" i="63"/>
  <c r="O460" i="63" s="1"/>
  <c r="L458" i="63"/>
  <c r="O458" i="63" s="1"/>
  <c r="L471" i="63"/>
  <c r="O471" i="63" s="1"/>
  <c r="L463" i="63"/>
  <c r="O463" i="63" s="1"/>
  <c r="L473" i="63"/>
  <c r="O473" i="63" s="1"/>
  <c r="L465" i="63"/>
  <c r="O465" i="63" s="1"/>
  <c r="L457" i="63"/>
  <c r="O457" i="63" s="1"/>
  <c r="L455" i="63"/>
  <c r="O455" i="63" s="1"/>
  <c r="L453" i="63"/>
  <c r="O453" i="63" s="1"/>
  <c r="L451" i="63"/>
  <c r="O451" i="63" s="1"/>
  <c r="L449" i="63"/>
  <c r="O449" i="63" s="1"/>
  <c r="L447" i="63"/>
  <c r="O447" i="63" s="1"/>
  <c r="L445" i="63"/>
  <c r="O445" i="63" s="1"/>
  <c r="L443" i="63"/>
  <c r="O443" i="63" s="1"/>
  <c r="L441" i="63"/>
  <c r="O441" i="63" s="1"/>
  <c r="L439" i="63"/>
  <c r="O439" i="63" s="1"/>
  <c r="L437" i="63"/>
  <c r="O437" i="63" s="1"/>
  <c r="L435" i="63"/>
  <c r="O435" i="63" s="1"/>
  <c r="L433" i="63"/>
  <c r="O433" i="63" s="1"/>
  <c r="L431" i="63"/>
  <c r="O431" i="63" s="1"/>
  <c r="L429" i="63"/>
  <c r="O429" i="63" s="1"/>
  <c r="L427" i="63"/>
  <c r="O427" i="63" s="1"/>
  <c r="L425" i="63"/>
  <c r="O425" i="63" s="1"/>
  <c r="L423" i="63"/>
  <c r="O423" i="63" s="1"/>
  <c r="L421" i="63"/>
  <c r="O421" i="63" s="1"/>
  <c r="L419" i="63"/>
  <c r="O419" i="63" s="1"/>
  <c r="L475" i="63"/>
  <c r="O475" i="63" s="1"/>
  <c r="L467" i="63"/>
  <c r="O467" i="63" s="1"/>
  <c r="L459" i="63"/>
  <c r="O459" i="63" s="1"/>
  <c r="L477" i="63"/>
  <c r="O477" i="63" s="1"/>
  <c r="L456" i="63"/>
  <c r="O456" i="63" s="1"/>
  <c r="L448" i="63"/>
  <c r="O448" i="63" s="1"/>
  <c r="L440" i="63"/>
  <c r="O440" i="63" s="1"/>
  <c r="L432" i="63"/>
  <c r="O432" i="63" s="1"/>
  <c r="L424" i="63"/>
  <c r="O424" i="63" s="1"/>
  <c r="L454" i="63"/>
  <c r="O454" i="63" s="1"/>
  <c r="L446" i="63"/>
  <c r="O446" i="63" s="1"/>
  <c r="L438" i="63"/>
  <c r="O438" i="63" s="1"/>
  <c r="L430" i="63"/>
  <c r="O430" i="63" s="1"/>
  <c r="L422" i="63"/>
  <c r="O422" i="63" s="1"/>
  <c r="L461" i="63"/>
  <c r="O461" i="63" s="1"/>
  <c r="L452" i="63"/>
  <c r="O452" i="63" s="1"/>
  <c r="L444" i="63"/>
  <c r="O444" i="63" s="1"/>
  <c r="L436" i="63"/>
  <c r="O436" i="63" s="1"/>
  <c r="L428" i="63"/>
  <c r="O428" i="63" s="1"/>
  <c r="L420" i="63"/>
  <c r="O420" i="63" s="1"/>
  <c r="L469" i="63"/>
  <c r="O469" i="63" s="1"/>
  <c r="L434" i="63"/>
  <c r="O434" i="63" s="1"/>
  <c r="L426" i="63"/>
  <c r="O426" i="63" s="1"/>
  <c r="L450" i="63"/>
  <c r="O450" i="63" s="1"/>
  <c r="L442" i="63"/>
  <c r="O442" i="63" s="1"/>
  <c r="O315" i="63"/>
  <c r="O289" i="63"/>
  <c r="AC10" i="63"/>
  <c r="AG371" i="44"/>
  <c r="L371" i="63"/>
  <c r="O371" i="63" s="1"/>
  <c r="AG551" i="44"/>
  <c r="L551" i="63"/>
  <c r="O551" i="63" s="1"/>
  <c r="AG593" i="44"/>
  <c r="L593" i="63"/>
  <c r="O593" i="63" s="1"/>
  <c r="O320" i="63"/>
  <c r="O314" i="63"/>
  <c r="AG590" i="44"/>
  <c r="L590" i="63"/>
  <c r="O590" i="63" s="1"/>
  <c r="AG553" i="44"/>
  <c r="L553" i="63"/>
  <c r="O553" i="63" s="1"/>
  <c r="AG526" i="44"/>
  <c r="L526" i="63"/>
  <c r="O526" i="63" s="1"/>
  <c r="AG400" i="44"/>
  <c r="L400" i="63"/>
  <c r="O400" i="63" s="1"/>
  <c r="AG395" i="44"/>
  <c r="L395" i="63"/>
  <c r="O395" i="63" s="1"/>
  <c r="AG354" i="44"/>
  <c r="AP3" i="44" s="1"/>
  <c r="AQ3" i="44" s="1"/>
  <c r="L354" i="63"/>
  <c r="O354" i="63" s="1"/>
  <c r="AG584" i="44"/>
  <c r="L584" i="63"/>
  <c r="O584" i="63" s="1"/>
  <c r="AG599" i="44"/>
  <c r="L599" i="63"/>
  <c r="O599" i="63" s="1"/>
  <c r="AG535" i="44"/>
  <c r="L535" i="63"/>
  <c r="O535" i="63" s="1"/>
  <c r="AG554" i="44"/>
  <c r="L554" i="63"/>
  <c r="O554" i="63" s="1"/>
  <c r="AG581" i="44"/>
  <c r="L581" i="63"/>
  <c r="O581" i="63" s="1"/>
  <c r="AG369" i="44"/>
  <c r="L369" i="63"/>
  <c r="O369" i="63" s="1"/>
  <c r="AG380" i="44"/>
  <c r="L380" i="63"/>
  <c r="O380" i="63" s="1"/>
  <c r="AG385" i="44"/>
  <c r="L385" i="63"/>
  <c r="O385" i="63" s="1"/>
  <c r="AG529" i="44"/>
  <c r="L529" i="63"/>
  <c r="O529" i="63" s="1"/>
  <c r="O316" i="63"/>
  <c r="O323" i="63"/>
  <c r="O322" i="63"/>
  <c r="AG587" i="44"/>
  <c r="AG404" i="44"/>
  <c r="L404" i="63"/>
  <c r="O404" i="63" s="1"/>
  <c r="AG409" i="44"/>
  <c r="L409" i="63"/>
  <c r="O409" i="63" s="1"/>
  <c r="AG352" i="44"/>
  <c r="L352" i="63"/>
  <c r="O352" i="63" s="1"/>
  <c r="AG572" i="44"/>
  <c r="L572" i="63"/>
  <c r="O572" i="63" s="1"/>
  <c r="AG571" i="44"/>
  <c r="L571" i="63"/>
  <c r="O571" i="63" s="1"/>
  <c r="AG574" i="44"/>
  <c r="L574" i="63"/>
  <c r="O574" i="63" s="1"/>
  <c r="AG597" i="44"/>
  <c r="L597" i="63"/>
  <c r="O597" i="63" s="1"/>
  <c r="AG410" i="44"/>
  <c r="L410" i="63"/>
  <c r="O410" i="63" s="1"/>
  <c r="AG401" i="44"/>
  <c r="L401" i="63"/>
  <c r="O401" i="63" s="1"/>
  <c r="AG596" i="44"/>
  <c r="L596" i="63"/>
  <c r="O596" i="63" s="1"/>
  <c r="AG532" i="44"/>
  <c r="L532" i="63"/>
  <c r="O532" i="63" s="1"/>
  <c r="AG547" i="44"/>
  <c r="L547" i="63"/>
  <c r="O547" i="63" s="1"/>
  <c r="AG566" i="44"/>
  <c r="L566" i="63"/>
  <c r="O566" i="63" s="1"/>
  <c r="AG605" i="44"/>
  <c r="L617" i="63"/>
  <c r="O617" i="63" s="1"/>
  <c r="L613" i="63"/>
  <c r="O613" i="63" s="1"/>
  <c r="L609" i="63"/>
  <c r="O609" i="63" s="1"/>
  <c r="L615" i="63"/>
  <c r="O615" i="63" s="1"/>
  <c r="L612" i="63"/>
  <c r="O612" i="63" s="1"/>
  <c r="L607" i="63"/>
  <c r="O607" i="63" s="1"/>
  <c r="L610" i="63"/>
  <c r="O610" i="63" s="1"/>
  <c r="L616" i="63"/>
  <c r="O616" i="63" s="1"/>
  <c r="L611" i="63"/>
  <c r="O611" i="63" s="1"/>
  <c r="L608" i="63"/>
  <c r="O608" i="63" s="1"/>
  <c r="L614" i="63"/>
  <c r="O614" i="63" s="1"/>
  <c r="L606" i="63"/>
  <c r="O606" i="63" s="1"/>
  <c r="L605" i="63"/>
  <c r="O605" i="63" s="1"/>
  <c r="AG365" i="44"/>
  <c r="L365" i="63"/>
  <c r="O365" i="63" s="1"/>
  <c r="AG376" i="44"/>
  <c r="L376" i="63"/>
  <c r="O376" i="63" s="1"/>
  <c r="AG399" i="44"/>
  <c r="L399" i="63"/>
  <c r="O399" i="63" s="1"/>
  <c r="AG388" i="44"/>
  <c r="L388" i="63"/>
  <c r="O388" i="63" s="1"/>
  <c r="AG355" i="44"/>
  <c r="L355" i="63"/>
  <c r="O355" i="63" s="1"/>
  <c r="AG544" i="44"/>
  <c r="L544" i="63"/>
  <c r="O544" i="63" s="1"/>
  <c r="AG543" i="44"/>
  <c r="L543" i="63"/>
  <c r="O543" i="63" s="1"/>
  <c r="AG546" i="44"/>
  <c r="L546" i="63"/>
  <c r="O546" i="63" s="1"/>
  <c r="AG549" i="44"/>
  <c r="L549" i="63"/>
  <c r="O549" i="63" s="1"/>
  <c r="AG383" i="44"/>
  <c r="L383" i="63"/>
  <c r="O383" i="63" s="1"/>
  <c r="AG621" i="44"/>
  <c r="L621" i="63"/>
  <c r="O621" i="63" s="1"/>
  <c r="W12" i="63" s="1"/>
  <c r="O285" i="63"/>
  <c r="O325" i="63"/>
  <c r="AG411" i="44"/>
  <c r="AG4" i="44"/>
  <c r="AG386" i="44"/>
  <c r="K11" i="57"/>
  <c r="M11" i="57" s="1"/>
  <c r="AG387" i="44"/>
  <c r="K7" i="57"/>
  <c r="K13" i="57" s="1"/>
  <c r="AP4" i="44"/>
  <c r="AQ4" i="44" s="1"/>
  <c r="H14" i="56"/>
  <c r="H15" i="56"/>
  <c r="S53" i="31"/>
  <c r="S5" i="54"/>
  <c r="S57" i="54" s="1"/>
  <c r="AB53" i="30"/>
  <c r="C14" i="56"/>
  <c r="C15" i="56"/>
  <c r="K9" i="56"/>
  <c r="K11" i="56"/>
  <c r="K7" i="56"/>
  <c r="K13" i="56" s="1"/>
  <c r="M9" i="57"/>
  <c r="K14" i="57"/>
  <c r="K15" i="57"/>
  <c r="Y45" i="34"/>
  <c r="AB5" i="34"/>
  <c r="AB45" i="34" s="1"/>
  <c r="Y45" i="35"/>
  <c r="AB5" i="35"/>
  <c r="M7" i="57" l="1"/>
  <c r="M13" i="57" s="1"/>
  <c r="G10" i="65"/>
  <c r="G5" i="65"/>
  <c r="AC12" i="63"/>
  <c r="T12" i="63"/>
  <c r="Z12" i="63" s="1"/>
  <c r="AP5" i="44"/>
  <c r="AQ5" i="44" s="1"/>
  <c r="AC9" i="63"/>
  <c r="AC11" i="63"/>
  <c r="W11" i="63"/>
  <c r="AP6" i="44"/>
  <c r="AQ6" i="44" s="1"/>
  <c r="T9" i="63"/>
  <c r="T11" i="63"/>
  <c r="T10" i="63"/>
  <c r="O479" i="63"/>
  <c r="W10" i="63" s="1"/>
  <c r="W9" i="63"/>
  <c r="K14" i="56"/>
  <c r="K15" i="56"/>
  <c r="I11" i="56"/>
  <c r="I7" i="56"/>
  <c r="I13" i="56" s="1"/>
  <c r="I9" i="56"/>
  <c r="M15" i="57"/>
  <c r="M14" i="57"/>
  <c r="G13" i="49"/>
  <c r="I13" i="49" s="1"/>
  <c r="AJ5" i="51"/>
  <c r="G8" i="49"/>
  <c r="I8" i="49" s="1"/>
  <c r="AA348" i="44"/>
  <c r="AA344" i="44"/>
  <c r="AG344" i="44" s="1"/>
  <c r="AA340" i="44"/>
  <c r="AG340" i="44" s="1"/>
  <c r="AA312" i="44"/>
  <c r="AG312" i="44" s="1"/>
  <c r="AA308" i="44"/>
  <c r="AG308" i="44" s="1"/>
  <c r="AA304" i="44"/>
  <c r="AG304" i="44" s="1"/>
  <c r="AA168" i="45"/>
  <c r="AA164" i="45"/>
  <c r="AA160" i="45"/>
  <c r="AA131" i="45"/>
  <c r="AA127" i="45"/>
  <c r="AA123" i="45"/>
  <c r="AA24" i="45"/>
  <c r="AA24" i="44"/>
  <c r="O24" i="63" s="1"/>
  <c r="AA17" i="45"/>
  <c r="AA17" i="44"/>
  <c r="O17" i="63" s="1"/>
  <c r="AA130" i="45"/>
  <c r="AA126" i="45"/>
  <c r="AA122" i="45"/>
  <c r="AA23" i="45"/>
  <c r="AA23" i="44"/>
  <c r="O23" i="63" s="1"/>
  <c r="AA22" i="45"/>
  <c r="AA22" i="44"/>
  <c r="O22" i="63" s="1"/>
  <c r="AA21" i="45"/>
  <c r="AA21" i="44"/>
  <c r="O21" i="63" s="1"/>
  <c r="AA16" i="45"/>
  <c r="AA16" i="44"/>
  <c r="O16" i="63" s="1"/>
  <c r="AA349" i="44"/>
  <c r="AG349" i="44" s="1"/>
  <c r="AA345" i="44"/>
  <c r="AG345" i="44" s="1"/>
  <c r="AA341" i="44"/>
  <c r="AG341" i="44" s="1"/>
  <c r="AA313" i="44"/>
  <c r="AG313" i="44" s="1"/>
  <c r="AA309" i="44"/>
  <c r="AG309" i="44" s="1"/>
  <c r="AA305" i="44"/>
  <c r="AG305" i="44" s="1"/>
  <c r="AA167" i="45"/>
  <c r="AA163" i="45"/>
  <c r="AA159" i="45"/>
  <c r="AA346" i="44"/>
  <c r="AG346" i="44" s="1"/>
  <c r="AA342" i="44"/>
  <c r="AG342" i="44" s="1"/>
  <c r="AA338" i="44"/>
  <c r="AG338" i="44" s="1"/>
  <c r="AA310" i="44"/>
  <c r="AG310" i="44" s="1"/>
  <c r="AA306" i="44"/>
  <c r="AG306" i="44" s="1"/>
  <c r="AA302" i="44"/>
  <c r="AG302" i="44" s="1"/>
  <c r="AA166" i="45"/>
  <c r="AA162" i="45"/>
  <c r="AA158" i="45"/>
  <c r="AA133" i="45"/>
  <c r="AA129" i="45"/>
  <c r="AA125" i="45"/>
  <c r="AA20" i="45"/>
  <c r="AA20" i="44"/>
  <c r="O20" i="63" s="1"/>
  <c r="AA15" i="45"/>
  <c r="AA15" i="44"/>
  <c r="O15" i="63" s="1"/>
  <c r="AA14" i="45"/>
  <c r="AA14" i="44"/>
  <c r="O14" i="63" s="1"/>
  <c r="AA347" i="44"/>
  <c r="AG347" i="44" s="1"/>
  <c r="AA343" i="44"/>
  <c r="AG343" i="44" s="1"/>
  <c r="AA339" i="44"/>
  <c r="AG339" i="44" s="1"/>
  <c r="AA311" i="44"/>
  <c r="AG311" i="44" s="1"/>
  <c r="AA307" i="44"/>
  <c r="AG307" i="44" s="1"/>
  <c r="AA303" i="44"/>
  <c r="AG303" i="44" s="1"/>
  <c r="AA169" i="45"/>
  <c r="AA165" i="45"/>
  <c r="AA161" i="45"/>
  <c r="AA132" i="45"/>
  <c r="AA128" i="45"/>
  <c r="AA124" i="45"/>
  <c r="AA25" i="45"/>
  <c r="AA25" i="44"/>
  <c r="O25" i="63" s="1"/>
  <c r="AA19" i="45"/>
  <c r="AA19" i="44"/>
  <c r="O19" i="63" s="1"/>
  <c r="AA18" i="45"/>
  <c r="AA18" i="44"/>
  <c r="O18" i="63" s="1"/>
  <c r="AA265" i="44"/>
  <c r="AA261" i="44"/>
  <c r="L261" i="63" s="1"/>
  <c r="O261" i="63" s="1"/>
  <c r="AA257" i="44"/>
  <c r="L257" i="63" s="1"/>
  <c r="O257" i="63" s="1"/>
  <c r="AA229" i="44"/>
  <c r="L229" i="63" s="1"/>
  <c r="O229" i="63" s="1"/>
  <c r="AA225" i="44"/>
  <c r="L225" i="63" s="1"/>
  <c r="O225" i="63" s="1"/>
  <c r="AA221" i="44"/>
  <c r="L221" i="63" s="1"/>
  <c r="O221" i="63" s="1"/>
  <c r="AA217" i="44"/>
  <c r="L217" i="63" s="1"/>
  <c r="O217" i="63" s="1"/>
  <c r="AA213" i="44"/>
  <c r="L213" i="63" s="1"/>
  <c r="O213" i="63" s="1"/>
  <c r="AA209" i="44"/>
  <c r="L209" i="63" s="1"/>
  <c r="O209" i="63" s="1"/>
  <c r="AA121" i="44"/>
  <c r="L121" i="63" s="1"/>
  <c r="O121" i="63" s="1"/>
  <c r="AA117" i="44"/>
  <c r="L117" i="63" s="1"/>
  <c r="O117" i="63" s="1"/>
  <c r="AA113" i="44"/>
  <c r="L113" i="63" s="1"/>
  <c r="O113" i="63" s="1"/>
  <c r="AA109" i="44"/>
  <c r="L109" i="63" s="1"/>
  <c r="O109" i="63" s="1"/>
  <c r="AA105" i="44"/>
  <c r="L105" i="63" s="1"/>
  <c r="O105" i="63" s="1"/>
  <c r="AA101" i="44"/>
  <c r="L101" i="63" s="1"/>
  <c r="O101" i="63" s="1"/>
  <c r="AA254" i="44"/>
  <c r="L254" i="63" s="1"/>
  <c r="O254" i="63" s="1"/>
  <c r="AA218" i="44"/>
  <c r="L218" i="63" s="1"/>
  <c r="O218" i="63" s="1"/>
  <c r="AA206" i="44"/>
  <c r="L206" i="63" s="1"/>
  <c r="O206" i="63" s="1"/>
  <c r="AA110" i="44"/>
  <c r="L110" i="63" s="1"/>
  <c r="O110" i="63" s="1"/>
  <c r="AA98" i="44"/>
  <c r="L98" i="63" s="1"/>
  <c r="O98" i="63" s="1"/>
  <c r="AG348" i="44"/>
  <c r="AA264" i="44"/>
  <c r="L264" i="63" s="1"/>
  <c r="O264" i="63" s="1"/>
  <c r="AA260" i="44"/>
  <c r="L260" i="63" s="1"/>
  <c r="O260" i="63" s="1"/>
  <c r="AA256" i="44"/>
  <c r="L256" i="63" s="1"/>
  <c r="O256" i="63" s="1"/>
  <c r="AA228" i="44"/>
  <c r="L228" i="63" s="1"/>
  <c r="O228" i="63" s="1"/>
  <c r="AA224" i="44"/>
  <c r="L224" i="63" s="1"/>
  <c r="O224" i="63" s="1"/>
  <c r="AA220" i="44"/>
  <c r="L220" i="63" s="1"/>
  <c r="O220" i="63" s="1"/>
  <c r="AA216" i="44"/>
  <c r="L216" i="63" s="1"/>
  <c r="O216" i="63" s="1"/>
  <c r="AA212" i="44"/>
  <c r="L212" i="63" s="1"/>
  <c r="O212" i="63" s="1"/>
  <c r="AA208" i="44"/>
  <c r="L208" i="63" s="1"/>
  <c r="O208" i="63" s="1"/>
  <c r="AA120" i="44"/>
  <c r="L120" i="63" s="1"/>
  <c r="O120" i="63" s="1"/>
  <c r="AA116" i="44"/>
  <c r="L116" i="63" s="1"/>
  <c r="O116" i="63" s="1"/>
  <c r="AA112" i="44"/>
  <c r="L112" i="63" s="1"/>
  <c r="O112" i="63" s="1"/>
  <c r="AA108" i="44"/>
  <c r="L108" i="63" s="1"/>
  <c r="O108" i="63" s="1"/>
  <c r="AA104" i="44"/>
  <c r="L104" i="63" s="1"/>
  <c r="O104" i="63" s="1"/>
  <c r="AA100" i="44"/>
  <c r="L100" i="63" s="1"/>
  <c r="O100" i="63" s="1"/>
  <c r="AA262" i="44"/>
  <c r="L262" i="63" s="1"/>
  <c r="O262" i="63" s="1"/>
  <c r="AA226" i="44"/>
  <c r="L226" i="63" s="1"/>
  <c r="O226" i="63" s="1"/>
  <c r="AA214" i="44"/>
  <c r="L214" i="63" s="1"/>
  <c r="O214" i="63" s="1"/>
  <c r="AA118" i="44"/>
  <c r="L118" i="63" s="1"/>
  <c r="O118" i="63" s="1"/>
  <c r="AA106" i="44"/>
  <c r="L106" i="63" s="1"/>
  <c r="O106" i="63" s="1"/>
  <c r="AA263" i="44"/>
  <c r="L263" i="63" s="1"/>
  <c r="O263" i="63" s="1"/>
  <c r="AA259" i="44"/>
  <c r="L259" i="63" s="1"/>
  <c r="O259" i="63" s="1"/>
  <c r="AA255" i="44"/>
  <c r="L255" i="63" s="1"/>
  <c r="O255" i="63" s="1"/>
  <c r="AA227" i="44"/>
  <c r="L227" i="63" s="1"/>
  <c r="O227" i="63" s="1"/>
  <c r="AA223" i="44"/>
  <c r="L223" i="63" s="1"/>
  <c r="O223" i="63" s="1"/>
  <c r="AA219" i="44"/>
  <c r="L219" i="63" s="1"/>
  <c r="O219" i="63" s="1"/>
  <c r="AA215" i="44"/>
  <c r="L215" i="63" s="1"/>
  <c r="O215" i="63" s="1"/>
  <c r="AA211" i="44"/>
  <c r="L211" i="63" s="1"/>
  <c r="O211" i="63" s="1"/>
  <c r="AA207" i="44"/>
  <c r="L207" i="63" s="1"/>
  <c r="O207" i="63" s="1"/>
  <c r="AA119" i="44"/>
  <c r="L119" i="63" s="1"/>
  <c r="O119" i="63" s="1"/>
  <c r="AA115" i="44"/>
  <c r="L115" i="63" s="1"/>
  <c r="O115" i="63" s="1"/>
  <c r="AA111" i="44"/>
  <c r="L111" i="63" s="1"/>
  <c r="O111" i="63" s="1"/>
  <c r="AA107" i="44"/>
  <c r="L107" i="63" s="1"/>
  <c r="O107" i="63" s="1"/>
  <c r="AA103" i="44"/>
  <c r="L103" i="63" s="1"/>
  <c r="O103" i="63" s="1"/>
  <c r="AA99" i="44"/>
  <c r="L99" i="63" s="1"/>
  <c r="O99" i="63" s="1"/>
  <c r="AA258" i="44"/>
  <c r="L258" i="63" s="1"/>
  <c r="O258" i="63" s="1"/>
  <c r="AA222" i="44"/>
  <c r="L222" i="63" s="1"/>
  <c r="O222" i="63" s="1"/>
  <c r="AA210" i="44"/>
  <c r="L210" i="63" s="1"/>
  <c r="O210" i="63" s="1"/>
  <c r="AA114" i="44"/>
  <c r="L114" i="63" s="1"/>
  <c r="O114" i="63" s="1"/>
  <c r="AA102" i="44"/>
  <c r="L102" i="63" s="1"/>
  <c r="O102" i="63" s="1"/>
  <c r="AB45" i="35"/>
  <c r="AH12" i="63" l="1"/>
  <c r="Z11" i="63"/>
  <c r="AH11" i="63" s="1"/>
  <c r="D18" i="49"/>
  <c r="Z9" i="63"/>
  <c r="AH9" i="63" s="1"/>
  <c r="L349" i="63"/>
  <c r="O349" i="63" s="1"/>
  <c r="L345" i="63"/>
  <c r="O345" i="63" s="1"/>
  <c r="L341" i="63"/>
  <c r="O341" i="63" s="1"/>
  <c r="L313" i="63"/>
  <c r="O313" i="63" s="1"/>
  <c r="L309" i="63"/>
  <c r="O309" i="63" s="1"/>
  <c r="L305" i="63"/>
  <c r="O305" i="63" s="1"/>
  <c r="L348" i="63"/>
  <c r="O348" i="63" s="1"/>
  <c r="L343" i="63"/>
  <c r="O343" i="63" s="1"/>
  <c r="L340" i="63"/>
  <c r="O340" i="63" s="1"/>
  <c r="L306" i="63"/>
  <c r="O306" i="63" s="1"/>
  <c r="L346" i="63"/>
  <c r="O346" i="63" s="1"/>
  <c r="L338" i="63"/>
  <c r="O338" i="63" s="1"/>
  <c r="L312" i="63"/>
  <c r="O312" i="63" s="1"/>
  <c r="L307" i="63"/>
  <c r="O307" i="63" s="1"/>
  <c r="L304" i="63"/>
  <c r="O304" i="63" s="1"/>
  <c r="L347" i="63"/>
  <c r="O347" i="63" s="1"/>
  <c r="L344" i="63"/>
  <c r="O344" i="63" s="1"/>
  <c r="L339" i="63"/>
  <c r="O339" i="63" s="1"/>
  <c r="L310" i="63"/>
  <c r="O310" i="63" s="1"/>
  <c r="L302" i="63"/>
  <c r="O302" i="63" s="1"/>
  <c r="L342" i="63"/>
  <c r="O342" i="63" s="1"/>
  <c r="L311" i="63"/>
  <c r="O311" i="63" s="1"/>
  <c r="L303" i="63"/>
  <c r="O303" i="63" s="1"/>
  <c r="L308" i="63"/>
  <c r="O308" i="63" s="1"/>
  <c r="L265" i="63"/>
  <c r="O265" i="63" s="1"/>
  <c r="AP8" i="44"/>
  <c r="AQ8" i="44" s="1"/>
  <c r="Z10" i="63"/>
  <c r="AH10" i="63" s="1"/>
  <c r="AG20" i="44"/>
  <c r="AG23" i="44"/>
  <c r="I14" i="56"/>
  <c r="I15" i="56"/>
  <c r="AG18" i="44"/>
  <c r="AG16" i="44"/>
  <c r="AG25" i="44"/>
  <c r="AG22" i="44"/>
  <c r="AG15" i="44"/>
  <c r="AG17" i="44"/>
  <c r="AG14" i="44"/>
  <c r="AG19" i="44"/>
  <c r="AG24" i="44"/>
  <c r="AG210" i="44"/>
  <c r="AG99" i="44"/>
  <c r="AG115" i="44"/>
  <c r="AG215" i="44"/>
  <c r="AG255" i="44"/>
  <c r="AG118" i="44"/>
  <c r="AG112" i="44"/>
  <c r="AG212" i="44"/>
  <c r="AG228" i="44"/>
  <c r="AG206" i="44"/>
  <c r="AG101" i="44"/>
  <c r="AG117" i="44"/>
  <c r="AG217" i="44"/>
  <c r="AG257" i="44"/>
  <c r="AG103" i="44"/>
  <c r="AG219" i="44"/>
  <c r="AG214" i="44"/>
  <c r="AG100" i="44"/>
  <c r="AG116" i="44"/>
  <c r="AG216" i="44"/>
  <c r="AG256" i="44"/>
  <c r="AG218" i="44"/>
  <c r="AG105" i="44"/>
  <c r="AG121" i="44"/>
  <c r="AG221" i="44"/>
  <c r="AG261" i="44"/>
  <c r="AG102" i="44"/>
  <c r="AG258" i="44"/>
  <c r="AG107" i="44"/>
  <c r="AG207" i="44"/>
  <c r="AG223" i="44"/>
  <c r="AG263" i="44"/>
  <c r="AG226" i="44"/>
  <c r="AG104" i="44"/>
  <c r="AG120" i="44"/>
  <c r="AG220" i="44"/>
  <c r="AG260" i="44"/>
  <c r="AG98" i="44"/>
  <c r="AG254" i="44"/>
  <c r="AG21" i="44"/>
  <c r="AG109" i="44"/>
  <c r="AG209" i="44"/>
  <c r="AG225" i="44"/>
  <c r="AG265" i="44"/>
  <c r="AG222" i="44"/>
  <c r="AG119" i="44"/>
  <c r="AG259" i="44"/>
  <c r="AG114" i="44"/>
  <c r="AG111" i="44"/>
  <c r="AG211" i="44"/>
  <c r="AG227" i="44"/>
  <c r="AG106" i="44"/>
  <c r="AG262" i="44"/>
  <c r="AG108" i="44"/>
  <c r="AG208" i="44"/>
  <c r="AG224" i="44"/>
  <c r="AG264" i="44"/>
  <c r="AG110" i="44"/>
  <c r="AG113" i="44"/>
  <c r="AG213" i="44"/>
  <c r="AG229" i="44"/>
  <c r="AC7" i="63" l="1"/>
  <c r="AH7" i="63" s="1"/>
  <c r="AP2" i="44"/>
  <c r="AP7" i="44" s="1"/>
  <c r="AQ2" i="44" l="1"/>
  <c r="AQ7" i="44"/>
  <c r="AP9" i="44"/>
  <c r="AQ9" i="44" s="1"/>
  <c r="M2" i="63" l="1"/>
  <c r="N2" i="63"/>
  <c r="M3" i="63"/>
  <c r="N3" i="63"/>
  <c r="M4" i="63"/>
  <c r="N4" i="63"/>
  <c r="M5" i="63"/>
  <c r="N5" i="63"/>
  <c r="M6" i="63"/>
  <c r="N6" i="63"/>
  <c r="M7" i="63"/>
  <c r="N7" i="63"/>
  <c r="U7" i="63"/>
  <c r="V7" i="63"/>
  <c r="X7" i="63"/>
  <c r="Y7" i="63"/>
  <c r="AA7" i="63"/>
  <c r="AB7" i="63"/>
  <c r="AD7" i="63"/>
  <c r="AE7" i="63"/>
  <c r="AF7" i="63"/>
  <c r="AG7" i="63"/>
  <c r="AI7" i="63"/>
  <c r="AJ7" i="63"/>
  <c r="M8" i="63"/>
  <c r="N8" i="63"/>
  <c r="M9" i="63"/>
  <c r="N9" i="63"/>
  <c r="S9" i="63"/>
  <c r="V9" i="63"/>
  <c r="Y9" i="63"/>
  <c r="AB9" i="63"/>
  <c r="AE9" i="63"/>
  <c r="AG9" i="63"/>
  <c r="AJ9" i="63"/>
  <c r="M10" i="63"/>
  <c r="N10" i="63"/>
  <c r="S10" i="63"/>
  <c r="V10" i="63"/>
  <c r="Y10" i="63"/>
  <c r="AB10" i="63"/>
  <c r="AE10" i="63"/>
  <c r="AG10" i="63"/>
  <c r="AJ10" i="63"/>
  <c r="M11" i="63"/>
  <c r="N11" i="63"/>
  <c r="S11" i="63"/>
  <c r="V11" i="63"/>
  <c r="Y11" i="63"/>
  <c r="AB11" i="63"/>
  <c r="AE11" i="63"/>
  <c r="AG11" i="63"/>
  <c r="AJ11" i="63"/>
  <c r="M12" i="63"/>
  <c r="N12" i="63"/>
  <c r="S12" i="63"/>
  <c r="V12" i="63"/>
  <c r="Y12" i="63"/>
  <c r="AB12" i="63"/>
  <c r="AG12" i="63"/>
  <c r="AJ12" i="63"/>
  <c r="M13" i="63"/>
  <c r="N13" i="63"/>
  <c r="M14" i="63"/>
  <c r="N14" i="63"/>
  <c r="M15" i="63"/>
  <c r="N15" i="63"/>
  <c r="M16" i="63"/>
  <c r="N16" i="63"/>
  <c r="M17" i="63"/>
  <c r="N17" i="63"/>
  <c r="M18" i="63"/>
  <c r="N18" i="63"/>
  <c r="M19" i="63"/>
  <c r="N19" i="63"/>
  <c r="M20" i="63"/>
  <c r="N20" i="63"/>
  <c r="M21" i="63"/>
  <c r="N21" i="63"/>
  <c r="M22" i="63"/>
  <c r="N22" i="63"/>
  <c r="M23" i="63"/>
  <c r="N23" i="63"/>
  <c r="M24" i="63"/>
  <c r="N24" i="63"/>
  <c r="M25" i="63"/>
  <c r="N25" i="63"/>
  <c r="J26" i="63"/>
  <c r="M26" i="63"/>
  <c r="J27" i="63"/>
  <c r="M27" i="63"/>
  <c r="J28" i="63"/>
  <c r="M28" i="63"/>
  <c r="J29" i="63"/>
  <c r="M29" i="63"/>
  <c r="J30" i="63"/>
  <c r="M30" i="63"/>
  <c r="J31" i="63"/>
  <c r="M31" i="63"/>
  <c r="J32" i="63"/>
  <c r="M32" i="63"/>
  <c r="J33" i="63"/>
  <c r="M33" i="63"/>
  <c r="J34" i="63"/>
  <c r="M34" i="63"/>
  <c r="J35" i="63"/>
  <c r="M35" i="63"/>
  <c r="J36" i="63"/>
  <c r="M36" i="63"/>
  <c r="J37" i="63"/>
  <c r="M37" i="63"/>
  <c r="J38" i="63"/>
  <c r="M38" i="63"/>
  <c r="J39" i="63"/>
  <c r="M39" i="63"/>
  <c r="J40" i="63"/>
  <c r="M40" i="63"/>
  <c r="J41" i="63"/>
  <c r="M41" i="63"/>
  <c r="J42" i="63"/>
  <c r="M42" i="63"/>
  <c r="J43" i="63"/>
  <c r="M43" i="63"/>
  <c r="J44" i="63"/>
  <c r="M44" i="63"/>
  <c r="J45" i="63"/>
  <c r="M45" i="63"/>
  <c r="J46" i="63"/>
  <c r="M46" i="63"/>
  <c r="J47" i="63"/>
  <c r="M47" i="63"/>
  <c r="J48" i="63"/>
  <c r="M48" i="63"/>
  <c r="J49" i="63"/>
  <c r="M49" i="63"/>
  <c r="K50" i="63"/>
  <c r="N50" i="63"/>
  <c r="K51" i="63"/>
  <c r="N51" i="63"/>
  <c r="K52" i="63"/>
  <c r="N52" i="63"/>
  <c r="K53" i="63"/>
  <c r="N53" i="63"/>
  <c r="K54" i="63"/>
  <c r="N54" i="63"/>
  <c r="K55" i="63"/>
  <c r="N55" i="63"/>
  <c r="K56" i="63"/>
  <c r="N56" i="63"/>
  <c r="K57" i="63"/>
  <c r="N57" i="63"/>
  <c r="K58" i="63"/>
  <c r="N58" i="63"/>
  <c r="K59" i="63"/>
  <c r="N59" i="63"/>
  <c r="K60" i="63"/>
  <c r="N60" i="63"/>
  <c r="K61" i="63"/>
  <c r="N61" i="63"/>
  <c r="K62" i="63"/>
  <c r="N62" i="63"/>
  <c r="K63" i="63"/>
  <c r="N63" i="63"/>
  <c r="K64" i="63"/>
  <c r="N64" i="63"/>
  <c r="K65" i="63"/>
  <c r="N65" i="63"/>
  <c r="K66" i="63"/>
  <c r="N66" i="63"/>
  <c r="K67" i="63"/>
  <c r="N67" i="63"/>
  <c r="K68" i="63"/>
  <c r="N68" i="63"/>
  <c r="K69" i="63"/>
  <c r="N69" i="63"/>
  <c r="K70" i="63"/>
  <c r="N70" i="63"/>
  <c r="K71" i="63"/>
  <c r="N71" i="63"/>
  <c r="K72" i="63"/>
  <c r="N72" i="63"/>
  <c r="K73" i="63"/>
  <c r="N73" i="63"/>
  <c r="J74" i="63"/>
  <c r="M74" i="63"/>
  <c r="J75" i="63"/>
  <c r="M75" i="63"/>
  <c r="J76" i="63"/>
  <c r="M76" i="63"/>
  <c r="J77" i="63"/>
  <c r="M77" i="63"/>
  <c r="J78" i="63"/>
  <c r="M78" i="63"/>
  <c r="J79" i="63"/>
  <c r="M79" i="63"/>
  <c r="J80" i="63"/>
  <c r="M80" i="63"/>
  <c r="J81" i="63"/>
  <c r="M81" i="63"/>
  <c r="J82" i="63"/>
  <c r="M82" i="63"/>
  <c r="J83" i="63"/>
  <c r="M83" i="63"/>
  <c r="J84" i="63"/>
  <c r="M84" i="63"/>
  <c r="J85" i="63"/>
  <c r="M85" i="63"/>
  <c r="J86" i="63"/>
  <c r="M86" i="63"/>
  <c r="J87" i="63"/>
  <c r="M87" i="63"/>
  <c r="J88" i="63"/>
  <c r="M88" i="63"/>
  <c r="J89" i="63"/>
  <c r="M89" i="63"/>
  <c r="J90" i="63"/>
  <c r="M90" i="63"/>
  <c r="J91" i="63"/>
  <c r="M91" i="63"/>
  <c r="J92" i="63"/>
  <c r="M92" i="63"/>
  <c r="J93" i="63"/>
  <c r="M93" i="63"/>
  <c r="J94" i="63"/>
  <c r="M94" i="63"/>
  <c r="J95" i="63"/>
  <c r="M95" i="63"/>
  <c r="J96" i="63"/>
  <c r="M96" i="63"/>
  <c r="J97" i="63"/>
  <c r="M97" i="63"/>
  <c r="K98" i="63"/>
  <c r="N98" i="63"/>
  <c r="K99" i="63"/>
  <c r="N99" i="63"/>
  <c r="K100" i="63"/>
  <c r="N100" i="63"/>
  <c r="K101" i="63"/>
  <c r="N101" i="63"/>
  <c r="K102" i="63"/>
  <c r="N102" i="63"/>
  <c r="K103" i="63"/>
  <c r="N103" i="63"/>
  <c r="K104" i="63"/>
  <c r="N104" i="63"/>
  <c r="K105" i="63"/>
  <c r="N105" i="63"/>
  <c r="K106" i="63"/>
  <c r="N106" i="63"/>
  <c r="K107" i="63"/>
  <c r="N107" i="63"/>
  <c r="K108" i="63"/>
  <c r="N108" i="63"/>
  <c r="K109" i="63"/>
  <c r="N109" i="63"/>
  <c r="K110" i="63"/>
  <c r="N110" i="63"/>
  <c r="K111" i="63"/>
  <c r="N111" i="63"/>
  <c r="K112" i="63"/>
  <c r="N112" i="63"/>
  <c r="K113" i="63"/>
  <c r="N113" i="63"/>
  <c r="K114" i="63"/>
  <c r="N114" i="63"/>
  <c r="K115" i="63"/>
  <c r="N115" i="63"/>
  <c r="K116" i="63"/>
  <c r="N116" i="63"/>
  <c r="K117" i="63"/>
  <c r="N117" i="63"/>
  <c r="K118" i="63"/>
  <c r="N118" i="63"/>
  <c r="K119" i="63"/>
  <c r="N119" i="63"/>
  <c r="K120" i="63"/>
  <c r="N120" i="63"/>
  <c r="K121" i="63"/>
  <c r="N121" i="63"/>
  <c r="K122" i="63"/>
  <c r="N122" i="63"/>
  <c r="K123" i="63"/>
  <c r="N123" i="63"/>
  <c r="K124" i="63"/>
  <c r="N124" i="63"/>
  <c r="K125" i="63"/>
  <c r="N125" i="63"/>
  <c r="K126" i="63"/>
  <c r="N126" i="63"/>
  <c r="K127" i="63"/>
  <c r="N127" i="63"/>
  <c r="K128" i="63"/>
  <c r="N128" i="63"/>
  <c r="K129" i="63"/>
  <c r="N129" i="63"/>
  <c r="K130" i="63"/>
  <c r="N130" i="63"/>
  <c r="K131" i="63"/>
  <c r="N131" i="63"/>
  <c r="K132" i="63"/>
  <c r="N132" i="63"/>
  <c r="K133" i="63"/>
  <c r="N133" i="63"/>
  <c r="J134" i="63"/>
  <c r="M134" i="63"/>
  <c r="J135" i="63"/>
  <c r="M135" i="63"/>
  <c r="J136" i="63"/>
  <c r="M136" i="63"/>
  <c r="J137" i="63"/>
  <c r="M137" i="63"/>
  <c r="J138" i="63"/>
  <c r="M138" i="63"/>
  <c r="J139" i="63"/>
  <c r="M139" i="63"/>
  <c r="J140" i="63"/>
  <c r="M140" i="63"/>
  <c r="J141" i="63"/>
  <c r="M141" i="63"/>
  <c r="J142" i="63"/>
  <c r="M142" i="63"/>
  <c r="J143" i="63"/>
  <c r="M143" i="63"/>
  <c r="J144" i="63"/>
  <c r="M144" i="63"/>
  <c r="J145" i="63"/>
  <c r="M145" i="63"/>
  <c r="K146" i="63"/>
  <c r="N146" i="63"/>
  <c r="K147" i="63"/>
  <c r="N147" i="63"/>
  <c r="K148" i="63"/>
  <c r="N148" i="63"/>
  <c r="K149" i="63"/>
  <c r="N149" i="63"/>
  <c r="K150" i="63"/>
  <c r="N150" i="63"/>
  <c r="K151" i="63"/>
  <c r="N151" i="63"/>
  <c r="K152" i="63"/>
  <c r="N152" i="63"/>
  <c r="K153" i="63"/>
  <c r="N153" i="63"/>
  <c r="K154" i="63"/>
  <c r="N154" i="63"/>
  <c r="K155" i="63"/>
  <c r="N155" i="63"/>
  <c r="K156" i="63"/>
  <c r="N156" i="63"/>
  <c r="K157" i="63"/>
  <c r="N157" i="63"/>
  <c r="K158" i="63"/>
  <c r="N158" i="63"/>
  <c r="K159" i="63"/>
  <c r="N159" i="63"/>
  <c r="K160" i="63"/>
  <c r="N160" i="63"/>
  <c r="K161" i="63"/>
  <c r="N161" i="63"/>
  <c r="K162" i="63"/>
  <c r="N162" i="63"/>
  <c r="K163" i="63"/>
  <c r="N163" i="63"/>
  <c r="K164" i="63"/>
  <c r="N164" i="63"/>
  <c r="K165" i="63"/>
  <c r="N165" i="63"/>
  <c r="K166" i="63"/>
  <c r="N166" i="63"/>
  <c r="K167" i="63"/>
  <c r="N167" i="63"/>
  <c r="K168" i="63"/>
  <c r="N168" i="63"/>
  <c r="K169" i="63"/>
  <c r="N169" i="63"/>
  <c r="K170" i="63"/>
  <c r="N170" i="63"/>
  <c r="K171" i="63"/>
  <c r="N171" i="63"/>
  <c r="K172" i="63"/>
  <c r="N172" i="63"/>
  <c r="K173" i="63"/>
  <c r="N173" i="63"/>
  <c r="K174" i="63"/>
  <c r="N174" i="63"/>
  <c r="K175" i="63"/>
  <c r="N175" i="63"/>
  <c r="K176" i="63"/>
  <c r="N176" i="63"/>
  <c r="K177" i="63"/>
  <c r="N177" i="63"/>
  <c r="K178" i="63"/>
  <c r="N178" i="63"/>
  <c r="K179" i="63"/>
  <c r="N179" i="63"/>
  <c r="K180" i="63"/>
  <c r="N180" i="63"/>
  <c r="K181" i="63"/>
  <c r="N181" i="63"/>
  <c r="J182" i="63"/>
  <c r="M182" i="63"/>
  <c r="J183" i="63"/>
  <c r="M183" i="63"/>
  <c r="J184" i="63"/>
  <c r="M184" i="63"/>
  <c r="J185" i="63"/>
  <c r="M185" i="63"/>
  <c r="J186" i="63"/>
  <c r="M186" i="63"/>
  <c r="J187" i="63"/>
  <c r="M187" i="63"/>
  <c r="J188" i="63"/>
  <c r="M188" i="63"/>
  <c r="J189" i="63"/>
  <c r="M189" i="63"/>
  <c r="J190" i="63"/>
  <c r="M190" i="63"/>
  <c r="J191" i="63"/>
  <c r="M191" i="63"/>
  <c r="J192" i="63"/>
  <c r="M192" i="63"/>
  <c r="J193" i="63"/>
  <c r="M193" i="63"/>
  <c r="J194" i="63"/>
  <c r="M194" i="63"/>
  <c r="J195" i="63"/>
  <c r="M195" i="63"/>
  <c r="J196" i="63"/>
  <c r="M196" i="63"/>
  <c r="J197" i="63"/>
  <c r="M197" i="63"/>
  <c r="J198" i="63"/>
  <c r="M198" i="63"/>
  <c r="J199" i="63"/>
  <c r="M199" i="63"/>
  <c r="J200" i="63"/>
  <c r="M200" i="63"/>
  <c r="J201" i="63"/>
  <c r="M201" i="63"/>
  <c r="J202" i="63"/>
  <c r="M202" i="63"/>
  <c r="J203" i="63"/>
  <c r="M203" i="63"/>
  <c r="J204" i="63"/>
  <c r="M204" i="63"/>
  <c r="J205" i="63"/>
  <c r="M205" i="63"/>
  <c r="K206" i="63"/>
  <c r="N206" i="63"/>
  <c r="K207" i="63"/>
  <c r="N207" i="63"/>
  <c r="K208" i="63"/>
  <c r="N208" i="63"/>
  <c r="K209" i="63"/>
  <c r="N209" i="63"/>
  <c r="K210" i="63"/>
  <c r="N210" i="63"/>
  <c r="K211" i="63"/>
  <c r="N211" i="63"/>
  <c r="K212" i="63"/>
  <c r="N212" i="63"/>
  <c r="K213" i="63"/>
  <c r="N213" i="63"/>
  <c r="K214" i="63"/>
  <c r="N214" i="63"/>
  <c r="K215" i="63"/>
  <c r="N215" i="63"/>
  <c r="K216" i="63"/>
  <c r="N216" i="63"/>
  <c r="K217" i="63"/>
  <c r="N217" i="63"/>
  <c r="K218" i="63"/>
  <c r="N218" i="63"/>
  <c r="K219" i="63"/>
  <c r="N219" i="63"/>
  <c r="K220" i="63"/>
  <c r="N220" i="63"/>
  <c r="K221" i="63"/>
  <c r="N221" i="63"/>
  <c r="K222" i="63"/>
  <c r="N222" i="63"/>
  <c r="K223" i="63"/>
  <c r="N223" i="63"/>
  <c r="K224" i="63"/>
  <c r="N224" i="63"/>
  <c r="K225" i="63"/>
  <c r="N225" i="63"/>
  <c r="K226" i="63"/>
  <c r="N226" i="63"/>
  <c r="K227" i="63"/>
  <c r="N227" i="63"/>
  <c r="K228" i="63"/>
  <c r="N228" i="63"/>
  <c r="K229" i="63"/>
  <c r="N229" i="63"/>
  <c r="K230" i="63"/>
  <c r="N230" i="63"/>
  <c r="K231" i="63"/>
  <c r="N231" i="63"/>
  <c r="K232" i="63"/>
  <c r="N232" i="63"/>
  <c r="K233" i="63"/>
  <c r="N233" i="63"/>
  <c r="K234" i="63"/>
  <c r="N234" i="63"/>
  <c r="K235" i="63"/>
  <c r="N235" i="63"/>
  <c r="K236" i="63"/>
  <c r="N236" i="63"/>
  <c r="K237" i="63"/>
  <c r="N237" i="63"/>
  <c r="K238" i="63"/>
  <c r="N238" i="63"/>
  <c r="K239" i="63"/>
  <c r="N239" i="63"/>
  <c r="K240" i="63"/>
  <c r="N240" i="63"/>
  <c r="K241" i="63"/>
  <c r="N241" i="63"/>
  <c r="J242" i="63"/>
  <c r="M242" i="63"/>
  <c r="J243" i="63"/>
  <c r="M243" i="63"/>
  <c r="J244" i="63"/>
  <c r="M244" i="63"/>
  <c r="J245" i="63"/>
  <c r="M245" i="63"/>
  <c r="J246" i="63"/>
  <c r="M246" i="63"/>
  <c r="J247" i="63"/>
  <c r="M247" i="63"/>
  <c r="J248" i="63"/>
  <c r="M248" i="63"/>
  <c r="J249" i="63"/>
  <c r="M249" i="63"/>
  <c r="J250" i="63"/>
  <c r="M250" i="63"/>
  <c r="J251" i="63"/>
  <c r="M251" i="63"/>
  <c r="J252" i="63"/>
  <c r="M252" i="63"/>
  <c r="J253" i="63"/>
  <c r="M253" i="63"/>
  <c r="K254" i="63"/>
  <c r="N254" i="63"/>
  <c r="K255" i="63"/>
  <c r="N255" i="63"/>
  <c r="K256" i="63"/>
  <c r="N256" i="63"/>
  <c r="K257" i="63"/>
  <c r="N257" i="63"/>
  <c r="K258" i="63"/>
  <c r="N258" i="63"/>
  <c r="K259" i="63"/>
  <c r="N259" i="63"/>
  <c r="K260" i="63"/>
  <c r="N260" i="63"/>
  <c r="K261" i="63"/>
  <c r="N261" i="63"/>
  <c r="K262" i="63"/>
  <c r="N262" i="63"/>
  <c r="K263" i="63"/>
  <c r="N263" i="63"/>
  <c r="K264" i="63"/>
  <c r="N264" i="63"/>
  <c r="K265" i="63"/>
  <c r="N265" i="63"/>
  <c r="K266" i="63"/>
  <c r="N266" i="63"/>
  <c r="K267" i="63"/>
  <c r="N267" i="63"/>
  <c r="K268" i="63"/>
  <c r="N268" i="63"/>
  <c r="K269" i="63"/>
  <c r="N269" i="63"/>
  <c r="K270" i="63"/>
  <c r="N270" i="63"/>
  <c r="K271" i="63"/>
  <c r="N271" i="63"/>
  <c r="K272" i="63"/>
  <c r="N272" i="63"/>
  <c r="K273" i="63"/>
  <c r="N273" i="63"/>
  <c r="K274" i="63"/>
  <c r="N274" i="63"/>
  <c r="K275" i="63"/>
  <c r="N275" i="63"/>
  <c r="K276" i="63"/>
  <c r="N276" i="63"/>
  <c r="K277" i="63"/>
  <c r="N277" i="63"/>
  <c r="K278" i="63"/>
  <c r="N278" i="63"/>
  <c r="K279" i="63"/>
  <c r="N279" i="63"/>
  <c r="K280" i="63"/>
  <c r="N280" i="63"/>
  <c r="K281" i="63"/>
  <c r="N281" i="63"/>
  <c r="K282" i="63"/>
  <c r="N282" i="63"/>
  <c r="K283" i="63"/>
  <c r="N283" i="63"/>
  <c r="K284" i="63"/>
  <c r="N284" i="63"/>
  <c r="K285" i="63"/>
  <c r="N285" i="63"/>
  <c r="K286" i="63"/>
  <c r="N286" i="63"/>
  <c r="K287" i="63"/>
  <c r="N287" i="63"/>
  <c r="K288" i="63"/>
  <c r="N288" i="63"/>
  <c r="K289" i="63"/>
  <c r="N289" i="63"/>
  <c r="J290" i="63"/>
  <c r="M290" i="63"/>
  <c r="J291" i="63"/>
  <c r="M291" i="63"/>
  <c r="J292" i="63"/>
  <c r="M292" i="63"/>
  <c r="J293" i="63"/>
  <c r="M293" i="63"/>
  <c r="J294" i="63"/>
  <c r="M294" i="63"/>
  <c r="J295" i="63"/>
  <c r="M295" i="63"/>
  <c r="J296" i="63"/>
  <c r="M296" i="63"/>
  <c r="J297" i="63"/>
  <c r="M297" i="63"/>
  <c r="J298" i="63"/>
  <c r="M298" i="63"/>
  <c r="J299" i="63"/>
  <c r="M299" i="63"/>
  <c r="J300" i="63"/>
  <c r="M300" i="63"/>
  <c r="J301" i="63"/>
  <c r="M301" i="63"/>
  <c r="K302" i="63"/>
  <c r="N302" i="63"/>
  <c r="K303" i="63"/>
  <c r="N303" i="63"/>
  <c r="K304" i="63"/>
  <c r="N304" i="63"/>
  <c r="K305" i="63"/>
  <c r="N305" i="63"/>
  <c r="K306" i="63"/>
  <c r="N306" i="63"/>
  <c r="K307" i="63"/>
  <c r="N307" i="63"/>
  <c r="K308" i="63"/>
  <c r="N308" i="63"/>
  <c r="K309" i="63"/>
  <c r="N309" i="63"/>
  <c r="K310" i="63"/>
  <c r="N310" i="63"/>
  <c r="K311" i="63"/>
  <c r="N311" i="63"/>
  <c r="K312" i="63"/>
  <c r="N312" i="63"/>
  <c r="K313" i="63"/>
  <c r="N313" i="63"/>
  <c r="K314" i="63"/>
  <c r="N314" i="63"/>
  <c r="K315" i="63"/>
  <c r="N315" i="63"/>
  <c r="K316" i="63"/>
  <c r="N316" i="63"/>
  <c r="K317" i="63"/>
  <c r="N317" i="63"/>
  <c r="K318" i="63"/>
  <c r="N318" i="63"/>
  <c r="K319" i="63"/>
  <c r="N319" i="63"/>
  <c r="K320" i="63"/>
  <c r="N320" i="63"/>
  <c r="K321" i="63"/>
  <c r="N321" i="63"/>
  <c r="K322" i="63"/>
  <c r="N322" i="63"/>
  <c r="K323" i="63"/>
  <c r="N323" i="63"/>
  <c r="K324" i="63"/>
  <c r="N324" i="63"/>
  <c r="K325" i="63"/>
  <c r="N325" i="63"/>
  <c r="J326" i="63"/>
  <c r="M326" i="63"/>
  <c r="J327" i="63"/>
  <c r="M327" i="63"/>
  <c r="J328" i="63"/>
  <c r="M328" i="63"/>
  <c r="J329" i="63"/>
  <c r="M329" i="63"/>
  <c r="J330" i="63"/>
  <c r="M330" i="63"/>
  <c r="J331" i="63"/>
  <c r="M331" i="63"/>
  <c r="J332" i="63"/>
  <c r="M332" i="63"/>
  <c r="J333" i="63"/>
  <c r="M333" i="63"/>
  <c r="J334" i="63"/>
  <c r="M334" i="63"/>
  <c r="J335" i="63"/>
  <c r="M335" i="63"/>
  <c r="J336" i="63"/>
  <c r="M336" i="63"/>
  <c r="J337" i="63"/>
  <c r="M337" i="63"/>
  <c r="K338" i="63"/>
  <c r="N338" i="63"/>
  <c r="K339" i="63"/>
  <c r="N339" i="63"/>
  <c r="K340" i="63"/>
  <c r="N340" i="63"/>
  <c r="K341" i="63"/>
  <c r="N341" i="63"/>
  <c r="K342" i="63"/>
  <c r="N342" i="63"/>
  <c r="K343" i="63"/>
  <c r="N343" i="63"/>
  <c r="K344" i="63"/>
  <c r="N344" i="63"/>
  <c r="K345" i="63"/>
  <c r="N345" i="63"/>
  <c r="K346" i="63"/>
  <c r="N346" i="63"/>
  <c r="K347" i="63"/>
  <c r="N347" i="63"/>
  <c r="K348" i="63"/>
  <c r="N348" i="63"/>
  <c r="K349" i="63"/>
  <c r="N349" i="63"/>
  <c r="K350" i="63"/>
  <c r="N350" i="63"/>
  <c r="K351" i="63"/>
  <c r="N351" i="63"/>
  <c r="K352" i="63"/>
  <c r="N352" i="63"/>
  <c r="K353" i="63"/>
  <c r="N353" i="63"/>
  <c r="K354" i="63"/>
  <c r="N354" i="63"/>
  <c r="K355" i="63"/>
  <c r="N355" i="63"/>
  <c r="K356" i="63"/>
  <c r="N356" i="63"/>
  <c r="K357" i="63"/>
  <c r="N357" i="63"/>
  <c r="K358" i="63"/>
  <c r="N358" i="63"/>
  <c r="K359" i="63"/>
  <c r="N359" i="63"/>
  <c r="K360" i="63"/>
  <c r="N360" i="63"/>
  <c r="K361" i="63"/>
  <c r="N361" i="63"/>
  <c r="K362" i="63"/>
  <c r="N362" i="63"/>
  <c r="K363" i="63"/>
  <c r="N363" i="63"/>
  <c r="K364" i="63"/>
  <c r="N364" i="63"/>
  <c r="K365" i="63"/>
  <c r="N365" i="63"/>
  <c r="K366" i="63"/>
  <c r="N366" i="63"/>
  <c r="K367" i="63"/>
  <c r="N367" i="63"/>
  <c r="K368" i="63"/>
  <c r="N368" i="63"/>
  <c r="K369" i="63"/>
  <c r="N369" i="63"/>
  <c r="K370" i="63"/>
  <c r="N370" i="63"/>
  <c r="K371" i="63"/>
  <c r="N371" i="63"/>
  <c r="K372" i="63"/>
  <c r="N372" i="63"/>
  <c r="K373" i="63"/>
  <c r="N373" i="63"/>
  <c r="K374" i="63"/>
  <c r="N374" i="63"/>
  <c r="K375" i="63"/>
  <c r="N375" i="63"/>
  <c r="K376" i="63"/>
  <c r="N376" i="63"/>
  <c r="K377" i="63"/>
  <c r="N377" i="63"/>
  <c r="K378" i="63"/>
  <c r="N378" i="63"/>
  <c r="K379" i="63"/>
  <c r="N379" i="63"/>
  <c r="K380" i="63"/>
  <c r="N380" i="63"/>
  <c r="K381" i="63"/>
  <c r="N381" i="63"/>
  <c r="K382" i="63"/>
  <c r="N382" i="63"/>
  <c r="K383" i="63"/>
  <c r="N383" i="63"/>
  <c r="K384" i="63"/>
  <c r="N384" i="63"/>
  <c r="K385" i="63"/>
  <c r="N385" i="63"/>
  <c r="K386" i="63"/>
  <c r="N386" i="63"/>
  <c r="K387" i="63"/>
  <c r="N387" i="63"/>
  <c r="K388" i="63"/>
  <c r="N388" i="63"/>
  <c r="K389" i="63"/>
  <c r="N389" i="63"/>
  <c r="K390" i="63"/>
  <c r="N390" i="63"/>
  <c r="K391" i="63"/>
  <c r="N391" i="63"/>
  <c r="K392" i="63"/>
  <c r="N392" i="63"/>
  <c r="K393" i="63"/>
  <c r="N393" i="63"/>
  <c r="K394" i="63"/>
  <c r="N394" i="63"/>
  <c r="K395" i="63"/>
  <c r="N395" i="63"/>
  <c r="K396" i="63"/>
  <c r="N396" i="63"/>
  <c r="K397" i="63"/>
  <c r="N397" i="63"/>
  <c r="K398" i="63"/>
  <c r="N398" i="63"/>
  <c r="K399" i="63"/>
  <c r="N399" i="63"/>
  <c r="K400" i="63"/>
  <c r="N400" i="63"/>
  <c r="K401" i="63"/>
  <c r="N401" i="63"/>
  <c r="K402" i="63"/>
  <c r="N402" i="63"/>
  <c r="K403" i="63"/>
  <c r="N403" i="63"/>
  <c r="K404" i="63"/>
  <c r="N404" i="63"/>
  <c r="K405" i="63"/>
  <c r="N405" i="63"/>
  <c r="K406" i="63"/>
  <c r="N406" i="63"/>
  <c r="K407" i="63"/>
  <c r="N407" i="63"/>
  <c r="K408" i="63"/>
  <c r="N408" i="63"/>
  <c r="K409" i="63"/>
  <c r="N409" i="63"/>
  <c r="K410" i="63"/>
  <c r="N410" i="63"/>
  <c r="K411" i="63"/>
  <c r="N411" i="63"/>
  <c r="K412" i="63"/>
  <c r="N412" i="63"/>
  <c r="K413" i="63"/>
  <c r="N413" i="63"/>
  <c r="K414" i="63"/>
  <c r="N414" i="63"/>
  <c r="K415" i="63"/>
  <c r="N415" i="63"/>
  <c r="K416" i="63"/>
  <c r="N416" i="63"/>
  <c r="K417" i="63"/>
  <c r="N417" i="63"/>
  <c r="K418" i="63"/>
  <c r="N418" i="63"/>
  <c r="K419" i="63"/>
  <c r="N419" i="63"/>
  <c r="K420" i="63"/>
  <c r="N420" i="63"/>
  <c r="K421" i="63"/>
  <c r="N421" i="63"/>
  <c r="K422" i="63"/>
  <c r="N422" i="63"/>
  <c r="K423" i="63"/>
  <c r="N423" i="63"/>
  <c r="K424" i="63"/>
  <c r="N424" i="63"/>
  <c r="K425" i="63"/>
  <c r="N425" i="63"/>
  <c r="K426" i="63"/>
  <c r="N426" i="63"/>
  <c r="K427" i="63"/>
  <c r="N427" i="63"/>
  <c r="K428" i="63"/>
  <c r="N428" i="63"/>
  <c r="K429" i="63"/>
  <c r="N429" i="63"/>
  <c r="K430" i="63"/>
  <c r="N430" i="63"/>
  <c r="K431" i="63"/>
  <c r="N431" i="63"/>
  <c r="K432" i="63"/>
  <c r="N432" i="63"/>
  <c r="K433" i="63"/>
  <c r="N433" i="63"/>
  <c r="K434" i="63"/>
  <c r="N434" i="63"/>
  <c r="K435" i="63"/>
  <c r="N435" i="63"/>
  <c r="K436" i="63"/>
  <c r="N436" i="63"/>
  <c r="K437" i="63"/>
  <c r="N437" i="63"/>
  <c r="K438" i="63"/>
  <c r="N438" i="63"/>
  <c r="K439" i="63"/>
  <c r="N439" i="63"/>
  <c r="K440" i="63"/>
  <c r="N440" i="63"/>
  <c r="K441" i="63"/>
  <c r="N441" i="63"/>
  <c r="K442" i="63"/>
  <c r="N442" i="63"/>
  <c r="K443" i="63"/>
  <c r="N443" i="63"/>
  <c r="K444" i="63"/>
  <c r="N444" i="63"/>
  <c r="K445" i="63"/>
  <c r="N445" i="63"/>
  <c r="K446" i="63"/>
  <c r="N446" i="63"/>
  <c r="K447" i="63"/>
  <c r="N447" i="63"/>
  <c r="K448" i="63"/>
  <c r="N448" i="63"/>
  <c r="K449" i="63"/>
  <c r="N449" i="63"/>
  <c r="K450" i="63"/>
  <c r="N450" i="63"/>
  <c r="K451" i="63"/>
  <c r="N451" i="63"/>
  <c r="K452" i="63"/>
  <c r="N452" i="63"/>
  <c r="K453" i="63"/>
  <c r="N453" i="63"/>
  <c r="K454" i="63"/>
  <c r="N454" i="63"/>
  <c r="K455" i="63"/>
  <c r="N455" i="63"/>
  <c r="K456" i="63"/>
  <c r="N456" i="63"/>
  <c r="K457" i="63"/>
  <c r="N457" i="63"/>
  <c r="K458" i="63"/>
  <c r="N458" i="63"/>
  <c r="K459" i="63"/>
  <c r="N459" i="63"/>
  <c r="K460" i="63"/>
  <c r="N460" i="63"/>
  <c r="K461" i="63"/>
  <c r="N461" i="63"/>
  <c r="K462" i="63"/>
  <c r="N462" i="63"/>
  <c r="K463" i="63"/>
  <c r="N463" i="63"/>
  <c r="K464" i="63"/>
  <c r="N464" i="63"/>
  <c r="K465" i="63"/>
  <c r="N465" i="63"/>
  <c r="K466" i="63"/>
  <c r="N466" i="63"/>
  <c r="K467" i="63"/>
  <c r="N467" i="63"/>
  <c r="K468" i="63"/>
  <c r="N468" i="63"/>
  <c r="K469" i="63"/>
  <c r="N469" i="63"/>
  <c r="K470" i="63"/>
  <c r="N470" i="63"/>
  <c r="K471" i="63"/>
  <c r="N471" i="63"/>
  <c r="K472" i="63"/>
  <c r="N472" i="63"/>
  <c r="K473" i="63"/>
  <c r="N473" i="63"/>
  <c r="K474" i="63"/>
  <c r="N474" i="63"/>
  <c r="K475" i="63"/>
  <c r="N475" i="63"/>
  <c r="K476" i="63"/>
  <c r="N476" i="63"/>
  <c r="K477" i="63"/>
  <c r="N477" i="63"/>
  <c r="K478" i="63"/>
  <c r="N478" i="63"/>
  <c r="K479" i="63"/>
  <c r="N479" i="63"/>
  <c r="K480" i="63"/>
  <c r="N480" i="63"/>
  <c r="K481" i="63"/>
  <c r="N481" i="63"/>
  <c r="K482" i="63"/>
  <c r="N482" i="63"/>
  <c r="K483" i="63"/>
  <c r="N483" i="63"/>
  <c r="K484" i="63"/>
  <c r="N484" i="63"/>
  <c r="K485" i="63"/>
  <c r="N485" i="63"/>
  <c r="K486" i="63"/>
  <c r="N486" i="63"/>
  <c r="K487" i="63"/>
  <c r="N487" i="63"/>
  <c r="K488" i="63"/>
  <c r="N488" i="63"/>
  <c r="K489" i="63"/>
  <c r="N489" i="63"/>
  <c r="K490" i="63"/>
  <c r="N490" i="63"/>
  <c r="K491" i="63"/>
  <c r="N491" i="63"/>
  <c r="K492" i="63"/>
  <c r="N492" i="63"/>
  <c r="K493" i="63"/>
  <c r="N493" i="63"/>
  <c r="K494" i="63"/>
  <c r="N494" i="63"/>
  <c r="K495" i="63"/>
  <c r="N495" i="63"/>
  <c r="K496" i="63"/>
  <c r="N496" i="63"/>
  <c r="K497" i="63"/>
  <c r="N497" i="63"/>
  <c r="K498" i="63"/>
  <c r="N498" i="63"/>
  <c r="K499" i="63"/>
  <c r="N499" i="63"/>
  <c r="K500" i="63"/>
  <c r="N500" i="63"/>
  <c r="K501" i="63"/>
  <c r="N501" i="63"/>
  <c r="K502" i="63"/>
  <c r="N502" i="63"/>
  <c r="K503" i="63"/>
  <c r="N503" i="63"/>
  <c r="K504" i="63"/>
  <c r="N504" i="63"/>
  <c r="K505" i="63"/>
  <c r="N505" i="63"/>
  <c r="K506" i="63"/>
  <c r="N506" i="63"/>
  <c r="K507" i="63"/>
  <c r="N507" i="63"/>
  <c r="K508" i="63"/>
  <c r="N508" i="63"/>
  <c r="K509" i="63"/>
  <c r="N509" i="63"/>
  <c r="K510" i="63"/>
  <c r="N510" i="63"/>
  <c r="K511" i="63"/>
  <c r="N511" i="63"/>
  <c r="K512" i="63"/>
  <c r="N512" i="63"/>
  <c r="K513" i="63"/>
  <c r="N513" i="63"/>
  <c r="K514" i="63"/>
  <c r="N514" i="63"/>
  <c r="K515" i="63"/>
  <c r="N515" i="63"/>
  <c r="K516" i="63"/>
  <c r="N516" i="63"/>
  <c r="K517" i="63"/>
  <c r="N517" i="63"/>
  <c r="K518" i="63"/>
  <c r="N518" i="63"/>
  <c r="K519" i="63"/>
  <c r="N519" i="63"/>
  <c r="K520" i="63"/>
  <c r="N520" i="63"/>
  <c r="K521" i="63"/>
  <c r="N521" i="63"/>
  <c r="K522" i="63"/>
  <c r="N522" i="63"/>
  <c r="K523" i="63"/>
  <c r="N523" i="63"/>
  <c r="K524" i="63"/>
  <c r="N524" i="63"/>
  <c r="K525" i="63"/>
  <c r="N525" i="63"/>
  <c r="K526" i="63"/>
  <c r="N526" i="63"/>
  <c r="K527" i="63"/>
  <c r="N527" i="63"/>
  <c r="K528" i="63"/>
  <c r="N528" i="63"/>
  <c r="K529" i="63"/>
  <c r="N529" i="63"/>
  <c r="K530" i="63"/>
  <c r="N530" i="63"/>
  <c r="K531" i="63"/>
  <c r="N531" i="63"/>
  <c r="K532" i="63"/>
  <c r="N532" i="63"/>
  <c r="K533" i="63"/>
  <c r="N533" i="63"/>
  <c r="K534" i="63"/>
  <c r="N534" i="63"/>
  <c r="K535" i="63"/>
  <c r="N535" i="63"/>
  <c r="K536" i="63"/>
  <c r="N536" i="63"/>
  <c r="K537" i="63"/>
  <c r="N537" i="63"/>
  <c r="K538" i="63"/>
  <c r="N538" i="63"/>
  <c r="K539" i="63"/>
  <c r="N539" i="63"/>
  <c r="K540" i="63"/>
  <c r="N540" i="63"/>
  <c r="K541" i="63"/>
  <c r="N541" i="63"/>
  <c r="K542" i="63"/>
  <c r="N542" i="63"/>
  <c r="K543" i="63"/>
  <c r="N543" i="63"/>
  <c r="K544" i="63"/>
  <c r="N544" i="63"/>
  <c r="K545" i="63"/>
  <c r="N545" i="63"/>
  <c r="K546" i="63"/>
  <c r="N546" i="63"/>
  <c r="K547" i="63"/>
  <c r="N547" i="63"/>
  <c r="K548" i="63"/>
  <c r="N548" i="63"/>
  <c r="K549" i="63"/>
  <c r="N549" i="63"/>
  <c r="K550" i="63"/>
  <c r="N550" i="63"/>
  <c r="K551" i="63"/>
  <c r="N551" i="63"/>
  <c r="K552" i="63"/>
  <c r="N552" i="63"/>
  <c r="K553" i="63"/>
  <c r="N553" i="63"/>
  <c r="K554" i="63"/>
  <c r="N554" i="63"/>
  <c r="K555" i="63"/>
  <c r="N555" i="63"/>
  <c r="K556" i="63"/>
  <c r="N556" i="63"/>
  <c r="K557" i="63"/>
  <c r="N557" i="63"/>
  <c r="K558" i="63"/>
  <c r="N558" i="63"/>
  <c r="K559" i="63"/>
  <c r="N559" i="63"/>
  <c r="K560" i="63"/>
  <c r="N560" i="63"/>
  <c r="K561" i="63"/>
  <c r="N561" i="63"/>
  <c r="K562" i="63"/>
  <c r="N562" i="63"/>
  <c r="K563" i="63"/>
  <c r="N563" i="63"/>
  <c r="K564" i="63"/>
  <c r="N564" i="63"/>
  <c r="K565" i="63"/>
  <c r="N565" i="63"/>
  <c r="K566" i="63"/>
  <c r="N566" i="63"/>
  <c r="K567" i="63"/>
  <c r="N567" i="63"/>
  <c r="K568" i="63"/>
  <c r="N568" i="63"/>
  <c r="K569" i="63"/>
  <c r="N569" i="63"/>
  <c r="K570" i="63"/>
  <c r="N570" i="63"/>
  <c r="K571" i="63"/>
  <c r="N571" i="63"/>
  <c r="K572" i="63"/>
  <c r="N572" i="63"/>
  <c r="K573" i="63"/>
  <c r="N573" i="63"/>
  <c r="K574" i="63"/>
  <c r="N574" i="63"/>
  <c r="K575" i="63"/>
  <c r="N575" i="63"/>
  <c r="K576" i="63"/>
  <c r="N576" i="63"/>
  <c r="K577" i="63"/>
  <c r="N577" i="63"/>
  <c r="K578" i="63"/>
  <c r="N578" i="63"/>
  <c r="K579" i="63"/>
  <c r="N579" i="63"/>
  <c r="K580" i="63"/>
  <c r="N580" i="63"/>
  <c r="K581" i="63"/>
  <c r="N581" i="63"/>
  <c r="K582" i="63"/>
  <c r="N582" i="63"/>
  <c r="K583" i="63"/>
  <c r="N583" i="63"/>
  <c r="K584" i="63"/>
  <c r="N584" i="63"/>
  <c r="K585" i="63"/>
  <c r="N585" i="63"/>
  <c r="K586" i="63"/>
  <c r="N586" i="63"/>
  <c r="K587" i="63"/>
  <c r="N587" i="63"/>
  <c r="K588" i="63"/>
  <c r="N588" i="63"/>
  <c r="K589" i="63"/>
  <c r="N589" i="63"/>
  <c r="K590" i="63"/>
  <c r="N590" i="63"/>
  <c r="K591" i="63"/>
  <c r="N591" i="63"/>
  <c r="K592" i="63"/>
  <c r="N592" i="63"/>
  <c r="K593" i="63"/>
  <c r="N593" i="63"/>
  <c r="K594" i="63"/>
  <c r="N594" i="63"/>
  <c r="K595" i="63"/>
  <c r="N595" i="63"/>
  <c r="K596" i="63"/>
  <c r="N596" i="63"/>
  <c r="K597" i="63"/>
  <c r="N597" i="63"/>
  <c r="K598" i="63"/>
  <c r="N598" i="63"/>
  <c r="K599" i="63"/>
  <c r="N599" i="63"/>
  <c r="K600" i="63"/>
  <c r="N600" i="63"/>
  <c r="K601" i="63"/>
  <c r="N601" i="63"/>
  <c r="K602" i="63"/>
  <c r="N602" i="63"/>
  <c r="K603" i="63"/>
  <c r="N603" i="63"/>
  <c r="K604" i="63"/>
  <c r="N604" i="63"/>
  <c r="K605" i="63"/>
  <c r="N605" i="63"/>
  <c r="K606" i="63"/>
  <c r="N606" i="63"/>
  <c r="K607" i="63"/>
  <c r="N607" i="63"/>
  <c r="K608" i="63"/>
  <c r="N608" i="63"/>
  <c r="K609" i="63"/>
  <c r="N609" i="63"/>
  <c r="K610" i="63"/>
  <c r="N610" i="63"/>
  <c r="K611" i="63"/>
  <c r="N611" i="63"/>
  <c r="K612" i="63"/>
  <c r="N612" i="63"/>
  <c r="K613" i="63"/>
  <c r="N613" i="63"/>
  <c r="K614" i="63"/>
  <c r="N614" i="63"/>
  <c r="K615" i="63"/>
  <c r="N615" i="63"/>
  <c r="K616" i="63"/>
  <c r="N616" i="63"/>
  <c r="K617" i="63"/>
  <c r="N617" i="63"/>
  <c r="K618" i="63"/>
  <c r="N618" i="63"/>
  <c r="K619" i="63"/>
  <c r="N619" i="63"/>
  <c r="K620" i="63"/>
  <c r="N620" i="63"/>
  <c r="K621" i="63"/>
  <c r="N621" i="63"/>
  <c r="K622" i="63"/>
  <c r="N622" i="63"/>
  <c r="K623" i="63"/>
  <c r="N623" i="63"/>
  <c r="K624" i="63"/>
  <c r="N624" i="63"/>
  <c r="K625" i="63"/>
  <c r="N625" i="63"/>
  <c r="K626" i="63"/>
  <c r="N626" i="63"/>
  <c r="K627" i="63"/>
  <c r="N627" i="63"/>
  <c r="K628" i="63"/>
  <c r="N628" i="63"/>
  <c r="K629" i="63"/>
  <c r="N629" i="63"/>
  <c r="D48" i="5"/>
  <c r="E48" i="5"/>
  <c r="F48" i="5"/>
  <c r="D49" i="5"/>
  <c r="E49" i="5"/>
  <c r="F49" i="5"/>
  <c r="D53" i="5"/>
  <c r="E53" i="5"/>
  <c r="Y2" i="44"/>
  <c r="Z2" i="44"/>
  <c r="AE2" i="44"/>
  <c r="AF2" i="44"/>
  <c r="AK2" i="44"/>
  <c r="AL2" i="44"/>
  <c r="AU2" i="44"/>
  <c r="AV2" i="44"/>
  <c r="Y3" i="44"/>
  <c r="Z3" i="44"/>
  <c r="AE3" i="44"/>
  <c r="AF3" i="44"/>
  <c r="AK3" i="44"/>
  <c r="AL3" i="44"/>
  <c r="AU3" i="44"/>
  <c r="AV3" i="44"/>
  <c r="Y4" i="44"/>
  <c r="Z4" i="44"/>
  <c r="AE4" i="44"/>
  <c r="AF4" i="44"/>
  <c r="AK4" i="44"/>
  <c r="AL4" i="44"/>
  <c r="AU4" i="44"/>
  <c r="AV4" i="44"/>
  <c r="Y5" i="44"/>
  <c r="Z5" i="44"/>
  <c r="AE5" i="44"/>
  <c r="AF5" i="44"/>
  <c r="AK5" i="44"/>
  <c r="AL5" i="44"/>
  <c r="AU5" i="44"/>
  <c r="AV5" i="44"/>
  <c r="Y6" i="44"/>
  <c r="Z6" i="44"/>
  <c r="AE6" i="44"/>
  <c r="AF6" i="44"/>
  <c r="AK6" i="44"/>
  <c r="AL6" i="44"/>
  <c r="AU6" i="44"/>
  <c r="AV6" i="44"/>
  <c r="Y7" i="44"/>
  <c r="Z7" i="44"/>
  <c r="AE7" i="44"/>
  <c r="AF7" i="44"/>
  <c r="AK7" i="44"/>
  <c r="AL7" i="44"/>
  <c r="AU7" i="44"/>
  <c r="AV7" i="44"/>
  <c r="Y8" i="44"/>
  <c r="Z8" i="44"/>
  <c r="AE8" i="44"/>
  <c r="AF8" i="44"/>
  <c r="AK8" i="44"/>
  <c r="AL8" i="44"/>
  <c r="AU8" i="44"/>
  <c r="AV8" i="44"/>
  <c r="Y9" i="44"/>
  <c r="Z9" i="44"/>
  <c r="AE9" i="44"/>
  <c r="AF9" i="44"/>
  <c r="AK9" i="44"/>
  <c r="AL9" i="44"/>
  <c r="AU9" i="44"/>
  <c r="AV9" i="44"/>
  <c r="Y10" i="44"/>
  <c r="Z10" i="44"/>
  <c r="AE10" i="44"/>
  <c r="AF10" i="44"/>
  <c r="Y11" i="44"/>
  <c r="Z11" i="44"/>
  <c r="AE11" i="44"/>
  <c r="AF11" i="44"/>
  <c r="Y12" i="44"/>
  <c r="Z12" i="44"/>
  <c r="AE12" i="44"/>
  <c r="AF12" i="44"/>
  <c r="AU12" i="44"/>
  <c r="Y13" i="44"/>
  <c r="Z13" i="44"/>
  <c r="AE13" i="44"/>
  <c r="AF13" i="44"/>
  <c r="AU13" i="44"/>
  <c r="Y14" i="44"/>
  <c r="Z14" i="44"/>
  <c r="AE14" i="44"/>
  <c r="AF14" i="44"/>
  <c r="Y15" i="44"/>
  <c r="Z15" i="44"/>
  <c r="AE15" i="44"/>
  <c r="AF15" i="44"/>
  <c r="Y16" i="44"/>
  <c r="Z16" i="44"/>
  <c r="AE16" i="44"/>
  <c r="AF16" i="44"/>
  <c r="Y17" i="44"/>
  <c r="Z17" i="44"/>
  <c r="AE17" i="44"/>
  <c r="AF17" i="44"/>
  <c r="Y18" i="44"/>
  <c r="Z18" i="44"/>
  <c r="AE18" i="44"/>
  <c r="AF18" i="44"/>
  <c r="Y19" i="44"/>
  <c r="Z19" i="44"/>
  <c r="AE19" i="44"/>
  <c r="AF19" i="44"/>
  <c r="Y20" i="44"/>
  <c r="Z20" i="44"/>
  <c r="AE20" i="44"/>
  <c r="AF20" i="44"/>
  <c r="Y21" i="44"/>
  <c r="Z21" i="44"/>
  <c r="AE21" i="44"/>
  <c r="AF21" i="44"/>
  <c r="Y22" i="44"/>
  <c r="Z22" i="44"/>
  <c r="AE22" i="44"/>
  <c r="AF22" i="44"/>
  <c r="Y23" i="44"/>
  <c r="Z23" i="44"/>
  <c r="AE23" i="44"/>
  <c r="AF23" i="44"/>
  <c r="Y24" i="44"/>
  <c r="Z24" i="44"/>
  <c r="AE24" i="44"/>
  <c r="AF24" i="44"/>
  <c r="Y25" i="44"/>
  <c r="Z25" i="44"/>
  <c r="AE25" i="44"/>
  <c r="AF25" i="44"/>
  <c r="Y26" i="44"/>
  <c r="AE26" i="44"/>
  <c r="Y27" i="44"/>
  <c r="AE27" i="44"/>
  <c r="Y28" i="44"/>
  <c r="AE28" i="44"/>
  <c r="Y29" i="44"/>
  <c r="AE29" i="44"/>
  <c r="Y30" i="44"/>
  <c r="AE30" i="44"/>
  <c r="Y31" i="44"/>
  <c r="AE31" i="44"/>
  <c r="Y32" i="44"/>
  <c r="AE32" i="44"/>
  <c r="Y33" i="44"/>
  <c r="AE33" i="44"/>
  <c r="Y34" i="44"/>
  <c r="AE34" i="44"/>
  <c r="Y35" i="44"/>
  <c r="AE35" i="44"/>
  <c r="Y36" i="44"/>
  <c r="AE36" i="44"/>
  <c r="Y37" i="44"/>
  <c r="AE37" i="44"/>
  <c r="Y38" i="44"/>
  <c r="AE38" i="44"/>
  <c r="Y39" i="44"/>
  <c r="AE39" i="44"/>
  <c r="Y40" i="44"/>
  <c r="AE40" i="44"/>
  <c r="Y41" i="44"/>
  <c r="AE41" i="44"/>
  <c r="Y42" i="44"/>
  <c r="AE42" i="44"/>
  <c r="Y43" i="44"/>
  <c r="AE43" i="44"/>
  <c r="Y44" i="44"/>
  <c r="AE44" i="44"/>
  <c r="Y45" i="44"/>
  <c r="AE45" i="44"/>
  <c r="Y46" i="44"/>
  <c r="AE46" i="44"/>
  <c r="Y47" i="44"/>
  <c r="AE47" i="44"/>
  <c r="Y48" i="44"/>
  <c r="AE48" i="44"/>
  <c r="Y49" i="44"/>
  <c r="AE49" i="44"/>
  <c r="Z50" i="44"/>
  <c r="AF50" i="44"/>
  <c r="Z51" i="44"/>
  <c r="AF51" i="44"/>
  <c r="Z52" i="44"/>
  <c r="AF52" i="44"/>
  <c r="Z53" i="44"/>
  <c r="AF53" i="44"/>
  <c r="Z54" i="44"/>
  <c r="AF54" i="44"/>
  <c r="Z55" i="44"/>
  <c r="AF55" i="44"/>
  <c r="Z56" i="44"/>
  <c r="AF56" i="44"/>
  <c r="Z57" i="44"/>
  <c r="AF57" i="44"/>
  <c r="Z58" i="44"/>
  <c r="AF58" i="44"/>
  <c r="Z59" i="44"/>
  <c r="AF59" i="44"/>
  <c r="Z60" i="44"/>
  <c r="AF60" i="44"/>
  <c r="Z61" i="44"/>
  <c r="AF61" i="44"/>
  <c r="Z62" i="44"/>
  <c r="AF62" i="44"/>
  <c r="Z63" i="44"/>
  <c r="AF63" i="44"/>
  <c r="Z64" i="44"/>
  <c r="AF64" i="44"/>
  <c r="Z65" i="44"/>
  <c r="AF65" i="44"/>
  <c r="Z66" i="44"/>
  <c r="AF66" i="44"/>
  <c r="Z67" i="44"/>
  <c r="AF67" i="44"/>
  <c r="Z68" i="44"/>
  <c r="AF68" i="44"/>
  <c r="Z69" i="44"/>
  <c r="AF69" i="44"/>
  <c r="Z70" i="44"/>
  <c r="AF70" i="44"/>
  <c r="Z71" i="44"/>
  <c r="AF71" i="44"/>
  <c r="Z72" i="44"/>
  <c r="AF72" i="44"/>
  <c r="Z73" i="44"/>
  <c r="AF73" i="44"/>
  <c r="Y74" i="44"/>
  <c r="AE74" i="44"/>
  <c r="Y75" i="44"/>
  <c r="AE75" i="44"/>
  <c r="Y76" i="44"/>
  <c r="AE76" i="44"/>
  <c r="Y77" i="44"/>
  <c r="AE77" i="44"/>
  <c r="Y78" i="44"/>
  <c r="AE78" i="44"/>
  <c r="Y79" i="44"/>
  <c r="AE79" i="44"/>
  <c r="Y80" i="44"/>
  <c r="AE80" i="44"/>
  <c r="Y81" i="44"/>
  <c r="AE81" i="44"/>
  <c r="Y82" i="44"/>
  <c r="AE82" i="44"/>
  <c r="Y83" i="44"/>
  <c r="AE83" i="44"/>
  <c r="Y84" i="44"/>
  <c r="AE84" i="44"/>
  <c r="Y85" i="44"/>
  <c r="AE85" i="44"/>
  <c r="Y86" i="44"/>
  <c r="AE86" i="44"/>
  <c r="Y87" i="44"/>
  <c r="AE87" i="44"/>
  <c r="Y88" i="44"/>
  <c r="AE88" i="44"/>
  <c r="Y89" i="44"/>
  <c r="AE89" i="44"/>
  <c r="Y90" i="44"/>
  <c r="AE90" i="44"/>
  <c r="Y91" i="44"/>
  <c r="AE91" i="44"/>
  <c r="Y92" i="44"/>
  <c r="AE92" i="44"/>
  <c r="Y93" i="44"/>
  <c r="AE93" i="44"/>
  <c r="Y94" i="44"/>
  <c r="AE94" i="44"/>
  <c r="Y95" i="44"/>
  <c r="AE95" i="44"/>
  <c r="Y96" i="44"/>
  <c r="AE96" i="44"/>
  <c r="Y97" i="44"/>
  <c r="AE97" i="44"/>
  <c r="Z98" i="44"/>
  <c r="AF98" i="44"/>
  <c r="Z99" i="44"/>
  <c r="AF99" i="44"/>
  <c r="Z100" i="44"/>
  <c r="AF100" i="44"/>
  <c r="Z101" i="44"/>
  <c r="AF101" i="44"/>
  <c r="Z102" i="44"/>
  <c r="AF102" i="44"/>
  <c r="Z103" i="44"/>
  <c r="AF103" i="44"/>
  <c r="Z104" i="44"/>
  <c r="AF104" i="44"/>
  <c r="Z105" i="44"/>
  <c r="AF105" i="44"/>
  <c r="Z106" i="44"/>
  <c r="AF106" i="44"/>
  <c r="Z107" i="44"/>
  <c r="AF107" i="44"/>
  <c r="Z108" i="44"/>
  <c r="AF108" i="44"/>
  <c r="Z109" i="44"/>
  <c r="AF109" i="44"/>
  <c r="Z110" i="44"/>
  <c r="AF110" i="44"/>
  <c r="Z111" i="44"/>
  <c r="AF111" i="44"/>
  <c r="Z112" i="44"/>
  <c r="AF112" i="44"/>
  <c r="Z113" i="44"/>
  <c r="AF113" i="44"/>
  <c r="Z114" i="44"/>
  <c r="AF114" i="44"/>
  <c r="Z115" i="44"/>
  <c r="AF115" i="44"/>
  <c r="Z116" i="44"/>
  <c r="AF116" i="44"/>
  <c r="Z117" i="44"/>
  <c r="AF117" i="44"/>
  <c r="Z118" i="44"/>
  <c r="AF118" i="44"/>
  <c r="Z119" i="44"/>
  <c r="AF119" i="44"/>
  <c r="Z120" i="44"/>
  <c r="AF120" i="44"/>
  <c r="Z121" i="44"/>
  <c r="AF121" i="44"/>
  <c r="Z122" i="44"/>
  <c r="AF122" i="44"/>
  <c r="Z123" i="44"/>
  <c r="AF123" i="44"/>
  <c r="Z124" i="44"/>
  <c r="AF124" i="44"/>
  <c r="Z125" i="44"/>
  <c r="AF125" i="44"/>
  <c r="Z126" i="44"/>
  <c r="AF126" i="44"/>
  <c r="Z127" i="44"/>
  <c r="AF127" i="44"/>
  <c r="Z128" i="44"/>
  <c r="AF128" i="44"/>
  <c r="Z129" i="44"/>
  <c r="AF129" i="44"/>
  <c r="Z130" i="44"/>
  <c r="AF130" i="44"/>
  <c r="Z131" i="44"/>
  <c r="AF131" i="44"/>
  <c r="Z132" i="44"/>
  <c r="AF132" i="44"/>
  <c r="Z133" i="44"/>
  <c r="AF133" i="44"/>
  <c r="Y134" i="44"/>
  <c r="AE134" i="44"/>
  <c r="Y135" i="44"/>
  <c r="AE135" i="44"/>
  <c r="Y136" i="44"/>
  <c r="AE136" i="44"/>
  <c r="Y137" i="44"/>
  <c r="AE137" i="44"/>
  <c r="Y138" i="44"/>
  <c r="AE138" i="44"/>
  <c r="Y139" i="44"/>
  <c r="AE139" i="44"/>
  <c r="Y140" i="44"/>
  <c r="AE140" i="44"/>
  <c r="Y141" i="44"/>
  <c r="AE141" i="44"/>
  <c r="Y142" i="44"/>
  <c r="AE142" i="44"/>
  <c r="Y143" i="44"/>
  <c r="AE143" i="44"/>
  <c r="Y144" i="44"/>
  <c r="AE144" i="44"/>
  <c r="Y145" i="44"/>
  <c r="AE145" i="44"/>
  <c r="Z146" i="44"/>
  <c r="AF146" i="44"/>
  <c r="Z147" i="44"/>
  <c r="AF147" i="44"/>
  <c r="Z148" i="44"/>
  <c r="AF148" i="44"/>
  <c r="Z149" i="44"/>
  <c r="AF149" i="44"/>
  <c r="Z150" i="44"/>
  <c r="AF150" i="44"/>
  <c r="Z151" i="44"/>
  <c r="AF151" i="44"/>
  <c r="Z152" i="44"/>
  <c r="AF152" i="44"/>
  <c r="Z153" i="44"/>
  <c r="AF153" i="44"/>
  <c r="Z154" i="44"/>
  <c r="AF154" i="44"/>
  <c r="Z155" i="44"/>
  <c r="AF155" i="44"/>
  <c r="Z156" i="44"/>
  <c r="AF156" i="44"/>
  <c r="Z157" i="44"/>
  <c r="AF157" i="44"/>
  <c r="Z158" i="44"/>
  <c r="AF158" i="44"/>
  <c r="Z159" i="44"/>
  <c r="AF159" i="44"/>
  <c r="Z160" i="44"/>
  <c r="AF160" i="44"/>
  <c r="Z161" i="44"/>
  <c r="AF161" i="44"/>
  <c r="Z162" i="44"/>
  <c r="AF162" i="44"/>
  <c r="Z163" i="44"/>
  <c r="AF163" i="44"/>
  <c r="Z164" i="44"/>
  <c r="AF164" i="44"/>
  <c r="Z165" i="44"/>
  <c r="AF165" i="44"/>
  <c r="Z166" i="44"/>
  <c r="AF166" i="44"/>
  <c r="Z167" i="44"/>
  <c r="AF167" i="44"/>
  <c r="Z168" i="44"/>
  <c r="AF168" i="44"/>
  <c r="Z169" i="44"/>
  <c r="AF169" i="44"/>
  <c r="Z170" i="44"/>
  <c r="AF170" i="44"/>
  <c r="Z171" i="44"/>
  <c r="AF171" i="44"/>
  <c r="Z172" i="44"/>
  <c r="AF172" i="44"/>
  <c r="Z173" i="44"/>
  <c r="AF173" i="44"/>
  <c r="Z174" i="44"/>
  <c r="AF174" i="44"/>
  <c r="Z175" i="44"/>
  <c r="AF175" i="44"/>
  <c r="Z176" i="44"/>
  <c r="AF176" i="44"/>
  <c r="Z177" i="44"/>
  <c r="AF177" i="44"/>
  <c r="Z178" i="44"/>
  <c r="AF178" i="44"/>
  <c r="Z179" i="44"/>
  <c r="AF179" i="44"/>
  <c r="Z180" i="44"/>
  <c r="AF180" i="44"/>
  <c r="Z181" i="44"/>
  <c r="AF181" i="44"/>
  <c r="Y182" i="44"/>
  <c r="AE182" i="44"/>
  <c r="Y183" i="44"/>
  <c r="AE183" i="44"/>
  <c r="Y184" i="44"/>
  <c r="AE184" i="44"/>
  <c r="Y185" i="44"/>
  <c r="AE185" i="44"/>
  <c r="Y186" i="44"/>
  <c r="AE186" i="44"/>
  <c r="Y187" i="44"/>
  <c r="AE187" i="44"/>
  <c r="Y188" i="44"/>
  <c r="AE188" i="44"/>
  <c r="Y189" i="44"/>
  <c r="AE189" i="44"/>
  <c r="Y190" i="44"/>
  <c r="AE190" i="44"/>
  <c r="Y191" i="44"/>
  <c r="AE191" i="44"/>
  <c r="Y192" i="44"/>
  <c r="AE192" i="44"/>
  <c r="Y193" i="44"/>
  <c r="AE193" i="44"/>
  <c r="Y194" i="44"/>
  <c r="AE194" i="44"/>
  <c r="Y195" i="44"/>
  <c r="AE195" i="44"/>
  <c r="Y196" i="44"/>
  <c r="AE196" i="44"/>
  <c r="Y197" i="44"/>
  <c r="AE197" i="44"/>
  <c r="Y198" i="44"/>
  <c r="AE198" i="44"/>
  <c r="Y199" i="44"/>
  <c r="AE199" i="44"/>
  <c r="Y200" i="44"/>
  <c r="AE200" i="44"/>
  <c r="Y201" i="44"/>
  <c r="AE201" i="44"/>
  <c r="Y202" i="44"/>
  <c r="AE202" i="44"/>
  <c r="Y203" i="44"/>
  <c r="AE203" i="44"/>
  <c r="Y204" i="44"/>
  <c r="AE204" i="44"/>
  <c r="Y205" i="44"/>
  <c r="AE205" i="44"/>
  <c r="Z206" i="44"/>
  <c r="AF206" i="44"/>
  <c r="Z207" i="44"/>
  <c r="AF207" i="44"/>
  <c r="Z208" i="44"/>
  <c r="AF208" i="44"/>
  <c r="Z209" i="44"/>
  <c r="AF209" i="44"/>
  <c r="Z210" i="44"/>
  <c r="AF210" i="44"/>
  <c r="Z211" i="44"/>
  <c r="AF211" i="44"/>
  <c r="Z212" i="44"/>
  <c r="AF212" i="44"/>
  <c r="Z213" i="44"/>
  <c r="AF213" i="44"/>
  <c r="Z214" i="44"/>
  <c r="AF214" i="44"/>
  <c r="Z215" i="44"/>
  <c r="AF215" i="44"/>
  <c r="Z216" i="44"/>
  <c r="AF216" i="44"/>
  <c r="Z217" i="44"/>
  <c r="AF217" i="44"/>
  <c r="Z218" i="44"/>
  <c r="AF218" i="44"/>
  <c r="Z219" i="44"/>
  <c r="AF219" i="44"/>
  <c r="Z220" i="44"/>
  <c r="AF220" i="44"/>
  <c r="Z221" i="44"/>
  <c r="AF221" i="44"/>
  <c r="Z222" i="44"/>
  <c r="AF222" i="44"/>
  <c r="Z223" i="44"/>
  <c r="AF223" i="44"/>
  <c r="Z224" i="44"/>
  <c r="AF224" i="44"/>
  <c r="Z225" i="44"/>
  <c r="AF225" i="44"/>
  <c r="Z226" i="44"/>
  <c r="AF226" i="44"/>
  <c r="Z227" i="44"/>
  <c r="AF227" i="44"/>
  <c r="Z228" i="44"/>
  <c r="AF228" i="44"/>
  <c r="Z229" i="44"/>
  <c r="AF229" i="44"/>
  <c r="Z230" i="44"/>
  <c r="AF230" i="44"/>
  <c r="Z231" i="44"/>
  <c r="AF231" i="44"/>
  <c r="Z232" i="44"/>
  <c r="AF232" i="44"/>
  <c r="Z233" i="44"/>
  <c r="AF233" i="44"/>
  <c r="Z234" i="44"/>
  <c r="AF234" i="44"/>
  <c r="Z235" i="44"/>
  <c r="AF235" i="44"/>
  <c r="Z236" i="44"/>
  <c r="AF236" i="44"/>
  <c r="Z237" i="44"/>
  <c r="AF237" i="44"/>
  <c r="Z238" i="44"/>
  <c r="AF238" i="44"/>
  <c r="Z239" i="44"/>
  <c r="AF239" i="44"/>
  <c r="Z240" i="44"/>
  <c r="AF240" i="44"/>
  <c r="Z241" i="44"/>
  <c r="AF241" i="44"/>
  <c r="Y242" i="44"/>
  <c r="AE242" i="44"/>
  <c r="Y243" i="44"/>
  <c r="AE243" i="44"/>
  <c r="Y244" i="44"/>
  <c r="AE244" i="44"/>
  <c r="Y245" i="44"/>
  <c r="AE245" i="44"/>
  <c r="Y246" i="44"/>
  <c r="AE246" i="44"/>
  <c r="Y247" i="44"/>
  <c r="AE247" i="44"/>
  <c r="Y248" i="44"/>
  <c r="AE248" i="44"/>
  <c r="Y249" i="44"/>
  <c r="AE249" i="44"/>
  <c r="Y250" i="44"/>
  <c r="AE250" i="44"/>
  <c r="Y251" i="44"/>
  <c r="AE251" i="44"/>
  <c r="Y252" i="44"/>
  <c r="AE252" i="44"/>
  <c r="Y253" i="44"/>
  <c r="AE253" i="44"/>
  <c r="Z254" i="44"/>
  <c r="AF254" i="44"/>
  <c r="Z255" i="44"/>
  <c r="AF255" i="44"/>
  <c r="Z256" i="44"/>
  <c r="AF256" i="44"/>
  <c r="Z257" i="44"/>
  <c r="AF257" i="44"/>
  <c r="Z258" i="44"/>
  <c r="AF258" i="44"/>
  <c r="Z259" i="44"/>
  <c r="AF259" i="44"/>
  <c r="Z260" i="44"/>
  <c r="AF260" i="44"/>
  <c r="Z261" i="44"/>
  <c r="AF261" i="44"/>
  <c r="Z262" i="44"/>
  <c r="AF262" i="44"/>
  <c r="Z263" i="44"/>
  <c r="AF263" i="44"/>
  <c r="Z264" i="44"/>
  <c r="AF264" i="44"/>
  <c r="Z265" i="44"/>
  <c r="AF265" i="44"/>
  <c r="Z266" i="44"/>
  <c r="AF266" i="44"/>
  <c r="Z267" i="44"/>
  <c r="AF267" i="44"/>
  <c r="Z268" i="44"/>
  <c r="AF268" i="44"/>
  <c r="Z269" i="44"/>
  <c r="AF269" i="44"/>
  <c r="Z270" i="44"/>
  <c r="AF270" i="44"/>
  <c r="Z271" i="44"/>
  <c r="AF271" i="44"/>
  <c r="Z272" i="44"/>
  <c r="AF272" i="44"/>
  <c r="Z273" i="44"/>
  <c r="AF273" i="44"/>
  <c r="Z274" i="44"/>
  <c r="AF274" i="44"/>
  <c r="Z275" i="44"/>
  <c r="AF275" i="44"/>
  <c r="Z276" i="44"/>
  <c r="AF276" i="44"/>
  <c r="Z277" i="44"/>
  <c r="AF277" i="44"/>
  <c r="Z278" i="44"/>
  <c r="AF278" i="44"/>
  <c r="Z279" i="44"/>
  <c r="AF279" i="44"/>
  <c r="Z280" i="44"/>
  <c r="AF280" i="44"/>
  <c r="Z281" i="44"/>
  <c r="AF281" i="44"/>
  <c r="Z282" i="44"/>
  <c r="AF282" i="44"/>
  <c r="Z283" i="44"/>
  <c r="AF283" i="44"/>
  <c r="Z284" i="44"/>
  <c r="AF284" i="44"/>
  <c r="Z285" i="44"/>
  <c r="AF285" i="44"/>
  <c r="Z286" i="44"/>
  <c r="AF286" i="44"/>
  <c r="Z287" i="44"/>
  <c r="AF287" i="44"/>
  <c r="Z288" i="44"/>
  <c r="AF288" i="44"/>
  <c r="Z289" i="44"/>
  <c r="AF289" i="44"/>
  <c r="Y290" i="44"/>
  <c r="AE290" i="44"/>
  <c r="Y291" i="44"/>
  <c r="AE291" i="44"/>
  <c r="Y292" i="44"/>
  <c r="AE292" i="44"/>
  <c r="Y293" i="44"/>
  <c r="AE293" i="44"/>
  <c r="Y294" i="44"/>
  <c r="AE294" i="44"/>
  <c r="Y295" i="44"/>
  <c r="AE295" i="44"/>
  <c r="Y296" i="44"/>
  <c r="AE296" i="44"/>
  <c r="Y297" i="44"/>
  <c r="AE297" i="44"/>
  <c r="Y298" i="44"/>
  <c r="AE298" i="44"/>
  <c r="Y299" i="44"/>
  <c r="AE299" i="44"/>
  <c r="Y300" i="44"/>
  <c r="AE300" i="44"/>
  <c r="Y301" i="44"/>
  <c r="AE301" i="44"/>
  <c r="Z302" i="44"/>
  <c r="AF302" i="44"/>
  <c r="Z303" i="44"/>
  <c r="AF303" i="44"/>
  <c r="Z304" i="44"/>
  <c r="AF304" i="44"/>
  <c r="Z305" i="44"/>
  <c r="AF305" i="44"/>
  <c r="Z306" i="44"/>
  <c r="AF306" i="44"/>
  <c r="Z307" i="44"/>
  <c r="AF307" i="44"/>
  <c r="Z308" i="44"/>
  <c r="AF308" i="44"/>
  <c r="Z309" i="44"/>
  <c r="AF309" i="44"/>
  <c r="Z310" i="44"/>
  <c r="AF310" i="44"/>
  <c r="Z311" i="44"/>
  <c r="AF311" i="44"/>
  <c r="Z312" i="44"/>
  <c r="AF312" i="44"/>
  <c r="Z313" i="44"/>
  <c r="AF313" i="44"/>
  <c r="Z314" i="44"/>
  <c r="AF314" i="44"/>
  <c r="Z315" i="44"/>
  <c r="AF315" i="44"/>
  <c r="Z316" i="44"/>
  <c r="AF316" i="44"/>
  <c r="Z317" i="44"/>
  <c r="AF317" i="44"/>
  <c r="Z318" i="44"/>
  <c r="AF318" i="44"/>
  <c r="Z319" i="44"/>
  <c r="AF319" i="44"/>
  <c r="Z320" i="44"/>
  <c r="AF320" i="44"/>
  <c r="Z321" i="44"/>
  <c r="AF321" i="44"/>
  <c r="Z322" i="44"/>
  <c r="AF322" i="44"/>
  <c r="Z323" i="44"/>
  <c r="AF323" i="44"/>
  <c r="Z324" i="44"/>
  <c r="AF324" i="44"/>
  <c r="Z325" i="44"/>
  <c r="AF325" i="44"/>
  <c r="Y326" i="44"/>
  <c r="AE326" i="44"/>
  <c r="Y327" i="44"/>
  <c r="AE327" i="44"/>
  <c r="Y328" i="44"/>
  <c r="AE328" i="44"/>
  <c r="Y329" i="44"/>
  <c r="AE329" i="44"/>
  <c r="Y330" i="44"/>
  <c r="AE330" i="44"/>
  <c r="Y331" i="44"/>
  <c r="AE331" i="44"/>
  <c r="Y332" i="44"/>
  <c r="AE332" i="44"/>
  <c r="Y333" i="44"/>
  <c r="AE333" i="44"/>
  <c r="Y334" i="44"/>
  <c r="AE334" i="44"/>
  <c r="Y335" i="44"/>
  <c r="AE335" i="44"/>
  <c r="Y336" i="44"/>
  <c r="AE336" i="44"/>
  <c r="Y337" i="44"/>
  <c r="AE337" i="44"/>
  <c r="Z338" i="44"/>
  <c r="AF338" i="44"/>
  <c r="Z339" i="44"/>
  <c r="AF339" i="44"/>
  <c r="Z340" i="44"/>
  <c r="AF340" i="44"/>
  <c r="Z341" i="44"/>
  <c r="AF341" i="44"/>
  <c r="Z342" i="44"/>
  <c r="AF342" i="44"/>
  <c r="Z343" i="44"/>
  <c r="AF343" i="44"/>
  <c r="Z344" i="44"/>
  <c r="AF344" i="44"/>
  <c r="Z345" i="44"/>
  <c r="AF345" i="44"/>
  <c r="Z346" i="44"/>
  <c r="AF346" i="44"/>
  <c r="Z347" i="44"/>
  <c r="AF347" i="44"/>
  <c r="Z348" i="44"/>
  <c r="AF348" i="44"/>
  <c r="Z349" i="44"/>
  <c r="AF349" i="44"/>
  <c r="Z350" i="44"/>
  <c r="AF350" i="44"/>
  <c r="Z351" i="44"/>
  <c r="AF351" i="44"/>
  <c r="Z352" i="44"/>
  <c r="AF352" i="44"/>
  <c r="Z353" i="44"/>
  <c r="AF353" i="44"/>
  <c r="Z354" i="44"/>
  <c r="AF354" i="44"/>
  <c r="Z355" i="44"/>
  <c r="AF355" i="44"/>
  <c r="Z356" i="44"/>
  <c r="AF356" i="44"/>
  <c r="Z357" i="44"/>
  <c r="AF357" i="44"/>
  <c r="Z358" i="44"/>
  <c r="AF358" i="44"/>
  <c r="Z359" i="44"/>
  <c r="AF359" i="44"/>
  <c r="Z360" i="44"/>
  <c r="AF360" i="44"/>
  <c r="Z361" i="44"/>
  <c r="AF361" i="44"/>
  <c r="Z362" i="44"/>
  <c r="AF362" i="44"/>
  <c r="Z363" i="44"/>
  <c r="AF363" i="44"/>
  <c r="Z364" i="44"/>
  <c r="AF364" i="44"/>
  <c r="Z365" i="44"/>
  <c r="AF365" i="44"/>
  <c r="Z366" i="44"/>
  <c r="AF366" i="44"/>
  <c r="Z367" i="44"/>
  <c r="AF367" i="44"/>
  <c r="Z368" i="44"/>
  <c r="AF368" i="44"/>
  <c r="Z369" i="44"/>
  <c r="AF369" i="44"/>
  <c r="Z370" i="44"/>
  <c r="AF370" i="44"/>
  <c r="Z371" i="44"/>
  <c r="AF371" i="44"/>
  <c r="Z372" i="44"/>
  <c r="AF372" i="44"/>
  <c r="Z373" i="44"/>
  <c r="AF373" i="44"/>
  <c r="Z374" i="44"/>
  <c r="AF374" i="44"/>
  <c r="Z375" i="44"/>
  <c r="AF375" i="44"/>
  <c r="Z376" i="44"/>
  <c r="AF376" i="44"/>
  <c r="Z377" i="44"/>
  <c r="AF377" i="44"/>
  <c r="Z378" i="44"/>
  <c r="AF378" i="44"/>
  <c r="Z379" i="44"/>
  <c r="AF379" i="44"/>
  <c r="Z380" i="44"/>
  <c r="AF380" i="44"/>
  <c r="Z381" i="44"/>
  <c r="AF381" i="44"/>
  <c r="Z382" i="44"/>
  <c r="AF382" i="44"/>
  <c r="Z383" i="44"/>
  <c r="AF383" i="44"/>
  <c r="Z384" i="44"/>
  <c r="AF384" i="44"/>
  <c r="Z385" i="44"/>
  <c r="AF385" i="44"/>
  <c r="Z386" i="44"/>
  <c r="AF386" i="44"/>
  <c r="Z387" i="44"/>
  <c r="AF387" i="44"/>
  <c r="Z388" i="44"/>
  <c r="AF388" i="44"/>
  <c r="Z389" i="44"/>
  <c r="AF389" i="44"/>
  <c r="Z390" i="44"/>
  <c r="AF390" i="44"/>
  <c r="Z391" i="44"/>
  <c r="AF391" i="44"/>
  <c r="Z392" i="44"/>
  <c r="AF392" i="44"/>
  <c r="Z393" i="44"/>
  <c r="AF393" i="44"/>
  <c r="Z394" i="44"/>
  <c r="AF394" i="44"/>
  <c r="Z395" i="44"/>
  <c r="AF395" i="44"/>
  <c r="Z396" i="44"/>
  <c r="AF396" i="44"/>
  <c r="Z397" i="44"/>
  <c r="AF397" i="44"/>
  <c r="Z398" i="44"/>
  <c r="AF398" i="44"/>
  <c r="Z399" i="44"/>
  <c r="AF399" i="44"/>
  <c r="Z400" i="44"/>
  <c r="AF400" i="44"/>
  <c r="Z401" i="44"/>
  <c r="AF401" i="44"/>
  <c r="Z402" i="44"/>
  <c r="AF402" i="44"/>
  <c r="Z403" i="44"/>
  <c r="AF403" i="44"/>
  <c r="Z404" i="44"/>
  <c r="AF404" i="44"/>
  <c r="Z405" i="44"/>
  <c r="AF405" i="44"/>
  <c r="Z406" i="44"/>
  <c r="AF406" i="44"/>
  <c r="Z407" i="44"/>
  <c r="AF407" i="44"/>
  <c r="Z408" i="44"/>
  <c r="AF408" i="44"/>
  <c r="Z409" i="44"/>
  <c r="AF409" i="44"/>
  <c r="Z410" i="44"/>
  <c r="AF410" i="44"/>
  <c r="Z411" i="44"/>
  <c r="AF411" i="44"/>
  <c r="Z412" i="44"/>
  <c r="AF412" i="44"/>
  <c r="Z413" i="44"/>
  <c r="AF413" i="44"/>
  <c r="Z414" i="44"/>
  <c r="AF414" i="44"/>
  <c r="Z415" i="44"/>
  <c r="AF415" i="44"/>
  <c r="Z416" i="44"/>
  <c r="AF416" i="44"/>
  <c r="Z417" i="44"/>
  <c r="AF417" i="44"/>
  <c r="Z418" i="44"/>
  <c r="AF418" i="44"/>
  <c r="Z419" i="44"/>
  <c r="AF419" i="44"/>
  <c r="Z420" i="44"/>
  <c r="AF420" i="44"/>
  <c r="Z421" i="44"/>
  <c r="AF421" i="44"/>
  <c r="Z422" i="44"/>
  <c r="AF422" i="44"/>
  <c r="Z423" i="44"/>
  <c r="AF423" i="44"/>
  <c r="Z424" i="44"/>
  <c r="AF424" i="44"/>
  <c r="Z425" i="44"/>
  <c r="AF425" i="44"/>
  <c r="Z426" i="44"/>
  <c r="AF426" i="44"/>
  <c r="Z427" i="44"/>
  <c r="AF427" i="44"/>
  <c r="Z428" i="44"/>
  <c r="AF428" i="44"/>
  <c r="Z429" i="44"/>
  <c r="AF429" i="44"/>
  <c r="Z430" i="44"/>
  <c r="AF430" i="44"/>
  <c r="Z431" i="44"/>
  <c r="AF431" i="44"/>
  <c r="Z432" i="44"/>
  <c r="AF432" i="44"/>
  <c r="Z433" i="44"/>
  <c r="AF433" i="44"/>
  <c r="Z434" i="44"/>
  <c r="AF434" i="44"/>
  <c r="Z435" i="44"/>
  <c r="AF435" i="44"/>
  <c r="Z436" i="44"/>
  <c r="AF436" i="44"/>
  <c r="Z437" i="44"/>
  <c r="AF437" i="44"/>
  <c r="Z438" i="44"/>
  <c r="AF438" i="44"/>
  <c r="Z439" i="44"/>
  <c r="AF439" i="44"/>
  <c r="Z440" i="44"/>
  <c r="AF440" i="44"/>
  <c r="Z441" i="44"/>
  <c r="AF441" i="44"/>
  <c r="Z442" i="44"/>
  <c r="AF442" i="44"/>
  <c r="Z443" i="44"/>
  <c r="AF443" i="44"/>
  <c r="Z444" i="44"/>
  <c r="AF444" i="44"/>
  <c r="Z445" i="44"/>
  <c r="AF445" i="44"/>
  <c r="Z446" i="44"/>
  <c r="AF446" i="44"/>
  <c r="Z447" i="44"/>
  <c r="AF447" i="44"/>
  <c r="Z448" i="44"/>
  <c r="AF448" i="44"/>
  <c r="Z449" i="44"/>
  <c r="AF449" i="44"/>
  <c r="Z450" i="44"/>
  <c r="AF450" i="44"/>
  <c r="Z451" i="44"/>
  <c r="AF451" i="44"/>
  <c r="Z452" i="44"/>
  <c r="AF452" i="44"/>
  <c r="Z453" i="44"/>
  <c r="AF453" i="44"/>
  <c r="Z454" i="44"/>
  <c r="AF454" i="44"/>
  <c r="Z455" i="44"/>
  <c r="AF455" i="44"/>
  <c r="Z456" i="44"/>
  <c r="AF456" i="44"/>
  <c r="Z457" i="44"/>
  <c r="AF457" i="44"/>
  <c r="Z458" i="44"/>
  <c r="AF458" i="44"/>
  <c r="Z459" i="44"/>
  <c r="AF459" i="44"/>
  <c r="Z460" i="44"/>
  <c r="AF460" i="44"/>
  <c r="Z461" i="44"/>
  <c r="AF461" i="44"/>
  <c r="Z462" i="44"/>
  <c r="AF462" i="44"/>
  <c r="Z463" i="44"/>
  <c r="AF463" i="44"/>
  <c r="Z464" i="44"/>
  <c r="AF464" i="44"/>
  <c r="Z465" i="44"/>
  <c r="AF465" i="44"/>
  <c r="Z466" i="44"/>
  <c r="AF466" i="44"/>
  <c r="Z467" i="44"/>
  <c r="AF467" i="44"/>
  <c r="Z468" i="44"/>
  <c r="AF468" i="44"/>
  <c r="Z469" i="44"/>
  <c r="AF469" i="44"/>
  <c r="Z470" i="44"/>
  <c r="AF470" i="44"/>
  <c r="Z471" i="44"/>
  <c r="AF471" i="44"/>
  <c r="Z472" i="44"/>
  <c r="AF472" i="44"/>
  <c r="Z473" i="44"/>
  <c r="AF473" i="44"/>
  <c r="Z474" i="44"/>
  <c r="AF474" i="44"/>
  <c r="Z475" i="44"/>
  <c r="AF475" i="44"/>
  <c r="Z476" i="44"/>
  <c r="AF476" i="44"/>
  <c r="Z477" i="44"/>
  <c r="AF477" i="44"/>
  <c r="Z478" i="44"/>
  <c r="AF478" i="44"/>
  <c r="Z479" i="44"/>
  <c r="AF479" i="44"/>
  <c r="Z480" i="44"/>
  <c r="AF480" i="44"/>
  <c r="Z481" i="44"/>
  <c r="AF481" i="44"/>
  <c r="Z482" i="44"/>
  <c r="AF482" i="44"/>
  <c r="Z483" i="44"/>
  <c r="AF483" i="44"/>
  <c r="Z484" i="44"/>
  <c r="AF484" i="44"/>
  <c r="Z485" i="44"/>
  <c r="AF485" i="44"/>
  <c r="Z486" i="44"/>
  <c r="AF486" i="44"/>
  <c r="Z487" i="44"/>
  <c r="AF487" i="44"/>
  <c r="Z488" i="44"/>
  <c r="AF488" i="44"/>
  <c r="Z489" i="44"/>
  <c r="AF489" i="44"/>
  <c r="Z490" i="44"/>
  <c r="AF490" i="44"/>
  <c r="Z491" i="44"/>
  <c r="AF491" i="44"/>
  <c r="Z492" i="44"/>
  <c r="AF492" i="44"/>
  <c r="Z493" i="44"/>
  <c r="AF493" i="44"/>
  <c r="Z494" i="44"/>
  <c r="AF494" i="44"/>
  <c r="Z495" i="44"/>
  <c r="AF495" i="44"/>
  <c r="Z496" i="44"/>
  <c r="AF496" i="44"/>
  <c r="Z497" i="44"/>
  <c r="AF497" i="44"/>
  <c r="Z498" i="44"/>
  <c r="AF498" i="44"/>
  <c r="Z499" i="44"/>
  <c r="AF499" i="44"/>
  <c r="Z500" i="44"/>
  <c r="AF500" i="44"/>
  <c r="Z501" i="44"/>
  <c r="AF501" i="44"/>
  <c r="Z502" i="44"/>
  <c r="AF502" i="44"/>
  <c r="Z503" i="44"/>
  <c r="AF503" i="44"/>
  <c r="Z504" i="44"/>
  <c r="AF504" i="44"/>
  <c r="Z505" i="44"/>
  <c r="AF505" i="44"/>
  <c r="Z506" i="44"/>
  <c r="AF506" i="44"/>
  <c r="Z507" i="44"/>
  <c r="AF507" i="44"/>
  <c r="Z508" i="44"/>
  <c r="AF508" i="44"/>
  <c r="Z509" i="44"/>
  <c r="AF509" i="44"/>
  <c r="Z510" i="44"/>
  <c r="AF510" i="44"/>
  <c r="Z511" i="44"/>
  <c r="AF511" i="44"/>
  <c r="Z512" i="44"/>
  <c r="AF512" i="44"/>
  <c r="Z513" i="44"/>
  <c r="AF513" i="44"/>
  <c r="Z514" i="44"/>
  <c r="AF514" i="44"/>
  <c r="Z515" i="44"/>
  <c r="AF515" i="44"/>
  <c r="Z516" i="44"/>
  <c r="AF516" i="44"/>
  <c r="Z517" i="44"/>
  <c r="AF517" i="44"/>
  <c r="Z518" i="44"/>
  <c r="AF518" i="44"/>
  <c r="Z519" i="44"/>
  <c r="AF519" i="44"/>
  <c r="Z520" i="44"/>
  <c r="AF520" i="44"/>
  <c r="Z521" i="44"/>
  <c r="AF521" i="44"/>
  <c r="Z522" i="44"/>
  <c r="AF522" i="44"/>
  <c r="Z523" i="44"/>
  <c r="AF523" i="44"/>
  <c r="Z524" i="44"/>
  <c r="AF524" i="44"/>
  <c r="Z525" i="44"/>
  <c r="AF525" i="44"/>
  <c r="Z526" i="44"/>
  <c r="AF526" i="44"/>
  <c r="Z527" i="44"/>
  <c r="AF527" i="44"/>
  <c r="Z528" i="44"/>
  <c r="AF528" i="44"/>
  <c r="Z529" i="44"/>
  <c r="AF529" i="44"/>
  <c r="Z530" i="44"/>
  <c r="AF530" i="44"/>
  <c r="Z531" i="44"/>
  <c r="AF531" i="44"/>
  <c r="Z532" i="44"/>
  <c r="AF532" i="44"/>
  <c r="Z533" i="44"/>
  <c r="AF533" i="44"/>
  <c r="Z534" i="44"/>
  <c r="AF534" i="44"/>
  <c r="Z535" i="44"/>
  <c r="AF535" i="44"/>
  <c r="Z536" i="44"/>
  <c r="AF536" i="44"/>
  <c r="Z537" i="44"/>
  <c r="AF537" i="44"/>
  <c r="Z538" i="44"/>
  <c r="AF538" i="44"/>
  <c r="Z539" i="44"/>
  <c r="AF539" i="44"/>
  <c r="Z540" i="44"/>
  <c r="AF540" i="44"/>
  <c r="Z541" i="44"/>
  <c r="AF541" i="44"/>
  <c r="Z542" i="44"/>
  <c r="AF542" i="44"/>
  <c r="Z543" i="44"/>
  <c r="AF543" i="44"/>
  <c r="Z544" i="44"/>
  <c r="AF544" i="44"/>
  <c r="Z545" i="44"/>
  <c r="AF545" i="44"/>
  <c r="Z546" i="44"/>
  <c r="AF546" i="44"/>
  <c r="Z547" i="44"/>
  <c r="AF547" i="44"/>
  <c r="Z548" i="44"/>
  <c r="AF548" i="44"/>
  <c r="Z549" i="44"/>
  <c r="AF549" i="44"/>
  <c r="Z550" i="44"/>
  <c r="AF550" i="44"/>
  <c r="Z551" i="44"/>
  <c r="AF551" i="44"/>
  <c r="Z552" i="44"/>
  <c r="AF552" i="44"/>
  <c r="Z553" i="44"/>
  <c r="AF553" i="44"/>
  <c r="Z554" i="44"/>
  <c r="AF554" i="44"/>
  <c r="Z555" i="44"/>
  <c r="AF555" i="44"/>
  <c r="Z556" i="44"/>
  <c r="AF556" i="44"/>
  <c r="Z557" i="44"/>
  <c r="AF557" i="44"/>
  <c r="Z558" i="44"/>
  <c r="AF558" i="44"/>
  <c r="Z559" i="44"/>
  <c r="AF559" i="44"/>
  <c r="Z560" i="44"/>
  <c r="AF560" i="44"/>
  <c r="Z561" i="44"/>
  <c r="AF561" i="44"/>
  <c r="Z562" i="44"/>
  <c r="AF562" i="44"/>
  <c r="Z563" i="44"/>
  <c r="AF563" i="44"/>
  <c r="Z564" i="44"/>
  <c r="AF564" i="44"/>
  <c r="Z565" i="44"/>
  <c r="AF565" i="44"/>
  <c r="Z566" i="44"/>
  <c r="AF566" i="44"/>
  <c r="Z567" i="44"/>
  <c r="AF567" i="44"/>
  <c r="Z568" i="44"/>
  <c r="AF568" i="44"/>
  <c r="Z569" i="44"/>
  <c r="AF569" i="44"/>
  <c r="Z570" i="44"/>
  <c r="AF570" i="44"/>
  <c r="Z571" i="44"/>
  <c r="AF571" i="44"/>
  <c r="Z572" i="44"/>
  <c r="AF572" i="44"/>
  <c r="Z573" i="44"/>
  <c r="AF573" i="44"/>
  <c r="Z574" i="44"/>
  <c r="AF574" i="44"/>
  <c r="Z575" i="44"/>
  <c r="AF575" i="44"/>
  <c r="Z576" i="44"/>
  <c r="AF576" i="44"/>
  <c r="Z577" i="44"/>
  <c r="AF577" i="44"/>
  <c r="Z578" i="44"/>
  <c r="AF578" i="44"/>
  <c r="Z579" i="44"/>
  <c r="AF579" i="44"/>
  <c r="Z580" i="44"/>
  <c r="AF580" i="44"/>
  <c r="Z581" i="44"/>
  <c r="AF581" i="44"/>
  <c r="Z582" i="44"/>
  <c r="AF582" i="44"/>
  <c r="Z583" i="44"/>
  <c r="AF583" i="44"/>
  <c r="Z584" i="44"/>
  <c r="AF584" i="44"/>
  <c r="Z585" i="44"/>
  <c r="AF585" i="44"/>
  <c r="Z586" i="44"/>
  <c r="AF586" i="44"/>
  <c r="Z587" i="44"/>
  <c r="AF587" i="44"/>
  <c r="Z588" i="44"/>
  <c r="AF588" i="44"/>
  <c r="Z589" i="44"/>
  <c r="AF589" i="44"/>
  <c r="Z590" i="44"/>
  <c r="AF590" i="44"/>
  <c r="Z591" i="44"/>
  <c r="AF591" i="44"/>
  <c r="Z592" i="44"/>
  <c r="AF592" i="44"/>
  <c r="Z593" i="44"/>
  <c r="AF593" i="44"/>
  <c r="Z594" i="44"/>
  <c r="AF594" i="44"/>
  <c r="Z595" i="44"/>
  <c r="AF595" i="44"/>
  <c r="Z596" i="44"/>
  <c r="AF596" i="44"/>
  <c r="Z597" i="44"/>
  <c r="AF597" i="44"/>
  <c r="Z598" i="44"/>
  <c r="AF598" i="44"/>
  <c r="Z599" i="44"/>
  <c r="AF599" i="44"/>
  <c r="Z600" i="44"/>
  <c r="AF600" i="44"/>
  <c r="Z601" i="44"/>
  <c r="AF601" i="44"/>
  <c r="Z602" i="44"/>
  <c r="AF602" i="44"/>
  <c r="Z603" i="44"/>
  <c r="AF603" i="44"/>
  <c r="Z604" i="44"/>
  <c r="AF604" i="44"/>
  <c r="Z605" i="44"/>
  <c r="AF605" i="44"/>
  <c r="Z606" i="44"/>
  <c r="AF606" i="44"/>
  <c r="Z607" i="44"/>
  <c r="AF607" i="44"/>
  <c r="Z608" i="44"/>
  <c r="AF608" i="44"/>
  <c r="Z609" i="44"/>
  <c r="AF609" i="44"/>
  <c r="Z610" i="44"/>
  <c r="AF610" i="44"/>
  <c r="Z611" i="44"/>
  <c r="AF611" i="44"/>
  <c r="Z612" i="44"/>
  <c r="AF612" i="44"/>
  <c r="Z613" i="44"/>
  <c r="AF613" i="44"/>
  <c r="Z614" i="44"/>
  <c r="AF614" i="44"/>
  <c r="Z615" i="44"/>
  <c r="AF615" i="44"/>
  <c r="Z616" i="44"/>
  <c r="AF616" i="44"/>
  <c r="Z617" i="44"/>
  <c r="AF617" i="44"/>
  <c r="Z618" i="44"/>
  <c r="AF618" i="44"/>
  <c r="Z619" i="44"/>
  <c r="AF619" i="44"/>
  <c r="Z620" i="44"/>
  <c r="AF620" i="44"/>
  <c r="Z621" i="44"/>
  <c r="AF621" i="44"/>
  <c r="Z622" i="44"/>
  <c r="AF622" i="44"/>
  <c r="Z623" i="44"/>
  <c r="AF623" i="44"/>
  <c r="Z624" i="44"/>
  <c r="AF624" i="44"/>
  <c r="Z625" i="44"/>
  <c r="AF625" i="44"/>
  <c r="Z626" i="44"/>
  <c r="AF626" i="44"/>
  <c r="Z627" i="44"/>
  <c r="AF627" i="44"/>
  <c r="Z628" i="44"/>
  <c r="AF628" i="44"/>
  <c r="Z629" i="44"/>
  <c r="AF629" i="44"/>
  <c r="Y2" i="52"/>
  <c r="Z2" i="52"/>
  <c r="AA2" i="52"/>
  <c r="AE2" i="52"/>
  <c r="AF2" i="52"/>
  <c r="AG2" i="52"/>
  <c r="AK2" i="52"/>
  <c r="AL2" i="52"/>
  <c r="AP2" i="52"/>
  <c r="AQ2" i="52"/>
  <c r="AU2" i="52"/>
  <c r="AV2" i="52"/>
  <c r="Y3" i="52"/>
  <c r="Z3" i="52"/>
  <c r="AA3" i="52"/>
  <c r="AE3" i="52"/>
  <c r="AF3" i="52"/>
  <c r="AG3" i="52"/>
  <c r="AK3" i="52"/>
  <c r="AL3" i="52"/>
  <c r="AP3" i="52"/>
  <c r="AQ3" i="52"/>
  <c r="AU3" i="52"/>
  <c r="AV3" i="52"/>
  <c r="Y4" i="52"/>
  <c r="Z4" i="52"/>
  <c r="AA4" i="52"/>
  <c r="AE4" i="52"/>
  <c r="AF4" i="52"/>
  <c r="AG4" i="52"/>
  <c r="AK4" i="52"/>
  <c r="AL4" i="52"/>
  <c r="AP4" i="52"/>
  <c r="AQ4" i="52"/>
  <c r="AU4" i="52"/>
  <c r="AV4" i="52"/>
  <c r="Y5" i="52"/>
  <c r="Z5" i="52"/>
  <c r="AA5" i="52"/>
  <c r="AE5" i="52"/>
  <c r="AF5" i="52"/>
  <c r="AG5" i="52"/>
  <c r="AK5" i="52"/>
  <c r="AL5" i="52"/>
  <c r="AP5" i="52"/>
  <c r="AQ5" i="52"/>
  <c r="AU5" i="52"/>
  <c r="AV5" i="52"/>
  <c r="Y6" i="52"/>
  <c r="Z6" i="52"/>
  <c r="AA6" i="52"/>
  <c r="AE6" i="52"/>
  <c r="AF6" i="52"/>
  <c r="AG6" i="52"/>
  <c r="AK6" i="52"/>
  <c r="AL6" i="52"/>
  <c r="AP6" i="52"/>
  <c r="AQ6" i="52"/>
  <c r="AU6" i="52"/>
  <c r="AV6" i="52"/>
  <c r="Y7" i="52"/>
  <c r="Z7" i="52"/>
  <c r="AA7" i="52"/>
  <c r="AE7" i="52"/>
  <c r="AF7" i="52"/>
  <c r="AG7" i="52"/>
  <c r="AK7" i="52"/>
  <c r="AL7" i="52"/>
  <c r="AP7" i="52"/>
  <c r="AQ7" i="52"/>
  <c r="AU7" i="52"/>
  <c r="AV7" i="52"/>
  <c r="Y8" i="52"/>
  <c r="Z8" i="52"/>
  <c r="AA8" i="52"/>
  <c r="AE8" i="52"/>
  <c r="AF8" i="52"/>
  <c r="AG8" i="52"/>
  <c r="AK8" i="52"/>
  <c r="AL8" i="52"/>
  <c r="AP8" i="52"/>
  <c r="AQ8" i="52"/>
  <c r="AU8" i="52"/>
  <c r="AV8" i="52"/>
  <c r="Y9" i="52"/>
  <c r="Z9" i="52"/>
  <c r="AA9" i="52"/>
  <c r="AE9" i="52"/>
  <c r="AF9" i="52"/>
  <c r="AG9" i="52"/>
  <c r="AK9" i="52"/>
  <c r="AL9" i="52"/>
  <c r="AP9" i="52"/>
  <c r="AQ9" i="52"/>
  <c r="AU9" i="52"/>
  <c r="AV9" i="52"/>
  <c r="Y10" i="52"/>
  <c r="Z10" i="52"/>
  <c r="AA10" i="52"/>
  <c r="AE10" i="52"/>
  <c r="AF10" i="52"/>
  <c r="AG10" i="52"/>
  <c r="Y11" i="52"/>
  <c r="Z11" i="52"/>
  <c r="AA11" i="52"/>
  <c r="AE11" i="52"/>
  <c r="AF11" i="52"/>
  <c r="AG11" i="52"/>
  <c r="Y12" i="52"/>
  <c r="Z12" i="52"/>
  <c r="AA12" i="52"/>
  <c r="AE12" i="52"/>
  <c r="AF12" i="52"/>
  <c r="AG12" i="52"/>
  <c r="Y13" i="52"/>
  <c r="Z13" i="52"/>
  <c r="AA13" i="52"/>
  <c r="AE13" i="52"/>
  <c r="AF13" i="52"/>
  <c r="AG13" i="52"/>
  <c r="Y14" i="52"/>
  <c r="Z14" i="52"/>
  <c r="AA14" i="52"/>
  <c r="AE14" i="52"/>
  <c r="AF14" i="52"/>
  <c r="AG14" i="52"/>
  <c r="Y15" i="52"/>
  <c r="Z15" i="52"/>
  <c r="AA15" i="52"/>
  <c r="AE15" i="52"/>
  <c r="AF15" i="52"/>
  <c r="AG15" i="52"/>
  <c r="Y16" i="52"/>
  <c r="Z16" i="52"/>
  <c r="AA16" i="52"/>
  <c r="AE16" i="52"/>
  <c r="AF16" i="52"/>
  <c r="AG16" i="52"/>
  <c r="Y17" i="52"/>
  <c r="Z17" i="52"/>
  <c r="AA17" i="52"/>
  <c r="AE17" i="52"/>
  <c r="AF17" i="52"/>
  <c r="AG17" i="52"/>
  <c r="Y18" i="52"/>
  <c r="Z18" i="52"/>
  <c r="AA18" i="52"/>
  <c r="AE18" i="52"/>
  <c r="AF18" i="52"/>
  <c r="AG18" i="52"/>
  <c r="Y19" i="52"/>
  <c r="Z19" i="52"/>
  <c r="AA19" i="52"/>
  <c r="AE19" i="52"/>
  <c r="AF19" i="52"/>
  <c r="AG19" i="52"/>
  <c r="Y20" i="52"/>
  <c r="Z20" i="52"/>
  <c r="AA20" i="52"/>
  <c r="AE20" i="52"/>
  <c r="AF20" i="52"/>
  <c r="AG20" i="52"/>
  <c r="Y21" i="52"/>
  <c r="Z21" i="52"/>
  <c r="AA21" i="52"/>
  <c r="AE21" i="52"/>
  <c r="AF21" i="52"/>
  <c r="AG21" i="52"/>
  <c r="Y22" i="52"/>
  <c r="Z22" i="52"/>
  <c r="AA22" i="52"/>
  <c r="AE22" i="52"/>
  <c r="AF22" i="52"/>
  <c r="AG22" i="52"/>
  <c r="Y23" i="52"/>
  <c r="Z23" i="52"/>
  <c r="AA23" i="52"/>
  <c r="AE23" i="52"/>
  <c r="AF23" i="52"/>
  <c r="AG23" i="52"/>
  <c r="Y24" i="52"/>
  <c r="Z24" i="52"/>
  <c r="AA24" i="52"/>
  <c r="AE24" i="52"/>
  <c r="AF24" i="52"/>
  <c r="AG24" i="52"/>
  <c r="Y25" i="52"/>
  <c r="Z25" i="52"/>
  <c r="AA25" i="52"/>
  <c r="AE25" i="52"/>
  <c r="AF25" i="52"/>
  <c r="AG25" i="52"/>
  <c r="Y26" i="52"/>
  <c r="AE26" i="52"/>
  <c r="Y27" i="52"/>
  <c r="AE27" i="52"/>
  <c r="Y28" i="52"/>
  <c r="AE28" i="52"/>
  <c r="Y29" i="52"/>
  <c r="AE29" i="52"/>
  <c r="Y30" i="52"/>
  <c r="AE30" i="52"/>
  <c r="Y31" i="52"/>
  <c r="AE31" i="52"/>
  <c r="Y32" i="52"/>
  <c r="AE32" i="52"/>
  <c r="Y33" i="52"/>
  <c r="AE33" i="52"/>
  <c r="Y34" i="52"/>
  <c r="AE34" i="52"/>
  <c r="Y35" i="52"/>
  <c r="AE35" i="52"/>
  <c r="Y36" i="52"/>
  <c r="AE36" i="52"/>
  <c r="Y37" i="52"/>
  <c r="AE37" i="52"/>
  <c r="Y38" i="52"/>
  <c r="AE38" i="52"/>
  <c r="Y39" i="52"/>
  <c r="AE39" i="52"/>
  <c r="Y40" i="52"/>
  <c r="AE40" i="52"/>
  <c r="Y41" i="52"/>
  <c r="AE41" i="52"/>
  <c r="Y42" i="52"/>
  <c r="AE42" i="52"/>
  <c r="Y43" i="52"/>
  <c r="AE43" i="52"/>
  <c r="Y44" i="52"/>
  <c r="AE44" i="52"/>
  <c r="Y45" i="52"/>
  <c r="AE45" i="52"/>
  <c r="Y46" i="52"/>
  <c r="AE46" i="52"/>
  <c r="Y47" i="52"/>
  <c r="AE47" i="52"/>
  <c r="Y48" i="52"/>
  <c r="AE48" i="52"/>
  <c r="Y49" i="52"/>
  <c r="AE49" i="52"/>
  <c r="Z50" i="52"/>
  <c r="AA50" i="52"/>
  <c r="AF50" i="52"/>
  <c r="AG50" i="52"/>
  <c r="Z51" i="52"/>
  <c r="AA51" i="52"/>
  <c r="AF51" i="52"/>
  <c r="AG51" i="52"/>
  <c r="Z52" i="52"/>
  <c r="AA52" i="52"/>
  <c r="AF52" i="52"/>
  <c r="AG52" i="52"/>
  <c r="Z53" i="52"/>
  <c r="AA53" i="52"/>
  <c r="AF53" i="52"/>
  <c r="AG53" i="52"/>
  <c r="Z54" i="52"/>
  <c r="AA54" i="52"/>
  <c r="AF54" i="52"/>
  <c r="AG54" i="52"/>
  <c r="Z55" i="52"/>
  <c r="AA55" i="52"/>
  <c r="AF55" i="52"/>
  <c r="AG55" i="52"/>
  <c r="Z56" i="52"/>
  <c r="AA56" i="52"/>
  <c r="AF56" i="52"/>
  <c r="AG56" i="52"/>
  <c r="Z57" i="52"/>
  <c r="AA57" i="52"/>
  <c r="AF57" i="52"/>
  <c r="AG57" i="52"/>
  <c r="Z58" i="52"/>
  <c r="AA58" i="52"/>
  <c r="AF58" i="52"/>
  <c r="AG58" i="52"/>
  <c r="Z59" i="52"/>
  <c r="AA59" i="52"/>
  <c r="AF59" i="52"/>
  <c r="AG59" i="52"/>
  <c r="Z60" i="52"/>
  <c r="AA60" i="52"/>
  <c r="AF60" i="52"/>
  <c r="AG60" i="52"/>
  <c r="Z61" i="52"/>
  <c r="AA61" i="52"/>
  <c r="AF61" i="52"/>
  <c r="AG61" i="52"/>
  <c r="Z62" i="52"/>
  <c r="AA62" i="52"/>
  <c r="AF62" i="52"/>
  <c r="AG62" i="52"/>
  <c r="Z63" i="52"/>
  <c r="AA63" i="52"/>
  <c r="AF63" i="52"/>
  <c r="AG63" i="52"/>
  <c r="Z64" i="52"/>
  <c r="AA64" i="52"/>
  <c r="AF64" i="52"/>
  <c r="AG64" i="52"/>
  <c r="Z65" i="52"/>
  <c r="AA65" i="52"/>
  <c r="AF65" i="52"/>
  <c r="AG65" i="52"/>
  <c r="Z66" i="52"/>
  <c r="AA66" i="52"/>
  <c r="AF66" i="52"/>
  <c r="AG66" i="52"/>
  <c r="Z67" i="52"/>
  <c r="AA67" i="52"/>
  <c r="AF67" i="52"/>
  <c r="AG67" i="52"/>
  <c r="Z68" i="52"/>
  <c r="AA68" i="52"/>
  <c r="AF68" i="52"/>
  <c r="AG68" i="52"/>
  <c r="Z69" i="52"/>
  <c r="AA69" i="52"/>
  <c r="AF69" i="52"/>
  <c r="AG69" i="52"/>
  <c r="Z70" i="52"/>
  <c r="AA70" i="52"/>
  <c r="AF70" i="52"/>
  <c r="AG70" i="52"/>
  <c r="Z71" i="52"/>
  <c r="AA71" i="52"/>
  <c r="AF71" i="52"/>
  <c r="AG71" i="52"/>
  <c r="Z72" i="52"/>
  <c r="AA72" i="52"/>
  <c r="AF72" i="52"/>
  <c r="AG72" i="52"/>
  <c r="Z73" i="52"/>
  <c r="AA73" i="52"/>
  <c r="AF73" i="52"/>
  <c r="AG73" i="52"/>
  <c r="Y74" i="52"/>
  <c r="AE74" i="52"/>
  <c r="Y75" i="52"/>
  <c r="AE75" i="52"/>
  <c r="Y76" i="52"/>
  <c r="AE76" i="52"/>
  <c r="Y77" i="52"/>
  <c r="AE77" i="52"/>
  <c r="Y78" i="52"/>
  <c r="AE78" i="52"/>
  <c r="Y79" i="52"/>
  <c r="AE79" i="52"/>
  <c r="Y80" i="52"/>
  <c r="AE80" i="52"/>
  <c r="Y81" i="52"/>
  <c r="AE81" i="52"/>
  <c r="Y82" i="52"/>
  <c r="AE82" i="52"/>
  <c r="Y83" i="52"/>
  <c r="AE83" i="52"/>
  <c r="Y84" i="52"/>
  <c r="AE84" i="52"/>
  <c r="Y85" i="52"/>
  <c r="AE85" i="52"/>
  <c r="Y86" i="52"/>
  <c r="AE86" i="52"/>
  <c r="Y87" i="52"/>
  <c r="AE87" i="52"/>
  <c r="Y88" i="52"/>
  <c r="AE88" i="52"/>
  <c r="Y89" i="52"/>
  <c r="AE89" i="52"/>
  <c r="Y90" i="52"/>
  <c r="AE90" i="52"/>
  <c r="Y91" i="52"/>
  <c r="AE91" i="52"/>
  <c r="Y92" i="52"/>
  <c r="AE92" i="52"/>
  <c r="Y93" i="52"/>
  <c r="AE93" i="52"/>
  <c r="Y94" i="52"/>
  <c r="AE94" i="52"/>
  <c r="Y95" i="52"/>
  <c r="AE95" i="52"/>
  <c r="Y96" i="52"/>
  <c r="AE96" i="52"/>
  <c r="Y97" i="52"/>
  <c r="AE97" i="52"/>
  <c r="Z98" i="52"/>
  <c r="AA98" i="52"/>
  <c r="AF98" i="52"/>
  <c r="AG98" i="52"/>
  <c r="Z99" i="52"/>
  <c r="AA99" i="52"/>
  <c r="AF99" i="52"/>
  <c r="AG99" i="52"/>
  <c r="Z100" i="52"/>
  <c r="AA100" i="52"/>
  <c r="AF100" i="52"/>
  <c r="AG100" i="52"/>
  <c r="Z101" i="52"/>
  <c r="AA101" i="52"/>
  <c r="AF101" i="52"/>
  <c r="AG101" i="52"/>
  <c r="Z102" i="52"/>
  <c r="AA102" i="52"/>
  <c r="AF102" i="52"/>
  <c r="AG102" i="52"/>
  <c r="Z103" i="52"/>
  <c r="AA103" i="52"/>
  <c r="AF103" i="52"/>
  <c r="AG103" i="52"/>
  <c r="Z104" i="52"/>
  <c r="AA104" i="52"/>
  <c r="AF104" i="52"/>
  <c r="AG104" i="52"/>
  <c r="Z105" i="52"/>
  <c r="AA105" i="52"/>
  <c r="AF105" i="52"/>
  <c r="AG105" i="52"/>
  <c r="Z106" i="52"/>
  <c r="AA106" i="52"/>
  <c r="AF106" i="52"/>
  <c r="AG106" i="52"/>
  <c r="Z107" i="52"/>
  <c r="AA107" i="52"/>
  <c r="AF107" i="52"/>
  <c r="AG107" i="52"/>
  <c r="Z108" i="52"/>
  <c r="AA108" i="52"/>
  <c r="AF108" i="52"/>
  <c r="AG108" i="52"/>
  <c r="Z109" i="52"/>
  <c r="AA109" i="52"/>
  <c r="AF109" i="52"/>
  <c r="AG109" i="52"/>
  <c r="Z110" i="52"/>
  <c r="AA110" i="52"/>
  <c r="AF110" i="52"/>
  <c r="AG110" i="52"/>
  <c r="Z111" i="52"/>
  <c r="AA111" i="52"/>
  <c r="AF111" i="52"/>
  <c r="AG111" i="52"/>
  <c r="Z112" i="52"/>
  <c r="AA112" i="52"/>
  <c r="AF112" i="52"/>
  <c r="AG112" i="52"/>
  <c r="Z113" i="52"/>
  <c r="AA113" i="52"/>
  <c r="AF113" i="52"/>
  <c r="AG113" i="52"/>
  <c r="Z114" i="52"/>
  <c r="AA114" i="52"/>
  <c r="AF114" i="52"/>
  <c r="AG114" i="52"/>
  <c r="Z115" i="52"/>
  <c r="AA115" i="52"/>
  <c r="AF115" i="52"/>
  <c r="AG115" i="52"/>
  <c r="Z116" i="52"/>
  <c r="AA116" i="52"/>
  <c r="AF116" i="52"/>
  <c r="AG116" i="52"/>
  <c r="Z117" i="52"/>
  <c r="AA117" i="52"/>
  <c r="AF117" i="52"/>
  <c r="AG117" i="52"/>
  <c r="Z118" i="52"/>
  <c r="AA118" i="52"/>
  <c r="AF118" i="52"/>
  <c r="AG118" i="52"/>
  <c r="Z119" i="52"/>
  <c r="AA119" i="52"/>
  <c r="AF119" i="52"/>
  <c r="AG119" i="52"/>
  <c r="Z120" i="52"/>
  <c r="AA120" i="52"/>
  <c r="AF120" i="52"/>
  <c r="AG120" i="52"/>
  <c r="Z121" i="52"/>
  <c r="AA121" i="52"/>
  <c r="AF121" i="52"/>
  <c r="AG121" i="52"/>
  <c r="Z122" i="52"/>
  <c r="AF122" i="52"/>
  <c r="Z123" i="52"/>
  <c r="AF123" i="52"/>
  <c r="Z124" i="52"/>
  <c r="AF124" i="52"/>
  <c r="Z125" i="52"/>
  <c r="AF125" i="52"/>
  <c r="Z126" i="52"/>
  <c r="AF126" i="52"/>
  <c r="Z127" i="52"/>
  <c r="AF127" i="52"/>
  <c r="Z128" i="52"/>
  <c r="AF128" i="52"/>
  <c r="Z129" i="52"/>
  <c r="AF129" i="52"/>
  <c r="Z130" i="52"/>
  <c r="AF130" i="52"/>
  <c r="Z131" i="52"/>
  <c r="AF131" i="52"/>
  <c r="Z132" i="52"/>
  <c r="AF132" i="52"/>
  <c r="Z133" i="52"/>
  <c r="AF133" i="52"/>
  <c r="Y134" i="52"/>
  <c r="AE134" i="52"/>
  <c r="Y135" i="52"/>
  <c r="AE135" i="52"/>
  <c r="Y136" i="52"/>
  <c r="AE136" i="52"/>
  <c r="Y137" i="52"/>
  <c r="AE137" i="52"/>
  <c r="Y138" i="52"/>
  <c r="AE138" i="52"/>
  <c r="Y139" i="52"/>
  <c r="AE139" i="52"/>
  <c r="Y140" i="52"/>
  <c r="AE140" i="52"/>
  <c r="Y141" i="52"/>
  <c r="AE141" i="52"/>
  <c r="Y142" i="52"/>
  <c r="AE142" i="52"/>
  <c r="Y143" i="52"/>
  <c r="AE143" i="52"/>
  <c r="Y144" i="52"/>
  <c r="AE144" i="52"/>
  <c r="Y145" i="52"/>
  <c r="AE145" i="52"/>
  <c r="Z146" i="52"/>
  <c r="AF146" i="52"/>
  <c r="Z147" i="52"/>
  <c r="AF147" i="52"/>
  <c r="Z148" i="52"/>
  <c r="AF148" i="52"/>
  <c r="Z149" i="52"/>
  <c r="AF149" i="52"/>
  <c r="Z150" i="52"/>
  <c r="AF150" i="52"/>
  <c r="Z151" i="52"/>
  <c r="AF151" i="52"/>
  <c r="Z152" i="52"/>
  <c r="AF152" i="52"/>
  <c r="Z153" i="52"/>
  <c r="AF153" i="52"/>
  <c r="Z154" i="52"/>
  <c r="AF154" i="52"/>
  <c r="Z155" i="52"/>
  <c r="AF155" i="52"/>
  <c r="Z156" i="52"/>
  <c r="AF156" i="52"/>
  <c r="Z157" i="52"/>
  <c r="AF157" i="52"/>
  <c r="Z158" i="52"/>
  <c r="AA158" i="52"/>
  <c r="AF158" i="52"/>
  <c r="AG158" i="52"/>
  <c r="Z159" i="52"/>
  <c r="AA159" i="52"/>
  <c r="AF159" i="52"/>
  <c r="AG159" i="52"/>
  <c r="Z160" i="52"/>
  <c r="AA160" i="52"/>
  <c r="AF160" i="52"/>
  <c r="AG160" i="52"/>
  <c r="Z161" i="52"/>
  <c r="AA161" i="52"/>
  <c r="AF161" i="52"/>
  <c r="AG161" i="52"/>
  <c r="Z162" i="52"/>
  <c r="AA162" i="52"/>
  <c r="AF162" i="52"/>
  <c r="AG162" i="52"/>
  <c r="Z163" i="52"/>
  <c r="AA163" i="52"/>
  <c r="AF163" i="52"/>
  <c r="AG163" i="52"/>
  <c r="Z164" i="52"/>
  <c r="AA164" i="52"/>
  <c r="AF164" i="52"/>
  <c r="AG164" i="52"/>
  <c r="Z165" i="52"/>
  <c r="AA165" i="52"/>
  <c r="AF165" i="52"/>
  <c r="AG165" i="52"/>
  <c r="Z166" i="52"/>
  <c r="AA166" i="52"/>
  <c r="AF166" i="52"/>
  <c r="AG166" i="52"/>
  <c r="Z167" i="52"/>
  <c r="AA167" i="52"/>
  <c r="AF167" i="52"/>
  <c r="AG167" i="52"/>
  <c r="Z168" i="52"/>
  <c r="AA168" i="52"/>
  <c r="AF168" i="52"/>
  <c r="AG168" i="52"/>
  <c r="Z169" i="52"/>
  <c r="AA169" i="52"/>
  <c r="AF169" i="52"/>
  <c r="AG169" i="52"/>
  <c r="Z170" i="52"/>
  <c r="AA170" i="52"/>
  <c r="AF170" i="52"/>
  <c r="AG170" i="52"/>
  <c r="Z171" i="52"/>
  <c r="AA171" i="52"/>
  <c r="AF171" i="52"/>
  <c r="AG171" i="52"/>
  <c r="Z172" i="52"/>
  <c r="AA172" i="52"/>
  <c r="AF172" i="52"/>
  <c r="AG172" i="52"/>
  <c r="Z173" i="52"/>
  <c r="AA173" i="52"/>
  <c r="AF173" i="52"/>
  <c r="AG173" i="52"/>
  <c r="Z174" i="52"/>
  <c r="AA174" i="52"/>
  <c r="AF174" i="52"/>
  <c r="AG174" i="52"/>
  <c r="Z175" i="52"/>
  <c r="AA175" i="52"/>
  <c r="AF175" i="52"/>
  <c r="AG175" i="52"/>
  <c r="Z176" i="52"/>
  <c r="AA176" i="52"/>
  <c r="AF176" i="52"/>
  <c r="AG176" i="52"/>
  <c r="Z177" i="52"/>
  <c r="AA177" i="52"/>
  <c r="AF177" i="52"/>
  <c r="AG177" i="52"/>
  <c r="Z178" i="52"/>
  <c r="AA178" i="52"/>
  <c r="AF178" i="52"/>
  <c r="AG178" i="52"/>
  <c r="Z179" i="52"/>
  <c r="AA179" i="52"/>
  <c r="AF179" i="52"/>
  <c r="AG179" i="52"/>
  <c r="Z180" i="52"/>
  <c r="AA180" i="52"/>
  <c r="AF180" i="52"/>
  <c r="AG180" i="52"/>
  <c r="Z181" i="52"/>
  <c r="AA181" i="52"/>
  <c r="AF181" i="52"/>
  <c r="AG181" i="52"/>
  <c r="Y182" i="52"/>
  <c r="AE182" i="52"/>
  <c r="Y183" i="52"/>
  <c r="AE183" i="52"/>
  <c r="Y184" i="52"/>
  <c r="AE184" i="52"/>
  <c r="Y185" i="52"/>
  <c r="AE185" i="52"/>
  <c r="Y186" i="52"/>
  <c r="AE186" i="52"/>
  <c r="Y187" i="52"/>
  <c r="AE187" i="52"/>
  <c r="Y188" i="52"/>
  <c r="AE188" i="52"/>
  <c r="Y189" i="52"/>
  <c r="AE189" i="52"/>
  <c r="Y190" i="52"/>
  <c r="AE190" i="52"/>
  <c r="Y191" i="52"/>
  <c r="AE191" i="52"/>
  <c r="Y192" i="52"/>
  <c r="AE192" i="52"/>
  <c r="Y193" i="52"/>
  <c r="AE193" i="52"/>
  <c r="Y194" i="52"/>
  <c r="AE194" i="52"/>
  <c r="Y195" i="52"/>
  <c r="AE195" i="52"/>
  <c r="Y196" i="52"/>
  <c r="AE196" i="52"/>
  <c r="Y197" i="52"/>
  <c r="AE197" i="52"/>
  <c r="Y198" i="52"/>
  <c r="AE198" i="52"/>
  <c r="Y199" i="52"/>
  <c r="AE199" i="52"/>
  <c r="Y200" i="52"/>
  <c r="AE200" i="52"/>
  <c r="Y201" i="52"/>
  <c r="AE201" i="52"/>
  <c r="Y202" i="52"/>
  <c r="AE202" i="52"/>
  <c r="Y203" i="52"/>
  <c r="AE203" i="52"/>
  <c r="Y204" i="52"/>
  <c r="AE204" i="52"/>
  <c r="Y205" i="52"/>
  <c r="AE205" i="52"/>
  <c r="Z206" i="52"/>
  <c r="AA206" i="52"/>
  <c r="AF206" i="52"/>
  <c r="AG206" i="52"/>
  <c r="Z207" i="52"/>
  <c r="AA207" i="52"/>
  <c r="AF207" i="52"/>
  <c r="AG207" i="52"/>
  <c r="Z208" i="52"/>
  <c r="AA208" i="52"/>
  <c r="AF208" i="52"/>
  <c r="AG208" i="52"/>
  <c r="Z209" i="52"/>
  <c r="AA209" i="52"/>
  <c r="AF209" i="52"/>
  <c r="AG209" i="52"/>
  <c r="Z210" i="52"/>
  <c r="AA210" i="52"/>
  <c r="AF210" i="52"/>
  <c r="AG210" i="52"/>
  <c r="Z211" i="52"/>
  <c r="AA211" i="52"/>
  <c r="AF211" i="52"/>
  <c r="AG211" i="52"/>
  <c r="Z212" i="52"/>
  <c r="AA212" i="52"/>
  <c r="AF212" i="52"/>
  <c r="AG212" i="52"/>
  <c r="Z213" i="52"/>
  <c r="AA213" i="52"/>
  <c r="AF213" i="52"/>
  <c r="AG213" i="52"/>
  <c r="Z214" i="52"/>
  <c r="AA214" i="52"/>
  <c r="AF214" i="52"/>
  <c r="AG214" i="52"/>
  <c r="Z215" i="52"/>
  <c r="AA215" i="52"/>
  <c r="AF215" i="52"/>
  <c r="AG215" i="52"/>
  <c r="Z216" i="52"/>
  <c r="AA216" i="52"/>
  <c r="AF216" i="52"/>
  <c r="AG216" i="52"/>
  <c r="Z217" i="52"/>
  <c r="AA217" i="52"/>
  <c r="AF217" i="52"/>
  <c r="AG217" i="52"/>
  <c r="Z218" i="52"/>
  <c r="AA218" i="52"/>
  <c r="AF218" i="52"/>
  <c r="AG218" i="52"/>
  <c r="Z219" i="52"/>
  <c r="AA219" i="52"/>
  <c r="AF219" i="52"/>
  <c r="AG219" i="52"/>
  <c r="Z220" i="52"/>
  <c r="AA220" i="52"/>
  <c r="AF220" i="52"/>
  <c r="AG220" i="52"/>
  <c r="Z221" i="52"/>
  <c r="AA221" i="52"/>
  <c r="AF221" i="52"/>
  <c r="AG221" i="52"/>
  <c r="Z222" i="52"/>
  <c r="AA222" i="52"/>
  <c r="AF222" i="52"/>
  <c r="AG222" i="52"/>
  <c r="Z223" i="52"/>
  <c r="AA223" i="52"/>
  <c r="AF223" i="52"/>
  <c r="AG223" i="52"/>
  <c r="Z224" i="52"/>
  <c r="AA224" i="52"/>
  <c r="AF224" i="52"/>
  <c r="AG224" i="52"/>
  <c r="Z225" i="52"/>
  <c r="AA225" i="52"/>
  <c r="AF225" i="52"/>
  <c r="AG225" i="52"/>
  <c r="Z226" i="52"/>
  <c r="AA226" i="52"/>
  <c r="AF226" i="52"/>
  <c r="AG226" i="52"/>
  <c r="Z227" i="52"/>
  <c r="AA227" i="52"/>
  <c r="AF227" i="52"/>
  <c r="AG227" i="52"/>
  <c r="Z228" i="52"/>
  <c r="AA228" i="52"/>
  <c r="AF228" i="52"/>
  <c r="AG228" i="52"/>
  <c r="Z229" i="52"/>
  <c r="AA229" i="52"/>
  <c r="AF229" i="52"/>
  <c r="AG229" i="52"/>
  <c r="Z230" i="52"/>
  <c r="AA230" i="52"/>
  <c r="AF230" i="52"/>
  <c r="AG230" i="52"/>
  <c r="Z231" i="52"/>
  <c r="AA231" i="52"/>
  <c r="AF231" i="52"/>
  <c r="AG231" i="52"/>
  <c r="Z232" i="52"/>
  <c r="AA232" i="52"/>
  <c r="AF232" i="52"/>
  <c r="AG232" i="52"/>
  <c r="Z233" i="52"/>
  <c r="AA233" i="52"/>
  <c r="AF233" i="52"/>
  <c r="AG233" i="52"/>
  <c r="Z234" i="52"/>
  <c r="AA234" i="52"/>
  <c r="AF234" i="52"/>
  <c r="AG234" i="52"/>
  <c r="Z235" i="52"/>
  <c r="AA235" i="52"/>
  <c r="AF235" i="52"/>
  <c r="AG235" i="52"/>
  <c r="Z236" i="52"/>
  <c r="AA236" i="52"/>
  <c r="AF236" i="52"/>
  <c r="AG236" i="52"/>
  <c r="Z237" i="52"/>
  <c r="AA237" i="52"/>
  <c r="AF237" i="52"/>
  <c r="AG237" i="52"/>
  <c r="Z238" i="52"/>
  <c r="AA238" i="52"/>
  <c r="AF238" i="52"/>
  <c r="AG238" i="52"/>
  <c r="Z239" i="52"/>
  <c r="AA239" i="52"/>
  <c r="AF239" i="52"/>
  <c r="AG239" i="52"/>
  <c r="Z240" i="52"/>
  <c r="AA240" i="52"/>
  <c r="AF240" i="52"/>
  <c r="AG240" i="52"/>
  <c r="Z241" i="52"/>
  <c r="AA241" i="52"/>
  <c r="AF241" i="52"/>
  <c r="AG241" i="52"/>
  <c r="Y242" i="52"/>
  <c r="AE242" i="52"/>
  <c r="Y243" i="52"/>
  <c r="AE243" i="52"/>
  <c r="Y244" i="52"/>
  <c r="AE244" i="52"/>
  <c r="Y245" i="52"/>
  <c r="AE245" i="52"/>
  <c r="Y246" i="52"/>
  <c r="AE246" i="52"/>
  <c r="Y247" i="52"/>
  <c r="AE247" i="52"/>
  <c r="Y248" i="52"/>
  <c r="AE248" i="52"/>
  <c r="Y249" i="52"/>
  <c r="AE249" i="52"/>
  <c r="Y250" i="52"/>
  <c r="AE250" i="52"/>
  <c r="Y251" i="52"/>
  <c r="AE251" i="52"/>
  <c r="Y252" i="52"/>
  <c r="AE252" i="52"/>
  <c r="Y253" i="52"/>
  <c r="AE253" i="52"/>
  <c r="Z254" i="52"/>
  <c r="AA254" i="52"/>
  <c r="AF254" i="52"/>
  <c r="AG254" i="52"/>
  <c r="Z255" i="52"/>
  <c r="AA255" i="52"/>
  <c r="AF255" i="52"/>
  <c r="AG255" i="52"/>
  <c r="Z256" i="52"/>
  <c r="AA256" i="52"/>
  <c r="AF256" i="52"/>
  <c r="AG256" i="52"/>
  <c r="Z257" i="52"/>
  <c r="AA257" i="52"/>
  <c r="AF257" i="52"/>
  <c r="AG257" i="52"/>
  <c r="Z258" i="52"/>
  <c r="AA258" i="52"/>
  <c r="AF258" i="52"/>
  <c r="AG258" i="52"/>
  <c r="Z259" i="52"/>
  <c r="AA259" i="52"/>
  <c r="AF259" i="52"/>
  <c r="AG259" i="52"/>
  <c r="Z260" i="52"/>
  <c r="AA260" i="52"/>
  <c r="AF260" i="52"/>
  <c r="AG260" i="52"/>
  <c r="Z261" i="52"/>
  <c r="AA261" i="52"/>
  <c r="AF261" i="52"/>
  <c r="AG261" i="52"/>
  <c r="Z262" i="52"/>
  <c r="AA262" i="52"/>
  <c r="AF262" i="52"/>
  <c r="AG262" i="52"/>
  <c r="Z263" i="52"/>
  <c r="AA263" i="52"/>
  <c r="AF263" i="52"/>
  <c r="AG263" i="52"/>
  <c r="Z264" i="52"/>
  <c r="AA264" i="52"/>
  <c r="AF264" i="52"/>
  <c r="AG264" i="52"/>
  <c r="Z265" i="52"/>
  <c r="AA265" i="52"/>
  <c r="AF265" i="52"/>
  <c r="AG265" i="52"/>
  <c r="Z266" i="52"/>
  <c r="AA266" i="52"/>
  <c r="AF266" i="52"/>
  <c r="AG266" i="52"/>
  <c r="Z267" i="52"/>
  <c r="AA267" i="52"/>
  <c r="AF267" i="52"/>
  <c r="AG267" i="52"/>
  <c r="Z268" i="52"/>
  <c r="AA268" i="52"/>
  <c r="AF268" i="52"/>
  <c r="AG268" i="52"/>
  <c r="Z269" i="52"/>
  <c r="AA269" i="52"/>
  <c r="AF269" i="52"/>
  <c r="AG269" i="52"/>
  <c r="Z270" i="52"/>
  <c r="AA270" i="52"/>
  <c r="AF270" i="52"/>
  <c r="AG270" i="52"/>
  <c r="Z271" i="52"/>
  <c r="AA271" i="52"/>
  <c r="AF271" i="52"/>
  <c r="AG271" i="52"/>
  <c r="Z272" i="52"/>
  <c r="AA272" i="52"/>
  <c r="AF272" i="52"/>
  <c r="AG272" i="52"/>
  <c r="Z273" i="52"/>
  <c r="AA273" i="52"/>
  <c r="AF273" i="52"/>
  <c r="AG273" i="52"/>
  <c r="Z274" i="52"/>
  <c r="AA274" i="52"/>
  <c r="AF274" i="52"/>
  <c r="AG274" i="52"/>
  <c r="Z275" i="52"/>
  <c r="AA275" i="52"/>
  <c r="AF275" i="52"/>
  <c r="AG275" i="52"/>
  <c r="Z276" i="52"/>
  <c r="AA276" i="52"/>
  <c r="AF276" i="52"/>
  <c r="AG276" i="52"/>
  <c r="Z277" i="52"/>
  <c r="AA277" i="52"/>
  <c r="AF277" i="52"/>
  <c r="AG277" i="52"/>
  <c r="Z278" i="52"/>
  <c r="AA278" i="52"/>
  <c r="AF278" i="52"/>
  <c r="AG278" i="52"/>
  <c r="Z279" i="52"/>
  <c r="AA279" i="52"/>
  <c r="AF279" i="52"/>
  <c r="AG279" i="52"/>
  <c r="Z280" i="52"/>
  <c r="AA280" i="52"/>
  <c r="AF280" i="52"/>
  <c r="AG280" i="52"/>
  <c r="Z281" i="52"/>
  <c r="AA281" i="52"/>
  <c r="AF281" i="52"/>
  <c r="AG281" i="52"/>
  <c r="Z282" i="52"/>
  <c r="AA282" i="52"/>
  <c r="AF282" i="52"/>
  <c r="AG282" i="52"/>
  <c r="Z283" i="52"/>
  <c r="AA283" i="52"/>
  <c r="AF283" i="52"/>
  <c r="AG283" i="52"/>
  <c r="Z284" i="52"/>
  <c r="AA284" i="52"/>
  <c r="AF284" i="52"/>
  <c r="AG284" i="52"/>
  <c r="Z285" i="52"/>
  <c r="AA285" i="52"/>
  <c r="AF285" i="52"/>
  <c r="AG285" i="52"/>
  <c r="Z286" i="52"/>
  <c r="AA286" i="52"/>
  <c r="AF286" i="52"/>
  <c r="AG286" i="52"/>
  <c r="Z287" i="52"/>
  <c r="AA287" i="52"/>
  <c r="AF287" i="52"/>
  <c r="AG287" i="52"/>
  <c r="Z288" i="52"/>
  <c r="AA288" i="52"/>
  <c r="AF288" i="52"/>
  <c r="AG288" i="52"/>
  <c r="Z289" i="52"/>
  <c r="AA289" i="52"/>
  <c r="AF289" i="52"/>
  <c r="AG289" i="52"/>
  <c r="Y290" i="52"/>
  <c r="AE290" i="52"/>
  <c r="Y291" i="52"/>
  <c r="AE291" i="52"/>
  <c r="Y292" i="52"/>
  <c r="AE292" i="52"/>
  <c r="Y293" i="52"/>
  <c r="AE293" i="52"/>
  <c r="Y294" i="52"/>
  <c r="AE294" i="52"/>
  <c r="Y295" i="52"/>
  <c r="AE295" i="52"/>
  <c r="Y296" i="52"/>
  <c r="AE296" i="52"/>
  <c r="Y297" i="52"/>
  <c r="AE297" i="52"/>
  <c r="Y298" i="52"/>
  <c r="AE298" i="52"/>
  <c r="Y299" i="52"/>
  <c r="AE299" i="52"/>
  <c r="Y300" i="52"/>
  <c r="AE300" i="52"/>
  <c r="Y301" i="52"/>
  <c r="AE301" i="52"/>
  <c r="Z302" i="52"/>
  <c r="AA302" i="52"/>
  <c r="AF302" i="52"/>
  <c r="AG302" i="52"/>
  <c r="Z303" i="52"/>
  <c r="AA303" i="52"/>
  <c r="AF303" i="52"/>
  <c r="AG303" i="52"/>
  <c r="Z304" i="52"/>
  <c r="AA304" i="52"/>
  <c r="AF304" i="52"/>
  <c r="AG304" i="52"/>
  <c r="Z305" i="52"/>
  <c r="AA305" i="52"/>
  <c r="AF305" i="52"/>
  <c r="AG305" i="52"/>
  <c r="Z306" i="52"/>
  <c r="AA306" i="52"/>
  <c r="AF306" i="52"/>
  <c r="AG306" i="52"/>
  <c r="Z307" i="52"/>
  <c r="AA307" i="52"/>
  <c r="AF307" i="52"/>
  <c r="AG307" i="52"/>
  <c r="Z308" i="52"/>
  <c r="AA308" i="52"/>
  <c r="AF308" i="52"/>
  <c r="AG308" i="52"/>
  <c r="Z309" i="52"/>
  <c r="AA309" i="52"/>
  <c r="AF309" i="52"/>
  <c r="AG309" i="52"/>
  <c r="Z310" i="52"/>
  <c r="AA310" i="52"/>
  <c r="AF310" i="52"/>
  <c r="AG310" i="52"/>
  <c r="Z311" i="52"/>
  <c r="AA311" i="52"/>
  <c r="AF311" i="52"/>
  <c r="AG311" i="52"/>
  <c r="Z312" i="52"/>
  <c r="AA312" i="52"/>
  <c r="AF312" i="52"/>
  <c r="AG312" i="52"/>
  <c r="Z313" i="52"/>
  <c r="AA313" i="52"/>
  <c r="AF313" i="52"/>
  <c r="AG313" i="52"/>
  <c r="Z314" i="52"/>
  <c r="AA314" i="52"/>
  <c r="AF314" i="52"/>
  <c r="AG314" i="52"/>
  <c r="Z315" i="52"/>
  <c r="AA315" i="52"/>
  <c r="AF315" i="52"/>
  <c r="AG315" i="52"/>
  <c r="Z316" i="52"/>
  <c r="AA316" i="52"/>
  <c r="AF316" i="52"/>
  <c r="AG316" i="52"/>
  <c r="Z317" i="52"/>
  <c r="AA317" i="52"/>
  <c r="AF317" i="52"/>
  <c r="AG317" i="52"/>
  <c r="Z318" i="52"/>
  <c r="AA318" i="52"/>
  <c r="AF318" i="52"/>
  <c r="AG318" i="52"/>
  <c r="Z319" i="52"/>
  <c r="AA319" i="52"/>
  <c r="AF319" i="52"/>
  <c r="AG319" i="52"/>
  <c r="Z320" i="52"/>
  <c r="AA320" i="52"/>
  <c r="AF320" i="52"/>
  <c r="AG320" i="52"/>
  <c r="Z321" i="52"/>
  <c r="AA321" i="52"/>
  <c r="AF321" i="52"/>
  <c r="AG321" i="52"/>
  <c r="Z322" i="52"/>
  <c r="AA322" i="52"/>
  <c r="AF322" i="52"/>
  <c r="AG322" i="52"/>
  <c r="Z323" i="52"/>
  <c r="AA323" i="52"/>
  <c r="AF323" i="52"/>
  <c r="AG323" i="52"/>
  <c r="Z324" i="52"/>
  <c r="AA324" i="52"/>
  <c r="AF324" i="52"/>
  <c r="AG324" i="52"/>
  <c r="Z325" i="52"/>
  <c r="AA325" i="52"/>
  <c r="AF325" i="52"/>
  <c r="AG325" i="52"/>
  <c r="Y326" i="52"/>
  <c r="AE326" i="52"/>
  <c r="Y327" i="52"/>
  <c r="AE327" i="52"/>
  <c r="Y328" i="52"/>
  <c r="AE328" i="52"/>
  <c r="Y329" i="52"/>
  <c r="AE329" i="52"/>
  <c r="Y330" i="52"/>
  <c r="AE330" i="52"/>
  <c r="Y331" i="52"/>
  <c r="AE331" i="52"/>
  <c r="Y332" i="52"/>
  <c r="AE332" i="52"/>
  <c r="Y333" i="52"/>
  <c r="AE333" i="52"/>
  <c r="Y334" i="52"/>
  <c r="AE334" i="52"/>
  <c r="Y335" i="52"/>
  <c r="AE335" i="52"/>
  <c r="Y336" i="52"/>
  <c r="AE336" i="52"/>
  <c r="Y337" i="52"/>
  <c r="AE337" i="52"/>
  <c r="Z338" i="52"/>
  <c r="AA338" i="52"/>
  <c r="AF338" i="52"/>
  <c r="AG338" i="52"/>
  <c r="Z339" i="52"/>
  <c r="AA339" i="52"/>
  <c r="AF339" i="52"/>
  <c r="AG339" i="52"/>
  <c r="Z340" i="52"/>
  <c r="AA340" i="52"/>
  <c r="AF340" i="52"/>
  <c r="AG340" i="52"/>
  <c r="Z341" i="52"/>
  <c r="AA341" i="52"/>
  <c r="AF341" i="52"/>
  <c r="AG341" i="52"/>
  <c r="Z342" i="52"/>
  <c r="AA342" i="52"/>
  <c r="AF342" i="52"/>
  <c r="AG342" i="52"/>
  <c r="Z343" i="52"/>
  <c r="AA343" i="52"/>
  <c r="AF343" i="52"/>
  <c r="AG343" i="52"/>
  <c r="Z344" i="52"/>
  <c r="AA344" i="52"/>
  <c r="AF344" i="52"/>
  <c r="AG344" i="52"/>
  <c r="Z345" i="52"/>
  <c r="AA345" i="52"/>
  <c r="AF345" i="52"/>
  <c r="AG345" i="52"/>
  <c r="Z346" i="52"/>
  <c r="AA346" i="52"/>
  <c r="AF346" i="52"/>
  <c r="AG346" i="52"/>
  <c r="Z347" i="52"/>
  <c r="AA347" i="52"/>
  <c r="AF347" i="52"/>
  <c r="AG347" i="52"/>
  <c r="Z348" i="52"/>
  <c r="AA348" i="52"/>
  <c r="AF348" i="52"/>
  <c r="AG348" i="52"/>
  <c r="Z349" i="52"/>
  <c r="AA349" i="52"/>
  <c r="AF349" i="52"/>
  <c r="AG349" i="52"/>
  <c r="Z350" i="52"/>
  <c r="AA350" i="52"/>
  <c r="AF350" i="52"/>
  <c r="AG350" i="52"/>
  <c r="Z351" i="52"/>
  <c r="AA351" i="52"/>
  <c r="AF351" i="52"/>
  <c r="AG351" i="52"/>
  <c r="Z352" i="52"/>
  <c r="AA352" i="52"/>
  <c r="AF352" i="52"/>
  <c r="AG352" i="52"/>
  <c r="Z353" i="52"/>
  <c r="AA353" i="52"/>
  <c r="AF353" i="52"/>
  <c r="AG353" i="52"/>
  <c r="Z354" i="52"/>
  <c r="AA354" i="52"/>
  <c r="AF354" i="52"/>
  <c r="AG354" i="52"/>
  <c r="Z355" i="52"/>
  <c r="AA355" i="52"/>
  <c r="AF355" i="52"/>
  <c r="AG355" i="52"/>
  <c r="Z356" i="52"/>
  <c r="AA356" i="52"/>
  <c r="AF356" i="52"/>
  <c r="AG356" i="52"/>
  <c r="Z357" i="52"/>
  <c r="AA357" i="52"/>
  <c r="AF357" i="52"/>
  <c r="AG357" i="52"/>
  <c r="Z358" i="52"/>
  <c r="AA358" i="52"/>
  <c r="AF358" i="52"/>
  <c r="AG358" i="52"/>
  <c r="Z359" i="52"/>
  <c r="AA359" i="52"/>
  <c r="AF359" i="52"/>
  <c r="AG359" i="52"/>
  <c r="Z360" i="52"/>
  <c r="AA360" i="52"/>
  <c r="AF360" i="52"/>
  <c r="AG360" i="52"/>
  <c r="Z361" i="52"/>
  <c r="AA361" i="52"/>
  <c r="AF361" i="52"/>
  <c r="AG361" i="52"/>
  <c r="Z362" i="52"/>
  <c r="AA362" i="52"/>
  <c r="AF362" i="52"/>
  <c r="AG362" i="52"/>
  <c r="Z363" i="52"/>
  <c r="AA363" i="52"/>
  <c r="AF363" i="52"/>
  <c r="AG363" i="52"/>
  <c r="Z364" i="52"/>
  <c r="AA364" i="52"/>
  <c r="AF364" i="52"/>
  <c r="AG364" i="52"/>
  <c r="Z365" i="52"/>
  <c r="AA365" i="52"/>
  <c r="AF365" i="52"/>
  <c r="AG365" i="52"/>
  <c r="Z366" i="52"/>
  <c r="AA366" i="52"/>
  <c r="AF366" i="52"/>
  <c r="AG366" i="52"/>
  <c r="Z367" i="52"/>
  <c r="AA367" i="52"/>
  <c r="AF367" i="52"/>
  <c r="AG367" i="52"/>
  <c r="Z368" i="52"/>
  <c r="AA368" i="52"/>
  <c r="AF368" i="52"/>
  <c r="AG368" i="52"/>
  <c r="Z369" i="52"/>
  <c r="AA369" i="52"/>
  <c r="AF369" i="52"/>
  <c r="AG369" i="52"/>
  <c r="Z370" i="52"/>
  <c r="AA370" i="52"/>
  <c r="AF370" i="52"/>
  <c r="AG370" i="52"/>
  <c r="Z371" i="52"/>
  <c r="AA371" i="52"/>
  <c r="AF371" i="52"/>
  <c r="AG371" i="52"/>
  <c r="Z372" i="52"/>
  <c r="AA372" i="52"/>
  <c r="AF372" i="52"/>
  <c r="AG372" i="52"/>
  <c r="Z373" i="52"/>
  <c r="AA373" i="52"/>
  <c r="AF373" i="52"/>
  <c r="AG373" i="52"/>
  <c r="Z374" i="52"/>
  <c r="AA374" i="52"/>
  <c r="AF374" i="52"/>
  <c r="AG374" i="52"/>
  <c r="Z375" i="52"/>
  <c r="AA375" i="52"/>
  <c r="AF375" i="52"/>
  <c r="AG375" i="52"/>
  <c r="Z376" i="52"/>
  <c r="AA376" i="52"/>
  <c r="AF376" i="52"/>
  <c r="AG376" i="52"/>
  <c r="Z377" i="52"/>
  <c r="AA377" i="52"/>
  <c r="AF377" i="52"/>
  <c r="AG377" i="52"/>
  <c r="Z378" i="52"/>
  <c r="AA378" i="52"/>
  <c r="AF378" i="52"/>
  <c r="AG378" i="52"/>
  <c r="Z379" i="52"/>
  <c r="AA379" i="52"/>
  <c r="AF379" i="52"/>
  <c r="AG379" i="52"/>
  <c r="Z380" i="52"/>
  <c r="AA380" i="52"/>
  <c r="AF380" i="52"/>
  <c r="AG380" i="52"/>
  <c r="Z381" i="52"/>
  <c r="AA381" i="52"/>
  <c r="AF381" i="52"/>
  <c r="AG381" i="52"/>
  <c r="Z382" i="52"/>
  <c r="AA382" i="52"/>
  <c r="AF382" i="52"/>
  <c r="AG382" i="52"/>
  <c r="Z383" i="52"/>
  <c r="AA383" i="52"/>
  <c r="AF383" i="52"/>
  <c r="AG383" i="52"/>
  <c r="Z384" i="52"/>
  <c r="AA384" i="52"/>
  <c r="AF384" i="52"/>
  <c r="AG384" i="52"/>
  <c r="Z385" i="52"/>
  <c r="AA385" i="52"/>
  <c r="AF385" i="52"/>
  <c r="AG385" i="52"/>
  <c r="Z386" i="52"/>
  <c r="AA386" i="52"/>
  <c r="AF386" i="52"/>
  <c r="AG386" i="52"/>
  <c r="Z387" i="52"/>
  <c r="AA387" i="52"/>
  <c r="AF387" i="52"/>
  <c r="AG387" i="52"/>
  <c r="Z388" i="52"/>
  <c r="AA388" i="52"/>
  <c r="AF388" i="52"/>
  <c r="AG388" i="52"/>
  <c r="Z389" i="52"/>
  <c r="AA389" i="52"/>
  <c r="AF389" i="52"/>
  <c r="AG389" i="52"/>
  <c r="Z390" i="52"/>
  <c r="AA390" i="52"/>
  <c r="AF390" i="52"/>
  <c r="AG390" i="52"/>
  <c r="Z391" i="52"/>
  <c r="AA391" i="52"/>
  <c r="AF391" i="52"/>
  <c r="AG391" i="52"/>
  <c r="Z392" i="52"/>
  <c r="AA392" i="52"/>
  <c r="AF392" i="52"/>
  <c r="AG392" i="52"/>
  <c r="Z393" i="52"/>
  <c r="AA393" i="52"/>
  <c r="AF393" i="52"/>
  <c r="AG393" i="52"/>
  <c r="Z394" i="52"/>
  <c r="AA394" i="52"/>
  <c r="AF394" i="52"/>
  <c r="AG394" i="52"/>
  <c r="Z395" i="52"/>
  <c r="AA395" i="52"/>
  <c r="AF395" i="52"/>
  <c r="AG395" i="52"/>
  <c r="Z396" i="52"/>
  <c r="AA396" i="52"/>
  <c r="AF396" i="52"/>
  <c r="AG396" i="52"/>
  <c r="Z397" i="52"/>
  <c r="AA397" i="52"/>
  <c r="AF397" i="52"/>
  <c r="AG397" i="52"/>
  <c r="Z398" i="52"/>
  <c r="AA398" i="52"/>
  <c r="AF398" i="52"/>
  <c r="AG398" i="52"/>
  <c r="Z399" i="52"/>
  <c r="AA399" i="52"/>
  <c r="AF399" i="52"/>
  <c r="AG399" i="52"/>
  <c r="Z400" i="52"/>
  <c r="AA400" i="52"/>
  <c r="AF400" i="52"/>
  <c r="AG400" i="52"/>
  <c r="Z401" i="52"/>
  <c r="AA401" i="52"/>
  <c r="AF401" i="52"/>
  <c r="AG401" i="52"/>
  <c r="Z402" i="52"/>
  <c r="AA402" i="52"/>
  <c r="AF402" i="52"/>
  <c r="AG402" i="52"/>
  <c r="Z403" i="52"/>
  <c r="AA403" i="52"/>
  <c r="AF403" i="52"/>
  <c r="AG403" i="52"/>
  <c r="Z404" i="52"/>
  <c r="AA404" i="52"/>
  <c r="AF404" i="52"/>
  <c r="AG404" i="52"/>
  <c r="Z405" i="52"/>
  <c r="AA405" i="52"/>
  <c r="AF405" i="52"/>
  <c r="AG405" i="52"/>
  <c r="Z406" i="52"/>
  <c r="AA406" i="52"/>
  <c r="AF406" i="52"/>
  <c r="AG406" i="52"/>
  <c r="Z407" i="52"/>
  <c r="AA407" i="52"/>
  <c r="AF407" i="52"/>
  <c r="AG407" i="52"/>
  <c r="Z408" i="52"/>
  <c r="AA408" i="52"/>
  <c r="AF408" i="52"/>
  <c r="AG408" i="52"/>
  <c r="Z409" i="52"/>
  <c r="AA409" i="52"/>
  <c r="AF409" i="52"/>
  <c r="AG409" i="52"/>
  <c r="Z410" i="52"/>
  <c r="AA410" i="52"/>
  <c r="AF410" i="52"/>
  <c r="AG410" i="52"/>
  <c r="Z411" i="52"/>
  <c r="AA411" i="52"/>
  <c r="AF411" i="52"/>
  <c r="AG411" i="52"/>
  <c r="Z412" i="52"/>
  <c r="AA412" i="52"/>
  <c r="AF412" i="52"/>
  <c r="AG412" i="52"/>
  <c r="Z413" i="52"/>
  <c r="AA413" i="52"/>
  <c r="AF413" i="52"/>
  <c r="AG413" i="52"/>
  <c r="Z414" i="52"/>
  <c r="AA414" i="52"/>
  <c r="AF414" i="52"/>
  <c r="AG414" i="52"/>
  <c r="Z415" i="52"/>
  <c r="AA415" i="52"/>
  <c r="AF415" i="52"/>
  <c r="AG415" i="52"/>
  <c r="Z416" i="52"/>
  <c r="AA416" i="52"/>
  <c r="AF416" i="52"/>
  <c r="AG416" i="52"/>
  <c r="Z417" i="52"/>
  <c r="AA417" i="52"/>
  <c r="AF417" i="52"/>
  <c r="AG417" i="52"/>
  <c r="Z418" i="52"/>
  <c r="AA418" i="52"/>
  <c r="AF418" i="52"/>
  <c r="AG418" i="52"/>
  <c r="Z419" i="52"/>
  <c r="AA419" i="52"/>
  <c r="AF419" i="52"/>
  <c r="AG419" i="52"/>
  <c r="Z420" i="52"/>
  <c r="AA420" i="52"/>
  <c r="AF420" i="52"/>
  <c r="AG420" i="52"/>
  <c r="Z421" i="52"/>
  <c r="AA421" i="52"/>
  <c r="AF421" i="52"/>
  <c r="AG421" i="52"/>
  <c r="Z422" i="52"/>
  <c r="AA422" i="52"/>
  <c r="AF422" i="52"/>
  <c r="AG422" i="52"/>
  <c r="Z423" i="52"/>
  <c r="AA423" i="52"/>
  <c r="AF423" i="52"/>
  <c r="AG423" i="52"/>
  <c r="Z424" i="52"/>
  <c r="AA424" i="52"/>
  <c r="AF424" i="52"/>
  <c r="AG424" i="52"/>
  <c r="Z425" i="52"/>
  <c r="AA425" i="52"/>
  <c r="AF425" i="52"/>
  <c r="AG425" i="52"/>
  <c r="Z426" i="52"/>
  <c r="AA426" i="52"/>
  <c r="AF426" i="52"/>
  <c r="AG426" i="52"/>
  <c r="Z427" i="52"/>
  <c r="AA427" i="52"/>
  <c r="AF427" i="52"/>
  <c r="AG427" i="52"/>
  <c r="Z428" i="52"/>
  <c r="AA428" i="52"/>
  <c r="AF428" i="52"/>
  <c r="AG428" i="52"/>
  <c r="Z429" i="52"/>
  <c r="AA429" i="52"/>
  <c r="AF429" i="52"/>
  <c r="AG429" i="52"/>
  <c r="Z430" i="52"/>
  <c r="AA430" i="52"/>
  <c r="AF430" i="52"/>
  <c r="AG430" i="52"/>
  <c r="Z431" i="52"/>
  <c r="AA431" i="52"/>
  <c r="AF431" i="52"/>
  <c r="AG431" i="52"/>
  <c r="Z432" i="52"/>
  <c r="AA432" i="52"/>
  <c r="AF432" i="52"/>
  <c r="AG432" i="52"/>
  <c r="Z433" i="52"/>
  <c r="AA433" i="52"/>
  <c r="AF433" i="52"/>
  <c r="AG433" i="52"/>
  <c r="Z434" i="52"/>
  <c r="AA434" i="52"/>
  <c r="AF434" i="52"/>
  <c r="AG434" i="52"/>
  <c r="Z435" i="52"/>
  <c r="AA435" i="52"/>
  <c r="AF435" i="52"/>
  <c r="AG435" i="52"/>
  <c r="Z436" i="52"/>
  <c r="AA436" i="52"/>
  <c r="AF436" i="52"/>
  <c r="AG436" i="52"/>
  <c r="Z437" i="52"/>
  <c r="AA437" i="52"/>
  <c r="AF437" i="52"/>
  <c r="AG437" i="52"/>
  <c r="Z438" i="52"/>
  <c r="AA438" i="52"/>
  <c r="AF438" i="52"/>
  <c r="AG438" i="52"/>
  <c r="Z439" i="52"/>
  <c r="AA439" i="52"/>
  <c r="AF439" i="52"/>
  <c r="AG439" i="52"/>
  <c r="Z440" i="52"/>
  <c r="AA440" i="52"/>
  <c r="AF440" i="52"/>
  <c r="AG440" i="52"/>
  <c r="Z441" i="52"/>
  <c r="AA441" i="52"/>
  <c r="AF441" i="52"/>
  <c r="AG441" i="52"/>
  <c r="Z442" i="52"/>
  <c r="AA442" i="52"/>
  <c r="AF442" i="52"/>
  <c r="AG442" i="52"/>
  <c r="Z443" i="52"/>
  <c r="AA443" i="52"/>
  <c r="AF443" i="52"/>
  <c r="AG443" i="52"/>
  <c r="Z444" i="52"/>
  <c r="AA444" i="52"/>
  <c r="AF444" i="52"/>
  <c r="AG444" i="52"/>
  <c r="Z445" i="52"/>
  <c r="AA445" i="52"/>
  <c r="AF445" i="52"/>
  <c r="AG445" i="52"/>
  <c r="Z446" i="52"/>
  <c r="AA446" i="52"/>
  <c r="AF446" i="52"/>
  <c r="AG446" i="52"/>
  <c r="Z447" i="52"/>
  <c r="AA447" i="52"/>
  <c r="AF447" i="52"/>
  <c r="AG447" i="52"/>
  <c r="Z448" i="52"/>
  <c r="AA448" i="52"/>
  <c r="AF448" i="52"/>
  <c r="AG448" i="52"/>
  <c r="Z449" i="52"/>
  <c r="AA449" i="52"/>
  <c r="AF449" i="52"/>
  <c r="AG449" i="52"/>
  <c r="Z450" i="52"/>
  <c r="AA450" i="52"/>
  <c r="AF450" i="52"/>
  <c r="AG450" i="52"/>
  <c r="Z451" i="52"/>
  <c r="AA451" i="52"/>
  <c r="AF451" i="52"/>
  <c r="AG451" i="52"/>
  <c r="Z452" i="52"/>
  <c r="AA452" i="52"/>
  <c r="AF452" i="52"/>
  <c r="AG452" i="52"/>
  <c r="Z453" i="52"/>
  <c r="AA453" i="52"/>
  <c r="AF453" i="52"/>
  <c r="AG453" i="52"/>
  <c r="Z454" i="52"/>
  <c r="AA454" i="52"/>
  <c r="AF454" i="52"/>
  <c r="AG454" i="52"/>
  <c r="Z455" i="52"/>
  <c r="AA455" i="52"/>
  <c r="AF455" i="52"/>
  <c r="AG455" i="52"/>
  <c r="Z456" i="52"/>
  <c r="AA456" i="52"/>
  <c r="AF456" i="52"/>
  <c r="AG456" i="52"/>
  <c r="Z457" i="52"/>
  <c r="AA457" i="52"/>
  <c r="AF457" i="52"/>
  <c r="AG457" i="52"/>
  <c r="Z458" i="52"/>
  <c r="AA458" i="52"/>
  <c r="AF458" i="52"/>
  <c r="AG458" i="52"/>
  <c r="Z459" i="52"/>
  <c r="AA459" i="52"/>
  <c r="AF459" i="52"/>
  <c r="AG459" i="52"/>
  <c r="Z460" i="52"/>
  <c r="AA460" i="52"/>
  <c r="AF460" i="52"/>
  <c r="AG460" i="52"/>
  <c r="Z461" i="52"/>
  <c r="AA461" i="52"/>
  <c r="AF461" i="52"/>
  <c r="AG461" i="52"/>
  <c r="Z462" i="52"/>
  <c r="AA462" i="52"/>
  <c r="AF462" i="52"/>
  <c r="AG462" i="52"/>
  <c r="Z463" i="52"/>
  <c r="AA463" i="52"/>
  <c r="AF463" i="52"/>
  <c r="AG463" i="52"/>
  <c r="Z464" i="52"/>
  <c r="AA464" i="52"/>
  <c r="AF464" i="52"/>
  <c r="AG464" i="52"/>
  <c r="Z465" i="52"/>
  <c r="AA465" i="52"/>
  <c r="AF465" i="52"/>
  <c r="AG465" i="52"/>
  <c r="Z466" i="52"/>
  <c r="AA466" i="52"/>
  <c r="AF466" i="52"/>
  <c r="AG466" i="52"/>
  <c r="Z467" i="52"/>
  <c r="AA467" i="52"/>
  <c r="AF467" i="52"/>
  <c r="AG467" i="52"/>
  <c r="Z468" i="52"/>
  <c r="AA468" i="52"/>
  <c r="AF468" i="52"/>
  <c r="AG468" i="52"/>
  <c r="Z469" i="52"/>
  <c r="AA469" i="52"/>
  <c r="AF469" i="52"/>
  <c r="AG469" i="52"/>
  <c r="Z470" i="52"/>
  <c r="AA470" i="52"/>
  <c r="AF470" i="52"/>
  <c r="AG470" i="52"/>
  <c r="Z471" i="52"/>
  <c r="AA471" i="52"/>
  <c r="AF471" i="52"/>
  <c r="AG471" i="52"/>
  <c r="Z472" i="52"/>
  <c r="AA472" i="52"/>
  <c r="AF472" i="52"/>
  <c r="AG472" i="52"/>
  <c r="Z473" i="52"/>
  <c r="AA473" i="52"/>
  <c r="AF473" i="52"/>
  <c r="AG473" i="52"/>
  <c r="Z474" i="52"/>
  <c r="AA474" i="52"/>
  <c r="AF474" i="52"/>
  <c r="AG474" i="52"/>
  <c r="Z475" i="52"/>
  <c r="AA475" i="52"/>
  <c r="AF475" i="52"/>
  <c r="AG475" i="52"/>
  <c r="Z476" i="52"/>
  <c r="AA476" i="52"/>
  <c r="AF476" i="52"/>
  <c r="AG476" i="52"/>
  <c r="Z477" i="52"/>
  <c r="AA477" i="52"/>
  <c r="AF477" i="52"/>
  <c r="AG477" i="52"/>
  <c r="Z478" i="52"/>
  <c r="AA478" i="52"/>
  <c r="AF478" i="52"/>
  <c r="AG478" i="52"/>
  <c r="Z479" i="52"/>
  <c r="AA479" i="52"/>
  <c r="AF479" i="52"/>
  <c r="AG479" i="52"/>
  <c r="Z480" i="52"/>
  <c r="AA480" i="52"/>
  <c r="AF480" i="52"/>
  <c r="AG480" i="52"/>
  <c r="Z481" i="52"/>
  <c r="AA481" i="52"/>
  <c r="AF481" i="52"/>
  <c r="AG481" i="52"/>
  <c r="Z482" i="52"/>
  <c r="AA482" i="52"/>
  <c r="AF482" i="52"/>
  <c r="AG482" i="52"/>
  <c r="Z483" i="52"/>
  <c r="AA483" i="52"/>
  <c r="AF483" i="52"/>
  <c r="AG483" i="52"/>
  <c r="Z484" i="52"/>
  <c r="AA484" i="52"/>
  <c r="AF484" i="52"/>
  <c r="AG484" i="52"/>
  <c r="Z485" i="52"/>
  <c r="AA485" i="52"/>
  <c r="AF485" i="52"/>
  <c r="AG485" i="52"/>
  <c r="Z486" i="52"/>
  <c r="AA486" i="52"/>
  <c r="AF486" i="52"/>
  <c r="AG486" i="52"/>
  <c r="Z487" i="52"/>
  <c r="AA487" i="52"/>
  <c r="AF487" i="52"/>
  <c r="AG487" i="52"/>
  <c r="Z488" i="52"/>
  <c r="AA488" i="52"/>
  <c r="AF488" i="52"/>
  <c r="AG488" i="52"/>
  <c r="Z489" i="52"/>
  <c r="AA489" i="52"/>
  <c r="AF489" i="52"/>
  <c r="AG489" i="52"/>
  <c r="Z490" i="52"/>
  <c r="AA490" i="52"/>
  <c r="AF490" i="52"/>
  <c r="AG490" i="52"/>
  <c r="Z491" i="52"/>
  <c r="AA491" i="52"/>
  <c r="AF491" i="52"/>
  <c r="AG491" i="52"/>
  <c r="Z492" i="52"/>
  <c r="AA492" i="52"/>
  <c r="AF492" i="52"/>
  <c r="AG492" i="52"/>
  <c r="Z493" i="52"/>
  <c r="AA493" i="52"/>
  <c r="AF493" i="52"/>
  <c r="AG493" i="52"/>
  <c r="Z494" i="52"/>
  <c r="AA494" i="52"/>
  <c r="AF494" i="52"/>
  <c r="AG494" i="52"/>
  <c r="Z495" i="52"/>
  <c r="AA495" i="52"/>
  <c r="AF495" i="52"/>
  <c r="AG495" i="52"/>
  <c r="Z496" i="52"/>
  <c r="AA496" i="52"/>
  <c r="AF496" i="52"/>
  <c r="AG496" i="52"/>
  <c r="Z497" i="52"/>
  <c r="AA497" i="52"/>
  <c r="AF497" i="52"/>
  <c r="AG497" i="52"/>
  <c r="Z498" i="52"/>
  <c r="AA498" i="52"/>
  <c r="AF498" i="52"/>
  <c r="AG498" i="52"/>
  <c r="Z499" i="52"/>
  <c r="AA499" i="52"/>
  <c r="AF499" i="52"/>
  <c r="AG499" i="52"/>
  <c r="Z500" i="52"/>
  <c r="AA500" i="52"/>
  <c r="AF500" i="52"/>
  <c r="AG500" i="52"/>
  <c r="Z501" i="52"/>
  <c r="AA501" i="52"/>
  <c r="AF501" i="52"/>
  <c r="AG501" i="52"/>
  <c r="Z502" i="52"/>
  <c r="AA502" i="52"/>
  <c r="AF502" i="52"/>
  <c r="AG502" i="52"/>
  <c r="Z503" i="52"/>
  <c r="AA503" i="52"/>
  <c r="AF503" i="52"/>
  <c r="AG503" i="52"/>
  <c r="Z504" i="52"/>
  <c r="AA504" i="52"/>
  <c r="AF504" i="52"/>
  <c r="AG504" i="52"/>
  <c r="Z505" i="52"/>
  <c r="AA505" i="52"/>
  <c r="AF505" i="52"/>
  <c r="AG505" i="52"/>
  <c r="Z506" i="52"/>
  <c r="AA506" i="52"/>
  <c r="AF506" i="52"/>
  <c r="AG506" i="52"/>
  <c r="Z507" i="52"/>
  <c r="AA507" i="52"/>
  <c r="AF507" i="52"/>
  <c r="AG507" i="52"/>
  <c r="Z508" i="52"/>
  <c r="AA508" i="52"/>
  <c r="AF508" i="52"/>
  <c r="AG508" i="52"/>
  <c r="Z509" i="52"/>
  <c r="AA509" i="52"/>
  <c r="AF509" i="52"/>
  <c r="AG509" i="52"/>
  <c r="Z510" i="52"/>
  <c r="AA510" i="52"/>
  <c r="AF510" i="52"/>
  <c r="AG510" i="52"/>
  <c r="Z511" i="52"/>
  <c r="AA511" i="52"/>
  <c r="AF511" i="52"/>
  <c r="AG511" i="52"/>
  <c r="Z512" i="52"/>
  <c r="AA512" i="52"/>
  <c r="AF512" i="52"/>
  <c r="AG512" i="52"/>
  <c r="Z513" i="52"/>
  <c r="AA513" i="52"/>
  <c r="AF513" i="52"/>
  <c r="AG513" i="52"/>
  <c r="Z514" i="52"/>
  <c r="AA514" i="52"/>
  <c r="AF514" i="52"/>
  <c r="AG514" i="52"/>
  <c r="Z515" i="52"/>
  <c r="AA515" i="52"/>
  <c r="AF515" i="52"/>
  <c r="AG515" i="52"/>
  <c r="Z516" i="52"/>
  <c r="AA516" i="52"/>
  <c r="AF516" i="52"/>
  <c r="AG516" i="52"/>
  <c r="Z517" i="52"/>
  <c r="AA517" i="52"/>
  <c r="AF517" i="52"/>
  <c r="AG517" i="52"/>
  <c r="Z518" i="52"/>
  <c r="AA518" i="52"/>
  <c r="AF518" i="52"/>
  <c r="AG518" i="52"/>
  <c r="Z519" i="52"/>
  <c r="AA519" i="52"/>
  <c r="AF519" i="52"/>
  <c r="AG519" i="52"/>
  <c r="Z520" i="52"/>
  <c r="AA520" i="52"/>
  <c r="AF520" i="52"/>
  <c r="AG520" i="52"/>
  <c r="Z521" i="52"/>
  <c r="AA521" i="52"/>
  <c r="AF521" i="52"/>
  <c r="AG521" i="52"/>
  <c r="Z522" i="52"/>
  <c r="AA522" i="52"/>
  <c r="AF522" i="52"/>
  <c r="AG522" i="52"/>
  <c r="Z523" i="52"/>
  <c r="AA523" i="52"/>
  <c r="AF523" i="52"/>
  <c r="AG523" i="52"/>
  <c r="Z524" i="52"/>
  <c r="AA524" i="52"/>
  <c r="AF524" i="52"/>
  <c r="AG524" i="52"/>
  <c r="Z525" i="52"/>
  <c r="AA525" i="52"/>
  <c r="AF525" i="52"/>
  <c r="AG525" i="52"/>
  <c r="Z526" i="52"/>
  <c r="AA526" i="52"/>
  <c r="AF526" i="52"/>
  <c r="AG526" i="52"/>
  <c r="Z527" i="52"/>
  <c r="AA527" i="52"/>
  <c r="AF527" i="52"/>
  <c r="AG527" i="52"/>
  <c r="Z528" i="52"/>
  <c r="AA528" i="52"/>
  <c r="AF528" i="52"/>
  <c r="AG528" i="52"/>
  <c r="Z529" i="52"/>
  <c r="AA529" i="52"/>
  <c r="AF529" i="52"/>
  <c r="AG529" i="52"/>
  <c r="Z530" i="52"/>
  <c r="AA530" i="52"/>
  <c r="AF530" i="52"/>
  <c r="AG530" i="52"/>
  <c r="Z531" i="52"/>
  <c r="AA531" i="52"/>
  <c r="AF531" i="52"/>
  <c r="AG531" i="52"/>
  <c r="Z532" i="52"/>
  <c r="AA532" i="52"/>
  <c r="AF532" i="52"/>
  <c r="AG532" i="52"/>
  <c r="Z533" i="52"/>
  <c r="AA533" i="52"/>
  <c r="AF533" i="52"/>
  <c r="AG533" i="52"/>
  <c r="Z534" i="52"/>
  <c r="AA534" i="52"/>
  <c r="AF534" i="52"/>
  <c r="AG534" i="52"/>
  <c r="Z535" i="52"/>
  <c r="AA535" i="52"/>
  <c r="AF535" i="52"/>
  <c r="AG535" i="52"/>
  <c r="Z536" i="52"/>
  <c r="AA536" i="52"/>
  <c r="AF536" i="52"/>
  <c r="AG536" i="52"/>
  <c r="Z537" i="52"/>
  <c r="AA537" i="52"/>
  <c r="AF537" i="52"/>
  <c r="AG537" i="52"/>
  <c r="Z538" i="52"/>
  <c r="AA538" i="52"/>
  <c r="AF538" i="52"/>
  <c r="AG538" i="52"/>
  <c r="Z539" i="52"/>
  <c r="AA539" i="52"/>
  <c r="AF539" i="52"/>
  <c r="AG539" i="52"/>
  <c r="Z540" i="52"/>
  <c r="AA540" i="52"/>
  <c r="AF540" i="52"/>
  <c r="AG540" i="52"/>
  <c r="Z541" i="52"/>
  <c r="AA541" i="52"/>
  <c r="AF541" i="52"/>
  <c r="AG541" i="52"/>
  <c r="Z542" i="52"/>
  <c r="AA542" i="52"/>
  <c r="AF542" i="52"/>
  <c r="AG542" i="52"/>
  <c r="Z543" i="52"/>
  <c r="AA543" i="52"/>
  <c r="AF543" i="52"/>
  <c r="AG543" i="52"/>
  <c r="Z544" i="52"/>
  <c r="AA544" i="52"/>
  <c r="AF544" i="52"/>
  <c r="AG544" i="52"/>
  <c r="Z545" i="52"/>
  <c r="AA545" i="52"/>
  <c r="AF545" i="52"/>
  <c r="AG545" i="52"/>
  <c r="Z546" i="52"/>
  <c r="AA546" i="52"/>
  <c r="AF546" i="52"/>
  <c r="AG546" i="52"/>
  <c r="Z547" i="52"/>
  <c r="AA547" i="52"/>
  <c r="AF547" i="52"/>
  <c r="AG547" i="52"/>
  <c r="Z548" i="52"/>
  <c r="AA548" i="52"/>
  <c r="AF548" i="52"/>
  <c r="AG548" i="52"/>
  <c r="Z549" i="52"/>
  <c r="AA549" i="52"/>
  <c r="AF549" i="52"/>
  <c r="AG549" i="52"/>
  <c r="Z550" i="52"/>
  <c r="AA550" i="52"/>
  <c r="AF550" i="52"/>
  <c r="AG550" i="52"/>
  <c r="Z551" i="52"/>
  <c r="AA551" i="52"/>
  <c r="AF551" i="52"/>
  <c r="AG551" i="52"/>
  <c r="Z552" i="52"/>
  <c r="AA552" i="52"/>
  <c r="AF552" i="52"/>
  <c r="AG552" i="52"/>
  <c r="Z553" i="52"/>
  <c r="AA553" i="52"/>
  <c r="AF553" i="52"/>
  <c r="AG553" i="52"/>
  <c r="Z554" i="52"/>
  <c r="AA554" i="52"/>
  <c r="AF554" i="52"/>
  <c r="AG554" i="52"/>
  <c r="Z555" i="52"/>
  <c r="AA555" i="52"/>
  <c r="AF555" i="52"/>
  <c r="AG555" i="52"/>
  <c r="Z556" i="52"/>
  <c r="AA556" i="52"/>
  <c r="AF556" i="52"/>
  <c r="AG556" i="52"/>
  <c r="Z557" i="52"/>
  <c r="AA557" i="52"/>
  <c r="AF557" i="52"/>
  <c r="AG557" i="52"/>
  <c r="Z558" i="52"/>
  <c r="AA558" i="52"/>
  <c r="AF558" i="52"/>
  <c r="AG558" i="52"/>
  <c r="Z559" i="52"/>
  <c r="AA559" i="52"/>
  <c r="AF559" i="52"/>
  <c r="AG559" i="52"/>
  <c r="Z560" i="52"/>
  <c r="AA560" i="52"/>
  <c r="AF560" i="52"/>
  <c r="AG560" i="52"/>
  <c r="Z561" i="52"/>
  <c r="AA561" i="52"/>
  <c r="AF561" i="52"/>
  <c r="AG561" i="52"/>
  <c r="Z562" i="52"/>
  <c r="AA562" i="52"/>
  <c r="AF562" i="52"/>
  <c r="AG562" i="52"/>
  <c r="Z563" i="52"/>
  <c r="AA563" i="52"/>
  <c r="AF563" i="52"/>
  <c r="AG563" i="52"/>
  <c r="Z564" i="52"/>
  <c r="AA564" i="52"/>
  <c r="AF564" i="52"/>
  <c r="AG564" i="52"/>
  <c r="Z565" i="52"/>
  <c r="AA565" i="52"/>
  <c r="AF565" i="52"/>
  <c r="AG565" i="52"/>
  <c r="Z566" i="52"/>
  <c r="AA566" i="52"/>
  <c r="AF566" i="52"/>
  <c r="AG566" i="52"/>
  <c r="Z567" i="52"/>
  <c r="AA567" i="52"/>
  <c r="AF567" i="52"/>
  <c r="AG567" i="52"/>
  <c r="Z568" i="52"/>
  <c r="AA568" i="52"/>
  <c r="AF568" i="52"/>
  <c r="AG568" i="52"/>
  <c r="Z569" i="52"/>
  <c r="AA569" i="52"/>
  <c r="AF569" i="52"/>
  <c r="AG569" i="52"/>
  <c r="Z570" i="52"/>
  <c r="AA570" i="52"/>
  <c r="AF570" i="52"/>
  <c r="AG570" i="52"/>
  <c r="Z571" i="52"/>
  <c r="AA571" i="52"/>
  <c r="AF571" i="52"/>
  <c r="AG571" i="52"/>
  <c r="Z572" i="52"/>
  <c r="AA572" i="52"/>
  <c r="AF572" i="52"/>
  <c r="AG572" i="52"/>
  <c r="Z573" i="52"/>
  <c r="AA573" i="52"/>
  <c r="AF573" i="52"/>
  <c r="AG573" i="52"/>
  <c r="Z574" i="52"/>
  <c r="AA574" i="52"/>
  <c r="AF574" i="52"/>
  <c r="AG574" i="52"/>
  <c r="Z575" i="52"/>
  <c r="AA575" i="52"/>
  <c r="AF575" i="52"/>
  <c r="AG575" i="52"/>
  <c r="Z576" i="52"/>
  <c r="AA576" i="52"/>
  <c r="AF576" i="52"/>
  <c r="AG576" i="52"/>
  <c r="Z577" i="52"/>
  <c r="AA577" i="52"/>
  <c r="AF577" i="52"/>
  <c r="AG577" i="52"/>
  <c r="Z578" i="52"/>
  <c r="AA578" i="52"/>
  <c r="AF578" i="52"/>
  <c r="AG578" i="52"/>
  <c r="Z579" i="52"/>
  <c r="AA579" i="52"/>
  <c r="AF579" i="52"/>
  <c r="AG579" i="52"/>
  <c r="Z580" i="52"/>
  <c r="AA580" i="52"/>
  <c r="AF580" i="52"/>
  <c r="AG580" i="52"/>
  <c r="Z581" i="52"/>
  <c r="AA581" i="52"/>
  <c r="AF581" i="52"/>
  <c r="AG581" i="52"/>
  <c r="Z582" i="52"/>
  <c r="AA582" i="52"/>
  <c r="AF582" i="52"/>
  <c r="AG582" i="52"/>
  <c r="Z583" i="52"/>
  <c r="AA583" i="52"/>
  <c r="AF583" i="52"/>
  <c r="AG583" i="52"/>
  <c r="Z584" i="52"/>
  <c r="AA584" i="52"/>
  <c r="AF584" i="52"/>
  <c r="AG584" i="52"/>
  <c r="Z585" i="52"/>
  <c r="AA585" i="52"/>
  <c r="AF585" i="52"/>
  <c r="AG585" i="52"/>
  <c r="Z586" i="52"/>
  <c r="AA586" i="52"/>
  <c r="AF586" i="52"/>
  <c r="AG586" i="52"/>
  <c r="Z587" i="52"/>
  <c r="AA587" i="52"/>
  <c r="AF587" i="52"/>
  <c r="AG587" i="52"/>
  <c r="Z588" i="52"/>
  <c r="AA588" i="52"/>
  <c r="AF588" i="52"/>
  <c r="AG588" i="52"/>
  <c r="Z589" i="52"/>
  <c r="AA589" i="52"/>
  <c r="AF589" i="52"/>
  <c r="AG589" i="52"/>
  <c r="Z590" i="52"/>
  <c r="AA590" i="52"/>
  <c r="AF590" i="52"/>
  <c r="AG590" i="52"/>
  <c r="Z591" i="52"/>
  <c r="AA591" i="52"/>
  <c r="AF591" i="52"/>
  <c r="AG591" i="52"/>
  <c r="Z592" i="52"/>
  <c r="AA592" i="52"/>
  <c r="AF592" i="52"/>
  <c r="AG592" i="52"/>
  <c r="Z593" i="52"/>
  <c r="AA593" i="52"/>
  <c r="AF593" i="52"/>
  <c r="AG593" i="52"/>
  <c r="Z594" i="52"/>
  <c r="AA594" i="52"/>
  <c r="AF594" i="52"/>
  <c r="AG594" i="52"/>
  <c r="Z595" i="52"/>
  <c r="AA595" i="52"/>
  <c r="AF595" i="52"/>
  <c r="AG595" i="52"/>
  <c r="Z596" i="52"/>
  <c r="AA596" i="52"/>
  <c r="AF596" i="52"/>
  <c r="AG596" i="52"/>
  <c r="Z597" i="52"/>
  <c r="AA597" i="52"/>
  <c r="AF597" i="52"/>
  <c r="AG597" i="52"/>
  <c r="Z598" i="52"/>
  <c r="AA598" i="52"/>
  <c r="AF598" i="52"/>
  <c r="AG598" i="52"/>
  <c r="Z599" i="52"/>
  <c r="AA599" i="52"/>
  <c r="AF599" i="52"/>
  <c r="AG599" i="52"/>
  <c r="Z600" i="52"/>
  <c r="AA600" i="52"/>
  <c r="AF600" i="52"/>
  <c r="AG600" i="52"/>
  <c r="Z601" i="52"/>
  <c r="AA601" i="52"/>
  <c r="AF601" i="52"/>
  <c r="AG601" i="52"/>
  <c r="Z602" i="52"/>
  <c r="AA602" i="52"/>
  <c r="AF602" i="52"/>
  <c r="AG602" i="52"/>
  <c r="Z603" i="52"/>
  <c r="AA603" i="52"/>
  <c r="AF603" i="52"/>
  <c r="AG603" i="52"/>
  <c r="Z604" i="52"/>
  <c r="AA604" i="52"/>
  <c r="AF604" i="52"/>
  <c r="AG604" i="52"/>
  <c r="Z605" i="52"/>
  <c r="AA605" i="52"/>
  <c r="AF605" i="52"/>
  <c r="AG605" i="52"/>
  <c r="Z606" i="52"/>
  <c r="AA606" i="52"/>
  <c r="AF606" i="52"/>
  <c r="AG606" i="52"/>
  <c r="Z607" i="52"/>
  <c r="AA607" i="52"/>
  <c r="AF607" i="52"/>
  <c r="AG607" i="52"/>
  <c r="Z608" i="52"/>
  <c r="AA608" i="52"/>
  <c r="AF608" i="52"/>
  <c r="AG608" i="52"/>
  <c r="Z609" i="52"/>
  <c r="AA609" i="52"/>
  <c r="AF609" i="52"/>
  <c r="AG609" i="52"/>
  <c r="Z610" i="52"/>
  <c r="AA610" i="52"/>
  <c r="AF610" i="52"/>
  <c r="AG610" i="52"/>
  <c r="Z611" i="52"/>
  <c r="AA611" i="52"/>
  <c r="AF611" i="52"/>
  <c r="AG611" i="52"/>
  <c r="Z612" i="52"/>
  <c r="AA612" i="52"/>
  <c r="AF612" i="52"/>
  <c r="AG612" i="52"/>
  <c r="Z613" i="52"/>
  <c r="AA613" i="52"/>
  <c r="AF613" i="52"/>
  <c r="AG613" i="52"/>
  <c r="Z614" i="52"/>
  <c r="AA614" i="52"/>
  <c r="AF614" i="52"/>
  <c r="AG614" i="52"/>
  <c r="Z615" i="52"/>
  <c r="AA615" i="52"/>
  <c r="AF615" i="52"/>
  <c r="AG615" i="52"/>
  <c r="Z616" i="52"/>
  <c r="AA616" i="52"/>
  <c r="AF616" i="52"/>
  <c r="AG616" i="52"/>
  <c r="Z617" i="52"/>
  <c r="AA617" i="52"/>
  <c r="AF617" i="52"/>
  <c r="AG617" i="52"/>
  <c r="Z618" i="52"/>
  <c r="AA618" i="52"/>
  <c r="AF618" i="52"/>
  <c r="AG618" i="52"/>
  <c r="Z619" i="52"/>
  <c r="AA619" i="52"/>
  <c r="AF619" i="52"/>
  <c r="AG619" i="52"/>
  <c r="Z620" i="52"/>
  <c r="AA620" i="52"/>
  <c r="AF620" i="52"/>
  <c r="AG620" i="52"/>
  <c r="Z621" i="52"/>
  <c r="AA621" i="52"/>
  <c r="AF621" i="52"/>
  <c r="AG621" i="52"/>
  <c r="Z622" i="52"/>
  <c r="AA622" i="52"/>
  <c r="AF622" i="52"/>
  <c r="AG622" i="52"/>
  <c r="Z623" i="52"/>
  <c r="AA623" i="52"/>
  <c r="AF623" i="52"/>
  <c r="AG623" i="52"/>
  <c r="Z624" i="52"/>
  <c r="AA624" i="52"/>
  <c r="AF624" i="52"/>
  <c r="AG624" i="52"/>
  <c r="Z625" i="52"/>
  <c r="AA625" i="52"/>
  <c r="AF625" i="52"/>
  <c r="AG625" i="52"/>
  <c r="Z626" i="52"/>
  <c r="AA626" i="52"/>
  <c r="AF626" i="52"/>
  <c r="AG626" i="52"/>
  <c r="Z627" i="52"/>
  <c r="AA627" i="52"/>
  <c r="AF627" i="52"/>
  <c r="AG627" i="52"/>
  <c r="Z628" i="52"/>
  <c r="AA628" i="52"/>
  <c r="AF628" i="52"/>
  <c r="AG628" i="52"/>
  <c r="Z629" i="52"/>
  <c r="AA629" i="52"/>
  <c r="AF629" i="52"/>
  <c r="AG629" i="52"/>
  <c r="D7" i="56"/>
  <c r="R7" i="56"/>
  <c r="S7" i="56"/>
  <c r="V7" i="56"/>
  <c r="W7" i="56"/>
  <c r="X7" i="56"/>
  <c r="D9" i="56"/>
  <c r="R9" i="56"/>
  <c r="S9" i="56"/>
  <c r="V9" i="56"/>
  <c r="W9" i="56"/>
  <c r="X9" i="56"/>
  <c r="D11" i="56"/>
  <c r="R11" i="56"/>
  <c r="S11" i="56"/>
  <c r="V11" i="56"/>
  <c r="W11" i="56"/>
  <c r="X11" i="56"/>
  <c r="D13" i="56"/>
  <c r="R13" i="56"/>
  <c r="S13" i="56"/>
  <c r="V13" i="56"/>
  <c r="W13" i="56"/>
  <c r="X13" i="56"/>
  <c r="D14" i="56"/>
  <c r="R14" i="56"/>
  <c r="S14" i="56"/>
  <c r="V14" i="56"/>
  <c r="W14" i="56"/>
  <c r="X14" i="56"/>
  <c r="D15" i="56"/>
  <c r="R15" i="56"/>
  <c r="S15" i="56"/>
  <c r="V15" i="56"/>
  <c r="W15" i="56"/>
  <c r="X15" i="56"/>
  <c r="Y2" i="45"/>
  <c r="Z2" i="45"/>
  <c r="AD2" i="45"/>
  <c r="AE2" i="45"/>
  <c r="AJ2" i="45"/>
  <c r="Y3" i="45"/>
  <c r="Z3" i="45"/>
  <c r="AD3" i="45"/>
  <c r="AE3" i="45"/>
  <c r="AJ3" i="45"/>
  <c r="Y4" i="45"/>
  <c r="Z4" i="45"/>
  <c r="AD4" i="45"/>
  <c r="AE4" i="45"/>
  <c r="Y5" i="45"/>
  <c r="Z5" i="45"/>
  <c r="AD5" i="45"/>
  <c r="AE5" i="45"/>
  <c r="AJ5" i="45"/>
  <c r="Y6" i="45"/>
  <c r="Z6" i="45"/>
  <c r="AD6" i="45"/>
  <c r="AE6" i="45"/>
  <c r="AJ6" i="45"/>
  <c r="Y7" i="45"/>
  <c r="Z7" i="45"/>
  <c r="AD7" i="45"/>
  <c r="AE7" i="45"/>
  <c r="AJ7" i="45"/>
  <c r="Y8" i="45"/>
  <c r="Z8" i="45"/>
  <c r="AD8" i="45"/>
  <c r="AE8" i="45"/>
  <c r="AJ8" i="45"/>
  <c r="Y9" i="45"/>
  <c r="Z9" i="45"/>
  <c r="AD9" i="45"/>
  <c r="AE9" i="45"/>
  <c r="Y10" i="45"/>
  <c r="Z10" i="45"/>
  <c r="AD10" i="45"/>
  <c r="AE10" i="45"/>
  <c r="Y11" i="45"/>
  <c r="Z11" i="45"/>
  <c r="AD11" i="45"/>
  <c r="AE11" i="45"/>
  <c r="Y12" i="45"/>
  <c r="Z12" i="45"/>
  <c r="AD12" i="45"/>
  <c r="AE12" i="45"/>
  <c r="Y13" i="45"/>
  <c r="Z13" i="45"/>
  <c r="AD13" i="45"/>
  <c r="AE13" i="45"/>
  <c r="Y14" i="45"/>
  <c r="Z14" i="45"/>
  <c r="AD14" i="45"/>
  <c r="AE14" i="45"/>
  <c r="Y15" i="45"/>
  <c r="Z15" i="45"/>
  <c r="AD15" i="45"/>
  <c r="AE15" i="45"/>
  <c r="Y16" i="45"/>
  <c r="Z16" i="45"/>
  <c r="AD16" i="45"/>
  <c r="AE16" i="45"/>
  <c r="Y17" i="45"/>
  <c r="Z17" i="45"/>
  <c r="AD17" i="45"/>
  <c r="AE17" i="45"/>
  <c r="Y18" i="45"/>
  <c r="Z18" i="45"/>
  <c r="AD18" i="45"/>
  <c r="AE18" i="45"/>
  <c r="Y19" i="45"/>
  <c r="Z19" i="45"/>
  <c r="AD19" i="45"/>
  <c r="AE19" i="45"/>
  <c r="Y20" i="45"/>
  <c r="Z20" i="45"/>
  <c r="AD20" i="45"/>
  <c r="AE20" i="45"/>
  <c r="Y21" i="45"/>
  <c r="Z21" i="45"/>
  <c r="AD21" i="45"/>
  <c r="AE21" i="45"/>
  <c r="Y22" i="45"/>
  <c r="Z22" i="45"/>
  <c r="AD22" i="45"/>
  <c r="AE22" i="45"/>
  <c r="Y23" i="45"/>
  <c r="Z23" i="45"/>
  <c r="AD23" i="45"/>
  <c r="AE23" i="45"/>
  <c r="Y24" i="45"/>
  <c r="Z24" i="45"/>
  <c r="AD24" i="45"/>
  <c r="AE24" i="45"/>
  <c r="Y25" i="45"/>
  <c r="Z25" i="45"/>
  <c r="AD25" i="45"/>
  <c r="AE25" i="45"/>
  <c r="Y26" i="45"/>
  <c r="AD26" i="45"/>
  <c r="Y27" i="45"/>
  <c r="AD27" i="45"/>
  <c r="Y28" i="45"/>
  <c r="AD28" i="45"/>
  <c r="Y29" i="45"/>
  <c r="AD29" i="45"/>
  <c r="Y30" i="45"/>
  <c r="AD30" i="45"/>
  <c r="Y31" i="45"/>
  <c r="AD31" i="45"/>
  <c r="Y32" i="45"/>
  <c r="AD32" i="45"/>
  <c r="Y33" i="45"/>
  <c r="AD33" i="45"/>
  <c r="Y34" i="45"/>
  <c r="AD34" i="45"/>
  <c r="Y35" i="45"/>
  <c r="AD35" i="45"/>
  <c r="Y36" i="45"/>
  <c r="AD36" i="45"/>
  <c r="Y37" i="45"/>
  <c r="AD37" i="45"/>
  <c r="Y38" i="45"/>
  <c r="AD38" i="45"/>
  <c r="Y39" i="45"/>
  <c r="AD39" i="45"/>
  <c r="Y40" i="45"/>
  <c r="AD40" i="45"/>
  <c r="Y41" i="45"/>
  <c r="AD41" i="45"/>
  <c r="Y42" i="45"/>
  <c r="AD42" i="45"/>
  <c r="Y43" i="45"/>
  <c r="AD43" i="45"/>
  <c r="Y44" i="45"/>
  <c r="AD44" i="45"/>
  <c r="Y45" i="45"/>
  <c r="AD45" i="45"/>
  <c r="Y46" i="45"/>
  <c r="AD46" i="45"/>
  <c r="Y47" i="45"/>
  <c r="AD47" i="45"/>
  <c r="Y48" i="45"/>
  <c r="AD48" i="45"/>
  <c r="Y49" i="45"/>
  <c r="AD49" i="45"/>
  <c r="Z50" i="45"/>
  <c r="AE50" i="45"/>
  <c r="Z51" i="45"/>
  <c r="AE51" i="45"/>
  <c r="Z52" i="45"/>
  <c r="AE52" i="45"/>
  <c r="Z53" i="45"/>
  <c r="AE53" i="45"/>
  <c r="Z54" i="45"/>
  <c r="AE54" i="45"/>
  <c r="Z55" i="45"/>
  <c r="AE55" i="45"/>
  <c r="Z56" i="45"/>
  <c r="AE56" i="45"/>
  <c r="Z57" i="45"/>
  <c r="AE57" i="45"/>
  <c r="Z58" i="45"/>
  <c r="AE58" i="45"/>
  <c r="Z59" i="45"/>
  <c r="AE59" i="45"/>
  <c r="Z60" i="45"/>
  <c r="AE60" i="45"/>
  <c r="Z61" i="45"/>
  <c r="AE61" i="45"/>
  <c r="Y62" i="45"/>
  <c r="AD62" i="45"/>
  <c r="Y63" i="45"/>
  <c r="AD63" i="45"/>
  <c r="Y64" i="45"/>
  <c r="AD64" i="45"/>
  <c r="Y65" i="45"/>
  <c r="AD65" i="45"/>
  <c r="Y66" i="45"/>
  <c r="AD66" i="45"/>
  <c r="Y67" i="45"/>
  <c r="AD67" i="45"/>
  <c r="Y68" i="45"/>
  <c r="AD68" i="45"/>
  <c r="Y69" i="45"/>
  <c r="AD69" i="45"/>
  <c r="Y70" i="45"/>
  <c r="AD70" i="45"/>
  <c r="Y71" i="45"/>
  <c r="AD71" i="45"/>
  <c r="Y72" i="45"/>
  <c r="AD72" i="45"/>
  <c r="Y73" i="45"/>
  <c r="AD73" i="45"/>
  <c r="Z74" i="45"/>
  <c r="AE74" i="45"/>
  <c r="Z75" i="45"/>
  <c r="AE75" i="45"/>
  <c r="Z76" i="45"/>
  <c r="AE76" i="45"/>
  <c r="Z77" i="45"/>
  <c r="AE77" i="45"/>
  <c r="Z78" i="45"/>
  <c r="AE78" i="45"/>
  <c r="Z79" i="45"/>
  <c r="AE79" i="45"/>
  <c r="Z80" i="45"/>
  <c r="AE80" i="45"/>
  <c r="Z81" i="45"/>
  <c r="AE81" i="45"/>
  <c r="Z82" i="45"/>
  <c r="AE82" i="45"/>
  <c r="Z83" i="45"/>
  <c r="AE83" i="45"/>
  <c r="Z84" i="45"/>
  <c r="AE84" i="45"/>
  <c r="Z85" i="45"/>
  <c r="AE85" i="45"/>
  <c r="Z86" i="45"/>
  <c r="AE86" i="45"/>
  <c r="Z87" i="45"/>
  <c r="AE87" i="45"/>
  <c r="Z88" i="45"/>
  <c r="AE88" i="45"/>
  <c r="Z89" i="45"/>
  <c r="AE89" i="45"/>
  <c r="Z90" i="45"/>
  <c r="AE90" i="45"/>
  <c r="Z91" i="45"/>
  <c r="AE91" i="45"/>
  <c r="Z92" i="45"/>
  <c r="AE92" i="45"/>
  <c r="Z93" i="45"/>
  <c r="AE93" i="45"/>
  <c r="Z94" i="45"/>
  <c r="AE94" i="45"/>
  <c r="Z95" i="45"/>
  <c r="AE95" i="45"/>
  <c r="Z96" i="45"/>
  <c r="AE96" i="45"/>
  <c r="Z97" i="45"/>
  <c r="AE97" i="45"/>
  <c r="Z98" i="45"/>
  <c r="AE98" i="45"/>
  <c r="Z99" i="45"/>
  <c r="AE99" i="45"/>
  <c r="Z100" i="45"/>
  <c r="AE100" i="45"/>
  <c r="Z101" i="45"/>
  <c r="AE101" i="45"/>
  <c r="Z102" i="45"/>
  <c r="AE102" i="45"/>
  <c r="Z103" i="45"/>
  <c r="AE103" i="45"/>
  <c r="Z104" i="45"/>
  <c r="AE104" i="45"/>
  <c r="Z105" i="45"/>
  <c r="AE105" i="45"/>
  <c r="Z106" i="45"/>
  <c r="AE106" i="45"/>
  <c r="Z107" i="45"/>
  <c r="AE107" i="45"/>
  <c r="Z108" i="45"/>
  <c r="AE108" i="45"/>
  <c r="Z109" i="45"/>
  <c r="AE109" i="45"/>
  <c r="Y110" i="45"/>
  <c r="AD110" i="45"/>
  <c r="Y111" i="45"/>
  <c r="AD111" i="45"/>
  <c r="Y112" i="45"/>
  <c r="AD112" i="45"/>
  <c r="Y113" i="45"/>
  <c r="AD113" i="45"/>
  <c r="Y114" i="45"/>
  <c r="AD114" i="45"/>
  <c r="Y115" i="45"/>
  <c r="AD115" i="45"/>
  <c r="Y116" i="45"/>
  <c r="AD116" i="45"/>
  <c r="Y117" i="45"/>
  <c r="AD117" i="45"/>
  <c r="Y118" i="45"/>
  <c r="AD118" i="45"/>
  <c r="Y119" i="45"/>
  <c r="AD119" i="45"/>
  <c r="Y120" i="45"/>
  <c r="AD120" i="45"/>
  <c r="Y121" i="45"/>
  <c r="AD121" i="45"/>
  <c r="Z122" i="45"/>
  <c r="AE122" i="45"/>
  <c r="Z123" i="45"/>
  <c r="AE123" i="45"/>
  <c r="Z124" i="45"/>
  <c r="AE124" i="45"/>
  <c r="Z125" i="45"/>
  <c r="AE125" i="45"/>
  <c r="Z126" i="45"/>
  <c r="AE126" i="45"/>
  <c r="Z127" i="45"/>
  <c r="AE127" i="45"/>
  <c r="Z128" i="45"/>
  <c r="AE128" i="45"/>
  <c r="Z129" i="45"/>
  <c r="AE129" i="45"/>
  <c r="Z130" i="45"/>
  <c r="AE130" i="45"/>
  <c r="Z131" i="45"/>
  <c r="AE131" i="45"/>
  <c r="Z132" i="45"/>
  <c r="AE132" i="45"/>
  <c r="Z133" i="45"/>
  <c r="AE133" i="45"/>
  <c r="Z134" i="45"/>
  <c r="AE134" i="45"/>
  <c r="Z135" i="45"/>
  <c r="AE135" i="45"/>
  <c r="Z136" i="45"/>
  <c r="AE136" i="45"/>
  <c r="Z137" i="45"/>
  <c r="AE137" i="45"/>
  <c r="Z138" i="45"/>
  <c r="AE138" i="45"/>
  <c r="Z139" i="45"/>
  <c r="AE139" i="45"/>
  <c r="Z140" i="45"/>
  <c r="AE140" i="45"/>
  <c r="Z141" i="45"/>
  <c r="AE141" i="45"/>
  <c r="Z142" i="45"/>
  <c r="AE142" i="45"/>
  <c r="Z143" i="45"/>
  <c r="AE143" i="45"/>
  <c r="Z144" i="45"/>
  <c r="AE144" i="45"/>
  <c r="Z145" i="45"/>
  <c r="AE145" i="45"/>
  <c r="Y146" i="45"/>
  <c r="AD146" i="45"/>
  <c r="Y147" i="45"/>
  <c r="AD147" i="45"/>
  <c r="Y148" i="45"/>
  <c r="AD148" i="45"/>
  <c r="Y149" i="45"/>
  <c r="AD149" i="45"/>
  <c r="Y150" i="45"/>
  <c r="AD150" i="45"/>
  <c r="Y151" i="45"/>
  <c r="AD151" i="45"/>
  <c r="Y152" i="45"/>
  <c r="AD152" i="45"/>
  <c r="Y153" i="45"/>
  <c r="AD153" i="45"/>
  <c r="Y154" i="45"/>
  <c r="AD154" i="45"/>
  <c r="Y155" i="45"/>
  <c r="AD155" i="45"/>
  <c r="Y156" i="45"/>
  <c r="AD156" i="45"/>
  <c r="Y157" i="45"/>
  <c r="AD157" i="45"/>
  <c r="Z158" i="45"/>
  <c r="AE158" i="45"/>
  <c r="Z159" i="45"/>
  <c r="AE159" i="45"/>
  <c r="Z160" i="45"/>
  <c r="AE160" i="45"/>
  <c r="Z161" i="45"/>
  <c r="AE161" i="45"/>
  <c r="Z162" i="45"/>
  <c r="AE162" i="45"/>
  <c r="Z163" i="45"/>
  <c r="AE163" i="45"/>
  <c r="Z164" i="45"/>
  <c r="AE164" i="45"/>
  <c r="Z165" i="45"/>
  <c r="AE165" i="45"/>
  <c r="Z166" i="45"/>
  <c r="AE166" i="45"/>
  <c r="Z167" i="45"/>
  <c r="AE167" i="45"/>
  <c r="Z168" i="45"/>
  <c r="AE168" i="45"/>
  <c r="Z169" i="45"/>
  <c r="AE169" i="45"/>
  <c r="Z170" i="45"/>
  <c r="AE170" i="45"/>
  <c r="Z171" i="45"/>
  <c r="AE171" i="45"/>
  <c r="Z172" i="45"/>
  <c r="AE172" i="45"/>
  <c r="Z173" i="45"/>
  <c r="AE173" i="45"/>
  <c r="Z174" i="45"/>
  <c r="AE174" i="45"/>
  <c r="Z175" i="45"/>
  <c r="AE175" i="45"/>
  <c r="Z176" i="45"/>
  <c r="AE176" i="45"/>
  <c r="Z177" i="45"/>
  <c r="AE177" i="45"/>
  <c r="Z178" i="45"/>
  <c r="AE178" i="45"/>
  <c r="Z179" i="45"/>
  <c r="AE179" i="45"/>
  <c r="Z180" i="45"/>
  <c r="AE180" i="45"/>
  <c r="Z181" i="45"/>
  <c r="AE181" i="45"/>
  <c r="Z182" i="45"/>
  <c r="AE182" i="45"/>
  <c r="Z183" i="45"/>
  <c r="AE183" i="45"/>
  <c r="Z184" i="45"/>
  <c r="AE184" i="45"/>
  <c r="Z185" i="45"/>
  <c r="AE185" i="45"/>
  <c r="Z186" i="45"/>
  <c r="AE186" i="45"/>
  <c r="Z187" i="45"/>
  <c r="AE187" i="45"/>
  <c r="Z188" i="45"/>
  <c r="AE188" i="45"/>
  <c r="Z189" i="45"/>
  <c r="AE189" i="45"/>
  <c r="Z190" i="45"/>
  <c r="AE190" i="45"/>
  <c r="Z191" i="45"/>
  <c r="AE191" i="45"/>
  <c r="Z192" i="45"/>
  <c r="AE192" i="45"/>
  <c r="Z193" i="45"/>
  <c r="AE193" i="45"/>
  <c r="Z194" i="45"/>
  <c r="AE194" i="45"/>
  <c r="Z195" i="45"/>
  <c r="AE195" i="45"/>
  <c r="Z196" i="45"/>
  <c r="AE196" i="45"/>
  <c r="Z197" i="45"/>
  <c r="AE197" i="45"/>
  <c r="Z198" i="45"/>
  <c r="AE198" i="45"/>
  <c r="Z199" i="45"/>
  <c r="AE199" i="45"/>
  <c r="Z200" i="45"/>
  <c r="AE200" i="45"/>
  <c r="Z201" i="45"/>
  <c r="AE201" i="45"/>
  <c r="Z202" i="45"/>
  <c r="AE202" i="45"/>
  <c r="Z203" i="45"/>
  <c r="AE203" i="45"/>
  <c r="Z204" i="45"/>
  <c r="AE204" i="45"/>
  <c r="Z205" i="45"/>
  <c r="AE205" i="45"/>
  <c r="Z206" i="45"/>
  <c r="AE206" i="45"/>
  <c r="Z207" i="45"/>
  <c r="AE207" i="45"/>
  <c r="Z208" i="45"/>
  <c r="AE208" i="45"/>
  <c r="Z209" i="45"/>
  <c r="AE209" i="45"/>
  <c r="Z210" i="45"/>
  <c r="AE210" i="45"/>
  <c r="Z211" i="45"/>
  <c r="AE211" i="45"/>
  <c r="Z212" i="45"/>
  <c r="AE212" i="45"/>
  <c r="Z213" i="45"/>
  <c r="AE213" i="45"/>
  <c r="Z214" i="45"/>
  <c r="AE214" i="45"/>
  <c r="Z215" i="45"/>
  <c r="AE215" i="45"/>
  <c r="Z216" i="45"/>
  <c r="AE216" i="45"/>
  <c r="Z217" i="45"/>
  <c r="AE217" i="45"/>
  <c r="Z218" i="45"/>
  <c r="AE218" i="45"/>
  <c r="Z219" i="45"/>
  <c r="AE219" i="45"/>
  <c r="Z220" i="45"/>
  <c r="AE220" i="45"/>
  <c r="Z221" i="45"/>
  <c r="AE221" i="45"/>
  <c r="Z222" i="45"/>
  <c r="AE222" i="45"/>
  <c r="Z223" i="45"/>
  <c r="AE223" i="45"/>
  <c r="Z224" i="45"/>
  <c r="AE224" i="45"/>
  <c r="Z225" i="45"/>
  <c r="AE225" i="45"/>
  <c r="Z226" i="45"/>
  <c r="AE226" i="45"/>
  <c r="Z227" i="45"/>
  <c r="AE227" i="45"/>
  <c r="Z228" i="45"/>
  <c r="AE228" i="45"/>
  <c r="Z229" i="45"/>
  <c r="AE229" i="45"/>
  <c r="Z230" i="45"/>
  <c r="AE230" i="45"/>
  <c r="Z231" i="45"/>
  <c r="AE231" i="45"/>
  <c r="Z232" i="45"/>
  <c r="AE232" i="45"/>
  <c r="Z233" i="45"/>
  <c r="AE233" i="45"/>
  <c r="Z234" i="45"/>
  <c r="AE234" i="45"/>
  <c r="Z235" i="45"/>
  <c r="AE235" i="45"/>
  <c r="Z236" i="45"/>
  <c r="AE236" i="45"/>
  <c r="Z237" i="45"/>
  <c r="AE237" i="45"/>
  <c r="Z238" i="45"/>
  <c r="AE238" i="45"/>
  <c r="Z239" i="45"/>
  <c r="AE239" i="45"/>
  <c r="Z240" i="45"/>
  <c r="AE240" i="45"/>
  <c r="Z241" i="45"/>
  <c r="AE241" i="45"/>
  <c r="Z242" i="45"/>
  <c r="AE242" i="45"/>
  <c r="Z243" i="45"/>
  <c r="AE243" i="45"/>
  <c r="Z244" i="45"/>
  <c r="AE244" i="45"/>
  <c r="Z245" i="45"/>
  <c r="AE245" i="45"/>
  <c r="Z246" i="45"/>
  <c r="AE246" i="45"/>
  <c r="Z247" i="45"/>
  <c r="AE247" i="45"/>
  <c r="Z248" i="45"/>
  <c r="AE248" i="45"/>
  <c r="Z249" i="45"/>
  <c r="AE249" i="45"/>
  <c r="Z250" i="45"/>
  <c r="AE250" i="45"/>
  <c r="Z251" i="45"/>
  <c r="AE251" i="45"/>
  <c r="Z252" i="45"/>
  <c r="AE252" i="45"/>
  <c r="Z253" i="45"/>
  <c r="AE253" i="45"/>
  <c r="Z254" i="45"/>
  <c r="AE254" i="45"/>
  <c r="Z255" i="45"/>
  <c r="AE255" i="45"/>
  <c r="Z256" i="45"/>
  <c r="AE256" i="45"/>
  <c r="Z257" i="45"/>
  <c r="AE257" i="45"/>
  <c r="Z258" i="45"/>
  <c r="AE258" i="45"/>
  <c r="Z259" i="45"/>
  <c r="AE259" i="45"/>
  <c r="Z260" i="45"/>
  <c r="AE260" i="45"/>
  <c r="Z261" i="45"/>
  <c r="AE261" i="45"/>
  <c r="Z262" i="45"/>
  <c r="AE262" i="45"/>
  <c r="Z263" i="45"/>
  <c r="AE263" i="45"/>
  <c r="Z264" i="45"/>
  <c r="AE264" i="45"/>
  <c r="Z265" i="45"/>
  <c r="AE265" i="45"/>
  <c r="Z266" i="45"/>
  <c r="AE266" i="45"/>
  <c r="Z267" i="45"/>
  <c r="AE267" i="45"/>
  <c r="Z268" i="45"/>
  <c r="AE268" i="45"/>
  <c r="Z269" i="45"/>
  <c r="AE269" i="45"/>
  <c r="Z270" i="45"/>
  <c r="AE270" i="45"/>
  <c r="Z271" i="45"/>
  <c r="AE271" i="45"/>
  <c r="Z272" i="45"/>
  <c r="AE272" i="45"/>
  <c r="Z273" i="45"/>
  <c r="AE273" i="45"/>
  <c r="Z274" i="45"/>
  <c r="AE274" i="45"/>
  <c r="Z275" i="45"/>
  <c r="AE275" i="45"/>
  <c r="Z276" i="45"/>
  <c r="AE276" i="45"/>
  <c r="Z277" i="45"/>
  <c r="AE277" i="45"/>
  <c r="Z278" i="45"/>
  <c r="AE278" i="45"/>
  <c r="Z279" i="45"/>
  <c r="AE279" i="45"/>
  <c r="Z280" i="45"/>
  <c r="AE280" i="45"/>
  <c r="Z281" i="45"/>
  <c r="AE281" i="45"/>
  <c r="Z282" i="45"/>
  <c r="AE282" i="45"/>
  <c r="Z283" i="45"/>
  <c r="AE283" i="45"/>
  <c r="Z284" i="45"/>
  <c r="AE284" i="45"/>
  <c r="E5" i="65"/>
  <c r="F5" i="65"/>
  <c r="H5" i="65"/>
  <c r="I5" i="65"/>
  <c r="R5" i="65"/>
  <c r="U5" i="65"/>
  <c r="E6" i="65"/>
  <c r="F6" i="65"/>
  <c r="H6" i="65"/>
  <c r="I6" i="65"/>
  <c r="R6" i="65"/>
  <c r="U6" i="65"/>
  <c r="E7" i="65"/>
  <c r="F7" i="65"/>
  <c r="H7" i="65"/>
  <c r="I7" i="65"/>
  <c r="R7" i="65"/>
  <c r="U7" i="65"/>
  <c r="E8" i="65"/>
  <c r="F8" i="65"/>
  <c r="H8" i="65"/>
  <c r="I8" i="65"/>
  <c r="R8" i="65"/>
  <c r="U8" i="65"/>
  <c r="E9" i="65"/>
  <c r="H9" i="65"/>
  <c r="R9" i="65"/>
  <c r="U9" i="65"/>
  <c r="F10" i="65"/>
  <c r="I10" i="65"/>
  <c r="R10" i="65"/>
  <c r="U10" i="65"/>
  <c r="F11" i="65"/>
  <c r="I11" i="65"/>
  <c r="R11" i="65"/>
  <c r="U11" i="65"/>
  <c r="E12" i="65"/>
  <c r="H12" i="65"/>
  <c r="R12" i="65"/>
  <c r="U12" i="65"/>
  <c r="F13" i="65"/>
  <c r="I13" i="65"/>
  <c r="R13" i="65"/>
  <c r="U13" i="65"/>
  <c r="F14" i="65"/>
  <c r="I14" i="65"/>
  <c r="R14" i="65"/>
  <c r="U14" i="65"/>
  <c r="E15" i="65"/>
  <c r="H15" i="65"/>
  <c r="R15" i="65"/>
  <c r="U15" i="65"/>
  <c r="R16" i="65"/>
  <c r="U16" i="65"/>
  <c r="R17" i="65"/>
  <c r="U17" i="65"/>
  <c r="R18" i="65"/>
  <c r="U18" i="65"/>
  <c r="R19" i="65"/>
  <c r="U19" i="65"/>
  <c r="R20" i="65"/>
  <c r="U20" i="65"/>
  <c r="R21" i="65"/>
  <c r="U21" i="65"/>
  <c r="R22" i="65"/>
  <c r="U22" i="65"/>
  <c r="R23" i="65"/>
  <c r="U23" i="65"/>
  <c r="R24" i="65"/>
  <c r="U24" i="65"/>
  <c r="R25" i="65"/>
  <c r="U25" i="65"/>
  <c r="R26" i="65"/>
  <c r="U26" i="65"/>
  <c r="R27" i="65"/>
  <c r="U27" i="65"/>
  <c r="R28" i="65"/>
  <c r="U28" i="65"/>
  <c r="R29" i="65"/>
  <c r="U29" i="65"/>
  <c r="R30" i="65"/>
  <c r="U30" i="65"/>
  <c r="R31" i="65"/>
  <c r="U31" i="65"/>
  <c r="R32" i="65"/>
  <c r="U32" i="65"/>
  <c r="R33" i="65"/>
  <c r="U33" i="65"/>
  <c r="Q34" i="65"/>
  <c r="T34" i="65"/>
  <c r="Q35" i="65"/>
  <c r="T35" i="65"/>
  <c r="G5" i="49"/>
  <c r="I5" i="49"/>
  <c r="G6" i="49"/>
  <c r="I6" i="49"/>
  <c r="G7" i="49"/>
  <c r="I7" i="49"/>
  <c r="G10" i="49"/>
  <c r="I10" i="49"/>
  <c r="G11" i="49"/>
  <c r="I11" i="49"/>
  <c r="G12" i="49"/>
  <c r="I12" i="49"/>
  <c r="D17" i="49"/>
  <c r="F17" i="49"/>
  <c r="G17" i="49"/>
  <c r="F18" i="49"/>
  <c r="G18" i="49"/>
  <c r="D19" i="49"/>
  <c r="F19" i="49"/>
  <c r="G19" i="49"/>
  <c r="D20" i="49"/>
  <c r="F20" i="49"/>
  <c r="G20" i="49"/>
  <c r="AB5" i="51"/>
  <c r="AI5" i="51"/>
  <c r="AL5" i="51"/>
  <c r="AB6" i="51"/>
  <c r="AI6" i="51"/>
  <c r="AL6" i="51"/>
  <c r="AB7" i="51"/>
  <c r="AI7" i="51"/>
  <c r="AL7" i="51"/>
  <c r="AB8" i="51"/>
  <c r="AI8" i="51"/>
  <c r="AL8" i="51"/>
  <c r="AB9" i="51"/>
  <c r="AI9" i="51"/>
  <c r="AL9" i="51"/>
  <c r="AB10" i="51"/>
  <c r="AI10" i="51"/>
  <c r="AL10" i="51"/>
  <c r="AB11" i="51"/>
  <c r="AI11" i="51"/>
  <c r="AL11" i="51"/>
  <c r="AB12" i="51"/>
  <c r="AI12" i="51"/>
  <c r="AL12" i="51"/>
  <c r="AB13" i="51"/>
  <c r="AI13" i="51"/>
  <c r="AL13" i="51"/>
  <c r="AB14" i="51"/>
  <c r="AI14" i="51"/>
  <c r="AL14" i="51"/>
  <c r="AB15" i="51"/>
  <c r="AI15" i="51"/>
  <c r="AL15" i="51"/>
  <c r="AB16" i="51"/>
  <c r="AI16" i="51"/>
  <c r="AL16" i="51"/>
  <c r="AB17" i="51"/>
  <c r="AI17" i="51"/>
  <c r="AL17" i="51"/>
  <c r="AB18" i="51"/>
  <c r="AI18" i="51"/>
  <c r="AL18" i="51"/>
  <c r="AB19" i="51"/>
  <c r="AI19" i="51"/>
  <c r="AL19" i="51"/>
  <c r="AB20" i="51"/>
  <c r="AI20" i="51"/>
  <c r="AL20" i="51"/>
  <c r="AB21" i="51"/>
  <c r="AI21" i="51"/>
  <c r="AL21" i="51"/>
  <c r="AB22" i="51"/>
  <c r="AI22" i="51"/>
  <c r="AL22" i="51"/>
  <c r="AB23" i="51"/>
  <c r="AI23" i="51"/>
  <c r="AL23" i="51"/>
  <c r="AB24" i="51"/>
  <c r="AI24" i="51"/>
  <c r="AL24" i="51"/>
  <c r="AB25" i="51"/>
  <c r="AI25" i="51"/>
  <c r="AL25" i="51"/>
  <c r="AB26" i="51"/>
  <c r="AI26" i="51"/>
  <c r="AL26" i="51"/>
  <c r="AB27" i="51"/>
  <c r="AI27" i="51"/>
  <c r="AL27" i="51"/>
  <c r="AB28" i="51"/>
  <c r="AI28" i="51"/>
  <c r="AL28" i="51"/>
  <c r="AB29" i="51"/>
  <c r="AI29" i="51"/>
  <c r="AL29" i="51"/>
  <c r="AB30" i="51"/>
  <c r="AI30" i="51"/>
  <c r="AL30" i="51"/>
  <c r="AB31" i="51"/>
  <c r="AI31" i="51"/>
  <c r="AL31" i="51"/>
  <c r="AB32" i="51"/>
  <c r="AI32" i="51"/>
  <c r="AL32" i="51"/>
  <c r="AB33" i="51"/>
  <c r="AI33" i="51"/>
  <c r="AL33" i="51"/>
  <c r="AB34" i="51"/>
  <c r="AI34" i="51"/>
  <c r="AL34" i="51"/>
  <c r="AB35" i="51"/>
  <c r="AI35" i="51"/>
  <c r="AL35" i="51"/>
  <c r="AB36" i="51"/>
  <c r="AI36" i="51"/>
  <c r="AL36" i="51"/>
  <c r="AB37" i="51"/>
  <c r="AI37" i="51"/>
  <c r="AL37" i="51"/>
  <c r="AB38" i="51"/>
  <c r="AI38" i="51"/>
  <c r="AL38" i="51"/>
  <c r="AB39" i="51"/>
  <c r="AI39" i="51"/>
  <c r="AL39" i="51"/>
  <c r="AB40" i="51"/>
  <c r="AI40" i="51"/>
  <c r="AL40" i="51"/>
  <c r="AB41" i="51"/>
  <c r="AI41" i="51"/>
  <c r="AL41" i="51"/>
  <c r="AB42" i="51"/>
  <c r="AI42" i="51"/>
  <c r="AL42" i="51"/>
  <c r="AB43" i="51"/>
  <c r="AI43" i="51"/>
  <c r="AL43" i="51"/>
  <c r="AB45" i="51"/>
  <c r="N7" i="28"/>
  <c r="AJ7" i="28"/>
  <c r="AK7" i="28"/>
  <c r="N8" i="28"/>
  <c r="AJ8" i="28"/>
  <c r="AK8" i="28"/>
  <c r="N11" i="28"/>
  <c r="AJ11" i="28"/>
  <c r="AK11" i="28"/>
  <c r="N12" i="28"/>
  <c r="AJ12" i="28"/>
  <c r="AK12" i="28"/>
  <c r="N13" i="28"/>
  <c r="AJ13" i="28"/>
  <c r="AK13" i="28"/>
  <c r="N14" i="28"/>
  <c r="AJ14" i="28"/>
  <c r="AK14" i="28"/>
  <c r="N17" i="28"/>
  <c r="AJ17" i="28"/>
  <c r="AK17" i="28"/>
  <c r="N18" i="28"/>
  <c r="AJ18" i="28"/>
  <c r="AK18" i="28"/>
  <c r="N19" i="28"/>
  <c r="AJ19" i="28"/>
  <c r="AK19" i="28"/>
  <c r="N20" i="28"/>
  <c r="AJ20" i="28"/>
  <c r="AK20" i="28"/>
  <c r="N21" i="28"/>
  <c r="AJ21" i="28"/>
  <c r="AK21" i="28"/>
  <c r="N22" i="28"/>
  <c r="AJ22" i="28"/>
  <c r="AK22" i="28"/>
  <c r="N23" i="28"/>
  <c r="AJ23" i="28"/>
  <c r="AK23" i="28"/>
  <c r="N24" i="28"/>
  <c r="AJ24" i="28"/>
  <c r="AK24" i="28"/>
  <c r="N25" i="28"/>
  <c r="AJ25" i="28"/>
  <c r="AK25" i="28"/>
  <c r="N26" i="28"/>
  <c r="AJ26" i="28"/>
  <c r="AK26" i="28"/>
  <c r="N27" i="28"/>
  <c r="AJ27" i="28"/>
  <c r="AK27" i="28"/>
  <c r="N28" i="28"/>
  <c r="AJ28" i="28"/>
  <c r="AK28" i="28"/>
  <c r="N29" i="28"/>
  <c r="AJ29" i="28"/>
  <c r="AK29" i="28"/>
  <c r="N30" i="28"/>
  <c r="AJ30" i="28"/>
  <c r="AK30" i="28"/>
  <c r="N31" i="28"/>
  <c r="AJ31" i="28"/>
  <c r="AK31" i="28"/>
  <c r="N32" i="28"/>
  <c r="AJ32" i="28"/>
  <c r="AK32" i="28"/>
  <c r="N33" i="28"/>
  <c r="AJ33" i="28"/>
  <c r="AK33" i="28"/>
  <c r="N34" i="28"/>
  <c r="AJ34" i="28"/>
  <c r="AK34" i="28"/>
  <c r="N35" i="28"/>
  <c r="AJ35" i="28"/>
  <c r="AK35" i="28"/>
  <c r="N36" i="28"/>
  <c r="AJ36" i="28"/>
  <c r="AK36" i="28"/>
  <c r="N37" i="28"/>
  <c r="AJ37" i="28"/>
  <c r="AK37" i="28"/>
  <c r="N38" i="28"/>
  <c r="AJ38" i="28"/>
  <c r="AK38" i="28"/>
  <c r="N39" i="28"/>
  <c r="AJ39" i="28"/>
  <c r="AK39" i="28"/>
  <c r="N40" i="28"/>
  <c r="AJ40" i="28"/>
  <c r="AK40" i="28"/>
  <c r="N41" i="28"/>
  <c r="AJ41" i="28"/>
  <c r="AK41" i="28"/>
  <c r="N42" i="28"/>
  <c r="AJ42" i="28"/>
  <c r="AK42" i="28"/>
  <c r="N43" i="28"/>
  <c r="AJ43" i="28"/>
  <c r="AK43" i="28"/>
  <c r="N44" i="28"/>
  <c r="AJ44" i="28"/>
  <c r="AK44" i="28"/>
  <c r="N45" i="28"/>
  <c r="AJ45" i="28"/>
  <c r="AK45" i="28"/>
  <c r="N46" i="28"/>
  <c r="AJ46" i="28"/>
  <c r="AK46" i="28"/>
  <c r="N47" i="28"/>
  <c r="AJ47" i="28"/>
  <c r="AK47" i="28"/>
  <c r="N48" i="28"/>
  <c r="AJ48" i="28"/>
  <c r="AK48" i="28"/>
  <c r="N49" i="28"/>
  <c r="AJ49" i="28"/>
  <c r="AK49" i="28"/>
  <c r="N50" i="28"/>
  <c r="AJ50" i="28"/>
  <c r="AK50" i="28"/>
  <c r="N51" i="28"/>
  <c r="AJ51" i="28"/>
  <c r="AK51" i="28"/>
  <c r="N55" i="28"/>
  <c r="AJ55" i="28"/>
  <c r="AK55" i="28"/>
  <c r="N60" i="28"/>
  <c r="AJ60" i="28"/>
  <c r="AK60" i="28"/>
  <c r="L63" i="28"/>
  <c r="N63" i="28"/>
  <c r="L64" i="28"/>
  <c r="N64" i="28"/>
  <c r="N65" i="28"/>
  <c r="L66" i="28"/>
  <c r="L67" i="28"/>
  <c r="L68" i="28"/>
  <c r="L69" i="28"/>
  <c r="L70" i="28"/>
  <c r="N5" i="54"/>
  <c r="AB5" i="54"/>
  <c r="AC5" i="54"/>
  <c r="AF5" i="54"/>
  <c r="AG5" i="54"/>
  <c r="N6" i="54"/>
  <c r="AB6" i="54"/>
  <c r="AC6" i="54"/>
  <c r="AF6" i="54"/>
  <c r="AG6" i="54"/>
  <c r="N7" i="54"/>
  <c r="AB7" i="54"/>
  <c r="AC7" i="54"/>
  <c r="AF7" i="54"/>
  <c r="AG7" i="54"/>
  <c r="N8" i="54"/>
  <c r="AB8" i="54"/>
  <c r="AC8" i="54"/>
  <c r="AF8" i="54"/>
  <c r="AG8" i="54"/>
  <c r="N9" i="54"/>
  <c r="AB9" i="54"/>
  <c r="AC9" i="54"/>
  <c r="AF9" i="54"/>
  <c r="AG9" i="54"/>
  <c r="N10" i="54"/>
  <c r="AB10" i="54"/>
  <c r="AC10" i="54"/>
  <c r="AF10" i="54"/>
  <c r="AG10" i="54"/>
  <c r="N11" i="54"/>
  <c r="AB11" i="54"/>
  <c r="AC11" i="54"/>
  <c r="AF11" i="54"/>
  <c r="AG11" i="54"/>
  <c r="N12" i="54"/>
  <c r="AB12" i="54"/>
  <c r="AC12" i="54"/>
  <c r="AF12" i="54"/>
  <c r="AG12" i="54"/>
  <c r="N13" i="54"/>
  <c r="AB13" i="54"/>
  <c r="AC13" i="54"/>
  <c r="AF13" i="54"/>
  <c r="AG13" i="54"/>
  <c r="N14" i="54"/>
  <c r="AB14" i="54"/>
  <c r="AC14" i="54"/>
  <c r="AF14" i="54"/>
  <c r="AG14" i="54"/>
  <c r="N15" i="54"/>
  <c r="AB15" i="54"/>
  <c r="AC15" i="54"/>
  <c r="AF15" i="54"/>
  <c r="AG15" i="54"/>
  <c r="N16" i="54"/>
  <c r="AB16" i="54"/>
  <c r="AC16" i="54"/>
  <c r="AF16" i="54"/>
  <c r="AG16" i="54"/>
  <c r="N17" i="54"/>
  <c r="AB17" i="54"/>
  <c r="AC17" i="54"/>
  <c r="AF17" i="54"/>
  <c r="AG17" i="54"/>
  <c r="N18" i="54"/>
  <c r="AB18" i="54"/>
  <c r="AC18" i="54"/>
  <c r="AF18" i="54"/>
  <c r="AG18" i="54"/>
  <c r="N19" i="54"/>
  <c r="AB19" i="54"/>
  <c r="AC19" i="54"/>
  <c r="AF19" i="54"/>
  <c r="AG19" i="54"/>
  <c r="N20" i="54"/>
  <c r="AB20" i="54"/>
  <c r="AC20" i="54"/>
  <c r="AF20" i="54"/>
  <c r="AG20" i="54"/>
  <c r="N21" i="54"/>
  <c r="AB21" i="54"/>
  <c r="AC21" i="54"/>
  <c r="AF21" i="54"/>
  <c r="AG21" i="54"/>
  <c r="N22" i="54"/>
  <c r="AB22" i="54"/>
  <c r="AC22" i="54"/>
  <c r="AF22" i="54"/>
  <c r="AG22" i="54"/>
  <c r="N23" i="54"/>
  <c r="AB23" i="54"/>
  <c r="AC23" i="54"/>
  <c r="AF23" i="54"/>
  <c r="AG23" i="54"/>
  <c r="N24" i="54"/>
  <c r="AB24" i="54"/>
  <c r="AC24" i="54"/>
  <c r="AF24" i="54"/>
  <c r="AG24" i="54"/>
  <c r="N25" i="54"/>
  <c r="AB25" i="54"/>
  <c r="AC25" i="54"/>
  <c r="AF25" i="54"/>
  <c r="AG25" i="54"/>
  <c r="N26" i="54"/>
  <c r="AB26" i="54"/>
  <c r="AC26" i="54"/>
  <c r="AF26" i="54"/>
  <c r="AG26" i="54"/>
  <c r="N27" i="54"/>
  <c r="AB27" i="54"/>
  <c r="AC27" i="54"/>
  <c r="AF27" i="54"/>
  <c r="AG27" i="54"/>
  <c r="N28" i="54"/>
  <c r="AB28" i="54"/>
  <c r="AC28" i="54"/>
  <c r="AF28" i="54"/>
  <c r="AG28" i="54"/>
  <c r="N29" i="54"/>
  <c r="AB29" i="54"/>
  <c r="AC29" i="54"/>
  <c r="AF29" i="54"/>
  <c r="AG29" i="54"/>
  <c r="N30" i="54"/>
  <c r="AB30" i="54"/>
  <c r="AC30" i="54"/>
  <c r="AF30" i="54"/>
  <c r="AG30" i="54"/>
  <c r="N31" i="54"/>
  <c r="AB31" i="54"/>
  <c r="AC31" i="54"/>
  <c r="AF31" i="54"/>
  <c r="AG31" i="54"/>
  <c r="N32" i="54"/>
  <c r="AB32" i="54"/>
  <c r="AC32" i="54"/>
  <c r="AF32" i="54"/>
  <c r="AG32" i="54"/>
  <c r="N33" i="54"/>
  <c r="AB33" i="54"/>
  <c r="AC33" i="54"/>
  <c r="AF33" i="54"/>
  <c r="AG33" i="54"/>
  <c r="N34" i="54"/>
  <c r="AB34" i="54"/>
  <c r="AC34" i="54"/>
  <c r="AF34" i="54"/>
  <c r="AG34" i="54"/>
  <c r="N35" i="54"/>
  <c r="AB35" i="54"/>
  <c r="AC35" i="54"/>
  <c r="AF35" i="54"/>
  <c r="AG35" i="54"/>
  <c r="N36" i="54"/>
  <c r="AB36" i="54"/>
  <c r="AC36" i="54"/>
  <c r="AF36" i="54"/>
  <c r="AG36" i="54"/>
  <c r="N37" i="54"/>
  <c r="AB37" i="54"/>
  <c r="AC37" i="54"/>
  <c r="AF37" i="54"/>
  <c r="AG37" i="54"/>
  <c r="N38" i="54"/>
  <c r="AB38" i="54"/>
  <c r="AC38" i="54"/>
  <c r="AF38" i="54"/>
  <c r="AG38" i="54"/>
  <c r="N39" i="54"/>
  <c r="AB39" i="54"/>
  <c r="AC39" i="54"/>
  <c r="AF39" i="54"/>
  <c r="AG39" i="54"/>
  <c r="N40" i="54"/>
  <c r="AB40" i="54"/>
  <c r="AC40" i="54"/>
  <c r="AF40" i="54"/>
  <c r="AG40" i="54"/>
  <c r="N41" i="54"/>
  <c r="AB41" i="54"/>
  <c r="AC41" i="54"/>
  <c r="AF41" i="54"/>
  <c r="AG41" i="54"/>
  <c r="N42" i="54"/>
  <c r="AB42" i="54"/>
  <c r="AC42" i="54"/>
  <c r="AF42" i="54"/>
  <c r="AG42" i="54"/>
  <c r="N43" i="54"/>
  <c r="AB43" i="54"/>
  <c r="AC43" i="54"/>
  <c r="AF43" i="54"/>
  <c r="AG43" i="54"/>
  <c r="N44" i="54"/>
  <c r="AB44" i="54"/>
  <c r="AC44" i="54"/>
  <c r="AF44" i="54"/>
  <c r="AG44" i="54"/>
  <c r="N45" i="54"/>
  <c r="AB45" i="54"/>
  <c r="AC45" i="54"/>
  <c r="AF45" i="54"/>
  <c r="AG45" i="54"/>
  <c r="N46" i="54"/>
  <c r="AB46" i="54"/>
  <c r="AC46" i="54"/>
  <c r="AF46" i="54"/>
  <c r="AG46" i="54"/>
  <c r="N47" i="54"/>
  <c r="AB47" i="54"/>
  <c r="AC47" i="54"/>
  <c r="AF47" i="54"/>
  <c r="AG47" i="54"/>
  <c r="N48" i="54"/>
  <c r="AB48" i="54"/>
  <c r="AC48" i="54"/>
  <c r="AF48" i="54"/>
  <c r="AG48" i="54"/>
  <c r="N49" i="54"/>
  <c r="AB49" i="54"/>
  <c r="AC49" i="54"/>
  <c r="AF49" i="54"/>
  <c r="AG49" i="54"/>
  <c r="N50" i="54"/>
  <c r="AB50" i="54"/>
  <c r="AC50" i="54"/>
  <c r="AF50" i="54"/>
  <c r="AG50" i="54"/>
  <c r="N51" i="54"/>
  <c r="AB51" i="54"/>
  <c r="AC51" i="54"/>
  <c r="AF51" i="54"/>
  <c r="AG51" i="54"/>
  <c r="N57" i="54"/>
  <c r="AB57" i="54"/>
  <c r="AC57" i="54"/>
  <c r="AF57" i="54"/>
  <c r="AG57" i="54"/>
  <c r="N58" i="54"/>
  <c r="AB58" i="54"/>
  <c r="AC58" i="54"/>
  <c r="AF58" i="54"/>
  <c r="AG58" i="54"/>
  <c r="N59" i="54"/>
  <c r="AB59" i="54"/>
  <c r="AC59" i="54"/>
  <c r="AF59" i="54"/>
  <c r="AG59" i="54"/>
  <c r="N60" i="54"/>
  <c r="AB60" i="54"/>
  <c r="AC60" i="54"/>
  <c r="AF60" i="54"/>
  <c r="AG60" i="54"/>
  <c r="N61" i="54"/>
  <c r="AB61" i="54"/>
  <c r="AC61" i="54"/>
  <c r="AF61" i="54"/>
  <c r="AG61" i="54"/>
  <c r="N62" i="54"/>
  <c r="AB62" i="54"/>
  <c r="AC62" i="54"/>
  <c r="AF62" i="54"/>
  <c r="AG62" i="54"/>
  <c r="N63" i="54"/>
  <c r="AB63" i="54"/>
  <c r="AC63" i="54"/>
  <c r="AF63" i="54"/>
  <c r="AG63" i="54"/>
  <c r="N64" i="54"/>
  <c r="AB64" i="54"/>
  <c r="AC64" i="54"/>
  <c r="AF64" i="54"/>
  <c r="AG64" i="54"/>
  <c r="N65" i="54"/>
  <c r="AB65" i="54"/>
  <c r="AC65" i="54"/>
  <c r="AF65" i="54"/>
  <c r="AG65" i="54"/>
  <c r="N66" i="54"/>
  <c r="AB66" i="54"/>
  <c r="AC66" i="54"/>
  <c r="AF66" i="54"/>
  <c r="AG66" i="54"/>
  <c r="N67" i="54"/>
  <c r="AB67" i="54"/>
  <c r="AC67" i="54"/>
  <c r="AF67" i="54"/>
  <c r="AG67" i="54"/>
  <c r="N68" i="54"/>
  <c r="AB68" i="54"/>
  <c r="AC68" i="54"/>
  <c r="AF68" i="54"/>
  <c r="AG68" i="54"/>
  <c r="N69" i="54"/>
  <c r="AB69" i="54"/>
  <c r="AC69" i="54"/>
  <c r="AF69" i="54"/>
  <c r="AG69" i="54"/>
  <c r="N70" i="54"/>
  <c r="AB70" i="54"/>
  <c r="AC70" i="54"/>
  <c r="AF70" i="54"/>
  <c r="AG70" i="54"/>
  <c r="N71" i="54"/>
  <c r="AB71" i="54"/>
  <c r="AC71" i="54"/>
  <c r="AF71" i="54"/>
  <c r="AG71" i="54"/>
  <c r="N72" i="54"/>
  <c r="AB72" i="54"/>
  <c r="AC72" i="54"/>
  <c r="AF72" i="54"/>
  <c r="AG72" i="54"/>
  <c r="N73" i="54"/>
  <c r="AB73" i="54"/>
  <c r="AC73" i="54"/>
  <c r="AF73" i="54"/>
  <c r="AG73" i="54"/>
  <c r="N74" i="54"/>
  <c r="AB74" i="54"/>
  <c r="AC74" i="54"/>
  <c r="AF74" i="54"/>
  <c r="AG74" i="54"/>
  <c r="N75" i="54"/>
  <c r="AB75" i="54"/>
  <c r="AC75" i="54"/>
  <c r="AF75" i="54"/>
  <c r="AG75" i="54"/>
  <c r="N76" i="54"/>
  <c r="AB76" i="54"/>
  <c r="AC76" i="54"/>
  <c r="AF76" i="54"/>
  <c r="AG76" i="54"/>
  <c r="N77" i="54"/>
  <c r="AB77" i="54"/>
  <c r="AC77" i="54"/>
  <c r="AF77" i="54"/>
  <c r="AG77" i="54"/>
  <c r="N78" i="54"/>
  <c r="AB78" i="54"/>
  <c r="AC78" i="54"/>
  <c r="AF78" i="54"/>
  <c r="AG78" i="54"/>
  <c r="N79" i="54"/>
  <c r="AB79" i="54"/>
  <c r="AC79" i="54"/>
  <c r="AF79" i="54"/>
  <c r="AG79" i="54"/>
  <c r="N80" i="54"/>
  <c r="AB80" i="54"/>
  <c r="AC80" i="54"/>
  <c r="AF80" i="54"/>
  <c r="AG80" i="54"/>
  <c r="N81" i="54"/>
  <c r="AB81" i="54"/>
  <c r="AC81" i="54"/>
  <c r="AF81" i="54"/>
  <c r="AG81" i="54"/>
  <c r="N82" i="54"/>
  <c r="AB82" i="54"/>
  <c r="AC82" i="54"/>
  <c r="AF82" i="54"/>
  <c r="AG82" i="54"/>
  <c r="N83" i="54"/>
  <c r="AB83" i="54"/>
  <c r="AC83" i="54"/>
  <c r="AF83" i="54"/>
  <c r="AG83" i="54"/>
  <c r="N84" i="54"/>
  <c r="AB84" i="54"/>
  <c r="AC84" i="54"/>
  <c r="AF84" i="54"/>
  <c r="AG84" i="54"/>
  <c r="N85" i="54"/>
  <c r="AB85" i="54"/>
  <c r="AC85" i="54"/>
  <c r="AF85" i="54"/>
  <c r="AG85" i="54"/>
  <c r="N86" i="54"/>
  <c r="AB86" i="54"/>
  <c r="AC86" i="54"/>
  <c r="AF86" i="54"/>
  <c r="AG86" i="54"/>
  <c r="N87" i="54"/>
  <c r="AB87" i="54"/>
  <c r="AC87" i="54"/>
  <c r="AF87" i="54"/>
  <c r="AG87" i="54"/>
  <c r="N88" i="54"/>
  <c r="AB88" i="54"/>
  <c r="AC88" i="54"/>
  <c r="AF88" i="54"/>
  <c r="AG88" i="54"/>
  <c r="N89" i="54"/>
  <c r="AB89" i="54"/>
  <c r="AC89" i="54"/>
  <c r="AF89" i="54"/>
  <c r="AG89" i="54"/>
  <c r="N90" i="54"/>
  <c r="AB90" i="54"/>
  <c r="AC90" i="54"/>
  <c r="AF90" i="54"/>
  <c r="AG90" i="54"/>
  <c r="N91" i="54"/>
  <c r="AB91" i="54"/>
  <c r="AC91" i="54"/>
  <c r="AF91" i="54"/>
  <c r="AG91" i="54"/>
  <c r="N92" i="54"/>
  <c r="AB92" i="54"/>
  <c r="AC92" i="54"/>
  <c r="AF92" i="54"/>
  <c r="AG92" i="54"/>
  <c r="N93" i="54"/>
  <c r="AB93" i="54"/>
  <c r="AC93" i="54"/>
  <c r="AF93" i="54"/>
  <c r="AG93" i="54"/>
  <c r="N94" i="54"/>
  <c r="AB94" i="54"/>
  <c r="AC94" i="54"/>
  <c r="AF94" i="54"/>
  <c r="AG94" i="54"/>
  <c r="N95" i="54"/>
  <c r="AB95" i="54"/>
  <c r="AC95" i="54"/>
  <c r="AF95" i="54"/>
  <c r="AG95" i="54"/>
  <c r="N96" i="54"/>
  <c r="AB96" i="54"/>
  <c r="AC96" i="54"/>
  <c r="AF96" i="54"/>
  <c r="AG96" i="54"/>
  <c r="N97" i="54"/>
  <c r="AB97" i="54"/>
  <c r="AC97" i="54"/>
  <c r="AF97" i="54"/>
  <c r="AG97" i="54"/>
  <c r="N98" i="54"/>
  <c r="AB98" i="54"/>
  <c r="AC98" i="54"/>
  <c r="AF98" i="54"/>
  <c r="AG98" i="54"/>
  <c r="N99" i="54"/>
  <c r="AB99" i="54"/>
  <c r="AC99" i="54"/>
  <c r="AF99" i="54"/>
  <c r="AG99" i="54"/>
  <c r="N100" i="54"/>
  <c r="AB100" i="54"/>
  <c r="AC100" i="54"/>
  <c r="AF100" i="54"/>
  <c r="AG100" i="54"/>
  <c r="N101" i="54"/>
  <c r="AB101" i="54"/>
  <c r="AC101" i="54"/>
  <c r="AF101" i="54"/>
  <c r="AG101" i="54"/>
  <c r="N102" i="54"/>
  <c r="AB102" i="54"/>
  <c r="AC102" i="54"/>
  <c r="AF102" i="54"/>
  <c r="AG102" i="54"/>
  <c r="N103" i="54"/>
  <c r="AB103" i="54"/>
  <c r="AC103" i="54"/>
  <c r="AF103" i="54"/>
  <c r="AG103" i="54"/>
  <c r="N5" i="29"/>
  <c r="T5" i="29"/>
  <c r="AJ5" i="29"/>
  <c r="AK5" i="29"/>
  <c r="AL5" i="29"/>
  <c r="AM5" i="29"/>
  <c r="N6" i="29"/>
  <c r="T6" i="29"/>
  <c r="AJ6" i="29"/>
  <c r="AK6" i="29"/>
  <c r="AL6" i="29"/>
  <c r="AM6" i="29"/>
  <c r="N7" i="29"/>
  <c r="T7" i="29"/>
  <c r="AJ7" i="29"/>
  <c r="AK7" i="29"/>
  <c r="AL7" i="29"/>
  <c r="AM7" i="29"/>
  <c r="N8" i="29"/>
  <c r="T8" i="29"/>
  <c r="AJ8" i="29"/>
  <c r="AK8" i="29"/>
  <c r="AL8" i="29"/>
  <c r="AM8" i="29"/>
  <c r="N9" i="29"/>
  <c r="T9" i="29"/>
  <c r="AJ9" i="29"/>
  <c r="AK9" i="29"/>
  <c r="AL9" i="29"/>
  <c r="AM9" i="29"/>
  <c r="N10" i="29"/>
  <c r="T10" i="29"/>
  <c r="AJ10" i="29"/>
  <c r="AK10" i="29"/>
  <c r="AL10" i="29"/>
  <c r="AM10" i="29"/>
  <c r="N11" i="29"/>
  <c r="T11" i="29"/>
  <c r="AJ11" i="29"/>
  <c r="AK11" i="29"/>
  <c r="AL11" i="29"/>
  <c r="AM11" i="29"/>
  <c r="N12" i="29"/>
  <c r="T12" i="29"/>
  <c r="AJ12" i="29"/>
  <c r="AK12" i="29"/>
  <c r="AL12" i="29"/>
  <c r="AM12" i="29"/>
  <c r="N13" i="29"/>
  <c r="T13" i="29"/>
  <c r="AJ13" i="29"/>
  <c r="AK13" i="29"/>
  <c r="AL13" i="29"/>
  <c r="AM13" i="29"/>
  <c r="N14" i="29"/>
  <c r="T14" i="29"/>
  <c r="AJ14" i="29"/>
  <c r="AK14" i="29"/>
  <c r="AL14" i="29"/>
  <c r="AM14" i="29"/>
  <c r="N15" i="29"/>
  <c r="T15" i="29"/>
  <c r="AJ15" i="29"/>
  <c r="AK15" i="29"/>
  <c r="AL15" i="29"/>
  <c r="AM15" i="29"/>
  <c r="N16" i="29"/>
  <c r="T16" i="29"/>
  <c r="AJ16" i="29"/>
  <c r="AK16" i="29"/>
  <c r="AL16" i="29"/>
  <c r="AM16" i="29"/>
  <c r="N17" i="29"/>
  <c r="T17" i="29"/>
  <c r="AJ17" i="29"/>
  <c r="AK17" i="29"/>
  <c r="AL17" i="29"/>
  <c r="AM17" i="29"/>
  <c r="N18" i="29"/>
  <c r="T18" i="29"/>
  <c r="AJ18" i="29"/>
  <c r="AK18" i="29"/>
  <c r="AL18" i="29"/>
  <c r="AM18" i="29"/>
  <c r="N19" i="29"/>
  <c r="T19" i="29"/>
  <c r="AJ19" i="29"/>
  <c r="AK19" i="29"/>
  <c r="AL19" i="29"/>
  <c r="AM19" i="29"/>
  <c r="N20" i="29"/>
  <c r="T20" i="29"/>
  <c r="AJ20" i="29"/>
  <c r="AK20" i="29"/>
  <c r="AL20" i="29"/>
  <c r="AM20" i="29"/>
  <c r="N21" i="29"/>
  <c r="T21" i="29"/>
  <c r="AJ21" i="29"/>
  <c r="AK21" i="29"/>
  <c r="AL21" i="29"/>
  <c r="AM21" i="29"/>
  <c r="N22" i="29"/>
  <c r="T22" i="29"/>
  <c r="AJ22" i="29"/>
  <c r="AK22" i="29"/>
  <c r="AL22" i="29"/>
  <c r="AM22" i="29"/>
  <c r="N23" i="29"/>
  <c r="T23" i="29"/>
  <c r="AJ23" i="29"/>
  <c r="AK23" i="29"/>
  <c r="AL23" i="29"/>
  <c r="AM23" i="29"/>
  <c r="N24" i="29"/>
  <c r="T24" i="29"/>
  <c r="AJ24" i="29"/>
  <c r="AK24" i="29"/>
  <c r="AL24" i="29"/>
  <c r="AM24" i="29"/>
  <c r="N25" i="29"/>
  <c r="T25" i="29"/>
  <c r="AJ25" i="29"/>
  <c r="AK25" i="29"/>
  <c r="AL25" i="29"/>
  <c r="AM25" i="29"/>
  <c r="N26" i="29"/>
  <c r="T26" i="29"/>
  <c r="AJ26" i="29"/>
  <c r="AK26" i="29"/>
  <c r="AL26" i="29"/>
  <c r="AM26" i="29"/>
  <c r="N27" i="29"/>
  <c r="T27" i="29"/>
  <c r="AJ27" i="29"/>
  <c r="AK27" i="29"/>
  <c r="AL27" i="29"/>
  <c r="AM27" i="29"/>
  <c r="N28" i="29"/>
  <c r="T28" i="29"/>
  <c r="AJ28" i="29"/>
  <c r="AK28" i="29"/>
  <c r="AL28" i="29"/>
  <c r="AM28" i="29"/>
  <c r="N29" i="29"/>
  <c r="T29" i="29"/>
  <c r="AJ29" i="29"/>
  <c r="AK29" i="29"/>
  <c r="AL29" i="29"/>
  <c r="AM29" i="29"/>
  <c r="N30" i="29"/>
  <c r="T30" i="29"/>
  <c r="AJ30" i="29"/>
  <c r="AK30" i="29"/>
  <c r="AL30" i="29"/>
  <c r="AM30" i="29"/>
  <c r="N31" i="29"/>
  <c r="T31" i="29"/>
  <c r="AJ31" i="29"/>
  <c r="AK31" i="29"/>
  <c r="AL31" i="29"/>
  <c r="AM31" i="29"/>
  <c r="N32" i="29"/>
  <c r="T32" i="29"/>
  <c r="AJ32" i="29"/>
  <c r="AK32" i="29"/>
  <c r="AL32" i="29"/>
  <c r="AM32" i="29"/>
  <c r="N33" i="29"/>
  <c r="T33" i="29"/>
  <c r="AJ33" i="29"/>
  <c r="AK33" i="29"/>
  <c r="AL33" i="29"/>
  <c r="AM33" i="29"/>
  <c r="N34" i="29"/>
  <c r="T34" i="29"/>
  <c r="AJ34" i="29"/>
  <c r="AK34" i="29"/>
  <c r="AL34" i="29"/>
  <c r="AM34" i="29"/>
  <c r="N35" i="29"/>
  <c r="T35" i="29"/>
  <c r="AJ35" i="29"/>
  <c r="AK35" i="29"/>
  <c r="AL35" i="29"/>
  <c r="AM35" i="29"/>
  <c r="N36" i="29"/>
  <c r="T36" i="29"/>
  <c r="AJ36" i="29"/>
  <c r="AK36" i="29"/>
  <c r="AL36" i="29"/>
  <c r="AM36" i="29"/>
  <c r="N37" i="29"/>
  <c r="T37" i="29"/>
  <c r="AJ37" i="29"/>
  <c r="AK37" i="29"/>
  <c r="AL37" i="29"/>
  <c r="AM37" i="29"/>
  <c r="N38" i="29"/>
  <c r="T38" i="29"/>
  <c r="AJ38" i="29"/>
  <c r="AK38" i="29"/>
  <c r="AL38" i="29"/>
  <c r="AM38" i="29"/>
  <c r="N39" i="29"/>
  <c r="T39" i="29"/>
  <c r="AJ39" i="29"/>
  <c r="AK39" i="29"/>
  <c r="AL39" i="29"/>
  <c r="AM39" i="29"/>
  <c r="N40" i="29"/>
  <c r="T40" i="29"/>
  <c r="AJ40" i="29"/>
  <c r="AK40" i="29"/>
  <c r="AL40" i="29"/>
  <c r="AM40" i="29"/>
  <c r="N41" i="29"/>
  <c r="T41" i="29"/>
  <c r="AJ41" i="29"/>
  <c r="AK41" i="29"/>
  <c r="AL41" i="29"/>
  <c r="AM41" i="29"/>
  <c r="N42" i="29"/>
  <c r="T42" i="29"/>
  <c r="AJ42" i="29"/>
  <c r="AK42" i="29"/>
  <c r="AL42" i="29"/>
  <c r="AM42" i="29"/>
  <c r="N43" i="29"/>
  <c r="T43" i="29"/>
  <c r="AJ43" i="29"/>
  <c r="AK43" i="29"/>
  <c r="AL43" i="29"/>
  <c r="AM43" i="29"/>
  <c r="N44" i="29"/>
  <c r="T44" i="29"/>
  <c r="AJ44" i="29"/>
  <c r="AK44" i="29"/>
  <c r="AL44" i="29"/>
  <c r="AM44" i="29"/>
  <c r="N45" i="29"/>
  <c r="T45" i="29"/>
  <c r="AJ45" i="29"/>
  <c r="AK45" i="29"/>
  <c r="AL45" i="29"/>
  <c r="AM45" i="29"/>
  <c r="N46" i="29"/>
  <c r="T46" i="29"/>
  <c r="AJ46" i="29"/>
  <c r="AK46" i="29"/>
  <c r="AL46" i="29"/>
  <c r="AM46" i="29"/>
  <c r="N47" i="29"/>
  <c r="T47" i="29"/>
  <c r="AJ47" i="29"/>
  <c r="AK47" i="29"/>
  <c r="AL47" i="29"/>
  <c r="AM47" i="29"/>
  <c r="N48" i="29"/>
  <c r="T48" i="29"/>
  <c r="AJ48" i="29"/>
  <c r="AK48" i="29"/>
  <c r="AL48" i="29"/>
  <c r="AM48" i="29"/>
  <c r="N49" i="29"/>
  <c r="T49" i="29"/>
  <c r="AJ49" i="29"/>
  <c r="AK49" i="29"/>
  <c r="AL49" i="29"/>
  <c r="AM49" i="29"/>
  <c r="N50" i="29"/>
  <c r="T50" i="29"/>
  <c r="AJ50" i="29"/>
  <c r="AK50" i="29"/>
  <c r="AL50" i="29"/>
  <c r="AM50" i="29"/>
  <c r="N51" i="29"/>
  <c r="T51" i="29"/>
  <c r="AJ51" i="29"/>
  <c r="AK51" i="29"/>
  <c r="AL51" i="29"/>
  <c r="AM51" i="29"/>
  <c r="N53" i="29"/>
  <c r="T53" i="29"/>
  <c r="AJ53" i="29"/>
  <c r="AK53" i="29"/>
  <c r="AL53" i="29"/>
  <c r="AM53" i="29"/>
  <c r="N58" i="29"/>
  <c r="AE58" i="29"/>
  <c r="AF58" i="29"/>
  <c r="AJ58" i="29"/>
  <c r="AK58" i="29"/>
  <c r="N5" i="30"/>
  <c r="T5" i="30"/>
  <c r="AE5" i="30"/>
  <c r="AF5" i="30"/>
  <c r="AG5" i="30"/>
  <c r="AJ5" i="30"/>
  <c r="AK5" i="30"/>
  <c r="AL5" i="30"/>
  <c r="AM5" i="30"/>
  <c r="AO5" i="30"/>
  <c r="AP5" i="30"/>
  <c r="N6" i="30"/>
  <c r="T6" i="30"/>
  <c r="AE6" i="30"/>
  <c r="AF6" i="30"/>
  <c r="AG6" i="30"/>
  <c r="AJ6" i="30"/>
  <c r="AK6" i="30"/>
  <c r="AL6" i="30"/>
  <c r="AM6" i="30"/>
  <c r="AO6" i="30"/>
  <c r="AP6" i="30"/>
  <c r="N7" i="30"/>
  <c r="T7" i="30"/>
  <c r="AE7" i="30"/>
  <c r="AF7" i="30"/>
  <c r="AG7" i="30"/>
  <c r="AJ7" i="30"/>
  <c r="AK7" i="30"/>
  <c r="AL7" i="30"/>
  <c r="AM7" i="30"/>
  <c r="AO7" i="30"/>
  <c r="AP7" i="30"/>
  <c r="N8" i="30"/>
  <c r="T8" i="30"/>
  <c r="AE8" i="30"/>
  <c r="AF8" i="30"/>
  <c r="AG8" i="30"/>
  <c r="AJ8" i="30"/>
  <c r="AK8" i="30"/>
  <c r="AL8" i="30"/>
  <c r="AM8" i="30"/>
  <c r="AO8" i="30"/>
  <c r="AP8" i="30"/>
  <c r="N9" i="30"/>
  <c r="T9" i="30"/>
  <c r="AE9" i="30"/>
  <c r="AF9" i="30"/>
  <c r="AG9" i="30"/>
  <c r="AJ9" i="30"/>
  <c r="AK9" i="30"/>
  <c r="AL9" i="30"/>
  <c r="AM9" i="30"/>
  <c r="AO9" i="30"/>
  <c r="AP9" i="30"/>
  <c r="N10" i="30"/>
  <c r="T10" i="30"/>
  <c r="AE10" i="30"/>
  <c r="AF10" i="30"/>
  <c r="AG10" i="30"/>
  <c r="AJ10" i="30"/>
  <c r="AK10" i="30"/>
  <c r="AL10" i="30"/>
  <c r="AM10" i="30"/>
  <c r="AO10" i="30"/>
  <c r="AP10" i="30"/>
  <c r="N11" i="30"/>
  <c r="T11" i="30"/>
  <c r="AE11" i="30"/>
  <c r="AF11" i="30"/>
  <c r="AG11" i="30"/>
  <c r="AJ11" i="30"/>
  <c r="AK11" i="30"/>
  <c r="AL11" i="30"/>
  <c r="AM11" i="30"/>
  <c r="AO11" i="30"/>
  <c r="AP11" i="30"/>
  <c r="N12" i="30"/>
  <c r="T12" i="30"/>
  <c r="AE12" i="30"/>
  <c r="AF12" i="30"/>
  <c r="AG12" i="30"/>
  <c r="AJ12" i="30"/>
  <c r="AK12" i="30"/>
  <c r="AL12" i="30"/>
  <c r="AM12" i="30"/>
  <c r="AO12" i="30"/>
  <c r="AP12" i="30"/>
  <c r="N13" i="30"/>
  <c r="T13" i="30"/>
  <c r="AE13" i="30"/>
  <c r="AF13" i="30"/>
  <c r="AG13" i="30"/>
  <c r="AJ13" i="30"/>
  <c r="AK13" i="30"/>
  <c r="AL13" i="30"/>
  <c r="AM13" i="30"/>
  <c r="AO13" i="30"/>
  <c r="AP13" i="30"/>
  <c r="N14" i="30"/>
  <c r="T14" i="30"/>
  <c r="AE14" i="30"/>
  <c r="AF14" i="30"/>
  <c r="AG14" i="30"/>
  <c r="AJ14" i="30"/>
  <c r="AK14" i="30"/>
  <c r="AL14" i="30"/>
  <c r="AM14" i="30"/>
  <c r="AO14" i="30"/>
  <c r="AP14" i="30"/>
  <c r="N15" i="30"/>
  <c r="T15" i="30"/>
  <c r="AE15" i="30"/>
  <c r="AF15" i="30"/>
  <c r="AG15" i="30"/>
  <c r="AJ15" i="30"/>
  <c r="AK15" i="30"/>
  <c r="AL15" i="30"/>
  <c r="AM15" i="30"/>
  <c r="AO15" i="30"/>
  <c r="AP15" i="30"/>
  <c r="N16" i="30"/>
  <c r="T16" i="30"/>
  <c r="AE16" i="30"/>
  <c r="AF16" i="30"/>
  <c r="AG16" i="30"/>
  <c r="AJ16" i="30"/>
  <c r="AK16" i="30"/>
  <c r="AL16" i="30"/>
  <c r="AM16" i="30"/>
  <c r="AO16" i="30"/>
  <c r="AP16" i="30"/>
  <c r="N17" i="30"/>
  <c r="T17" i="30"/>
  <c r="AE17" i="30"/>
  <c r="AF17" i="30"/>
  <c r="AG17" i="30"/>
  <c r="AJ17" i="30"/>
  <c r="AK17" i="30"/>
  <c r="AL17" i="30"/>
  <c r="AM17" i="30"/>
  <c r="AO17" i="30"/>
  <c r="AP17" i="30"/>
  <c r="N18" i="30"/>
  <c r="T18" i="30"/>
  <c r="AE18" i="30"/>
  <c r="AF18" i="30"/>
  <c r="AG18" i="30"/>
  <c r="AJ18" i="30"/>
  <c r="AK18" i="30"/>
  <c r="AL18" i="30"/>
  <c r="AM18" i="30"/>
  <c r="AO18" i="30"/>
  <c r="AP18" i="30"/>
  <c r="N19" i="30"/>
  <c r="T19" i="30"/>
  <c r="AE19" i="30"/>
  <c r="AF19" i="30"/>
  <c r="AG19" i="30"/>
  <c r="AJ19" i="30"/>
  <c r="AK19" i="30"/>
  <c r="AL19" i="30"/>
  <c r="AM19" i="30"/>
  <c r="AO19" i="30"/>
  <c r="AP19" i="30"/>
  <c r="N20" i="30"/>
  <c r="T20" i="30"/>
  <c r="AE20" i="30"/>
  <c r="AF20" i="30"/>
  <c r="AG20" i="30"/>
  <c r="AJ20" i="30"/>
  <c r="AK20" i="30"/>
  <c r="AL20" i="30"/>
  <c r="AM20" i="30"/>
  <c r="AO20" i="30"/>
  <c r="AP20" i="30"/>
  <c r="N21" i="30"/>
  <c r="T21" i="30"/>
  <c r="AE21" i="30"/>
  <c r="AF21" i="30"/>
  <c r="AG21" i="30"/>
  <c r="AJ21" i="30"/>
  <c r="AK21" i="30"/>
  <c r="AL21" i="30"/>
  <c r="AM21" i="30"/>
  <c r="AO21" i="30"/>
  <c r="AP21" i="30"/>
  <c r="N22" i="30"/>
  <c r="T22" i="30"/>
  <c r="AE22" i="30"/>
  <c r="AF22" i="30"/>
  <c r="AG22" i="30"/>
  <c r="AJ22" i="30"/>
  <c r="AK22" i="30"/>
  <c r="AL22" i="30"/>
  <c r="AM22" i="30"/>
  <c r="AO22" i="30"/>
  <c r="AP22" i="30"/>
  <c r="N23" i="30"/>
  <c r="T23" i="30"/>
  <c r="AE23" i="30"/>
  <c r="AF23" i="30"/>
  <c r="AG23" i="30"/>
  <c r="AJ23" i="30"/>
  <c r="AK23" i="30"/>
  <c r="AL23" i="30"/>
  <c r="AM23" i="30"/>
  <c r="AO23" i="30"/>
  <c r="AP23" i="30"/>
  <c r="N24" i="30"/>
  <c r="T24" i="30"/>
  <c r="AE24" i="30"/>
  <c r="AF24" i="30"/>
  <c r="AG24" i="30"/>
  <c r="AJ24" i="30"/>
  <c r="AK24" i="30"/>
  <c r="AL24" i="30"/>
  <c r="AM24" i="30"/>
  <c r="AO24" i="30"/>
  <c r="AP24" i="30"/>
  <c r="N25" i="30"/>
  <c r="T25" i="30"/>
  <c r="AE25" i="30"/>
  <c r="AF25" i="30"/>
  <c r="AG25" i="30"/>
  <c r="AJ25" i="30"/>
  <c r="AK25" i="30"/>
  <c r="AL25" i="30"/>
  <c r="AM25" i="30"/>
  <c r="AO25" i="30"/>
  <c r="AP25" i="30"/>
  <c r="N26" i="30"/>
  <c r="T26" i="30"/>
  <c r="AE26" i="30"/>
  <c r="AF26" i="30"/>
  <c r="AG26" i="30"/>
  <c r="AJ26" i="30"/>
  <c r="AK26" i="30"/>
  <c r="AL26" i="30"/>
  <c r="AM26" i="30"/>
  <c r="AO26" i="30"/>
  <c r="AP26" i="30"/>
  <c r="N27" i="30"/>
  <c r="T27" i="30"/>
  <c r="AE27" i="30"/>
  <c r="AF27" i="30"/>
  <c r="AG27" i="30"/>
  <c r="AJ27" i="30"/>
  <c r="AK27" i="30"/>
  <c r="AL27" i="30"/>
  <c r="AM27" i="30"/>
  <c r="AO27" i="30"/>
  <c r="AP27" i="30"/>
  <c r="N28" i="30"/>
  <c r="T28" i="30"/>
  <c r="AE28" i="30"/>
  <c r="AF28" i="30"/>
  <c r="AG28" i="30"/>
  <c r="AJ28" i="30"/>
  <c r="AK28" i="30"/>
  <c r="AL28" i="30"/>
  <c r="AM28" i="30"/>
  <c r="AO28" i="30"/>
  <c r="AP28" i="30"/>
  <c r="N29" i="30"/>
  <c r="T29" i="30"/>
  <c r="AE29" i="30"/>
  <c r="AF29" i="30"/>
  <c r="AG29" i="30"/>
  <c r="AJ29" i="30"/>
  <c r="AK29" i="30"/>
  <c r="AL29" i="30"/>
  <c r="AM29" i="30"/>
  <c r="AO29" i="30"/>
  <c r="AP29" i="30"/>
  <c r="N30" i="30"/>
  <c r="T30" i="30"/>
  <c r="AE30" i="30"/>
  <c r="AF30" i="30"/>
  <c r="AG30" i="30"/>
  <c r="AJ30" i="30"/>
  <c r="AK30" i="30"/>
  <c r="AL30" i="30"/>
  <c r="AM30" i="30"/>
  <c r="AO30" i="30"/>
  <c r="AP30" i="30"/>
  <c r="N31" i="30"/>
  <c r="T31" i="30"/>
  <c r="AE31" i="30"/>
  <c r="AF31" i="30"/>
  <c r="AG31" i="30"/>
  <c r="AJ31" i="30"/>
  <c r="AK31" i="30"/>
  <c r="AL31" i="30"/>
  <c r="AM31" i="30"/>
  <c r="AO31" i="30"/>
  <c r="AP31" i="30"/>
  <c r="N32" i="30"/>
  <c r="T32" i="30"/>
  <c r="AE32" i="30"/>
  <c r="AF32" i="30"/>
  <c r="AG32" i="30"/>
  <c r="AJ32" i="30"/>
  <c r="AK32" i="30"/>
  <c r="AL32" i="30"/>
  <c r="AM32" i="30"/>
  <c r="AO32" i="30"/>
  <c r="AP32" i="30"/>
  <c r="N33" i="30"/>
  <c r="T33" i="30"/>
  <c r="AE33" i="30"/>
  <c r="AF33" i="30"/>
  <c r="AG33" i="30"/>
  <c r="AJ33" i="30"/>
  <c r="AK33" i="30"/>
  <c r="AL33" i="30"/>
  <c r="AM33" i="30"/>
  <c r="AO33" i="30"/>
  <c r="AP33" i="30"/>
  <c r="N34" i="30"/>
  <c r="T34" i="30"/>
  <c r="AE34" i="30"/>
  <c r="AF34" i="30"/>
  <c r="AG34" i="30"/>
  <c r="AJ34" i="30"/>
  <c r="AK34" i="30"/>
  <c r="AL34" i="30"/>
  <c r="AM34" i="30"/>
  <c r="AO34" i="30"/>
  <c r="AP34" i="30"/>
  <c r="N35" i="30"/>
  <c r="T35" i="30"/>
  <c r="AE35" i="30"/>
  <c r="AF35" i="30"/>
  <c r="AG35" i="30"/>
  <c r="AJ35" i="30"/>
  <c r="AK35" i="30"/>
  <c r="AL35" i="30"/>
  <c r="AM35" i="30"/>
  <c r="AO35" i="30"/>
  <c r="AP35" i="30"/>
  <c r="N36" i="30"/>
  <c r="T36" i="30"/>
  <c r="AE36" i="30"/>
  <c r="AF36" i="30"/>
  <c r="AG36" i="30"/>
  <c r="AJ36" i="30"/>
  <c r="AK36" i="30"/>
  <c r="AL36" i="30"/>
  <c r="AM36" i="30"/>
  <c r="AO36" i="30"/>
  <c r="AP36" i="30"/>
  <c r="N37" i="30"/>
  <c r="T37" i="30"/>
  <c r="AE37" i="30"/>
  <c r="AF37" i="30"/>
  <c r="AG37" i="30"/>
  <c r="AJ37" i="30"/>
  <c r="AK37" i="30"/>
  <c r="AL37" i="30"/>
  <c r="AM37" i="30"/>
  <c r="AO37" i="30"/>
  <c r="AP37" i="30"/>
  <c r="N38" i="30"/>
  <c r="T38" i="30"/>
  <c r="AE38" i="30"/>
  <c r="AF38" i="30"/>
  <c r="AG38" i="30"/>
  <c r="AJ38" i="30"/>
  <c r="AK38" i="30"/>
  <c r="AL38" i="30"/>
  <c r="AM38" i="30"/>
  <c r="AO38" i="30"/>
  <c r="AP38" i="30"/>
  <c r="N39" i="30"/>
  <c r="T39" i="30"/>
  <c r="AE39" i="30"/>
  <c r="AF39" i="30"/>
  <c r="AG39" i="30"/>
  <c r="AJ39" i="30"/>
  <c r="AK39" i="30"/>
  <c r="AL39" i="30"/>
  <c r="AM39" i="30"/>
  <c r="AO39" i="30"/>
  <c r="AP39" i="30"/>
  <c r="N40" i="30"/>
  <c r="T40" i="30"/>
  <c r="AE40" i="30"/>
  <c r="AF40" i="30"/>
  <c r="AG40" i="30"/>
  <c r="AJ40" i="30"/>
  <c r="AK40" i="30"/>
  <c r="AL40" i="30"/>
  <c r="AM40" i="30"/>
  <c r="AO40" i="30"/>
  <c r="AP40" i="30"/>
  <c r="N41" i="30"/>
  <c r="T41" i="30"/>
  <c r="AE41" i="30"/>
  <c r="AF41" i="30"/>
  <c r="AG41" i="30"/>
  <c r="AJ41" i="30"/>
  <c r="AK41" i="30"/>
  <c r="AL41" i="30"/>
  <c r="AM41" i="30"/>
  <c r="AO41" i="30"/>
  <c r="AP41" i="30"/>
  <c r="N42" i="30"/>
  <c r="T42" i="30"/>
  <c r="AE42" i="30"/>
  <c r="AF42" i="30"/>
  <c r="AG42" i="30"/>
  <c r="AJ42" i="30"/>
  <c r="AK42" i="30"/>
  <c r="AL42" i="30"/>
  <c r="AM42" i="30"/>
  <c r="AO42" i="30"/>
  <c r="AP42" i="30"/>
  <c r="N43" i="30"/>
  <c r="T43" i="30"/>
  <c r="AE43" i="30"/>
  <c r="AF43" i="30"/>
  <c r="AG43" i="30"/>
  <c r="AJ43" i="30"/>
  <c r="AK43" i="30"/>
  <c r="AL43" i="30"/>
  <c r="AM43" i="30"/>
  <c r="AO43" i="30"/>
  <c r="AP43" i="30"/>
  <c r="N44" i="30"/>
  <c r="T44" i="30"/>
  <c r="AE44" i="30"/>
  <c r="AF44" i="30"/>
  <c r="AG44" i="30"/>
  <c r="AJ44" i="30"/>
  <c r="AK44" i="30"/>
  <c r="AL44" i="30"/>
  <c r="AM44" i="30"/>
  <c r="AO44" i="30"/>
  <c r="AP44" i="30"/>
  <c r="N45" i="30"/>
  <c r="T45" i="30"/>
  <c r="AE45" i="30"/>
  <c r="AF45" i="30"/>
  <c r="AG45" i="30"/>
  <c r="AJ45" i="30"/>
  <c r="AK45" i="30"/>
  <c r="AL45" i="30"/>
  <c r="AM45" i="30"/>
  <c r="AO45" i="30"/>
  <c r="AP45" i="30"/>
  <c r="N46" i="30"/>
  <c r="T46" i="30"/>
  <c r="AE46" i="30"/>
  <c r="AF46" i="30"/>
  <c r="AG46" i="30"/>
  <c r="AJ46" i="30"/>
  <c r="AK46" i="30"/>
  <c r="AL46" i="30"/>
  <c r="AM46" i="30"/>
  <c r="AO46" i="30"/>
  <c r="AP46" i="30"/>
  <c r="N47" i="30"/>
  <c r="T47" i="30"/>
  <c r="AE47" i="30"/>
  <c r="AF47" i="30"/>
  <c r="AG47" i="30"/>
  <c r="AJ47" i="30"/>
  <c r="AK47" i="30"/>
  <c r="AL47" i="30"/>
  <c r="AM47" i="30"/>
  <c r="AO47" i="30"/>
  <c r="AP47" i="30"/>
  <c r="N48" i="30"/>
  <c r="T48" i="30"/>
  <c r="AE48" i="30"/>
  <c r="AF48" i="30"/>
  <c r="AG48" i="30"/>
  <c r="AJ48" i="30"/>
  <c r="AK48" i="30"/>
  <c r="AL48" i="30"/>
  <c r="AM48" i="30"/>
  <c r="AO48" i="30"/>
  <c r="AP48" i="30"/>
  <c r="N49" i="30"/>
  <c r="T49" i="30"/>
  <c r="AE49" i="30"/>
  <c r="AF49" i="30"/>
  <c r="AG49" i="30"/>
  <c r="AJ49" i="30"/>
  <c r="AK49" i="30"/>
  <c r="AL49" i="30"/>
  <c r="AM49" i="30"/>
  <c r="AO49" i="30"/>
  <c r="AP49" i="30"/>
  <c r="N50" i="30"/>
  <c r="T50" i="30"/>
  <c r="AE50" i="30"/>
  <c r="AF50" i="30"/>
  <c r="AG50" i="30"/>
  <c r="AJ50" i="30"/>
  <c r="AK50" i="30"/>
  <c r="AL50" i="30"/>
  <c r="AM50" i="30"/>
  <c r="AO50" i="30"/>
  <c r="AP50" i="30"/>
  <c r="N51" i="30"/>
  <c r="T51" i="30"/>
  <c r="AE51" i="30"/>
  <c r="AF51" i="30"/>
  <c r="AG51" i="30"/>
  <c r="AJ51" i="30"/>
  <c r="AK51" i="30"/>
  <c r="AL51" i="30"/>
  <c r="AM51" i="30"/>
  <c r="AO51" i="30"/>
  <c r="AP51" i="30"/>
  <c r="N53" i="30"/>
  <c r="T53" i="30"/>
  <c r="AE53" i="30"/>
  <c r="AF53" i="30"/>
  <c r="AG53" i="30"/>
  <c r="AJ53" i="30"/>
  <c r="AK53" i="30"/>
  <c r="AL53" i="30"/>
  <c r="AM53" i="30"/>
  <c r="AO53" i="30"/>
  <c r="AP53" i="30"/>
  <c r="AO55" i="30"/>
  <c r="AP55" i="30"/>
  <c r="AE58" i="30"/>
  <c r="AF58" i="30"/>
  <c r="N5" i="50"/>
  <c r="T5" i="50"/>
  <c r="AE5" i="50"/>
  <c r="AF5" i="50"/>
  <c r="AG5" i="50"/>
  <c r="AJ5" i="50"/>
  <c r="AK5" i="50"/>
  <c r="AL5" i="50"/>
  <c r="AM5" i="50"/>
  <c r="AO5" i="50"/>
  <c r="AP5" i="50"/>
  <c r="AW5" i="50"/>
  <c r="AX5" i="50"/>
  <c r="AZ5" i="50"/>
  <c r="N6" i="50"/>
  <c r="T6" i="50"/>
  <c r="AE6" i="50"/>
  <c r="AF6" i="50"/>
  <c r="AG6" i="50"/>
  <c r="AJ6" i="50"/>
  <c r="AK6" i="50"/>
  <c r="AL6" i="50"/>
  <c r="AM6" i="50"/>
  <c r="AO6" i="50"/>
  <c r="AP6" i="50"/>
  <c r="AW6" i="50"/>
  <c r="AX6" i="50"/>
  <c r="AZ6" i="50"/>
  <c r="N7" i="50"/>
  <c r="T7" i="50"/>
  <c r="AE7" i="50"/>
  <c r="AF7" i="50"/>
  <c r="AG7" i="50"/>
  <c r="AJ7" i="50"/>
  <c r="AK7" i="50"/>
  <c r="AL7" i="50"/>
  <c r="AM7" i="50"/>
  <c r="AO7" i="50"/>
  <c r="AP7" i="50"/>
  <c r="AW7" i="50"/>
  <c r="AX7" i="50"/>
  <c r="AZ7" i="50"/>
  <c r="N8" i="50"/>
  <c r="T8" i="50"/>
  <c r="AE8" i="50"/>
  <c r="AF8" i="50"/>
  <c r="AG8" i="50"/>
  <c r="AJ8" i="50"/>
  <c r="AK8" i="50"/>
  <c r="AL8" i="50"/>
  <c r="AM8" i="50"/>
  <c r="AO8" i="50"/>
  <c r="AP8" i="50"/>
  <c r="AW8" i="50"/>
  <c r="AX8" i="50"/>
  <c r="AZ8" i="50"/>
  <c r="N9" i="50"/>
  <c r="T9" i="50"/>
  <c r="AE9" i="50"/>
  <c r="AF9" i="50"/>
  <c r="AG9" i="50"/>
  <c r="AJ9" i="50"/>
  <c r="AK9" i="50"/>
  <c r="AL9" i="50"/>
  <c r="AM9" i="50"/>
  <c r="AO9" i="50"/>
  <c r="AP9" i="50"/>
  <c r="AW9" i="50"/>
  <c r="AX9" i="50"/>
  <c r="AZ9" i="50"/>
  <c r="N10" i="50"/>
  <c r="T10" i="50"/>
  <c r="AE10" i="50"/>
  <c r="AF10" i="50"/>
  <c r="AG10" i="50"/>
  <c r="AJ10" i="50"/>
  <c r="AK10" i="50"/>
  <c r="AL10" i="50"/>
  <c r="AM10" i="50"/>
  <c r="AO10" i="50"/>
  <c r="AP10" i="50"/>
  <c r="AW10" i="50"/>
  <c r="AX10" i="50"/>
  <c r="AZ10" i="50"/>
  <c r="N11" i="50"/>
  <c r="T11" i="50"/>
  <c r="AE11" i="50"/>
  <c r="AF11" i="50"/>
  <c r="AG11" i="50"/>
  <c r="AJ11" i="50"/>
  <c r="AK11" i="50"/>
  <c r="AL11" i="50"/>
  <c r="AM11" i="50"/>
  <c r="AO11" i="50"/>
  <c r="AP11" i="50"/>
  <c r="AW11" i="50"/>
  <c r="AX11" i="50"/>
  <c r="AZ11" i="50"/>
  <c r="N12" i="50"/>
  <c r="T12" i="50"/>
  <c r="AE12" i="50"/>
  <c r="AF12" i="50"/>
  <c r="AG12" i="50"/>
  <c r="AJ12" i="50"/>
  <c r="AK12" i="50"/>
  <c r="AL12" i="50"/>
  <c r="AM12" i="50"/>
  <c r="AO12" i="50"/>
  <c r="AP12" i="50"/>
  <c r="AW12" i="50"/>
  <c r="AX12" i="50"/>
  <c r="AZ12" i="50"/>
  <c r="N13" i="50"/>
  <c r="T13" i="50"/>
  <c r="AE13" i="50"/>
  <c r="AF13" i="50"/>
  <c r="AG13" i="50"/>
  <c r="AJ13" i="50"/>
  <c r="AK13" i="50"/>
  <c r="AL13" i="50"/>
  <c r="AM13" i="50"/>
  <c r="AO13" i="50"/>
  <c r="AP13" i="50"/>
  <c r="AW13" i="50"/>
  <c r="AX13" i="50"/>
  <c r="AZ13" i="50"/>
  <c r="N14" i="50"/>
  <c r="T14" i="50"/>
  <c r="AE14" i="50"/>
  <c r="AF14" i="50"/>
  <c r="AG14" i="50"/>
  <c r="AJ14" i="50"/>
  <c r="AK14" i="50"/>
  <c r="AL14" i="50"/>
  <c r="AM14" i="50"/>
  <c r="AO14" i="50"/>
  <c r="AP14" i="50"/>
  <c r="AW14" i="50"/>
  <c r="AX14" i="50"/>
  <c r="AZ14" i="50"/>
  <c r="N15" i="50"/>
  <c r="T15" i="50"/>
  <c r="AE15" i="50"/>
  <c r="AF15" i="50"/>
  <c r="AG15" i="50"/>
  <c r="AJ15" i="50"/>
  <c r="AK15" i="50"/>
  <c r="AL15" i="50"/>
  <c r="AM15" i="50"/>
  <c r="AO15" i="50"/>
  <c r="AP15" i="50"/>
  <c r="AW15" i="50"/>
  <c r="AX15" i="50"/>
  <c r="AZ15" i="50"/>
  <c r="N16" i="50"/>
  <c r="T16" i="50"/>
  <c r="AE16" i="50"/>
  <c r="AF16" i="50"/>
  <c r="AG16" i="50"/>
  <c r="AJ16" i="50"/>
  <c r="AK16" i="50"/>
  <c r="AL16" i="50"/>
  <c r="AM16" i="50"/>
  <c r="AO16" i="50"/>
  <c r="AP16" i="50"/>
  <c r="AW16" i="50"/>
  <c r="AX16" i="50"/>
  <c r="AZ16" i="50"/>
  <c r="N17" i="50"/>
  <c r="T17" i="50"/>
  <c r="AE17" i="50"/>
  <c r="AF17" i="50"/>
  <c r="AG17" i="50"/>
  <c r="AJ17" i="50"/>
  <c r="AK17" i="50"/>
  <c r="AL17" i="50"/>
  <c r="AM17" i="50"/>
  <c r="AO17" i="50"/>
  <c r="AP17" i="50"/>
  <c r="AW17" i="50"/>
  <c r="AX17" i="50"/>
  <c r="AZ17" i="50"/>
  <c r="N18" i="50"/>
  <c r="T18" i="50"/>
  <c r="AE18" i="50"/>
  <c r="AF18" i="50"/>
  <c r="AG18" i="50"/>
  <c r="AJ18" i="50"/>
  <c r="AK18" i="50"/>
  <c r="AL18" i="50"/>
  <c r="AM18" i="50"/>
  <c r="AO18" i="50"/>
  <c r="AP18" i="50"/>
  <c r="AW18" i="50"/>
  <c r="AX18" i="50"/>
  <c r="AZ18" i="50"/>
  <c r="N19" i="50"/>
  <c r="T19" i="50"/>
  <c r="AE19" i="50"/>
  <c r="AF19" i="50"/>
  <c r="AG19" i="50"/>
  <c r="AJ19" i="50"/>
  <c r="AK19" i="50"/>
  <c r="AL19" i="50"/>
  <c r="AM19" i="50"/>
  <c r="AO19" i="50"/>
  <c r="AP19" i="50"/>
  <c r="AW19" i="50"/>
  <c r="AX19" i="50"/>
  <c r="AZ19" i="50"/>
  <c r="N20" i="50"/>
  <c r="T20" i="50"/>
  <c r="AE20" i="50"/>
  <c r="AF20" i="50"/>
  <c r="AG20" i="50"/>
  <c r="AJ20" i="50"/>
  <c r="AK20" i="50"/>
  <c r="AL20" i="50"/>
  <c r="AM20" i="50"/>
  <c r="AO20" i="50"/>
  <c r="AP20" i="50"/>
  <c r="AW20" i="50"/>
  <c r="AX20" i="50"/>
  <c r="AZ20" i="50"/>
  <c r="N21" i="50"/>
  <c r="T21" i="50"/>
  <c r="AE21" i="50"/>
  <c r="AF21" i="50"/>
  <c r="AG21" i="50"/>
  <c r="AJ21" i="50"/>
  <c r="AK21" i="50"/>
  <c r="AL21" i="50"/>
  <c r="AM21" i="50"/>
  <c r="AO21" i="50"/>
  <c r="AP21" i="50"/>
  <c r="AW21" i="50"/>
  <c r="AX21" i="50"/>
  <c r="AZ21" i="50"/>
  <c r="N22" i="50"/>
  <c r="T22" i="50"/>
  <c r="AE22" i="50"/>
  <c r="AF22" i="50"/>
  <c r="AG22" i="50"/>
  <c r="AJ22" i="50"/>
  <c r="AK22" i="50"/>
  <c r="AL22" i="50"/>
  <c r="AM22" i="50"/>
  <c r="AO22" i="50"/>
  <c r="AP22" i="50"/>
  <c r="AW22" i="50"/>
  <c r="AX22" i="50"/>
  <c r="AZ22" i="50"/>
  <c r="N23" i="50"/>
  <c r="T23" i="50"/>
  <c r="AE23" i="50"/>
  <c r="AF23" i="50"/>
  <c r="AG23" i="50"/>
  <c r="AJ23" i="50"/>
  <c r="AK23" i="50"/>
  <c r="AL23" i="50"/>
  <c r="AM23" i="50"/>
  <c r="AO23" i="50"/>
  <c r="AP23" i="50"/>
  <c r="AW23" i="50"/>
  <c r="AX23" i="50"/>
  <c r="AZ23" i="50"/>
  <c r="N24" i="50"/>
  <c r="T24" i="50"/>
  <c r="AE24" i="50"/>
  <c r="AF24" i="50"/>
  <c r="AG24" i="50"/>
  <c r="AJ24" i="50"/>
  <c r="AK24" i="50"/>
  <c r="AL24" i="50"/>
  <c r="AM24" i="50"/>
  <c r="AO24" i="50"/>
  <c r="AP24" i="50"/>
  <c r="AW24" i="50"/>
  <c r="AX24" i="50"/>
  <c r="AZ24" i="50"/>
  <c r="N25" i="50"/>
  <c r="T25" i="50"/>
  <c r="AE25" i="50"/>
  <c r="AF25" i="50"/>
  <c r="AG25" i="50"/>
  <c r="AJ25" i="50"/>
  <c r="AK25" i="50"/>
  <c r="AL25" i="50"/>
  <c r="AM25" i="50"/>
  <c r="AO25" i="50"/>
  <c r="AP25" i="50"/>
  <c r="AW25" i="50"/>
  <c r="AX25" i="50"/>
  <c r="AZ25" i="50"/>
  <c r="N26" i="50"/>
  <c r="T26" i="50"/>
  <c r="AE26" i="50"/>
  <c r="AF26" i="50"/>
  <c r="AG26" i="50"/>
  <c r="AJ26" i="50"/>
  <c r="AK26" i="50"/>
  <c r="AL26" i="50"/>
  <c r="AM26" i="50"/>
  <c r="AO26" i="50"/>
  <c r="AP26" i="50"/>
  <c r="AW26" i="50"/>
  <c r="AX26" i="50"/>
  <c r="AZ26" i="50"/>
  <c r="N27" i="50"/>
  <c r="T27" i="50"/>
  <c r="AE27" i="50"/>
  <c r="AF27" i="50"/>
  <c r="AG27" i="50"/>
  <c r="AJ27" i="50"/>
  <c r="AK27" i="50"/>
  <c r="AL27" i="50"/>
  <c r="AM27" i="50"/>
  <c r="AO27" i="50"/>
  <c r="AP27" i="50"/>
  <c r="AW27" i="50"/>
  <c r="AX27" i="50"/>
  <c r="AZ27" i="50"/>
  <c r="N28" i="50"/>
  <c r="T28" i="50"/>
  <c r="AE28" i="50"/>
  <c r="AF28" i="50"/>
  <c r="AG28" i="50"/>
  <c r="AJ28" i="50"/>
  <c r="AK28" i="50"/>
  <c r="AL28" i="50"/>
  <c r="AM28" i="50"/>
  <c r="AO28" i="50"/>
  <c r="AP28" i="50"/>
  <c r="AW28" i="50"/>
  <c r="AX28" i="50"/>
  <c r="AZ28" i="50"/>
  <c r="N29" i="50"/>
  <c r="T29" i="50"/>
  <c r="AE29" i="50"/>
  <c r="AF29" i="50"/>
  <c r="AG29" i="50"/>
  <c r="AJ29" i="50"/>
  <c r="AK29" i="50"/>
  <c r="AL29" i="50"/>
  <c r="AM29" i="50"/>
  <c r="AO29" i="50"/>
  <c r="AP29" i="50"/>
  <c r="AW29" i="50"/>
  <c r="AX29" i="50"/>
  <c r="AZ29" i="50"/>
  <c r="N30" i="50"/>
  <c r="T30" i="50"/>
  <c r="AE30" i="50"/>
  <c r="AF30" i="50"/>
  <c r="AG30" i="50"/>
  <c r="AJ30" i="50"/>
  <c r="AK30" i="50"/>
  <c r="AL30" i="50"/>
  <c r="AM30" i="50"/>
  <c r="AO30" i="50"/>
  <c r="AP30" i="50"/>
  <c r="AW30" i="50"/>
  <c r="AX30" i="50"/>
  <c r="AZ30" i="50"/>
  <c r="N31" i="50"/>
  <c r="T31" i="50"/>
  <c r="AE31" i="50"/>
  <c r="AF31" i="50"/>
  <c r="AG31" i="50"/>
  <c r="AJ31" i="50"/>
  <c r="AK31" i="50"/>
  <c r="AL31" i="50"/>
  <c r="AM31" i="50"/>
  <c r="AO31" i="50"/>
  <c r="AP31" i="50"/>
  <c r="AW31" i="50"/>
  <c r="AX31" i="50"/>
  <c r="AZ31" i="50"/>
  <c r="N32" i="50"/>
  <c r="T32" i="50"/>
  <c r="AE32" i="50"/>
  <c r="AF32" i="50"/>
  <c r="AG32" i="50"/>
  <c r="AJ32" i="50"/>
  <c r="AK32" i="50"/>
  <c r="AL32" i="50"/>
  <c r="AM32" i="50"/>
  <c r="AO32" i="50"/>
  <c r="AP32" i="50"/>
  <c r="AW32" i="50"/>
  <c r="AX32" i="50"/>
  <c r="AZ32" i="50"/>
  <c r="N33" i="50"/>
  <c r="T33" i="50"/>
  <c r="AE33" i="50"/>
  <c r="AF33" i="50"/>
  <c r="AG33" i="50"/>
  <c r="AJ33" i="50"/>
  <c r="AK33" i="50"/>
  <c r="AL33" i="50"/>
  <c r="AM33" i="50"/>
  <c r="AO33" i="50"/>
  <c r="AP33" i="50"/>
  <c r="AW33" i="50"/>
  <c r="AX33" i="50"/>
  <c r="AZ33" i="50"/>
  <c r="N34" i="50"/>
  <c r="T34" i="50"/>
  <c r="AE34" i="50"/>
  <c r="AF34" i="50"/>
  <c r="AG34" i="50"/>
  <c r="AJ34" i="50"/>
  <c r="AK34" i="50"/>
  <c r="AL34" i="50"/>
  <c r="AM34" i="50"/>
  <c r="AO34" i="50"/>
  <c r="AP34" i="50"/>
  <c r="AW34" i="50"/>
  <c r="AX34" i="50"/>
  <c r="AZ34" i="50"/>
  <c r="N35" i="50"/>
  <c r="T35" i="50"/>
  <c r="AE35" i="50"/>
  <c r="AF35" i="50"/>
  <c r="AG35" i="50"/>
  <c r="AJ35" i="50"/>
  <c r="AK35" i="50"/>
  <c r="AL35" i="50"/>
  <c r="AM35" i="50"/>
  <c r="AO35" i="50"/>
  <c r="AP35" i="50"/>
  <c r="AW35" i="50"/>
  <c r="AX35" i="50"/>
  <c r="AZ35" i="50"/>
  <c r="N36" i="50"/>
  <c r="T36" i="50"/>
  <c r="AE36" i="50"/>
  <c r="AF36" i="50"/>
  <c r="AG36" i="50"/>
  <c r="AJ36" i="50"/>
  <c r="AK36" i="50"/>
  <c r="AL36" i="50"/>
  <c r="AM36" i="50"/>
  <c r="AO36" i="50"/>
  <c r="AP36" i="50"/>
  <c r="AW36" i="50"/>
  <c r="AX36" i="50"/>
  <c r="AZ36" i="50"/>
  <c r="N37" i="50"/>
  <c r="T37" i="50"/>
  <c r="AE37" i="50"/>
  <c r="AF37" i="50"/>
  <c r="AG37" i="50"/>
  <c r="AJ37" i="50"/>
  <c r="AK37" i="50"/>
  <c r="AL37" i="50"/>
  <c r="AM37" i="50"/>
  <c r="AO37" i="50"/>
  <c r="AP37" i="50"/>
  <c r="AW37" i="50"/>
  <c r="AX37" i="50"/>
  <c r="AZ37" i="50"/>
  <c r="N38" i="50"/>
  <c r="T38" i="50"/>
  <c r="AE38" i="50"/>
  <c r="AF38" i="50"/>
  <c r="AG38" i="50"/>
  <c r="AJ38" i="50"/>
  <c r="AK38" i="50"/>
  <c r="AL38" i="50"/>
  <c r="AM38" i="50"/>
  <c r="AO38" i="50"/>
  <c r="AP38" i="50"/>
  <c r="AW38" i="50"/>
  <c r="AX38" i="50"/>
  <c r="AZ38" i="50"/>
  <c r="N39" i="50"/>
  <c r="T39" i="50"/>
  <c r="AE39" i="50"/>
  <c r="AF39" i="50"/>
  <c r="AG39" i="50"/>
  <c r="AJ39" i="50"/>
  <c r="AK39" i="50"/>
  <c r="AL39" i="50"/>
  <c r="AM39" i="50"/>
  <c r="AO39" i="50"/>
  <c r="AP39" i="50"/>
  <c r="AW39" i="50"/>
  <c r="AX39" i="50"/>
  <c r="AZ39" i="50"/>
  <c r="N40" i="50"/>
  <c r="T40" i="50"/>
  <c r="AE40" i="50"/>
  <c r="AF40" i="50"/>
  <c r="AG40" i="50"/>
  <c r="AJ40" i="50"/>
  <c r="AK40" i="50"/>
  <c r="AL40" i="50"/>
  <c r="AM40" i="50"/>
  <c r="AO40" i="50"/>
  <c r="AP40" i="50"/>
  <c r="AW40" i="50"/>
  <c r="AX40" i="50"/>
  <c r="AZ40" i="50"/>
  <c r="N41" i="50"/>
  <c r="T41" i="50"/>
  <c r="AE41" i="50"/>
  <c r="AF41" i="50"/>
  <c r="AG41" i="50"/>
  <c r="AJ41" i="50"/>
  <c r="AK41" i="50"/>
  <c r="AL41" i="50"/>
  <c r="AM41" i="50"/>
  <c r="AO41" i="50"/>
  <c r="AP41" i="50"/>
  <c r="AW41" i="50"/>
  <c r="AX41" i="50"/>
  <c r="AZ41" i="50"/>
  <c r="N42" i="50"/>
  <c r="T42" i="50"/>
  <c r="AE42" i="50"/>
  <c r="AF42" i="50"/>
  <c r="AG42" i="50"/>
  <c r="AJ42" i="50"/>
  <c r="AK42" i="50"/>
  <c r="AL42" i="50"/>
  <c r="AM42" i="50"/>
  <c r="AO42" i="50"/>
  <c r="AP42" i="50"/>
  <c r="AW42" i="50"/>
  <c r="AX42" i="50"/>
  <c r="AZ42" i="50"/>
  <c r="N43" i="50"/>
  <c r="T43" i="50"/>
  <c r="AE43" i="50"/>
  <c r="AF43" i="50"/>
  <c r="AG43" i="50"/>
  <c r="AJ43" i="50"/>
  <c r="AK43" i="50"/>
  <c r="AL43" i="50"/>
  <c r="AM43" i="50"/>
  <c r="AO43" i="50"/>
  <c r="AP43" i="50"/>
  <c r="AW43" i="50"/>
  <c r="AX43" i="50"/>
  <c r="AZ43" i="50"/>
  <c r="N44" i="50"/>
  <c r="T44" i="50"/>
  <c r="AE44" i="50"/>
  <c r="AF44" i="50"/>
  <c r="AG44" i="50"/>
  <c r="AJ44" i="50"/>
  <c r="AK44" i="50"/>
  <c r="AL44" i="50"/>
  <c r="AM44" i="50"/>
  <c r="AO44" i="50"/>
  <c r="AP44" i="50"/>
  <c r="AW44" i="50"/>
  <c r="AX44" i="50"/>
  <c r="AZ44" i="50"/>
  <c r="N45" i="50"/>
  <c r="T45" i="50"/>
  <c r="AE45" i="50"/>
  <c r="AF45" i="50"/>
  <c r="AG45" i="50"/>
  <c r="AJ45" i="50"/>
  <c r="AK45" i="50"/>
  <c r="AL45" i="50"/>
  <c r="AM45" i="50"/>
  <c r="AO45" i="50"/>
  <c r="AP45" i="50"/>
  <c r="AW45" i="50"/>
  <c r="AX45" i="50"/>
  <c r="AZ45" i="50"/>
  <c r="N46" i="50"/>
  <c r="T46" i="50"/>
  <c r="AE46" i="50"/>
  <c r="AF46" i="50"/>
  <c r="AG46" i="50"/>
  <c r="AJ46" i="50"/>
  <c r="AK46" i="50"/>
  <c r="AL46" i="50"/>
  <c r="AM46" i="50"/>
  <c r="AO46" i="50"/>
  <c r="AP46" i="50"/>
  <c r="AW46" i="50"/>
  <c r="AX46" i="50"/>
  <c r="AZ46" i="50"/>
  <c r="N47" i="50"/>
  <c r="T47" i="50"/>
  <c r="AE47" i="50"/>
  <c r="AF47" i="50"/>
  <c r="AG47" i="50"/>
  <c r="AJ47" i="50"/>
  <c r="AK47" i="50"/>
  <c r="AL47" i="50"/>
  <c r="AM47" i="50"/>
  <c r="AO47" i="50"/>
  <c r="AP47" i="50"/>
  <c r="AW47" i="50"/>
  <c r="AX47" i="50"/>
  <c r="AZ47" i="50"/>
  <c r="N48" i="50"/>
  <c r="T48" i="50"/>
  <c r="AE48" i="50"/>
  <c r="AF48" i="50"/>
  <c r="AG48" i="50"/>
  <c r="AJ48" i="50"/>
  <c r="AK48" i="50"/>
  <c r="AL48" i="50"/>
  <c r="AM48" i="50"/>
  <c r="AO48" i="50"/>
  <c r="AP48" i="50"/>
  <c r="AW48" i="50"/>
  <c r="AX48" i="50"/>
  <c r="AZ48" i="50"/>
  <c r="N49" i="50"/>
  <c r="T49" i="50"/>
  <c r="AE49" i="50"/>
  <c r="AF49" i="50"/>
  <c r="AG49" i="50"/>
  <c r="AJ49" i="50"/>
  <c r="AK49" i="50"/>
  <c r="AL49" i="50"/>
  <c r="AM49" i="50"/>
  <c r="AO49" i="50"/>
  <c r="AP49" i="50"/>
  <c r="AW49" i="50"/>
  <c r="AX49" i="50"/>
  <c r="AZ49" i="50"/>
  <c r="N50" i="50"/>
  <c r="T50" i="50"/>
  <c r="AE50" i="50"/>
  <c r="AF50" i="50"/>
  <c r="AG50" i="50"/>
  <c r="AJ50" i="50"/>
  <c r="AK50" i="50"/>
  <c r="AL50" i="50"/>
  <c r="AM50" i="50"/>
  <c r="AO50" i="50"/>
  <c r="AP50" i="50"/>
  <c r="AW50" i="50"/>
  <c r="AX50" i="50"/>
  <c r="AZ50" i="50"/>
  <c r="N51" i="50"/>
  <c r="T51" i="50"/>
  <c r="AE51" i="50"/>
  <c r="AF51" i="50"/>
  <c r="AG51" i="50"/>
  <c r="AJ51" i="50"/>
  <c r="AK51" i="50"/>
  <c r="AL51" i="50"/>
  <c r="AM51" i="50"/>
  <c r="AO51" i="50"/>
  <c r="AP51" i="50"/>
  <c r="AW51" i="50"/>
  <c r="AX51" i="50"/>
  <c r="AZ51" i="50"/>
  <c r="N53" i="50"/>
  <c r="T53" i="50"/>
  <c r="AE53" i="50"/>
  <c r="AF53" i="50"/>
  <c r="AG53" i="50"/>
  <c r="AJ53" i="50"/>
  <c r="AK53" i="50"/>
  <c r="AL53" i="50"/>
  <c r="AM53" i="50"/>
  <c r="AO53" i="50"/>
  <c r="AP53" i="50"/>
  <c r="AO55" i="50"/>
  <c r="AP55" i="50"/>
  <c r="AE58" i="50"/>
  <c r="AF58" i="50"/>
  <c r="N5" i="31"/>
  <c r="T5" i="31"/>
  <c r="AE5" i="31"/>
  <c r="AF5" i="31"/>
  <c r="AG5" i="31"/>
  <c r="AJ5" i="31"/>
  <c r="AK5" i="31"/>
  <c r="AL5" i="31"/>
  <c r="AM5" i="31"/>
  <c r="AO5" i="31"/>
  <c r="AP5" i="31"/>
  <c r="N6" i="31"/>
  <c r="T6" i="31"/>
  <c r="AE6" i="31"/>
  <c r="AF6" i="31"/>
  <c r="AG6" i="31"/>
  <c r="AJ6" i="31"/>
  <c r="AK6" i="31"/>
  <c r="AL6" i="31"/>
  <c r="AM6" i="31"/>
  <c r="AO6" i="31"/>
  <c r="AP6" i="31"/>
  <c r="N7" i="31"/>
  <c r="T7" i="31"/>
  <c r="AE7" i="31"/>
  <c r="AF7" i="31"/>
  <c r="AG7" i="31"/>
  <c r="AJ7" i="31"/>
  <c r="AK7" i="31"/>
  <c r="AL7" i="31"/>
  <c r="AM7" i="31"/>
  <c r="AO7" i="31"/>
  <c r="AP7" i="31"/>
  <c r="N8" i="31"/>
  <c r="T8" i="31"/>
  <c r="AE8" i="31"/>
  <c r="AF8" i="31"/>
  <c r="AG8" i="31"/>
  <c r="AJ8" i="31"/>
  <c r="AK8" i="31"/>
  <c r="AL8" i="31"/>
  <c r="AM8" i="31"/>
  <c r="AO8" i="31"/>
  <c r="AP8" i="31"/>
  <c r="N9" i="31"/>
  <c r="T9" i="31"/>
  <c r="AE9" i="31"/>
  <c r="AF9" i="31"/>
  <c r="AG9" i="31"/>
  <c r="AJ9" i="31"/>
  <c r="AK9" i="31"/>
  <c r="AL9" i="31"/>
  <c r="AM9" i="31"/>
  <c r="AO9" i="31"/>
  <c r="AP9" i="31"/>
  <c r="N10" i="31"/>
  <c r="T10" i="31"/>
  <c r="AE10" i="31"/>
  <c r="AF10" i="31"/>
  <c r="AG10" i="31"/>
  <c r="AJ10" i="31"/>
  <c r="AK10" i="31"/>
  <c r="AL10" i="31"/>
  <c r="AM10" i="31"/>
  <c r="AO10" i="31"/>
  <c r="AP10" i="31"/>
  <c r="N11" i="31"/>
  <c r="T11" i="31"/>
  <c r="AE11" i="31"/>
  <c r="AF11" i="31"/>
  <c r="AG11" i="31"/>
  <c r="AJ11" i="31"/>
  <c r="AK11" i="31"/>
  <c r="AL11" i="31"/>
  <c r="AM11" i="31"/>
  <c r="AO11" i="31"/>
  <c r="AP11" i="31"/>
  <c r="N12" i="31"/>
  <c r="T12" i="31"/>
  <c r="AE12" i="31"/>
  <c r="AF12" i="31"/>
  <c r="AG12" i="31"/>
  <c r="AJ12" i="31"/>
  <c r="AK12" i="31"/>
  <c r="AL12" i="31"/>
  <c r="AM12" i="31"/>
  <c r="AO12" i="31"/>
  <c r="AP12" i="31"/>
  <c r="N13" i="31"/>
  <c r="T13" i="31"/>
  <c r="AE13" i="31"/>
  <c r="AF13" i="31"/>
  <c r="AG13" i="31"/>
  <c r="AJ13" i="31"/>
  <c r="AK13" i="31"/>
  <c r="AL13" i="31"/>
  <c r="AM13" i="31"/>
  <c r="AO13" i="31"/>
  <c r="AP13" i="31"/>
  <c r="N14" i="31"/>
  <c r="T14" i="31"/>
  <c r="AE14" i="31"/>
  <c r="AF14" i="31"/>
  <c r="AG14" i="31"/>
  <c r="AJ14" i="31"/>
  <c r="AK14" i="31"/>
  <c r="AL14" i="31"/>
  <c r="AM14" i="31"/>
  <c r="AO14" i="31"/>
  <c r="AP14" i="31"/>
  <c r="N15" i="31"/>
  <c r="T15" i="31"/>
  <c r="AE15" i="31"/>
  <c r="AF15" i="31"/>
  <c r="AG15" i="31"/>
  <c r="AJ15" i="31"/>
  <c r="AK15" i="31"/>
  <c r="AL15" i="31"/>
  <c r="AM15" i="31"/>
  <c r="AO15" i="31"/>
  <c r="AP15" i="31"/>
  <c r="N16" i="31"/>
  <c r="T16" i="31"/>
  <c r="AE16" i="31"/>
  <c r="AF16" i="31"/>
  <c r="AG16" i="31"/>
  <c r="AJ16" i="31"/>
  <c r="AK16" i="31"/>
  <c r="AL16" i="31"/>
  <c r="AM16" i="31"/>
  <c r="AO16" i="31"/>
  <c r="AP16" i="31"/>
  <c r="N17" i="31"/>
  <c r="T17" i="31"/>
  <c r="AE17" i="31"/>
  <c r="AF17" i="31"/>
  <c r="AG17" i="31"/>
  <c r="AJ17" i="31"/>
  <c r="AK17" i="31"/>
  <c r="AL17" i="31"/>
  <c r="AM17" i="31"/>
  <c r="AO17" i="31"/>
  <c r="AP17" i="31"/>
  <c r="N18" i="31"/>
  <c r="T18" i="31"/>
  <c r="AE18" i="31"/>
  <c r="AF18" i="31"/>
  <c r="AG18" i="31"/>
  <c r="AJ18" i="31"/>
  <c r="AK18" i="31"/>
  <c r="AL18" i="31"/>
  <c r="AM18" i="31"/>
  <c r="AO18" i="31"/>
  <c r="AP18" i="31"/>
  <c r="N19" i="31"/>
  <c r="T19" i="31"/>
  <c r="AE19" i="31"/>
  <c r="AF19" i="31"/>
  <c r="AG19" i="31"/>
  <c r="AJ19" i="31"/>
  <c r="AK19" i="31"/>
  <c r="AL19" i="31"/>
  <c r="AM19" i="31"/>
  <c r="AO19" i="31"/>
  <c r="AP19" i="31"/>
  <c r="N20" i="31"/>
  <c r="T20" i="31"/>
  <c r="AE20" i="31"/>
  <c r="AF20" i="31"/>
  <c r="AG20" i="31"/>
  <c r="AJ20" i="31"/>
  <c r="AK20" i="31"/>
  <c r="AL20" i="31"/>
  <c r="AM20" i="31"/>
  <c r="AO20" i="31"/>
  <c r="AP20" i="31"/>
  <c r="N21" i="31"/>
  <c r="T21" i="31"/>
  <c r="AE21" i="31"/>
  <c r="AF21" i="31"/>
  <c r="AG21" i="31"/>
  <c r="AJ21" i="31"/>
  <c r="AK21" i="31"/>
  <c r="AL21" i="31"/>
  <c r="AM21" i="31"/>
  <c r="AO21" i="31"/>
  <c r="AP21" i="31"/>
  <c r="N22" i="31"/>
  <c r="T22" i="31"/>
  <c r="AE22" i="31"/>
  <c r="AF22" i="31"/>
  <c r="AG22" i="31"/>
  <c r="AJ22" i="31"/>
  <c r="AK22" i="31"/>
  <c r="AL22" i="31"/>
  <c r="AM22" i="31"/>
  <c r="AO22" i="31"/>
  <c r="AP22" i="31"/>
  <c r="N23" i="31"/>
  <c r="T23" i="31"/>
  <c r="AE23" i="31"/>
  <c r="AF23" i="31"/>
  <c r="AG23" i="31"/>
  <c r="AJ23" i="31"/>
  <c r="AK23" i="31"/>
  <c r="AL23" i="31"/>
  <c r="AM23" i="31"/>
  <c r="AO23" i="31"/>
  <c r="AP23" i="31"/>
  <c r="N24" i="31"/>
  <c r="T24" i="31"/>
  <c r="AE24" i="31"/>
  <c r="AF24" i="31"/>
  <c r="AG24" i="31"/>
  <c r="AJ24" i="31"/>
  <c r="AK24" i="31"/>
  <c r="AL24" i="31"/>
  <c r="AM24" i="31"/>
  <c r="AO24" i="31"/>
  <c r="AP24" i="31"/>
  <c r="N25" i="31"/>
  <c r="T25" i="31"/>
  <c r="AE25" i="31"/>
  <c r="AF25" i="31"/>
  <c r="AG25" i="31"/>
  <c r="AJ25" i="31"/>
  <c r="AK25" i="31"/>
  <c r="AL25" i="31"/>
  <c r="AM25" i="31"/>
  <c r="AO25" i="31"/>
  <c r="AP25" i="31"/>
  <c r="N26" i="31"/>
  <c r="T26" i="31"/>
  <c r="AE26" i="31"/>
  <c r="AF26" i="31"/>
  <c r="AG26" i="31"/>
  <c r="AJ26" i="31"/>
  <c r="AK26" i="31"/>
  <c r="AL26" i="31"/>
  <c r="AM26" i="31"/>
  <c r="AO26" i="31"/>
  <c r="AP26" i="31"/>
  <c r="N27" i="31"/>
  <c r="T27" i="31"/>
  <c r="AE27" i="31"/>
  <c r="AF27" i="31"/>
  <c r="AG27" i="31"/>
  <c r="AJ27" i="31"/>
  <c r="AK27" i="31"/>
  <c r="AL27" i="31"/>
  <c r="AM27" i="31"/>
  <c r="AO27" i="31"/>
  <c r="AP27" i="31"/>
  <c r="N28" i="31"/>
  <c r="T28" i="31"/>
  <c r="AE28" i="31"/>
  <c r="AF28" i="31"/>
  <c r="AG28" i="31"/>
  <c r="AJ28" i="31"/>
  <c r="AK28" i="31"/>
  <c r="AL28" i="31"/>
  <c r="AM28" i="31"/>
  <c r="AO28" i="31"/>
  <c r="AP28" i="31"/>
  <c r="N29" i="31"/>
  <c r="T29" i="31"/>
  <c r="AE29" i="31"/>
  <c r="AF29" i="31"/>
  <c r="AG29" i="31"/>
  <c r="AJ29" i="31"/>
  <c r="AK29" i="31"/>
  <c r="AL29" i="31"/>
  <c r="AM29" i="31"/>
  <c r="AO29" i="31"/>
  <c r="AP29" i="31"/>
  <c r="N30" i="31"/>
  <c r="T30" i="31"/>
  <c r="AE30" i="31"/>
  <c r="AF30" i="31"/>
  <c r="AG30" i="31"/>
  <c r="AJ30" i="31"/>
  <c r="AK30" i="31"/>
  <c r="AL30" i="31"/>
  <c r="AM30" i="31"/>
  <c r="AO30" i="31"/>
  <c r="AP30" i="31"/>
  <c r="N31" i="31"/>
  <c r="T31" i="31"/>
  <c r="AE31" i="31"/>
  <c r="AF31" i="31"/>
  <c r="AG31" i="31"/>
  <c r="AJ31" i="31"/>
  <c r="AK31" i="31"/>
  <c r="AL31" i="31"/>
  <c r="AM31" i="31"/>
  <c r="AO31" i="31"/>
  <c r="AP31" i="31"/>
  <c r="N32" i="31"/>
  <c r="T32" i="31"/>
  <c r="AE32" i="31"/>
  <c r="AF32" i="31"/>
  <c r="AG32" i="31"/>
  <c r="AJ32" i="31"/>
  <c r="AK32" i="31"/>
  <c r="AL32" i="31"/>
  <c r="AM32" i="31"/>
  <c r="AO32" i="31"/>
  <c r="AP32" i="31"/>
  <c r="N33" i="31"/>
  <c r="T33" i="31"/>
  <c r="AE33" i="31"/>
  <c r="AF33" i="31"/>
  <c r="AG33" i="31"/>
  <c r="AJ33" i="31"/>
  <c r="AK33" i="31"/>
  <c r="AL33" i="31"/>
  <c r="AM33" i="31"/>
  <c r="AO33" i="31"/>
  <c r="AP33" i="31"/>
  <c r="N34" i="31"/>
  <c r="T34" i="31"/>
  <c r="AE34" i="31"/>
  <c r="AF34" i="31"/>
  <c r="AG34" i="31"/>
  <c r="AJ34" i="31"/>
  <c r="AK34" i="31"/>
  <c r="AL34" i="31"/>
  <c r="AM34" i="31"/>
  <c r="AO34" i="31"/>
  <c r="AP34" i="31"/>
  <c r="N35" i="31"/>
  <c r="T35" i="31"/>
  <c r="AE35" i="31"/>
  <c r="AF35" i="31"/>
  <c r="AG35" i="31"/>
  <c r="AJ35" i="31"/>
  <c r="AK35" i="31"/>
  <c r="AL35" i="31"/>
  <c r="AM35" i="31"/>
  <c r="AO35" i="31"/>
  <c r="AP35" i="31"/>
  <c r="N36" i="31"/>
  <c r="T36" i="31"/>
  <c r="AE36" i="31"/>
  <c r="AF36" i="31"/>
  <c r="AG36" i="31"/>
  <c r="AJ36" i="31"/>
  <c r="AK36" i="31"/>
  <c r="AL36" i="31"/>
  <c r="AM36" i="31"/>
  <c r="AO36" i="31"/>
  <c r="AP36" i="31"/>
  <c r="N37" i="31"/>
  <c r="T37" i="31"/>
  <c r="AE37" i="31"/>
  <c r="AF37" i="31"/>
  <c r="AG37" i="31"/>
  <c r="AJ37" i="31"/>
  <c r="AK37" i="31"/>
  <c r="AL37" i="31"/>
  <c r="AM37" i="31"/>
  <c r="AO37" i="31"/>
  <c r="AP37" i="31"/>
  <c r="N38" i="31"/>
  <c r="T38" i="31"/>
  <c r="AE38" i="31"/>
  <c r="AF38" i="31"/>
  <c r="AG38" i="31"/>
  <c r="AJ38" i="31"/>
  <c r="AK38" i="31"/>
  <c r="AL38" i="31"/>
  <c r="AM38" i="31"/>
  <c r="AO38" i="31"/>
  <c r="AP38" i="31"/>
  <c r="N39" i="31"/>
  <c r="T39" i="31"/>
  <c r="AE39" i="31"/>
  <c r="AF39" i="31"/>
  <c r="AG39" i="31"/>
  <c r="AJ39" i="31"/>
  <c r="AK39" i="31"/>
  <c r="AL39" i="31"/>
  <c r="AM39" i="31"/>
  <c r="AO39" i="31"/>
  <c r="AP39" i="31"/>
  <c r="N40" i="31"/>
  <c r="T40" i="31"/>
  <c r="AE40" i="31"/>
  <c r="AF40" i="31"/>
  <c r="AG40" i="31"/>
  <c r="AJ40" i="31"/>
  <c r="AK40" i="31"/>
  <c r="AL40" i="31"/>
  <c r="AM40" i="31"/>
  <c r="AO40" i="31"/>
  <c r="AP40" i="31"/>
  <c r="N41" i="31"/>
  <c r="T41" i="31"/>
  <c r="AE41" i="31"/>
  <c r="AF41" i="31"/>
  <c r="AG41" i="31"/>
  <c r="AJ41" i="31"/>
  <c r="AK41" i="31"/>
  <c r="AL41" i="31"/>
  <c r="AM41" i="31"/>
  <c r="AO41" i="31"/>
  <c r="AP41" i="31"/>
  <c r="N42" i="31"/>
  <c r="T42" i="31"/>
  <c r="AE42" i="31"/>
  <c r="AF42" i="31"/>
  <c r="AG42" i="31"/>
  <c r="AJ42" i="31"/>
  <c r="AK42" i="31"/>
  <c r="AL42" i="31"/>
  <c r="AM42" i="31"/>
  <c r="AO42" i="31"/>
  <c r="AP42" i="31"/>
  <c r="N43" i="31"/>
  <c r="T43" i="31"/>
  <c r="AE43" i="31"/>
  <c r="AF43" i="31"/>
  <c r="AG43" i="31"/>
  <c r="AJ43" i="31"/>
  <c r="AK43" i="31"/>
  <c r="AL43" i="31"/>
  <c r="AM43" i="31"/>
  <c r="AO43" i="31"/>
  <c r="AP43" i="31"/>
  <c r="N44" i="31"/>
  <c r="T44" i="31"/>
  <c r="AE44" i="31"/>
  <c r="AF44" i="31"/>
  <c r="AG44" i="31"/>
  <c r="AJ44" i="31"/>
  <c r="AK44" i="31"/>
  <c r="AL44" i="31"/>
  <c r="AM44" i="31"/>
  <c r="AO44" i="31"/>
  <c r="AP44" i="31"/>
  <c r="N45" i="31"/>
  <c r="T45" i="31"/>
  <c r="AE45" i="31"/>
  <c r="AF45" i="31"/>
  <c r="AG45" i="31"/>
  <c r="AJ45" i="31"/>
  <c r="AK45" i="31"/>
  <c r="AL45" i="31"/>
  <c r="AM45" i="31"/>
  <c r="AO45" i="31"/>
  <c r="AP45" i="31"/>
  <c r="N46" i="31"/>
  <c r="T46" i="31"/>
  <c r="AE46" i="31"/>
  <c r="AF46" i="31"/>
  <c r="AG46" i="31"/>
  <c r="AJ46" i="31"/>
  <c r="AK46" i="31"/>
  <c r="AL46" i="31"/>
  <c r="AM46" i="31"/>
  <c r="AO46" i="31"/>
  <c r="AP46" i="31"/>
  <c r="N47" i="31"/>
  <c r="T47" i="31"/>
  <c r="AE47" i="31"/>
  <c r="AF47" i="31"/>
  <c r="AG47" i="31"/>
  <c r="AJ47" i="31"/>
  <c r="AK47" i="31"/>
  <c r="AL47" i="31"/>
  <c r="AM47" i="31"/>
  <c r="AO47" i="31"/>
  <c r="AP47" i="31"/>
  <c r="N48" i="31"/>
  <c r="T48" i="31"/>
  <c r="AE48" i="31"/>
  <c r="AF48" i="31"/>
  <c r="AG48" i="31"/>
  <c r="AJ48" i="31"/>
  <c r="AK48" i="31"/>
  <c r="AL48" i="31"/>
  <c r="AM48" i="31"/>
  <c r="AO48" i="31"/>
  <c r="AP48" i="31"/>
  <c r="N49" i="31"/>
  <c r="T49" i="31"/>
  <c r="AE49" i="31"/>
  <c r="AF49" i="31"/>
  <c r="AG49" i="31"/>
  <c r="AJ49" i="31"/>
  <c r="AK49" i="31"/>
  <c r="AL49" i="31"/>
  <c r="AM49" i="31"/>
  <c r="AO49" i="31"/>
  <c r="AP49" i="31"/>
  <c r="N50" i="31"/>
  <c r="T50" i="31"/>
  <c r="AE50" i="31"/>
  <c r="AF50" i="31"/>
  <c r="AG50" i="31"/>
  <c r="AJ50" i="31"/>
  <c r="AK50" i="31"/>
  <c r="AL50" i="31"/>
  <c r="AM50" i="31"/>
  <c r="AO50" i="31"/>
  <c r="AP50" i="31"/>
  <c r="N51" i="31"/>
  <c r="T51" i="31"/>
  <c r="AE51" i="31"/>
  <c r="AF51" i="31"/>
  <c r="AG51" i="31"/>
  <c r="AJ51" i="31"/>
  <c r="AK51" i="31"/>
  <c r="AL51" i="31"/>
  <c r="AM51" i="31"/>
  <c r="AO51" i="31"/>
  <c r="AP51" i="31"/>
  <c r="N53" i="31"/>
  <c r="T53" i="31"/>
  <c r="AE53" i="31"/>
  <c r="AF53" i="31"/>
  <c r="AG53" i="31"/>
  <c r="AJ53" i="31"/>
  <c r="AK53" i="31"/>
  <c r="AL53" i="31"/>
  <c r="AM53" i="31"/>
  <c r="AO53" i="31"/>
  <c r="AP53" i="31"/>
  <c r="AO55" i="31"/>
  <c r="AP55" i="3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645407DB-8935-4B44-9191-B860BA55B1B4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057DF3-5144-4E36-AACC-C3F7599CE65E}" name="Conexão" type="7" refreshedVersion="8" background="1" saveData="1"/>
  <connection id="2" xr16:uid="{B0D702F2-908E-4F10-8DAB-50BF0B7BD991}" name="Conexão1" type="7" refreshedVersion="8" background="1" saveData="1"/>
  <connection id="3" xr16:uid="{B1424385-5847-414C-A8E0-F762BB2523FC}" name="Conexão2" type="7" refreshedVersion="8" background="1" saveData="1"/>
</connections>
</file>

<file path=xl/sharedStrings.xml><?xml version="1.0" encoding="utf-8"?>
<sst xmlns="http://schemas.openxmlformats.org/spreadsheetml/2006/main" count="34253" uniqueCount="1249">
  <si>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</si>
  <si>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</si>
  <si>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</si>
  <si>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</si>
  <si>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</si>
  <si>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</si>
  <si>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</si>
  <si>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</si>
  <si>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</si>
  <si>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</si>
  <si>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</si>
  <si>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</si>
  <si>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</si>
  <si>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</si>
  <si>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</si>
  <si>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</si>
  <si>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</si>
  <si>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</si>
  <si>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</si>
  <si>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</si>
  <si>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</si>
  <si>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</si>
  <si>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</si>
  <si>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</si>
  <si>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</si>
  <si>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</si>
  <si>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</si>
  <si>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</si>
  <si>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</si>
  <si>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</si>
  <si>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</si>
  <si>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</si>
  <si>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</si>
  <si>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</si>
  <si>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</si>
  <si>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</si>
  <si>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</si>
  <si>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</si>
  <si>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A4</t>
  </si>
  <si>
    <t>Verde</t>
  </si>
  <si>
    <t>Comercial</t>
  </si>
  <si>
    <t>Refaturamento - Regular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</si>
  <si>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</si>
  <si>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</si>
  <si>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</si>
  <si>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</si>
  <si>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</si>
  <si>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</si>
  <si>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</si>
  <si>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</si>
  <si>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Azul</t>
  </si>
  <si>
    <t>Consumo próprio</t>
  </si>
  <si>
    <t>Agropecuária rural</t>
  </si>
  <si>
    <t>IRRIG./AQUIC.</t>
  </si>
  <si>
    <t>IRRIG./AQUIC. PR</t>
  </si>
  <si>
    <t>PROJETADO</t>
  </si>
  <si>
    <t>Fonte incentivada</t>
  </si>
  <si>
    <t>LIVRE</t>
  </si>
  <si>
    <t>Geração</t>
  </si>
  <si>
    <t>RIO ALEGRE</t>
  </si>
  <si>
    <t>GERAÇÃO</t>
  </si>
  <si>
    <t>RIO PALMEIRAS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</si>
  <si>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</si>
  <si>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</si>
  <si>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</si>
  <si>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</si>
  <si>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</si>
  <si>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</si>
  <si>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</si>
  <si>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</si>
  <si>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</si>
  <si>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</si>
  <si>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</si>
  <si>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</si>
  <si>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</si>
  <si>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</si>
  <si>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</si>
  <si>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</si>
  <si>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</si>
  <si>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</si>
  <si>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</si>
  <si>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Energia convencional</t>
  </si>
  <si>
    <t>E</t>
  </si>
  <si>
    <t>kW</t>
  </si>
  <si>
    <t>DP</t>
  </si>
  <si>
    <t>DFP</t>
  </si>
  <si>
    <t>APE</t>
  </si>
  <si>
    <t>Energia suprimento permissionária</t>
  </si>
  <si>
    <t>&lt;500GWh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</si>
  <si>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</si>
  <si>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</si>
  <si>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</si>
  <si>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</si>
  <si>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</si>
  <si>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</si>
  <si>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</si>
  <si>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</si>
  <si>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</si>
  <si>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</si>
  <si>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44378A4AzulNão se aplicaNão se aplicaNão se aplicaNão se aplicaFora ponta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</si>
  <si>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</si>
  <si>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</si>
  <si>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</si>
  <si>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</si>
  <si>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</si>
  <si>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</si>
  <si>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</si>
  <si>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</si>
  <si>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</si>
  <si>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44682A4AzulNão se aplicaNão se aplicaNão se aplicaNão se aplicaFora ponta</t>
  </si>
  <si>
    <t>44713A4AzulNão se aplicaNão se aplicaNão se aplicaNão se aplicaFora ponta</t>
  </si>
  <si>
    <t>44378A4AzulNão se aplicaNão se aplicaNão se aplicaNão se aplicaPonta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</si>
  <si>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</si>
  <si>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</si>
  <si>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</si>
  <si>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</si>
  <si>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</si>
  <si>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</si>
  <si>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</si>
  <si>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</si>
  <si>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</si>
  <si>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44682A4AzulNão se aplicaNão se aplicaNão se aplicaNão se aplicaPonta</t>
  </si>
  <si>
    <t>44713A4AzulNão se aplicaNão se aplicaNão se aplicaNão se aplicaPonta</t>
  </si>
  <si>
    <t>44378A4GeraçãoNão se aplicaNão se aplicaNão se aplicaNão se aplicaNão se aplica</t>
  </si>
  <si>
    <t>44409A4GeraçãoNão se aplicaNão se aplicaNão se aplicaNão se aplicaNão se aplica</t>
  </si>
  <si>
    <t>44440A4GeraçãoNão se aplicaNão se aplicaNão se aplicaNão se aplicaNão se aplica</t>
  </si>
  <si>
    <t>44470A4GeraçãoNão se aplicaNão se aplicaNão se aplicaNão se aplicaNão se aplica</t>
  </si>
  <si>
    <t>44501A4GeraçãoNão se aplicaNão se aplicaNão se aplicaNão se aplicaNão se aplica</t>
  </si>
  <si>
    <t>44531A4GeraçãoNão se aplicaNão se aplicaNão se aplicaNão se aplicaNão se aplica</t>
  </si>
  <si>
    <t>44562A4GeraçãoNão se aplicaNão se aplicaNão se aplicaNão se aplicaNão se aplica</t>
  </si>
  <si>
    <t>44593A4GeraçãoNão se aplicaNão se aplicaNão se aplicaNão se aplicaNão se aplica</t>
  </si>
  <si>
    <t>44621A4GeraçãoNão se aplicaNão se aplicaNão se aplicaNão se aplicaNão se aplica</t>
  </si>
  <si>
    <t>44652A4GeraçãoNão se aplicaNão se aplicaNão se aplicaNão se aplicaNão se aplica</t>
  </si>
  <si>
    <t>44682A4GeraçãoNão se aplicaNão se aplicaNão se aplicaNão se aplicaNão se aplica</t>
  </si>
  <si>
    <t>44713A4GeraçãoNão se aplicaNão se aplicaNão se aplicaNão se aplicaNão se aplica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</si>
  <si>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</si>
  <si>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</si>
  <si>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</si>
  <si>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</si>
  <si>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</si>
  <si>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</si>
  <si>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</si>
  <si>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</si>
  <si>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</si>
  <si>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</si>
  <si>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</si>
  <si>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</si>
  <si>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</si>
  <si>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</si>
  <si>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</si>
  <si>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</si>
  <si>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</si>
  <si>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</si>
  <si>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</si>
  <si>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</si>
  <si>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</si>
  <si>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</si>
  <si>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</si>
  <si>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</si>
  <si>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</si>
  <si>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</si>
  <si>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</si>
  <si>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</si>
  <si>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</si>
  <si>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</si>
  <si>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</si>
  <si>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</si>
  <si>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</si>
  <si>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</si>
  <si>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</si>
  <si>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</si>
  <si>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44378B1BrancaResidencialResidencialNão se aplicaNão se aplicaFora ponta</t>
  </si>
  <si>
    <t>44409B1BrancaResidencialResidencialNão se aplicaNão se aplicaFora ponta</t>
  </si>
  <si>
    <t>44440B1BrancaResidencialResidencialNão se aplicaNão se aplicaFora ponta</t>
  </si>
  <si>
    <t>44470B1BrancaResidencialResidencialNão se aplicaNão se aplicaFora 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</si>
  <si>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</si>
  <si>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</si>
  <si>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</si>
  <si>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</si>
  <si>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</si>
  <si>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</si>
  <si>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44682B1BrancaResidencialResidencialNão se aplicaNão se aplicaFora ponta</t>
  </si>
  <si>
    <t>44713B1BrancaResidencialResidencialNão se aplicaNão se aplicaFora ponta</t>
  </si>
  <si>
    <t>44378B1BrancaResidencialResidencialNão se aplicaNão se aplicaIntermediário</t>
  </si>
  <si>
    <t>44409B1BrancaResidencialResidencialNão se aplicaNão se aplicaIntermediário</t>
  </si>
  <si>
    <t>44440B1BrancaResidencialResidencialNão se aplicaNão se aplicaIntermediário</t>
  </si>
  <si>
    <t>44470B1BrancaResidencialResidencialNão se aplicaNão se aplicaIntermediário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</si>
  <si>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</si>
  <si>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</si>
  <si>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</si>
  <si>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</si>
  <si>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</si>
  <si>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</si>
  <si>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44682B1BrancaResidencialResidencialNão se aplicaNão se aplicaIntermediário</t>
  </si>
  <si>
    <t>44713B1BrancaResidencialResidencialNão se aplicaNão se aplicaIntermediário</t>
  </si>
  <si>
    <t>44378B1BrancaResidencialResidencialNão se aplicaNão se aplicaPonta</t>
  </si>
  <si>
    <t>44409B1BrancaResidencialResidencialNão se aplicaNão se aplicaPonta</t>
  </si>
  <si>
    <t>44440B1BrancaResidencialResidencialNão se aplicaNão se aplicaPonta</t>
  </si>
  <si>
    <t>44470B1BrancaResidencialResidencialNão se aplicaNão se aplicaPonta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</si>
  <si>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</si>
  <si>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</si>
  <si>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</si>
  <si>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</si>
  <si>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</si>
  <si>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</si>
  <si>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44682B1BrancaResidencialResidencialNão se aplicaNão se aplicaPonta</t>
  </si>
  <si>
    <t>44713B1BrancaResidencialResidencialNão se aplicaNão se aplicaPonta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</si>
  <si>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</si>
  <si>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</si>
  <si>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</si>
  <si>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</si>
  <si>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</si>
  <si>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</si>
  <si>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</si>
  <si>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</si>
  <si>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</si>
  <si>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</si>
  <si>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</si>
  <si>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</si>
  <si>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</si>
  <si>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</si>
  <si>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</si>
  <si>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</si>
  <si>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</si>
  <si>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</si>
  <si>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</si>
  <si>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</si>
  <si>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</si>
  <si>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</si>
  <si>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</si>
  <si>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</si>
  <si>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</si>
  <si>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</si>
  <si>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</si>
  <si>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</si>
  <si>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</si>
  <si>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</si>
  <si>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</si>
  <si>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</si>
  <si>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</si>
  <si>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</si>
  <si>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</si>
  <si>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</si>
  <si>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</si>
  <si>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</si>
  <si>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</si>
  <si>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</si>
  <si>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</si>
  <si>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</si>
  <si>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</si>
  <si>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</si>
  <si>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</si>
  <si>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</si>
  <si>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</si>
  <si>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</si>
  <si>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</si>
  <si>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</si>
  <si>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</si>
  <si>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</si>
  <si>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</si>
  <si>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</si>
  <si>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</si>
  <si>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</si>
  <si>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</si>
  <si>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</si>
  <si>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</si>
  <si>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</si>
  <si>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</si>
  <si>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</si>
  <si>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</si>
  <si>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</si>
  <si>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</si>
  <si>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</si>
  <si>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</si>
  <si>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</si>
  <si>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</si>
  <si>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</si>
  <si>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</si>
  <si>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</si>
  <si>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44652B3BrancaNão se aplicaNão se aplicaNão se aplicaNão se aplicaFora ponta</t>
  </si>
  <si>
    <t>44682B3BrancaNão se aplicaNão se aplicaNão se aplicaNão se aplicaFora ponta</t>
  </si>
  <si>
    <t>44713B3BrancaNão se aplicaNão se aplicaNão se aplicaNão se aplicaFora ponta</t>
  </si>
  <si>
    <t>44652B3BrancaNão se aplicaNão se aplicaNão se aplicaNão se aplicaIntermediário</t>
  </si>
  <si>
    <t>44682B3BrancaNão se aplicaNão se aplicaNão se aplicaNão se aplicaIntermediário</t>
  </si>
  <si>
    <t>44713B3BrancaNão se aplicaNão se aplicaNão se aplicaNão se aplicaIntermediário</t>
  </si>
  <si>
    <t>44652B3BrancaNão se aplicaNão se aplicaNão se aplicaNão se aplicaPonta</t>
  </si>
  <si>
    <t>44682B3BrancaNão se aplicaNão se aplicaNão se aplicaNão se aplicaPonta</t>
  </si>
  <si>
    <t>44713B3BrancaNão se aplicaNão se aplicaNão se aplicaNão se aplicaPonta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</si>
  <si>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</si>
  <si>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</si>
  <si>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</si>
  <si>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</si>
  <si>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</si>
  <si>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</si>
  <si>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</si>
  <si>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</si>
  <si>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</si>
  <si>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</si>
  <si>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</si>
  <si>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</si>
  <si>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</si>
  <si>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</si>
  <si>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</si>
  <si>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</si>
  <si>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</si>
  <si>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</si>
  <si>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</si>
  <si>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</si>
  <si>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</si>
  <si>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</si>
  <si>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</si>
  <si>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</si>
  <si>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CHAVE TE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</si>
  <si>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</si>
  <si>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</si>
  <si>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</si>
  <si>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</si>
  <si>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</si>
  <si>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</si>
  <si>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</si>
  <si>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</si>
  <si>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</si>
  <si>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</si>
  <si>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</si>
  <si>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</si>
  <si>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</si>
  <si>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</si>
  <si>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</si>
  <si>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</si>
  <si>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</si>
  <si>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</si>
  <si>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</si>
  <si>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</si>
  <si>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</si>
  <si>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</si>
  <si>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</si>
  <si>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</si>
  <si>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</si>
  <si>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</si>
  <si>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</si>
  <si>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</si>
  <si>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44378B1Energia horáriaResidencialResidencialNão se aplicaNão se aplicaFora ponta</t>
  </si>
  <si>
    <t>44409B1Energia horáriaResidencialResidencialNão se aplicaNão se aplicaFora ponta</t>
  </si>
  <si>
    <t>44440B1Energia horáriaResidencialResidencialNão se aplicaNão se aplicaFora ponta</t>
  </si>
  <si>
    <t>44470B1Energia horáriaResidencialResidencialNão se aplicaNão se aplicaFora ponta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</si>
  <si>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</si>
  <si>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</si>
  <si>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</si>
  <si>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</si>
  <si>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</si>
  <si>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</si>
  <si>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44682B1Energia horáriaResidencialResidencialNão se aplicaNão se aplicaFora ponta</t>
  </si>
  <si>
    <t>44713B1Energia horáriaResidencialResidencialNão se aplicaNão se aplicaFora ponta</t>
  </si>
  <si>
    <t>44378B1Energia horáriaResidencialResidencialNão se aplicaNão se aplicaIntermediário</t>
  </si>
  <si>
    <t>44409B1Energia horáriaResidencialResidencialNão se aplicaNão se aplicaIntermediário</t>
  </si>
  <si>
    <t>44440B1Energia horáriaResidencialResidencialNão se aplicaNão se aplicaIntermediário</t>
  </si>
  <si>
    <t>44470B1Energia horáriaResidencialResidencialNão se aplicaNão se aplicaIntermediário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</si>
  <si>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</si>
  <si>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</si>
  <si>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</si>
  <si>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</si>
  <si>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</si>
  <si>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</si>
  <si>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44682B1Energia horáriaResidencialResidencialNão se aplicaNão se aplicaIntermediário</t>
  </si>
  <si>
    <t>44713B1Energia horáriaResidencialResidencialNão se aplicaNão se aplicaIntermediário</t>
  </si>
  <si>
    <t>44378B1Energia horáriaResidencialResidencialNão se aplicaNão se aplicaPonta</t>
  </si>
  <si>
    <t>44409B1Energia horáriaResidencialResidencialNão se aplicaNão se aplicaPonta</t>
  </si>
  <si>
    <t>44440B1Energia horáriaResidencialResidencialNão se aplicaNão se aplicaPonta</t>
  </si>
  <si>
    <t>44470B1Energia horáriaResidencialResidencialNão se aplicaNão se aplicaPonta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</si>
  <si>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</si>
  <si>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</si>
  <si>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</si>
  <si>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</si>
  <si>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</si>
  <si>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</si>
  <si>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44682B1Energia horáriaResidencialResidencialNão se aplicaNão se aplicaPonta</t>
  </si>
  <si>
    <t>44713B1Energia horáriaResidencialResidencialNão se aplicaNão se aplicaPonta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</si>
  <si>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</si>
  <si>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</si>
  <si>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</si>
  <si>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</si>
  <si>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</si>
  <si>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</si>
  <si>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</si>
  <si>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</si>
  <si>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</si>
  <si>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</si>
  <si>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</si>
  <si>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</si>
  <si>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</si>
  <si>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</si>
  <si>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</si>
  <si>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</si>
  <si>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</si>
  <si>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</si>
  <si>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</si>
  <si>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</si>
  <si>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</si>
  <si>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</si>
  <si>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</si>
  <si>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</si>
  <si>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</si>
  <si>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</si>
  <si>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</si>
  <si>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</si>
  <si>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</si>
  <si>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</si>
  <si>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</si>
  <si>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</si>
  <si>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</si>
  <si>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</si>
  <si>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</si>
  <si>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</si>
  <si>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</si>
  <si>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</si>
  <si>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</si>
  <si>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</si>
  <si>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</si>
  <si>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</si>
  <si>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</si>
  <si>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</si>
  <si>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</si>
  <si>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</si>
  <si>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</si>
  <si>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</si>
  <si>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</si>
  <si>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</si>
  <si>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</si>
  <si>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</si>
  <si>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</si>
  <si>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</si>
  <si>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</si>
  <si>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</si>
  <si>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</si>
  <si>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</si>
  <si>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</si>
  <si>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</si>
  <si>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</si>
  <si>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</si>
  <si>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</si>
  <si>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</si>
  <si>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</si>
  <si>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</si>
  <si>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</si>
  <si>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</si>
  <si>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</si>
  <si>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</si>
  <si>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</si>
  <si>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</si>
  <si>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44652B3Energia horáriaNão se aplicaNão se aplicaNão se aplicaNão se aplicaFora ponta</t>
  </si>
  <si>
    <t>44682B3Energia horáriaNão se aplicaNão se aplicaNão se aplicaNão se aplicaFora ponta</t>
  </si>
  <si>
    <t>44713B3Energia horáriaNão se aplicaNão se aplicaNão se aplicaNão se aplicaFora ponta</t>
  </si>
  <si>
    <t>44652B3Energia horáriaNão se aplicaNão se aplicaNão se aplicaNão se aplicaIntermediário</t>
  </si>
  <si>
    <t>44682B3Energia horáriaNão se aplicaNão se aplicaNão se aplicaNão se aplicaIntermediário</t>
  </si>
  <si>
    <t>44713B3Energia horáriaNão se aplicaNão se aplicaNão se aplicaNão se aplicaIntermediário</t>
  </si>
  <si>
    <t>44652B3Energia horáriaNão se aplicaNão se aplicaNão se aplicaNão se aplicaPonta</t>
  </si>
  <si>
    <t>44682B3Energia horáriaNão se aplicaNão se aplicaNão se aplicaNão se aplicaPonta</t>
  </si>
  <si>
    <t>44713B3Energia horáriaNão se aplicaNão se aplicaNão se aplicaNão se aplicaPonta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</si>
  <si>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</si>
  <si>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</si>
  <si>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</si>
  <si>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</si>
  <si>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</si>
  <si>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</si>
  <si>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</si>
  <si>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</si>
  <si>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</si>
  <si>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</si>
  <si>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</si>
  <si>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</si>
  <si>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</si>
  <si>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</si>
  <si>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</si>
  <si>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</si>
  <si>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</si>
  <si>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</si>
  <si>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</si>
  <si>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</si>
  <si>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</si>
  <si>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</si>
  <si>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</si>
  <si>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</si>
  <si>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</si>
  <si>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</si>
  <si>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</si>
  <si>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</si>
  <si>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</si>
  <si>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</si>
  <si>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</si>
  <si>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</si>
  <si>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</si>
  <si>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</si>
  <si>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</si>
  <si>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</si>
  <si>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</si>
  <si>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</si>
  <si>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</si>
  <si>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</si>
  <si>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</si>
  <si>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</si>
  <si>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</si>
  <si>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</si>
  <si>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</si>
  <si>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</si>
  <si>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</si>
  <si>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</si>
  <si>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</si>
  <si>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</si>
  <si>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</si>
  <si>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</si>
  <si>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</si>
  <si>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</si>
  <si>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</si>
  <si>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</si>
  <si>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</si>
  <si>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</si>
  <si>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</si>
  <si>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</si>
  <si>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</si>
  <si>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</si>
  <si>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</si>
  <si>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</si>
  <si>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</si>
  <si>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</si>
  <si>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</si>
  <si>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</si>
  <si>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</si>
  <si>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</si>
  <si>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</si>
  <si>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</si>
  <si>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</si>
  <si>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</si>
  <si>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</si>
  <si>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</si>
  <si>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</si>
  <si>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</si>
  <si>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</si>
  <si>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</si>
  <si>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</si>
  <si>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</si>
  <si>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</si>
  <si>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</si>
  <si>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</si>
  <si>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</si>
  <si>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</si>
  <si>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</si>
  <si>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</si>
  <si>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</si>
  <si>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</si>
  <si>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</si>
  <si>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</si>
  <si>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</si>
  <si>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</si>
  <si>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</si>
  <si>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</si>
  <si>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</si>
  <si>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</si>
  <si>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</si>
  <si>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</si>
  <si>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</si>
  <si>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</si>
  <si>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</si>
  <si>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</si>
  <si>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</si>
  <si>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</si>
  <si>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</si>
  <si>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</si>
  <si>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</si>
  <si>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</si>
  <si>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</si>
  <si>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</si>
  <si>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</si>
  <si>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</si>
  <si>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</si>
  <si>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</si>
  <si>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</si>
  <si>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</si>
  <si>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</si>
  <si>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</si>
  <si>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</si>
  <si>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</si>
  <si>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</si>
  <si>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</si>
  <si>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</si>
  <si>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</si>
  <si>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</si>
  <si>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</si>
  <si>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</si>
  <si>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</si>
  <si>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</si>
  <si>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</si>
  <si>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</si>
  <si>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</si>
  <si>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</si>
  <si>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</si>
  <si>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</si>
  <si>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A2</t>
  </si>
  <si>
    <t>A3</t>
  </si>
  <si>
    <t>A3a</t>
  </si>
  <si>
    <t>AS</t>
  </si>
  <si>
    <t>TipoTarifa</t>
  </si>
  <si>
    <t>UP</t>
  </si>
  <si>
    <t>US</t>
  </si>
  <si>
    <t>UT</t>
  </si>
  <si>
    <t>AnoRef</t>
  </si>
  <si>
    <t>Evento</t>
  </si>
  <si>
    <t>Potência</t>
  </si>
  <si>
    <t>Ativa</t>
  </si>
  <si>
    <t>Energia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</si>
  <si>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</si>
  <si>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</si>
  <si>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</si>
  <si>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</si>
  <si>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</si>
  <si>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</si>
  <si>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</si>
  <si>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</si>
  <si>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</si>
  <si>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</si>
  <si>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</si>
  <si>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</si>
  <si>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</si>
  <si>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</si>
  <si>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</si>
  <si>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</si>
  <si>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</si>
  <si>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</si>
  <si>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</si>
  <si>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</si>
  <si>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</si>
  <si>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</si>
  <si>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</si>
  <si>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</si>
  <si>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</si>
  <si>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</si>
  <si>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</si>
  <si>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</si>
  <si>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</si>
  <si>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</si>
  <si>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</si>
  <si>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</si>
  <si>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</si>
  <si>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</si>
  <si>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</si>
  <si>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</si>
  <si>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</si>
  <si>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ÁGUA, ESGOTO E SANEAMENTO</t>
  </si>
  <si>
    <t>SUBSIDIO GERAÇÃO FONTE INCENTIVADA</t>
  </si>
  <si>
    <t>SUBSIDIO CARGA FONTE INCENTIVADA</t>
  </si>
  <si>
    <t>SUBSIDIO RURAL</t>
  </si>
  <si>
    <t>SUBSIDIO IRRIGANTE/AQUICULTOR</t>
  </si>
  <si>
    <t>SUBSIDIO BAIXA RENDA</t>
  </si>
  <si>
    <t>R$ (TV)</t>
  </si>
  <si>
    <t>R$ (TN)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</si>
  <si>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</si>
  <si>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</si>
  <si>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</si>
  <si>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</si>
  <si>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</si>
  <si>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</si>
  <si>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</si>
  <si>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</si>
  <si>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</si>
  <si>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Convencional1RuralNão se aplicaRuralB2</t>
  </si>
  <si>
    <t>2021</t>
  </si>
  <si>
    <t>Azul1RuralNão se aplicaPlanilha CustoA4</t>
  </si>
  <si>
    <t>Planilha Custo</t>
  </si>
  <si>
    <t>Verde1RuralNão se aplicaPlanilha CustoA4</t>
  </si>
  <si>
    <t>Convencional1RuralNão se aplicaPlanilha CustoA4</t>
  </si>
  <si>
    <t>Azul1Serviço públicoÁgua, esgoto e saneamentoPlanilha CUSTOA4</t>
  </si>
  <si>
    <t>Planilha CUSTO</t>
  </si>
  <si>
    <t>Verde1Serviço públicoÁgua, esgoto e saneamentoPlanilha CUSTOA4</t>
  </si>
  <si>
    <t>Convencional 1Serviço públicoÁgua, esgoto e saneamentoPlanilha CUSTOA4</t>
  </si>
  <si>
    <t xml:space="preserve">Convencional </t>
  </si>
  <si>
    <t>Branca1RuralNão se aplicaRuralB2</t>
  </si>
  <si>
    <t>Convencional1RuralCooperativa de eletrificação ruralPlanilha CUSTOB2</t>
  </si>
  <si>
    <t>Branca 1RuralCooperativa de eletrificação ruralPlanilha CUSTOB2</t>
  </si>
  <si>
    <t xml:space="preserve">Branca </t>
  </si>
  <si>
    <t>Convencional1RuralServiço público de irrigação ruralPlanilha CUSTOB2</t>
  </si>
  <si>
    <t>Branca 1RuralServiço público de irrigação ruralPlanilha CUSTOB2</t>
  </si>
  <si>
    <t>Convencional1Serviço públicoÁgua, esgoto e saneamentoPlanilha CUSTOB3</t>
  </si>
  <si>
    <t>Branca1Serviço públicoÁgua, esgoto e saneamentoPlanilha CUSTOB3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</si>
  <si>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</si>
  <si>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</si>
  <si>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</si>
  <si>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</si>
  <si>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</si>
  <si>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</si>
  <si>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</si>
  <si>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</si>
  <si>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</si>
  <si>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</si>
  <si>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</si>
  <si>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</si>
  <si>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</si>
  <si>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</si>
  <si>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</si>
  <si>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</si>
  <si>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</si>
  <si>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</si>
  <si>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</si>
  <si>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</si>
  <si>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</si>
  <si>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</si>
  <si>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</si>
  <si>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</si>
  <si>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</si>
  <si>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</si>
  <si>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</si>
  <si>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</si>
  <si>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</si>
  <si>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</si>
  <si>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</si>
  <si>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</si>
  <si>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</si>
  <si>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</si>
  <si>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</si>
  <si>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</si>
  <si>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</si>
  <si>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</si>
  <si>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</si>
  <si>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</si>
  <si>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</si>
  <si>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</si>
  <si>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</si>
  <si>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</si>
  <si>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</si>
  <si>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</si>
  <si>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</si>
  <si>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</si>
  <si>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</si>
  <si>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</si>
  <si>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</si>
  <si>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</si>
  <si>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</si>
  <si>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</si>
  <si>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</si>
  <si>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</si>
  <si>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</si>
  <si>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</si>
  <si>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</si>
  <si>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</si>
  <si>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</si>
  <si>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</si>
  <si>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</si>
  <si>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</si>
  <si>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</si>
  <si>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</si>
  <si>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</si>
  <si>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</si>
  <si>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TUSD BASE FINANCEIRA NOVA</t>
  </si>
  <si>
    <t>TUSD BASE FINANCEIRA VIGENTE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</si>
  <si>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</si>
  <si>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</si>
  <si>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</si>
  <si>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</si>
  <si>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</si>
  <si>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</si>
  <si>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</si>
  <si>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</si>
  <si>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</si>
  <si>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</si>
  <si>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</si>
  <si>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</si>
  <si>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</si>
  <si>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</si>
  <si>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</si>
  <si>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</si>
  <si>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</si>
  <si>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</si>
  <si>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</si>
  <si>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</si>
  <si>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</si>
  <si>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</si>
  <si>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</si>
  <si>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</si>
  <si>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</si>
  <si>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</si>
  <si>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</si>
  <si>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</si>
  <si>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</si>
  <si>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</si>
  <si>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</si>
  <si>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</si>
  <si>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</si>
  <si>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</si>
  <si>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</si>
  <si>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</si>
  <si>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</si>
  <si>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</si>
  <si>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</si>
  <si>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</si>
  <si>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</si>
  <si>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</si>
  <si>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</si>
  <si>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</si>
  <si>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</si>
  <si>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</si>
  <si>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</si>
  <si>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</si>
  <si>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</si>
  <si>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</si>
  <si>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</si>
  <si>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</si>
  <si>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</si>
  <si>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</si>
  <si>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</si>
  <si>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</si>
  <si>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</si>
  <si>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</si>
  <si>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</si>
  <si>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</si>
  <si>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</si>
  <si>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</si>
  <si>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</si>
  <si>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</si>
  <si>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</si>
  <si>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</si>
  <si>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</si>
  <si>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</si>
  <si>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</si>
  <si>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</si>
  <si>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</si>
  <si>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</si>
  <si>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</si>
  <si>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</si>
  <si>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</si>
  <si>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</si>
  <si>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</si>
  <si>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</si>
  <si>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</si>
  <si>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</si>
  <si>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</si>
  <si>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</si>
  <si>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</si>
  <si>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</si>
  <si>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</si>
  <si>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</si>
  <si>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</si>
  <si>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</si>
  <si>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</si>
  <si>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</si>
  <si>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</si>
  <si>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</si>
  <si>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</si>
  <si>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</si>
  <si>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</si>
  <si>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</si>
  <si>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</si>
  <si>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</si>
  <si>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</si>
  <si>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</si>
  <si>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</si>
  <si>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</si>
  <si>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</si>
  <si>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</si>
  <si>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</si>
  <si>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</si>
  <si>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</si>
  <si>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</si>
  <si>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</si>
  <si>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</si>
  <si>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</si>
  <si>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</si>
  <si>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</si>
  <si>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</si>
  <si>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</si>
  <si>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</si>
  <si>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</si>
  <si>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</si>
  <si>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</si>
  <si>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</si>
  <si>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</si>
  <si>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</si>
  <si>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</si>
  <si>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</si>
  <si>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</si>
  <si>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</si>
  <si>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</si>
  <si>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</si>
  <si>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</si>
  <si>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</si>
  <si>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</si>
  <si>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</si>
  <si>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</si>
  <si>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</si>
  <si>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</si>
  <si>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</si>
  <si>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</si>
  <si>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</si>
  <si>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</si>
  <si>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</si>
  <si>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</si>
  <si>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</si>
  <si>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</si>
  <si>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</si>
  <si>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</si>
  <si>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</si>
  <si>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</si>
  <si>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</si>
  <si>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</si>
  <si>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</si>
  <si>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</si>
  <si>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</si>
  <si>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</si>
  <si>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</si>
  <si>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</si>
  <si>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</si>
  <si>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</si>
  <si>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</si>
  <si>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</si>
  <si>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</si>
  <si>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</si>
  <si>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</si>
  <si>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</si>
  <si>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</si>
  <si>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</si>
  <si>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</si>
  <si>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</si>
  <si>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</si>
  <si>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</si>
  <si>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</si>
  <si>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</si>
  <si>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</si>
  <si>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</si>
  <si>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</si>
  <si>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</si>
  <si>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</si>
  <si>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</si>
  <si>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</si>
  <si>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</si>
  <si>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</si>
  <si>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</si>
  <si>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</si>
  <si>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</si>
  <si>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A4Energia suprimento permissionária</t>
  </si>
  <si>
    <t>A4Energia suprimento permissionáriaNão se aplica</t>
  </si>
  <si>
    <t>A4Energia suprimento permissionáriaNão se aplicaNão se aplica</t>
  </si>
  <si>
    <t>A4Energia suprimento permissionáriaNão se aplicaNão se aplica&lt;500GWh</t>
  </si>
  <si>
    <t>A4Energia suprimento permissionáriaNão se aplicaNão se aplica&lt;500GWhNão se aplica</t>
  </si>
  <si>
    <t>A4Energia suprimento permissionáriaNão se aplicaNão se aplica&lt;500GWhNão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</si>
  <si>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</si>
  <si>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</si>
  <si>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</si>
  <si>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</si>
  <si>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</si>
  <si>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</si>
  <si>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</si>
  <si>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</si>
  <si>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</si>
  <si>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</si>
  <si>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</si>
  <si>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</si>
  <si>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</si>
  <si>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</si>
  <si>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</si>
  <si>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</si>
  <si>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</si>
  <si>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</si>
  <si>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</si>
  <si>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</si>
  <si>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</si>
  <si>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</si>
  <si>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</si>
  <si>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</si>
  <si>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</si>
  <si>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</si>
  <si>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</si>
  <si>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</si>
  <si>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</si>
  <si>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</si>
  <si>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</si>
  <si>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</si>
  <si>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</si>
  <si>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</si>
  <si>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</si>
  <si>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</si>
  <si>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</si>
  <si>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</si>
  <si>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</si>
  <si>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</si>
  <si>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</si>
  <si>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</si>
  <si>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</si>
  <si>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</si>
  <si>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</si>
  <si>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</si>
  <si>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</si>
  <si>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</si>
  <si>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</si>
  <si>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</si>
  <si>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</si>
  <si>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</si>
  <si>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</si>
  <si>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</si>
  <si>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</si>
  <si>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</si>
  <si>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</si>
  <si>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</si>
  <si>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</si>
  <si>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</si>
  <si>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</si>
  <si>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</si>
  <si>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</si>
  <si>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</si>
  <si>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</si>
  <si>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</si>
  <si>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</si>
  <si>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</si>
  <si>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</si>
  <si>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</si>
  <si>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</si>
  <si>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</si>
  <si>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</si>
  <si>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</si>
  <si>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</si>
  <si>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</si>
  <si>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</si>
  <si>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</si>
  <si>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</si>
  <si>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</si>
  <si>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</si>
  <si>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</si>
  <si>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</si>
  <si>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</si>
  <si>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</si>
  <si>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</si>
  <si>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</si>
  <si>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</si>
  <si>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</si>
  <si>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</si>
  <si>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</si>
  <si>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</si>
  <si>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</si>
  <si>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</si>
  <si>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</si>
  <si>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</si>
  <si>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</si>
  <si>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</si>
  <si>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</si>
  <si>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</si>
  <si>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</si>
  <si>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</si>
  <si>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</si>
  <si>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</si>
  <si>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</si>
  <si>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</si>
  <si>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</si>
  <si>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</si>
  <si>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</si>
  <si>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</si>
  <si>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</si>
  <si>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</si>
  <si>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</si>
  <si>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</si>
  <si>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</si>
  <si>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</si>
  <si>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</si>
  <si>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</si>
  <si>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</si>
  <si>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</si>
  <si>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</si>
  <si>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</si>
  <si>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</si>
  <si>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</si>
  <si>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</si>
  <si>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</si>
  <si>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</si>
  <si>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</si>
  <si>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</si>
  <si>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</si>
  <si>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</si>
  <si>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</si>
  <si>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</si>
  <si>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</si>
  <si>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</si>
  <si>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</si>
  <si>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</si>
  <si>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</si>
  <si>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</si>
  <si>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</si>
  <si>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</si>
  <si>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IdAgente</t>
  </si>
  <si>
    <t>Ano</t>
  </si>
  <si>
    <t>MERCADO Hidropan</t>
  </si>
  <si>
    <t>TARIFAS Hidropan</t>
  </si>
  <si>
    <t>TARIFAS Adjacente (RGE (agrupada))</t>
  </si>
  <si>
    <t>RECEITA Hidropan</t>
  </si>
  <si>
    <t>RECEITA Adjacente (RGE (agrupada))</t>
  </si>
  <si>
    <t>Dp</t>
  </si>
  <si>
    <t>Dfp</t>
  </si>
  <si>
    <t>TE P</t>
  </si>
  <si>
    <t>TE FP</t>
  </si>
  <si>
    <t>TUSD_E P</t>
  </si>
  <si>
    <t>TUSD_E FP</t>
  </si>
  <si>
    <t>ORIGINAL</t>
  </si>
  <si>
    <t>ADJACENTE</t>
  </si>
  <si>
    <t>DECISÃO</t>
  </si>
  <si>
    <t>CONTROLE</t>
  </si>
  <si>
    <t>TARIFAS TUSD</t>
  </si>
  <si>
    <t>TARIFAS TE</t>
  </si>
  <si>
    <t>TARIFAS TOTAIS</t>
  </si>
  <si>
    <t>TARIFA B1 Resid.</t>
  </si>
  <si>
    <t>B1 Convenc.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</si>
  <si>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</si>
  <si>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</si>
  <si>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</si>
  <si>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</si>
  <si>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</si>
  <si>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</si>
  <si>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</si>
  <si>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</si>
  <si>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</si>
  <si>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</si>
  <si>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2.898, DE 20 DE JULHO DE 2021</t>
  </si>
  <si>
    <t>(SUB)GRUPO</t>
  </si>
  <si>
    <t>TUSD (R$)</t>
  </si>
  <si>
    <t>TUSD (MWh)</t>
  </si>
  <si>
    <t>PNT (R$/MWh)</t>
  </si>
  <si>
    <t>VAR. AX01</t>
  </si>
  <si>
    <t>VAR. AX02</t>
  </si>
  <si>
    <t>TOTAL ABAS</t>
  </si>
  <si>
    <t>AVALIAÇÃO</t>
  </si>
  <si>
    <t>Coeficientes de transição</t>
  </si>
  <si>
    <t>Carga</t>
  </si>
  <si>
    <t>Ajustado para o passo 4 da transição. Não altere.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</si>
  <si>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</si>
  <si>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</si>
  <si>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</si>
  <si>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</si>
  <si>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</si>
  <si>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</si>
  <si>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</si>
  <si>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</si>
  <si>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</si>
  <si>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</si>
  <si>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</si>
  <si>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</si>
  <si>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Aplica Lei?</t>
  </si>
  <si>
    <t>Var. Controle TUSD</t>
  </si>
  <si>
    <t>Tarifa Distribuidora</t>
  </si>
  <si>
    <t>Tarifa Adjacente</t>
  </si>
  <si>
    <t>Nova Componente</t>
  </si>
  <si>
    <t>CodTar</t>
  </si>
  <si>
    <t>2060201001010000000000000004022025</t>
  </si>
  <si>
    <t>2060201001010000000000000002022025</t>
  </si>
  <si>
    <t>2060201001010000000000000001032035</t>
  </si>
  <si>
    <t>2060201001020000000000000001032035</t>
  </si>
  <si>
    <t>2060601001010000000000000001022025</t>
  </si>
  <si>
    <t>2060301001010000000000000001022025</t>
  </si>
  <si>
    <t>2060301001010000000000000004032035</t>
  </si>
  <si>
    <t>2060301001010000000000000002032035</t>
  </si>
  <si>
    <t>2060301001020000000000000004032035</t>
  </si>
  <si>
    <t>2060301001020000000000000002032035</t>
  </si>
  <si>
    <t>2130601001120000000000000001022025</t>
  </si>
  <si>
    <t>2130601001130000000000000001022025</t>
  </si>
  <si>
    <t>2080702002010000000000000004032035</t>
  </si>
  <si>
    <t>2080702002010000000000000003032035</t>
  </si>
  <si>
    <t>2080702002010000000000000002032035</t>
  </si>
  <si>
    <t>2080402002010000000000000001032035</t>
  </si>
  <si>
    <t>2080402006010000000000000001032035</t>
  </si>
  <si>
    <t>2081302002010000000000000001032035</t>
  </si>
  <si>
    <t>2081302006010000000000000001032035</t>
  </si>
  <si>
    <t>2090705001010000000000000004032035</t>
  </si>
  <si>
    <t>2090705001010000000000000003032035</t>
  </si>
  <si>
    <t>2090705001010000000000000002032035</t>
  </si>
  <si>
    <t>2100701001010000000000000004032035</t>
  </si>
  <si>
    <t>2100701001010000000000000003032035</t>
  </si>
  <si>
    <t>2100701001010000000000000002032035</t>
  </si>
  <si>
    <t>2100401001010000000000000001032035</t>
  </si>
  <si>
    <t>2101301001010000000000000001032035</t>
  </si>
  <si>
    <t>2110407041010000000000000001032035</t>
  </si>
  <si>
    <t>2110407042010000000000000001032035</t>
  </si>
  <si>
    <t>Var. Controle TE</t>
  </si>
  <si>
    <t>3060801001010000000000000004032035</t>
  </si>
  <si>
    <t>3060801001010000000000000002032035</t>
  </si>
  <si>
    <t>3060901001010000000000000001032035</t>
  </si>
  <si>
    <t>3061201001050000000000000001032035</t>
  </si>
  <si>
    <t>3080802002010000000000000004032035</t>
  </si>
  <si>
    <t>3080802002010000000000000003032035</t>
  </si>
  <si>
    <t>3080802002010000000000000002032035</t>
  </si>
  <si>
    <t>3080902002010000000000000001032035</t>
  </si>
  <si>
    <t>3080902006010000000000000001032035</t>
  </si>
  <si>
    <t>3081402002010000000000000001032035</t>
  </si>
  <si>
    <t>3081402006010000000000000001032035</t>
  </si>
  <si>
    <t>3090805001010000000000000004032035</t>
  </si>
  <si>
    <t>3090805001010000000000000003032035</t>
  </si>
  <si>
    <t>3090805001010000000000000002032035</t>
  </si>
  <si>
    <t>3100801001010000000000000004032035</t>
  </si>
  <si>
    <t>3100801001010000000000000003032035</t>
  </si>
  <si>
    <t>3100801001010000000000000002032035</t>
  </si>
  <si>
    <t>3100901001010000000000000001032035</t>
  </si>
  <si>
    <t>3101401001010000000000000001032035</t>
  </si>
  <si>
    <t>3110907041010000000000000001032035</t>
  </si>
  <si>
    <t>3110907042010000000000000001032035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</si>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</sst>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#,##0.00%_);[Red]\(#,##0.00%\)"/>
    <numFmt numFmtId="166" formatCode="#0.00%;[Red]#0.00%"/>
    <numFmt numFmtId="167" formatCode="0.00%_);[Red]\(0.00%\)"/>
    <numFmt numFmtId="168" formatCode="#,##0.00_);[Red]\(#,##0.00\)"/>
    <numFmt numFmtId="169" formatCode="#,##0.00_ ;[Red]\-#,##0.00\ "/>
    <numFmt numFmtId="170" formatCode="#,##0.00;[Red]#,##0.00"/>
  </numFmts>
  <fonts count="15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11"/>
      <color theme="1"/>
      <name val="Calibri"/>
      <family val="2"/>
      <scheme val="minor"/>
    </font>
    <font>
      <sz val="11"/>
      <color indexed="10"/>
      <name val="Calibri"/>
      <family val="2"/>
      <scheme val="minor"/>
    </font>
    <font>
      <sz val="8"/>
      <color theme="1"/>
      <name val="Arial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 style="thin">
        <color indexed="64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164" fontId="8" fillId="0" borderId="0" applyFont="0" applyFill="0" applyBorder="0" applyAlignment="0" applyProtection="0"/>
  </cellStyleXfs>
  <cellXfs count="193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40" fontId="3" fillId="0" borderId="8" xfId="0" applyNumberFormat="1" applyFont="1" applyBorder="1" applyAlignment="1">
      <alignment vertical="center"/>
    </xf>
    <xf numFmtId="0" fontId="3" fillId="0" borderId="0" xfId="0" pivotButton="1" applyFont="1"/>
    <xf numFmtId="40" fontId="3" fillId="0" borderId="0" xfId="0" applyNumberFormat="1" applyFont="1"/>
    <xf numFmtId="167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165" fontId="3" fillId="0" borderId="0" xfId="0" applyNumberFormat="1" applyFont="1"/>
    <xf numFmtId="0" fontId="6" fillId="0" borderId="0" xfId="0" applyFont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64" fontId="0" fillId="0" borderId="12" xfId="1" applyFont="1" applyBorder="1"/>
    <xf numFmtId="164" fontId="0" fillId="0" borderId="16" xfId="1" applyFont="1" applyBorder="1"/>
    <xf numFmtId="164" fontId="0" fillId="0" borderId="17" xfId="1" applyFont="1" applyBorder="1"/>
    <xf numFmtId="164" fontId="0" fillId="0" borderId="14" xfId="1" applyFont="1" applyBorder="1"/>
    <xf numFmtId="164" fontId="0" fillId="0" borderId="18" xfId="1" applyFont="1" applyBorder="1"/>
    <xf numFmtId="0" fontId="0" fillId="0" borderId="19" xfId="0" applyBorder="1"/>
    <xf numFmtId="164" fontId="0" fillId="0" borderId="20" xfId="1" applyFont="1" applyBorder="1"/>
    <xf numFmtId="0" fontId="0" fillId="0" borderId="21" xfId="0" applyBorder="1"/>
    <xf numFmtId="0" fontId="0" fillId="0" borderId="15" xfId="0" applyBorder="1"/>
    <xf numFmtId="0" fontId="0" fillId="0" borderId="22" xfId="0" applyBorder="1"/>
    <xf numFmtId="0" fontId="0" fillId="0" borderId="23" xfId="0" applyBorder="1"/>
    <xf numFmtId="164" fontId="0" fillId="0" borderId="22" xfId="1" applyFont="1" applyBorder="1"/>
    <xf numFmtId="164" fontId="0" fillId="0" borderId="19" xfId="1" applyFont="1" applyBorder="1"/>
    <xf numFmtId="0" fontId="0" fillId="0" borderId="24" xfId="0" applyBorder="1"/>
    <xf numFmtId="0" fontId="4" fillId="0" borderId="0" xfId="0" applyFont="1" applyAlignment="1">
      <alignment horizontal="center" vertical="center"/>
    </xf>
    <xf numFmtId="0" fontId="3" fillId="0" borderId="8" xfId="0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40" fontId="3" fillId="0" borderId="25" xfId="0" applyNumberFormat="1" applyFont="1" applyBorder="1" applyAlignment="1">
      <alignment vertical="center"/>
    </xf>
    <xf numFmtId="40" fontId="3" fillId="0" borderId="25" xfId="0" applyNumberFormat="1" applyFont="1" applyBorder="1" applyAlignment="1">
      <alignment horizontal="left" vertical="center"/>
    </xf>
    <xf numFmtId="0" fontId="3" fillId="0" borderId="8" xfId="0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0" fontId="3" fillId="0" borderId="25" xfId="0" applyNumberFormat="1" applyFont="1" applyBorder="1" applyAlignment="1">
      <alignment horizontal="left" vertical="center"/>
    </xf>
    <xf numFmtId="40" fontId="4" fillId="0" borderId="25" xfId="0" applyNumberFormat="1" applyFont="1" applyBorder="1" applyAlignment="1">
      <alignment horizontal="center" vertical="center"/>
    </xf>
    <xf numFmtId="40" fontId="3" fillId="0" borderId="26" xfId="0" applyNumberFormat="1" applyFont="1" applyBorder="1" applyAlignment="1">
      <alignment vertical="center"/>
    </xf>
    <xf numFmtId="40" fontId="4" fillId="0" borderId="26" xfId="0" applyNumberFormat="1" applyFont="1" applyBorder="1" applyAlignment="1">
      <alignment horizontal="center" vertical="center"/>
    </xf>
    <xf numFmtId="40" fontId="3" fillId="0" borderId="30" xfId="0" applyNumberFormat="1" applyFont="1" applyBorder="1" applyAlignment="1">
      <alignment vertical="center"/>
    </xf>
    <xf numFmtId="40" fontId="3" fillId="0" borderId="30" xfId="0" applyNumberFormat="1" applyFont="1" applyBorder="1" applyAlignment="1">
      <alignment horizontal="left" vertical="center"/>
    </xf>
    <xf numFmtId="0" fontId="4" fillId="0" borderId="26" xfId="0" applyFont="1" applyBorder="1" applyAlignment="1">
      <alignment horizontal="center" vertical="center"/>
    </xf>
    <xf numFmtId="0" fontId="3" fillId="0" borderId="26" xfId="0" applyFont="1" applyBorder="1" applyAlignment="1">
      <alignment vertical="center"/>
    </xf>
    <xf numFmtId="0" fontId="4" fillId="0" borderId="26" xfId="0" applyFont="1" applyBorder="1" applyAlignment="1">
      <alignment horizontal="center" vertical="center"/>
    </xf>
    <xf numFmtId="0" fontId="3" fillId="0" borderId="26" xfId="0" applyFont="1" applyBorder="1" applyAlignment="1">
      <alignment vertical="center"/>
    </xf>
    <xf numFmtId="40" fontId="3" fillId="0" borderId="30" xfId="0" applyNumberFormat="1" applyFont="1" applyBorder="1" applyAlignment="1">
      <alignment horizontal="left" vertical="center"/>
    </xf>
    <xf numFmtId="40" fontId="3" fillId="0" borderId="25" xfId="0" applyNumberFormat="1" applyFont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40" fontId="3" fillId="0" borderId="30" xfId="0" applyNumberFormat="1" applyFont="1" applyBorder="1" applyAlignment="1">
      <alignment horizontal="center"/>
    </xf>
    <xf numFmtId="0" fontId="3" fillId="0" borderId="30" xfId="0" applyFont="1" applyBorder="1" applyAlignment="1">
      <alignment horizontal="center"/>
    </xf>
    <xf numFmtId="40" fontId="4" fillId="0" borderId="30" xfId="0" applyNumberFormat="1" applyFont="1" applyBorder="1" applyAlignment="1">
      <alignment horizontal="center" vertical="center"/>
    </xf>
    <xf numFmtId="40" fontId="3" fillId="0" borderId="30" xfId="0" applyNumberFormat="1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0" fillId="0" borderId="27" xfId="0" applyBorder="1"/>
    <xf numFmtId="0" fontId="0" fillId="0" borderId="30" xfId="0" applyBorder="1"/>
    <xf numFmtId="0" fontId="9" fillId="2" borderId="30" xfId="0" applyFont="1" applyFill="1" applyBorder="1"/>
    <xf numFmtId="0" fontId="2" fillId="0" borderId="30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40" fontId="1" fillId="0" borderId="30" xfId="0" applyNumberFormat="1" applyFont="1" applyBorder="1" applyAlignment="1">
      <alignment horizontal="center" vertical="center"/>
    </xf>
    <xf numFmtId="166" fontId="1" fillId="0" borderId="30" xfId="0" applyNumberFormat="1" applyFont="1" applyBorder="1" applyAlignment="1">
      <alignment horizontal="center" vertical="center"/>
    </xf>
    <xf numFmtId="0" fontId="3" fillId="0" borderId="30" xfId="0" applyFont="1" applyBorder="1"/>
    <xf numFmtId="0" fontId="4" fillId="0" borderId="30" xfId="0" applyFont="1" applyBorder="1"/>
    <xf numFmtId="14" fontId="2" fillId="0" borderId="30" xfId="0" applyNumberFormat="1" applyFont="1" applyBorder="1" applyAlignment="1">
      <alignment horizontal="center" vertical="center"/>
    </xf>
    <xf numFmtId="14" fontId="1" fillId="0" borderId="30" xfId="0" applyNumberFormat="1" applyFont="1" applyBorder="1" applyAlignment="1">
      <alignment horizontal="center" vertical="center"/>
    </xf>
    <xf numFmtId="40" fontId="3" fillId="0" borderId="30" xfId="0" applyNumberFormat="1" applyFont="1" applyBorder="1"/>
    <xf numFmtId="40" fontId="2" fillId="0" borderId="30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40" fontId="1" fillId="3" borderId="0" xfId="0" applyNumberFormat="1" applyFont="1" applyFill="1" applyAlignment="1">
      <alignment horizontal="center" vertical="center"/>
    </xf>
    <xf numFmtId="40" fontId="7" fillId="3" borderId="0" xfId="0" applyNumberFormat="1" applyFont="1" applyFill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0" fontId="3" fillId="0" borderId="25" xfId="0" applyNumberFormat="1" applyFont="1" applyBorder="1" applyAlignment="1">
      <alignment horizontal="left" vertical="center"/>
    </xf>
    <xf numFmtId="40" fontId="3" fillId="0" borderId="30" xfId="0" applyNumberFormat="1" applyFont="1" applyBorder="1" applyAlignment="1">
      <alignment horizontal="left" vertical="center"/>
    </xf>
    <xf numFmtId="0" fontId="4" fillId="0" borderId="26" xfId="0" applyFont="1" applyBorder="1" applyAlignment="1">
      <alignment horizontal="center" vertical="center"/>
    </xf>
    <xf numFmtId="0" fontId="3" fillId="0" borderId="26" xfId="0" applyFont="1" applyBorder="1" applyAlignment="1">
      <alignment vertical="center"/>
    </xf>
    <xf numFmtId="164" fontId="0" fillId="0" borderId="30" xfId="1" applyFont="1" applyBorder="1"/>
    <xf numFmtId="164" fontId="0" fillId="0" borderId="27" xfId="1" applyFont="1" applyBorder="1"/>
    <xf numFmtId="0" fontId="3" fillId="0" borderId="0" xfId="0" quotePrefix="1" applyFont="1" applyAlignment="1">
      <alignment vertical="center"/>
    </xf>
    <xf numFmtId="169" fontId="1" fillId="0" borderId="0" xfId="0" applyNumberFormat="1" applyFont="1" applyAlignment="1">
      <alignment horizontal="center" vertical="center"/>
    </xf>
    <xf numFmtId="0" fontId="10" fillId="0" borderId="0" xfId="0" pivotButton="1" applyFont="1"/>
    <xf numFmtId="168" fontId="10" fillId="0" borderId="0" xfId="0" applyNumberFormat="1" applyFont="1"/>
    <xf numFmtId="167" fontId="10" fillId="0" borderId="0" xfId="0" applyNumberFormat="1" applyFont="1"/>
    <xf numFmtId="0" fontId="10" fillId="0" borderId="0" xfId="0" applyFont="1" applyAlignment="1">
      <alignment horizontal="left"/>
    </xf>
    <xf numFmtId="0" fontId="10" fillId="0" borderId="0" xfId="0" applyFont="1" applyAlignment="1">
      <alignment horizontal="left" indent="1"/>
    </xf>
    <xf numFmtId="0" fontId="10" fillId="0" borderId="0" xfId="0" applyFont="1" applyAlignment="1">
      <alignment horizontal="left" indent="2"/>
    </xf>
    <xf numFmtId="40" fontId="3" fillId="0" borderId="30" xfId="0" applyNumberFormat="1" applyFont="1" applyFill="1" applyBorder="1" applyAlignment="1">
      <alignment horizontal="center" vertical="center"/>
    </xf>
    <xf numFmtId="40" fontId="3" fillId="0" borderId="25" xfId="0" applyNumberFormat="1" applyFont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40" fontId="3" fillId="0" borderId="30" xfId="0" applyNumberFormat="1" applyFont="1" applyBorder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0" applyNumberFormat="1" applyFont="1"/>
    <xf numFmtId="2" fontId="11" fillId="4" borderId="32" xfId="0" applyNumberFormat="1" applyFont="1" applyFill="1" applyBorder="1" applyAlignment="1">
      <alignment horizontal="center" vertical="center"/>
    </xf>
    <xf numFmtId="0" fontId="11" fillId="4" borderId="32" xfId="0" applyFont="1" applyFill="1" applyBorder="1" applyAlignment="1">
      <alignment horizontal="left" vertical="center" indent="1"/>
    </xf>
    <xf numFmtId="4" fontId="11" fillId="5" borderId="0" xfId="0" applyNumberFormat="1" applyFont="1" applyFill="1" applyAlignment="1">
      <alignment vertical="center"/>
    </xf>
    <xf numFmtId="0" fontId="11" fillId="5" borderId="0" xfId="0" applyFont="1" applyFill="1" applyAlignment="1">
      <alignment horizontal="left" vertical="center" indent="1"/>
    </xf>
    <xf numFmtId="10" fontId="11" fillId="4" borderId="0" xfId="0" applyNumberFormat="1" applyFont="1" applyFill="1" applyAlignment="1">
      <alignment vertical="center"/>
    </xf>
    <xf numFmtId="0" fontId="11" fillId="4" borderId="0" xfId="0" applyFont="1" applyFill="1" applyAlignment="1">
      <alignment horizontal="left" vertical="center" indent="1"/>
    </xf>
    <xf numFmtId="10" fontId="11" fillId="5" borderId="0" xfId="0" applyNumberFormat="1" applyFont="1" applyFill="1" applyAlignment="1">
      <alignment vertical="center"/>
    </xf>
    <xf numFmtId="0" fontId="12" fillId="6" borderId="33" xfId="0" applyFont="1" applyFill="1" applyBorder="1" applyAlignment="1">
      <alignment horizontal="center" vertical="center"/>
    </xf>
    <xf numFmtId="40" fontId="11" fillId="4" borderId="32" xfId="0" applyNumberFormat="1" applyFont="1" applyFill="1" applyBorder="1" applyAlignment="1">
      <alignment horizontal="center" vertical="center"/>
    </xf>
    <xf numFmtId="170" fontId="11" fillId="5" borderId="0" xfId="0" applyNumberFormat="1" applyFont="1" applyFill="1" applyAlignment="1">
      <alignment horizontal="center" vertical="center"/>
    </xf>
    <xf numFmtId="4" fontId="14" fillId="7" borderId="35" xfId="0" applyNumberFormat="1" applyFont="1" applyFill="1" applyBorder="1"/>
    <xf numFmtId="4" fontId="14" fillId="7" borderId="29" xfId="0" applyNumberFormat="1" applyFont="1" applyFill="1" applyBorder="1"/>
    <xf numFmtId="4" fontId="14" fillId="7" borderId="36" xfId="0" applyNumberFormat="1" applyFont="1" applyFill="1" applyBorder="1"/>
    <xf numFmtId="4" fontId="14" fillId="7" borderId="3" xfId="0" applyNumberFormat="1" applyFont="1" applyFill="1" applyBorder="1"/>
    <xf numFmtId="4" fontId="14" fillId="7" borderId="30" xfId="0" applyNumberFormat="1" applyFont="1" applyFill="1" applyBorder="1"/>
    <xf numFmtId="4" fontId="14" fillId="7" borderId="2" xfId="0" applyNumberFormat="1" applyFont="1" applyFill="1" applyBorder="1"/>
    <xf numFmtId="4" fontId="14" fillId="7" borderId="37" xfId="0" applyNumberFormat="1" applyFont="1" applyFill="1" applyBorder="1"/>
    <xf numFmtId="4" fontId="14" fillId="7" borderId="27" xfId="0" applyNumberFormat="1" applyFont="1" applyFill="1" applyBorder="1"/>
    <xf numFmtId="4" fontId="14" fillId="7" borderId="34" xfId="0" applyNumberFormat="1" applyFont="1" applyFill="1" applyBorder="1"/>
    <xf numFmtId="0" fontId="3" fillId="0" borderId="30" xfId="0" applyFont="1" applyBorder="1" applyAlignment="1">
      <alignment vertical="center"/>
    </xf>
    <xf numFmtId="165" fontId="3" fillId="0" borderId="30" xfId="0" applyNumberFormat="1" applyFont="1" applyBorder="1" applyAlignment="1">
      <alignment vertical="center"/>
    </xf>
    <xf numFmtId="40" fontId="3" fillId="0" borderId="30" xfId="0" applyNumberFormat="1" applyFont="1" applyBorder="1" applyAlignment="1">
      <alignment horizontal="left" vertical="center" indent="1"/>
    </xf>
    <xf numFmtId="40" fontId="3" fillId="0" borderId="30" xfId="0" quotePrefix="1" applyNumberFormat="1" applyFont="1" applyBorder="1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169" fontId="3" fillId="0" borderId="0" xfId="0" applyNumberFormat="1" applyFont="1"/>
    <xf numFmtId="0" fontId="4" fillId="0" borderId="30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4" fontId="14" fillId="7" borderId="29" xfId="0" applyNumberFormat="1" applyFont="1" applyFill="1" applyBorder="1" applyAlignment="1">
      <alignment horizontal="center"/>
    </xf>
    <xf numFmtId="4" fontId="14" fillId="7" borderId="36" xfId="0" applyNumberFormat="1" applyFont="1" applyFill="1" applyBorder="1" applyAlignment="1">
      <alignment horizont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38" xfId="0" applyFont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3" fillId="0" borderId="30" xfId="0" applyFont="1" applyBorder="1" applyAlignment="1">
      <alignment vertical="center"/>
    </xf>
    <xf numFmtId="0" fontId="0" fillId="0" borderId="30" xfId="0" applyBorder="1" applyAlignment="1">
      <alignment vertical="center"/>
    </xf>
    <xf numFmtId="0" fontId="0" fillId="0" borderId="4" xfId="0" applyBorder="1" applyAlignment="1">
      <alignment vertical="center"/>
    </xf>
    <xf numFmtId="40" fontId="3" fillId="0" borderId="25" xfId="0" applyNumberFormat="1" applyFont="1" applyBorder="1" applyAlignment="1">
      <alignment horizontal="left" vertical="center"/>
    </xf>
    <xf numFmtId="0" fontId="4" fillId="0" borderId="25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0" fontId="4" fillId="0" borderId="27" xfId="0" applyNumberFormat="1" applyFont="1" applyBorder="1" applyAlignment="1">
      <alignment horizontal="center" vertical="center"/>
    </xf>
    <xf numFmtId="40" fontId="6" fillId="0" borderId="28" xfId="0" applyNumberFormat="1" applyFont="1" applyBorder="1" applyAlignment="1">
      <alignment horizontal="center" vertical="center"/>
    </xf>
    <xf numFmtId="40" fontId="6" fillId="0" borderId="29" xfId="0" applyNumberFormat="1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3" fillId="0" borderId="26" xfId="0" applyFont="1" applyBorder="1" applyAlignment="1">
      <alignment vertical="center"/>
    </xf>
    <xf numFmtId="0" fontId="4" fillId="0" borderId="30" xfId="0" applyFont="1" applyBorder="1" applyAlignment="1">
      <alignment horizontal="center" vertical="center"/>
    </xf>
    <xf numFmtId="40" fontId="3" fillId="0" borderId="30" xfId="0" applyNumberFormat="1" applyFont="1" applyBorder="1" applyAlignment="1">
      <alignment horizontal="left" vertical="center"/>
    </xf>
    <xf numFmtId="0" fontId="3" fillId="0" borderId="30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4" fillId="0" borderId="31" xfId="0" applyFont="1" applyBorder="1" applyAlignment="1">
      <alignment vertical="center"/>
    </xf>
    <xf numFmtId="0" fontId="0" fillId="0" borderId="31" xfId="0" applyBorder="1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4" fontId="14" fillId="7" borderId="30" xfId="0" applyNumberFormat="1" applyFont="1" applyFill="1" applyBorder="1" applyAlignment="1">
      <alignment horizontal="center"/>
    </xf>
    <xf numFmtId="4" fontId="14" fillId="7" borderId="2" xfId="0" applyNumberFormat="1" applyFont="1" applyFill="1" applyBorder="1" applyAlignment="1">
      <alignment horizontal="center"/>
    </xf>
    <xf numFmtId="4" fontId="14" fillId="7" borderId="29" xfId="0" applyNumberFormat="1" applyFont="1" applyFill="1" applyBorder="1" applyAlignment="1">
      <alignment horizontal="center"/>
    </xf>
    <xf numFmtId="4" fontId="14" fillId="7" borderId="36" xfId="0" applyNumberFormat="1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1155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8" formatCode="#,##0.00_);[Red]\(#,##0.00\)"/>
    </dxf>
    <dxf>
      <numFmt numFmtId="168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0.00%_);[Red]\(0.00%\)"/>
    </dxf>
    <dxf>
      <numFmt numFmtId="167" formatCode="0.00%_);[Red]\(0.00%\)"/>
    </dxf>
    <dxf>
      <numFmt numFmtId="168" formatCode="#,##0.00_);[Red]\(#,##0.00\)"/>
    </dxf>
    <dxf>
      <numFmt numFmtId="168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'RESUMO TUSD'!$B$5:$W$5</c15:sqref>
                  </c15:fullRef>
                </c:ext>
              </c:extLst>
              <c:f>('RESUMO TUSD'!$B$5:$H$5,'RESUMO TUSD'!$J$5:$W$5)</c:f>
              <c:strCache>
                <c:ptCount val="21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TUSD RB</c:v>
                </c:pt>
                <c:pt idx="8">
                  <c:v>TUSD FR</c:v>
                </c:pt>
                <c:pt idx="9">
                  <c:v>CONEXAO T</c:v>
                </c:pt>
                <c:pt idx="10">
                  <c:v>CONEXAO D</c:v>
                </c:pt>
                <c:pt idx="11">
                  <c:v>CUSD</c:v>
                </c:pt>
                <c:pt idx="12">
                  <c:v>TUSDG-T</c:v>
                </c:pt>
                <c:pt idx="13">
                  <c:v>TUSDG-ONS</c:v>
                </c:pt>
                <c:pt idx="14">
                  <c:v>DISTRIBUICAO</c:v>
                </c:pt>
                <c:pt idx="15">
                  <c:v>SUBSIDIO</c:v>
                </c:pt>
                <c:pt idx="16">
                  <c:v>OUTROS</c:v>
                </c:pt>
                <c:pt idx="17">
                  <c:v>PERDAS TECNICAS</c:v>
                </c:pt>
                <c:pt idx="18">
                  <c:v>PERDAS RB/ PERDAS D</c:v>
                </c:pt>
                <c:pt idx="19">
                  <c:v>PERDAS NAO TECNICAS</c:v>
                </c:pt>
                <c:pt idx="20">
                  <c:v>RI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'RESUMO TUSD'!$B$14:$W$14</c15:sqref>
                  </c15:fullRef>
                </c:ext>
              </c:extLst>
              <c:f>('RESUMO TUSD'!$B$14:$H$14,'RESUMO TUSD'!$J$14:$W$14)</c:f>
              <c:numCache>
                <c:formatCode>#,##0.00%_);[Red]\(#,##0.00%\)</c:formatCode>
                <c:ptCount val="21"/>
                <c:pt idx="0">
                  <c:v>-1.3152836874001262E-3</c:v>
                </c:pt>
                <c:pt idx="1">
                  <c:v>-3.6158461207948435E-4</c:v>
                </c:pt>
                <c:pt idx="2">
                  <c:v>-2.8613768813062854E-3</c:v>
                </c:pt>
                <c:pt idx="3">
                  <c:v>0</c:v>
                </c:pt>
                <c:pt idx="4">
                  <c:v>0</c:v>
                </c:pt>
                <c:pt idx="5">
                  <c:v>0.12730097449771663</c:v>
                </c:pt>
                <c:pt idx="6">
                  <c:v>2.2770368963133315E-2</c:v>
                </c:pt>
                <c:pt idx="7">
                  <c:v>1.8645420814628052E-2</c:v>
                </c:pt>
                <c:pt idx="8">
                  <c:v>2.4305738506431987E-2</c:v>
                </c:pt>
                <c:pt idx="9">
                  <c:v>9.9488561849218997E-3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-4.9942257343397967E-2</c:v>
                </c:pt>
                <c:pt idx="15">
                  <c:v>-0.19940079219474002</c:v>
                </c:pt>
                <c:pt idx="16">
                  <c:v>0</c:v>
                </c:pt>
                <c:pt idx="17">
                  <c:v>2.0613987984523826E-3</c:v>
                </c:pt>
                <c:pt idx="18">
                  <c:v>0</c:v>
                </c:pt>
                <c:pt idx="19">
                  <c:v>-1.1123077730889463E-3</c:v>
                </c:pt>
                <c:pt idx="20">
                  <c:v>7.40437983430844E-3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4F-4100-8F1B-D91F1208817B}"/>
            </c:ext>
          </c:extLst>
        </c:ser>
        <c:ser>
          <c:idx val="3"/>
          <c:order val="3"/>
          <c:marker>
            <c:symbol val="none"/>
          </c:marker>
          <c:cat>
            <c:strLit>
              <c:ptCount val="21"/>
              <c:pt idx="0">
                <c:v>CDE Covid TUSD</c:v>
              </c:pt>
              <c:pt idx="1">
                <c:v>TFSEE</c:v>
              </c:pt>
              <c:pt idx="2">
                <c:v>P&amp;D</c:v>
              </c:pt>
              <c:pt idx="3">
                <c:v>ONS</c:v>
              </c:pt>
              <c:pt idx="4">
                <c:v>CCC</c:v>
              </c:pt>
              <c:pt idx="5">
                <c:v>CDE</c:v>
              </c:pt>
              <c:pt idx="6">
                <c:v>PROINFA</c:v>
              </c:pt>
              <c:pt idx="7">
                <c:v>LIMINAR 1</c:v>
              </c:pt>
              <c:pt idx="8">
                <c:v>TUSD RB</c:v>
              </c:pt>
              <c:pt idx="9">
                <c:v>TUSD FR</c:v>
              </c:pt>
              <c:pt idx="10">
                <c:v>CONEXAO T</c:v>
              </c:pt>
              <c:pt idx="11">
                <c:v>CONEXAO D</c:v>
              </c:pt>
              <c:pt idx="12">
                <c:v>CUSD</c:v>
              </c:pt>
              <c:pt idx="13">
                <c:v>TUSDG-T</c:v>
              </c:pt>
              <c:pt idx="14">
                <c:v>TUSDG-ONS</c:v>
              </c:pt>
              <c:pt idx="15">
                <c:v>DISTRIBUICAO</c:v>
              </c:pt>
              <c:pt idx="16">
                <c:v>SUBSIDIO</c:v>
              </c:pt>
              <c:pt idx="17">
                <c:v>OUTROS</c:v>
              </c:pt>
              <c:pt idx="18">
                <c:v>PERDAS TECNICAS</c:v>
              </c:pt>
              <c:pt idx="19">
                <c:v>PERDAS RB/ PERDAS D</c:v>
              </c:pt>
              <c:pt idx="20">
                <c:v>PERDAS NAO TECNICAS</c:v>
              </c:pt>
              <c:pt idx="21">
                <c:v>RI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extLst>
            <c:ext xmlns:c16="http://schemas.microsoft.com/office/drawing/2014/chart" uri="{C3380CC4-5D6E-409C-BE32-E72D297353CC}">
              <c16:uniqueId val="{00000003-B14F-4100-8F1B-D91F1208817B}"/>
            </c:ext>
          </c:extLst>
        </c:ser>
        <c:ser>
          <c:idx val="4"/>
          <c:order val="4"/>
          <c:marker>
            <c:symbol val="none"/>
          </c:marker>
          <c:cat>
            <c:strLit>
              <c:ptCount val="21"/>
              <c:pt idx="0">
                <c:v>CDE Covid TUSD</c:v>
              </c:pt>
              <c:pt idx="1">
                <c:v>TFSEE</c:v>
              </c:pt>
              <c:pt idx="2">
                <c:v>P&amp;D</c:v>
              </c:pt>
              <c:pt idx="3">
                <c:v>ONS</c:v>
              </c:pt>
              <c:pt idx="4">
                <c:v>CCC</c:v>
              </c:pt>
              <c:pt idx="5">
                <c:v>CDE</c:v>
              </c:pt>
              <c:pt idx="6">
                <c:v>PROINFA</c:v>
              </c:pt>
              <c:pt idx="7">
                <c:v>LIMINAR 1</c:v>
              </c:pt>
              <c:pt idx="8">
                <c:v>TUSD RB</c:v>
              </c:pt>
              <c:pt idx="9">
                <c:v>TUSD FR</c:v>
              </c:pt>
              <c:pt idx="10">
                <c:v>CONEXAO T</c:v>
              </c:pt>
              <c:pt idx="11">
                <c:v>CONEXAO D</c:v>
              </c:pt>
              <c:pt idx="12">
                <c:v>CUSD</c:v>
              </c:pt>
              <c:pt idx="13">
                <c:v>TUSDG-T</c:v>
              </c:pt>
              <c:pt idx="14">
                <c:v>TUSDG-ONS</c:v>
              </c:pt>
              <c:pt idx="15">
                <c:v>DISTRIBUICAO</c:v>
              </c:pt>
              <c:pt idx="16">
                <c:v>SUBSIDIO</c:v>
              </c:pt>
              <c:pt idx="17">
                <c:v>OUTROS</c:v>
              </c:pt>
              <c:pt idx="18">
                <c:v>PERDAS TECNICAS</c:v>
              </c:pt>
              <c:pt idx="19">
                <c:v>PERDAS RB/ PERDAS D</c:v>
              </c:pt>
              <c:pt idx="20">
                <c:v>PERDAS NAO TECNICAS</c:v>
              </c:pt>
              <c:pt idx="21">
                <c:v>RI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extLst>
            <c:ext xmlns:c16="http://schemas.microsoft.com/office/drawing/2014/chart" uri="{C3380CC4-5D6E-409C-BE32-E72D297353CC}">
              <c16:uniqueId val="{00000004-B14F-4100-8F1B-D91F1208817B}"/>
            </c:ext>
          </c:extLst>
        </c:ser>
        <c:ser>
          <c:idx val="5"/>
          <c:order val="5"/>
          <c:marker>
            <c:symbol val="none"/>
          </c:marker>
          <c:cat>
            <c:strLit>
              <c:ptCount val="21"/>
              <c:pt idx="0">
                <c:v>CDE Covid TUSD</c:v>
              </c:pt>
              <c:pt idx="1">
                <c:v>TFSEE</c:v>
              </c:pt>
              <c:pt idx="2">
                <c:v>P&amp;D</c:v>
              </c:pt>
              <c:pt idx="3">
                <c:v>ONS</c:v>
              </c:pt>
              <c:pt idx="4">
                <c:v>CCC</c:v>
              </c:pt>
              <c:pt idx="5">
                <c:v>CDE</c:v>
              </c:pt>
              <c:pt idx="6">
                <c:v>PROINFA</c:v>
              </c:pt>
              <c:pt idx="7">
                <c:v>LIMINAR 1</c:v>
              </c:pt>
              <c:pt idx="8">
                <c:v>TUSD RB</c:v>
              </c:pt>
              <c:pt idx="9">
                <c:v>TUSD FR</c:v>
              </c:pt>
              <c:pt idx="10">
                <c:v>CONEXAO T</c:v>
              </c:pt>
              <c:pt idx="11">
                <c:v>CONEXAO D</c:v>
              </c:pt>
              <c:pt idx="12">
                <c:v>CUSD</c:v>
              </c:pt>
              <c:pt idx="13">
                <c:v>TUSDG-T</c:v>
              </c:pt>
              <c:pt idx="14">
                <c:v>TUSDG-ONS</c:v>
              </c:pt>
              <c:pt idx="15">
                <c:v>DISTRIBUICAO</c:v>
              </c:pt>
              <c:pt idx="16">
                <c:v>SUBSIDIO</c:v>
              </c:pt>
              <c:pt idx="17">
                <c:v>OUTROS</c:v>
              </c:pt>
              <c:pt idx="18">
                <c:v>PERDAS TECNICAS</c:v>
              </c:pt>
              <c:pt idx="19">
                <c:v>PERDAS RB/ PERDAS D</c:v>
              </c:pt>
              <c:pt idx="20">
                <c:v>PERDAS NAO TECNICAS</c:v>
              </c:pt>
              <c:pt idx="21">
                <c:v>RI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extLst>
            <c:ext xmlns:c16="http://schemas.microsoft.com/office/drawing/2014/chart" uri="{C3380CC4-5D6E-409C-BE32-E72D297353CC}">
              <c16:uniqueId val="{00000005-B14F-4100-8F1B-D91F12088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682792"/>
        <c:axId val="8386837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'RESUMO TUSD'!$A$13</c15:sqref>
                        </c15:formulaRef>
                      </c:ext>
                    </c:extLst>
                    <c:strCache>
                      <c:ptCount val="1"/>
                      <c:pt idx="0">
                        <c:v>VAR. GLOBAL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'RESUMO TUSD'!$B$5:$W$5</c15:sqref>
                        </c15:fullRef>
                        <c15:formulaRef>
                          <c15:sqref>('RESUMO TUSD'!$B$5:$H$5,'RESUMO TUSD'!$J$5:$W$5)</c15:sqref>
                        </c15:formulaRef>
                      </c:ext>
                    </c:extLst>
                    <c:strCache>
                      <c:ptCount val="21"/>
                      <c:pt idx="0">
                        <c:v>CDE Covid TUSD</c:v>
                      </c:pt>
                      <c:pt idx="1">
                        <c:v>TFSEE</c:v>
                      </c:pt>
                      <c:pt idx="2">
                        <c:v>P&amp;D</c:v>
                      </c:pt>
                      <c:pt idx="3">
                        <c:v>ONS</c:v>
                      </c:pt>
                      <c:pt idx="4">
                        <c:v>CCC</c:v>
                      </c:pt>
                      <c:pt idx="5">
                        <c:v>CDE</c:v>
                      </c:pt>
                      <c:pt idx="6">
                        <c:v>PROINFA</c:v>
                      </c:pt>
                      <c:pt idx="7">
                        <c:v>TUSD RB</c:v>
                      </c:pt>
                      <c:pt idx="8">
                        <c:v>TUSD FR</c:v>
                      </c:pt>
                      <c:pt idx="9">
                        <c:v>CONEXAO T</c:v>
                      </c:pt>
                      <c:pt idx="10">
                        <c:v>CONEXAO D</c:v>
                      </c:pt>
                      <c:pt idx="11">
                        <c:v>CUSD</c:v>
                      </c:pt>
                      <c:pt idx="12">
                        <c:v>TUSDG-T</c:v>
                      </c:pt>
                      <c:pt idx="13">
                        <c:v>TUSDG-ONS</c:v>
                      </c:pt>
                      <c:pt idx="14">
                        <c:v>DISTRIBUICAO</c:v>
                      </c:pt>
                      <c:pt idx="15">
                        <c:v>SUBSIDIO</c:v>
                      </c:pt>
                      <c:pt idx="16">
                        <c:v>OUTROS</c:v>
                      </c:pt>
                      <c:pt idx="17">
                        <c:v>PERDAS TECNICAS</c:v>
                      </c:pt>
                      <c:pt idx="18">
                        <c:v>PERDAS RB/ PERDAS D</c:v>
                      </c:pt>
                      <c:pt idx="19">
                        <c:v>PERDAS NAO TECNICAS</c:v>
                      </c:pt>
                      <c:pt idx="20">
                        <c:v>RI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'RESUMO TUSD'!$B$13:$W$13</c15:sqref>
                        </c15:fullRef>
                        <c15:formulaRef>
                          <c15:sqref>('RESUMO TUSD'!$B$13:$H$13,'RESUMO TUSD'!$J$13:$W$13)</c15:sqref>
                        </c15:formulaRef>
                      </c:ext>
                    </c:extLst>
                    <c:numCache>
                      <c:formatCode>#,##0.00%_);[Red]\(#,##0.00%\)</c:formatCode>
                      <c:ptCount val="21"/>
                      <c:pt idx="0">
                        <c:v>-2.0664472960789221E-3</c:v>
                      </c:pt>
                      <c:pt idx="1">
                        <c:v>-7.9689713813797867E-5</c:v>
                      </c:pt>
                      <c:pt idx="2">
                        <c:v>-2.0573327713769799E-3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0.15173394828400091</c:v>
                      </c:pt>
                      <c:pt idx="6">
                        <c:v>3.0487845818181879E-2</c:v>
                      </c:pt>
                      <c:pt idx="7">
                        <c:v>4.0778705863739745E-2</c:v>
                      </c:pt>
                      <c:pt idx="8">
                        <c:v>4.4539547979116072E-2</c:v>
                      </c:pt>
                      <c:pt idx="9">
                        <c:v>1.5921614871577772E-2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4.3669493152147677E-3</c:v>
                      </c:pt>
                      <c:pt idx="15">
                        <c:v>-0.22128284575416718</c:v>
                      </c:pt>
                      <c:pt idx="16">
                        <c:v>0</c:v>
                      </c:pt>
                      <c:pt idx="17">
                        <c:v>1.7182188330879884E-3</c:v>
                      </c:pt>
                      <c:pt idx="18">
                        <c:v>0</c:v>
                      </c:pt>
                      <c:pt idx="19">
                        <c:v>-8.6315775874299652E-4</c:v>
                      </c:pt>
                      <c:pt idx="20">
                        <c:v>7.639905857115303E-3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14F-4100-8F1B-D91F1208817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'RESUMO TUSD'!$A$15</c15:sqref>
                        </c15:formulaRef>
                      </c:ext>
                    </c:extLst>
                    <c:strCache>
                      <c:ptCount val="1"/>
                      <c:pt idx="0">
                        <c:v>VAR. SELEÇÃO MDT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'RESUMO TUSD'!$B$5:$W$5</c15:sqref>
                        </c15:fullRef>
                        <c15:formulaRef>
                          <c15:sqref>('RESUMO TUSD'!$B$5:$H$5,'RESUMO TUSD'!$J$5:$W$5)</c15:sqref>
                        </c15:formulaRef>
                      </c:ext>
                    </c:extLst>
                    <c:strCache>
                      <c:ptCount val="21"/>
                      <c:pt idx="0">
                        <c:v>CDE Covid TUSD</c:v>
                      </c:pt>
                      <c:pt idx="1">
                        <c:v>TFSEE</c:v>
                      </c:pt>
                      <c:pt idx="2">
                        <c:v>P&amp;D</c:v>
                      </c:pt>
                      <c:pt idx="3">
                        <c:v>ONS</c:v>
                      </c:pt>
                      <c:pt idx="4">
                        <c:v>CCC</c:v>
                      </c:pt>
                      <c:pt idx="5">
                        <c:v>CDE</c:v>
                      </c:pt>
                      <c:pt idx="6">
                        <c:v>PROINFA</c:v>
                      </c:pt>
                      <c:pt idx="7">
                        <c:v>TUSD RB</c:v>
                      </c:pt>
                      <c:pt idx="8">
                        <c:v>TUSD FR</c:v>
                      </c:pt>
                      <c:pt idx="9">
                        <c:v>CONEXAO T</c:v>
                      </c:pt>
                      <c:pt idx="10">
                        <c:v>CONEXAO D</c:v>
                      </c:pt>
                      <c:pt idx="11">
                        <c:v>CUSD</c:v>
                      </c:pt>
                      <c:pt idx="12">
                        <c:v>TUSDG-T</c:v>
                      </c:pt>
                      <c:pt idx="13">
                        <c:v>TUSDG-ONS</c:v>
                      </c:pt>
                      <c:pt idx="14">
                        <c:v>DISTRIBUICAO</c:v>
                      </c:pt>
                      <c:pt idx="15">
                        <c:v>SUBSIDIO</c:v>
                      </c:pt>
                      <c:pt idx="16">
                        <c:v>OUTROS</c:v>
                      </c:pt>
                      <c:pt idx="17">
                        <c:v>PERDAS TECNICAS</c:v>
                      </c:pt>
                      <c:pt idx="18">
                        <c:v>PERDAS RB/ PERDAS D</c:v>
                      </c:pt>
                      <c:pt idx="19">
                        <c:v>PERDAS NAO TECNICAS</c:v>
                      </c:pt>
                      <c:pt idx="20">
                        <c:v>RI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'RESUMO TUSD'!$B$15:$W$15</c15:sqref>
                        </c15:fullRef>
                        <c15:formulaRef>
                          <c15:sqref>('RESUMO TUSD'!$B$15:$H$15,'RESUMO TUSD'!$J$15:$W$15)</c15:sqref>
                        </c15:formulaRef>
                      </c:ext>
                    </c:extLst>
                    <c:numCache>
                      <c:formatCode>#,##0.00%_);[Red]\(#,##0.00%\)</c:formatCode>
                      <c:ptCount val="21"/>
                      <c:pt idx="0">
                        <c:v>-1.3159050637496126E-3</c:v>
                      </c:pt>
                      <c:pt idx="1">
                        <c:v>-3.617554346392384E-4</c:v>
                      </c:pt>
                      <c:pt idx="2">
                        <c:v>-2.8627286747923931E-3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0.12736111499484074</c:v>
                      </c:pt>
                      <c:pt idx="6">
                        <c:v>2.2781126314477599E-2</c:v>
                      </c:pt>
                      <c:pt idx="7">
                        <c:v>1.8654229426512636E-2</c:v>
                      </c:pt>
                      <c:pt idx="8">
                        <c:v>2.43172212087641E-2</c:v>
                      </c:pt>
                      <c:pt idx="9">
                        <c:v>9.9535562994272127E-3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-4.9965851445453999E-2</c:v>
                      </c:pt>
                      <c:pt idx="15">
                        <c:v>-0.19949499463754808</c:v>
                      </c:pt>
                      <c:pt idx="16">
                        <c:v>0</c:v>
                      </c:pt>
                      <c:pt idx="17">
                        <c:v>2.0623726601922405E-3</c:v>
                      </c:pt>
                      <c:pt idx="18">
                        <c:v>0</c:v>
                      </c:pt>
                      <c:pt idx="19">
                        <c:v>-1.1128332580091719E-3</c:v>
                      </c:pt>
                      <c:pt idx="20">
                        <c:v>7.407877867892927E-3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B14F-4100-8F1B-D91F1208817B}"/>
                  </c:ext>
                </c:extLst>
              </c15:ser>
            </c15:filteredRadarSeries>
          </c:ext>
        </c:extLst>
      </c:radarChart>
      <c:catAx>
        <c:axId val="83868279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838683776"/>
        <c:crosses val="autoZero"/>
        <c:auto val="1"/>
        <c:lblAlgn val="ctr"/>
        <c:lblOffset val="100"/>
        <c:noMultiLvlLbl val="0"/>
      </c:catAx>
      <c:valAx>
        <c:axId val="838683776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8386827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#,##0.00%_);[Red]\(#,##0.00%\)</c:formatCode>
                <c:ptCount val="11"/>
                <c:pt idx="0">
                  <c:v>-4.0594958294075476E-4</c:v>
                </c:pt>
                <c:pt idx="1">
                  <c:v>0</c:v>
                </c:pt>
                <c:pt idx="2">
                  <c:v>0</c:v>
                </c:pt>
                <c:pt idx="3">
                  <c:v>2.7868398992686123E-2</c:v>
                </c:pt>
                <c:pt idx="4">
                  <c:v>0</c:v>
                </c:pt>
                <c:pt idx="5">
                  <c:v>-4.7906819866673923E-2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-0.16793398938002649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C-4F30-B0D5-D94F8F3C8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717728"/>
        <c:axId val="426716744"/>
        <c:extLst>
          <c:ext xmlns:c15="http://schemas.microsoft.com/office/drawing/2012/chart" uri="{02D57815-91ED-43cb-92C2-25804820EDAC}">
            <c15:filteredRad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'RESUMO TE'!$A$14</c15:sqref>
                        </c15:formulaRef>
                      </c:ext>
                    </c:extLst>
                    <c:strCache>
                      <c:ptCount val="1"/>
                      <c:pt idx="0">
                        <c:v>VAR. SELEÇÃO SUBG.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'RESUMO TE'!$B$5:$L$5</c15:sqref>
                        </c15:formulaRef>
                      </c:ext>
                    </c:extLst>
                    <c:strCache>
                      <c:ptCount val="11"/>
                      <c:pt idx="0">
                        <c:v>P&amp;D</c:v>
                      </c:pt>
                      <c:pt idx="1">
                        <c:v>ESS/ERR</c:v>
                      </c:pt>
                      <c:pt idx="2">
                        <c:v>CFURH</c:v>
                      </c:pt>
                      <c:pt idx="3">
                        <c:v>CDE Covid TE</c:v>
                      </c:pt>
                      <c:pt idx="4">
                        <c:v>CDE ELET</c:v>
                      </c:pt>
                      <c:pt idx="5">
                        <c:v>ENERGIA REVENDA</c:v>
                      </c:pt>
                      <c:pt idx="6">
                        <c:v>ITAIPU</c:v>
                      </c:pt>
                      <c:pt idx="7">
                        <c:v>TUST ITAIPU</c:v>
                      </c:pt>
                      <c:pt idx="8">
                        <c:v>TUST CI</c:v>
                      </c:pt>
                      <c:pt idx="9">
                        <c:v>SUBSIDIO</c:v>
                      </c:pt>
                      <c:pt idx="10">
                        <c:v>PERDAS RB/C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'RESUMO TE'!$B$14:$L$14</c15:sqref>
                        </c15:formulaRef>
                      </c:ext>
                    </c:extLst>
                    <c:numCache>
                      <c:formatCode>#,##0.00%_);[Red]\(#,##0.00%\)</c:formatCode>
                      <c:ptCount val="11"/>
                      <c:pt idx="0">
                        <c:v>-4.2113613875397658E-4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2.795490022294525E-2</c:v>
                      </c:pt>
                      <c:pt idx="4">
                        <c:v>0</c:v>
                      </c:pt>
                      <c:pt idx="5">
                        <c:v>-4.9211574659921174E-2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-0.16772414074609185</c:v>
                      </c:pt>
                      <c:pt idx="1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6CC-4F30-B0D5-D94F8F3C84D6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'RESUMO TE'!$A$15</c15:sqref>
                        </c15:formulaRef>
                      </c:ext>
                    </c:extLst>
                    <c:strCache>
                      <c:ptCount val="1"/>
                      <c:pt idx="0">
                        <c:v>VAR. SELEÇÃO MDT</c:v>
                      </c:pt>
                    </c:strCache>
                  </c:strRef>
                </c:tx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'RESUMO TE'!$B$5:$L$5</c15:sqref>
                        </c15:formulaRef>
                      </c:ext>
                    </c:extLst>
                    <c:strCache>
                      <c:ptCount val="11"/>
                      <c:pt idx="0">
                        <c:v>P&amp;D</c:v>
                      </c:pt>
                      <c:pt idx="1">
                        <c:v>ESS/ERR</c:v>
                      </c:pt>
                      <c:pt idx="2">
                        <c:v>CFURH</c:v>
                      </c:pt>
                      <c:pt idx="3">
                        <c:v>CDE Covid TE</c:v>
                      </c:pt>
                      <c:pt idx="4">
                        <c:v>CDE ELET</c:v>
                      </c:pt>
                      <c:pt idx="5">
                        <c:v>ENERGIA REVENDA</c:v>
                      </c:pt>
                      <c:pt idx="6">
                        <c:v>ITAIPU</c:v>
                      </c:pt>
                      <c:pt idx="7">
                        <c:v>TUST ITAIPU</c:v>
                      </c:pt>
                      <c:pt idx="8">
                        <c:v>TUST CI</c:v>
                      </c:pt>
                      <c:pt idx="9">
                        <c:v>SUBSIDIO</c:v>
                      </c:pt>
                      <c:pt idx="10">
                        <c:v>PERDAS RB/C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'RESUMO TE'!$B$15:$L$15</c15:sqref>
                        </c15:formulaRef>
                      </c:ext>
                    </c:extLst>
                    <c:numCache>
                      <c:formatCode>#,##0.00%_);[Red]\(#,##0.00%\)</c:formatCode>
                      <c:ptCount val="11"/>
                      <c:pt idx="0">
                        <c:v>-4.2113613875397658E-4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2.795490022294525E-2</c:v>
                      </c:pt>
                      <c:pt idx="4">
                        <c:v>0</c:v>
                      </c:pt>
                      <c:pt idx="5">
                        <c:v>-4.9211574659921174E-2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-0.16772414074609185</c:v>
                      </c:pt>
                      <c:pt idx="1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16CC-4F30-B0D5-D94F8F3C84D6}"/>
                  </c:ext>
                </c:extLst>
              </c15:ser>
            </c15:filteredRadarSeries>
            <c15:filteredRadarSeries>
              <c15:ser>
                <c:idx val="3"/>
                <c:order val="3"/>
                <c:marker>
                  <c:symbol val="none"/>
                </c:marker>
                <c:extLst>
                  <c:ext xmlns:c16="http://schemas.microsoft.com/office/drawing/2014/chart" uri="{C3380CC4-5D6E-409C-BE32-E72D297353CC}">
                    <c16:uniqueId val="{00000003-16CC-4F30-B0D5-D94F8F3C84D6}"/>
                  </c:ext>
                </c:extLst>
              </c15:ser>
            </c15:filteredRadarSeries>
            <c15:filteredRadarSeries>
              <c15:ser>
                <c:idx val="4"/>
                <c:order val="4"/>
                <c:marker>
                  <c:symbol val="none"/>
                </c:marker>
                <c:extLst>
                  <c:ext xmlns:c16="http://schemas.microsoft.com/office/drawing/2014/chart" uri="{C3380CC4-5D6E-409C-BE32-E72D297353CC}">
                    <c16:uniqueId val="{00000004-16CC-4F30-B0D5-D94F8F3C84D6}"/>
                  </c:ext>
                </c:extLst>
              </c15:ser>
            </c15:filteredRadarSeries>
            <c15:filteredRadarSeries>
              <c15:ser>
                <c:idx val="5"/>
                <c:order val="5"/>
                <c:marker>
                  <c:symbol val="none"/>
                </c:marker>
                <c:extLst>
                  <c:ext xmlns:c16="http://schemas.microsoft.com/office/drawing/2014/chart" uri="{C3380CC4-5D6E-409C-BE32-E72D297353CC}">
                    <c16:uniqueId val="{00000005-16CC-4F30-B0D5-D94F8F3C84D6}"/>
                  </c:ext>
                </c:extLst>
              </c15:ser>
            </c15:filteredRadarSeries>
          </c:ext>
        </c:extLst>
      </c:radarChart>
      <c:catAx>
        <c:axId val="42671772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426716744"/>
        <c:crosses val="autoZero"/>
        <c:auto val="1"/>
        <c:lblAlgn val="ctr"/>
        <c:lblOffset val="100"/>
        <c:noMultiLvlLbl val="0"/>
      </c:catAx>
      <c:valAx>
        <c:axId val="426716744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4267177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466726</xdr:colOff>
      <xdr:row>16</xdr:row>
      <xdr:rowOff>0</xdr:rowOff>
    </xdr:from>
    <xdr:to>
      <xdr:col>11</xdr:col>
      <xdr:colOff>447676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6839947-DD98-CAE2-16FF-E65AEDECC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466726</xdr:colOff>
      <xdr:row>16</xdr:row>
      <xdr:rowOff>0</xdr:rowOff>
    </xdr:from>
    <xdr:to>
      <xdr:col>11</xdr:col>
      <xdr:colOff>666751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CA2C15C-6B65-F145-5C84-83E4BC7A7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6.58498634259" createdVersion="5" refreshedVersion="8" minRefreshableVersion="3" recordCount="283" xr:uid="{47CB861D-EC02-4EFD-93EF-4ADE715CA4A5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4">
        <s v="A4"/>
        <s v="B1"/>
        <s v="B2"/>
        <s v="B3"/>
      </sharedItems>
    </cacheField>
    <cacheField name="Modalidade" numFmtId="0">
      <sharedItems count="4">
        <s v="Azul"/>
        <s v="Geração"/>
        <s v="Verde"/>
        <s v="Convencional"/>
      </sharedItems>
    </cacheField>
    <cacheField name="Classe" numFmtId="0">
      <sharedItems count="5">
        <s v="Serviço público"/>
        <s v="Não se aplica"/>
        <s v="Industrial"/>
        <s v="Rural"/>
        <s v="Residencial"/>
      </sharedItems>
    </cacheField>
    <cacheField name="Subclasse" numFmtId="0">
      <sharedItems count="8">
        <s v="Água, esgoto e saneamento"/>
        <s v="Não se aplica"/>
        <s v="Agropecuária rural"/>
        <s v="Residencial"/>
        <s v="Residencial baixa renda – faixa 01"/>
        <s v="Residencial baixa renda – faixa 02"/>
        <s v="Residencial baixa renda – faixa 03"/>
        <s v="Residencial baixa renda – faixa 04"/>
      </sharedItems>
    </cacheField>
    <cacheField name="Detalhe" numFmtId="0">
      <sharedItems count="4">
        <s v="Não se aplica"/>
        <s v="Fonte incentivada"/>
        <s v="IRRIG./AQUIC. PR"/>
        <s v="IRRIG./AQUIC."/>
      </sharedItems>
    </cacheField>
    <cacheField name="Agente" numFmtId="0">
      <sharedItems count="3">
        <s v="Não se aplica"/>
        <s v="RIO ALEGRE"/>
        <s v="RIO PALMEIRAS"/>
      </sharedItems>
    </cacheField>
    <cacheField name="Posto" numFmtId="0">
      <sharedItems count="3">
        <s v="Fora ponta"/>
        <s v="Ponta"/>
        <s v="Não se aplica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0" maxValue="12381"/>
    </cacheField>
    <cacheField name="Daj" numFmtId="40">
      <sharedItems containsSemiMixedTypes="0" containsString="0" containsNumber="1" minValue="0" maxValue="6190.5"/>
    </cacheField>
    <cacheField name="TUSD_E" numFmtId="40">
      <sharedItems containsSemiMixedTypes="0" containsString="0" containsNumber="1" minValue="-1.627" maxValue="4502.0200000000004"/>
    </cacheField>
    <cacheField name="TUSD_Eaj" numFmtId="40">
      <sharedItems containsSemiMixedTypes="0" containsString="0" containsNumber="1" minValue="-1.627" maxValue="4502.0200000000004"/>
    </cacheField>
    <cacheField name="TE_E" numFmtId="40">
      <sharedItems containsSemiMixedTypes="0" containsString="0" containsNumber="1" minValue="-1.627" maxValue="3154.2910000000002"/>
    </cacheField>
    <cacheField name="TE_Eaj" numFmtId="40">
      <sharedItems containsSemiMixedTypes="0" containsString="0" containsNumber="1" minValue="-1.627" maxValue="3154.2910000000002"/>
    </cacheField>
    <cacheField name="UC" numFmtId="40">
      <sharedItems containsSemiMixedTypes="0" containsString="0" containsNumber="1" containsInteger="1" minValue="0" maxValue="16524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30634"/>
    </cacheField>
    <cacheField name="CóD. AUX. TUSD R$/kW" numFmtId="0">
      <sharedItems containsSemiMixedTypes="0" containsString="0" containsNumber="1" containsInteger="1" minValue="0" maxValue="23"/>
    </cacheField>
    <cacheField name="CóD. AUX. TUSD R$/MWh" numFmtId="0">
      <sharedItems containsSemiMixedTypes="0" containsString="0" containsNumber="1" containsInteger="1" minValue="0" maxValue="68"/>
    </cacheField>
    <cacheField name="CóD. AUX. TE R$/MWh" numFmtId="0">
      <sharedItems containsSemiMixedTypes="0" containsString="0" containsNumber="1" containsInteger="1" minValue="0" maxValue="78"/>
    </cacheField>
    <cacheField name="TUSD (R$/kW)" numFmtId="40">
      <sharedItems containsSemiMixedTypes="0" containsString="0" containsNumber="1" minValue="0" maxValue="21.6"/>
    </cacheField>
    <cacheField name="TUSD (R$/MWh)" numFmtId="40">
      <sharedItems containsSemiMixedTypes="0" containsString="0" containsNumber="1" minValue="0" maxValue="596.78"/>
    </cacheField>
    <cacheField name="TE (R$/MWh)" numFmtId="40">
      <sharedItems containsSemiMixedTypes="0" containsString="0" containsNumber="1" minValue="0" maxValue="503.82"/>
    </cacheField>
    <cacheField name="TUSD (R$/kW) NOVA" numFmtId="40">
      <sharedItems containsString="0" containsBlank="1" containsNumber="1" minValue="6.8222173943544444" maxValue="26.585784792125558"/>
    </cacheField>
    <cacheField name="TUSD (R$/MWh) NOVA" numFmtId="40">
      <sharedItems containsString="0" containsBlank="1" containsNumber="1" minValue="89.009346396352143" maxValue="754.27013405435684"/>
    </cacheField>
    <cacheField name="TE (R$/MWh) NOVA" numFmtId="40">
      <sharedItems containsString="0" containsBlank="1" containsNumber="1" minValue="86.935731263247902" maxValue="397.1970744485763"/>
    </cacheField>
    <cacheField name="SUBSIDIO kW - TV" numFmtId="40">
      <sharedItems containsSemiMixedTypes="0" containsString="0" containsNumber="1" minValue="0" maxValue="100843.245"/>
    </cacheField>
    <cacheField name="SUBSIDIO MWh - TV" numFmtId="40">
      <sharedItems containsSemiMixedTypes="0" containsString="0" containsNumber="1" minValue="-125.23019000000005" maxValue="130303.26631613201"/>
    </cacheField>
    <cacheField name="SUBSIDIO kW - TN" numFmtId="40">
      <sharedItems containsSemiMixedTypes="0" containsString="0" containsNumber="1" minValue="0" maxValue="159098.86976941099"/>
    </cacheField>
    <cacheField name="SUBSIDIO MWh - TN" numFmtId="40">
      <sharedItems containsSemiMixedTypes="0" containsString="0" containsNumber="1" minValue="-60.828074974289343" maxValue="164690.27472768768"/>
    </cacheField>
    <cacheField name="TIPO" numFmtId="0">
      <sharedItems containsBlank="1" count="7">
        <s v="SUBSIDIO ÁGUA, ESGOTO E SANEAMENTO"/>
        <s v="SUBSIDIO GERAÇÃO FONTE INCENTIVADA"/>
        <s v="SUBSIDIO CARGA FONTE INCENTIVADA"/>
        <s v="SUBSIDIO IRRIGANTE/AQUICULTOR"/>
        <s v="SUBSIDIO RURAL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6.593041435182" createdVersion="5" refreshedVersion="8" minRefreshableVersion="3" recordCount="628" xr:uid="{D481BE02-73BD-4885-8766-1D44B09F6523}">
  <cacheSource type="worksheet">
    <worksheetSource name="Efeito"/>
  </cacheSource>
  <cacheFields count="36">
    <cacheField name="TipoMercado" numFmtId="0">
      <sharedItems/>
    </cacheField>
    <cacheField name="Subgrupo" numFmtId="0">
      <sharedItems count="5">
        <s v="A4"/>
        <s v="B1"/>
        <s v="B2"/>
        <s v="B3"/>
        <s v="B4"/>
      </sharedItems>
    </cacheField>
    <cacheField name="Modalidade" numFmtId="0">
      <sharedItems count="5">
        <s v="Azul"/>
        <s v="Geração"/>
        <s v="Verde"/>
        <s v="Branca"/>
        <s v="Convencional"/>
      </sharedItems>
    </cacheField>
    <cacheField name="Classe" numFmtId="0">
      <sharedItems count="9">
        <s v="Serviço público"/>
        <s v="Não se aplica"/>
        <s v="Comercial"/>
        <s v="Industrial"/>
        <s v="Poder público"/>
        <s v="Rural"/>
        <s v="Residencial"/>
        <s v="Consumo próprio"/>
        <s v="Iluminação pública"/>
      </sharedItems>
    </cacheField>
    <cacheField name="Subclasse" numFmtId="0">
      <sharedItems count="9">
        <s v="Água, esgoto e saneamento"/>
        <s v="Não se aplica"/>
        <s v="Agropecuária rural"/>
        <s v="Residencial"/>
        <s v="Residencial baixa renda – faixa 01"/>
        <s v="Residencial baixa renda – faixa 02"/>
        <s v="Residencial baixa renda – faixa 03"/>
        <s v="Residencial baixa renda – faixa 04"/>
        <s v="Iluminação pública – B4a"/>
      </sharedItems>
    </cacheField>
    <cacheField name="Detalhe" numFmtId="0">
      <sharedItems count="4">
        <s v="Não se aplica"/>
        <s v="Fonte incentivada"/>
        <s v="IRRIG./AQUIC. PR"/>
        <s v="IRRIG./AQUIC."/>
      </sharedItems>
    </cacheField>
    <cacheField name="Agente" numFmtId="0">
      <sharedItems count="3">
        <s v="Não se aplica"/>
        <s v="RIO ALEGRE"/>
        <s v="RIO PALMEIRAS"/>
      </sharedItems>
    </cacheField>
    <cacheField name="Posto" numFmtId="0">
      <sharedItems count="4">
        <s v="Fora ponta"/>
        <s v="Ponta"/>
        <s v="Não se aplica"/>
        <s v="Intermediário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0" maxValue="12381"/>
    </cacheField>
    <cacheField name="Daj" numFmtId="40">
      <sharedItems containsSemiMixedTypes="0" containsString="0" containsNumber="1" minValue="0" maxValue="6190.5"/>
    </cacheField>
    <cacheField name="TUSD_E" numFmtId="40">
      <sharedItems containsSemiMixedTypes="0" containsString="0" containsNumber="1" minValue="-6.55" maxValue="4502.0200000000004"/>
    </cacheField>
    <cacheField name="TUSD_Eaj" numFmtId="40">
      <sharedItems containsSemiMixedTypes="0" containsString="0" containsNumber="1" minValue="-6.55" maxValue="4502.0200000000004"/>
    </cacheField>
    <cacheField name="TE_E" numFmtId="40">
      <sharedItems containsSemiMixedTypes="0" containsString="0" containsNumber="1" minValue="-6.55" maxValue="3819.6080000000002"/>
    </cacheField>
    <cacheField name="TE_Eaj" numFmtId="40">
      <sharedItems containsSemiMixedTypes="0" containsString="0" containsNumber="1" minValue="-6.55" maxValue="3819.6080000000002"/>
    </cacheField>
    <cacheField name="UC" numFmtId="40">
      <sharedItems containsSemiMixedTypes="0" containsString="0" containsNumber="1" containsInteger="1" minValue="0" maxValue="16536"/>
    </cacheField>
    <cacheField name="OPÇÃO" numFmtId="0">
      <sharedItems count="3">
        <s v="CATIVO"/>
        <s v="GERAÇÃO"/>
        <s v="LIVRE"/>
      </sharedItems>
    </cacheField>
    <cacheField name="CóD. AUX." numFmtId="0">
      <sharedItems containsSemiMixedTypes="0" containsString="0" containsNumber="1" containsInteger="1" minValue="0" maxValue="30634"/>
    </cacheField>
    <cacheField name="CóD. AUX. TUSD R$/kW" numFmtId="40">
      <sharedItems containsSemiMixedTypes="0" containsString="0" containsNumber="1" containsInteger="1" minValue="0" maxValue="23"/>
    </cacheField>
    <cacheField name="CóD. AUX. TUSD R$/MWh" numFmtId="40">
      <sharedItems containsSemiMixedTypes="0" containsString="0" containsNumber="1" containsInteger="1" minValue="0" maxValue="74"/>
    </cacheField>
    <cacheField name="CóD. AUX. TE R$/MWh" numFmtId="40">
      <sharedItems containsSemiMixedTypes="0" containsString="0" containsNumber="1" containsInteger="1" minValue="0" maxValue="79"/>
    </cacheField>
    <cacheField name="TUSD (R$/kW)" numFmtId="40">
      <sharedItems containsSemiMixedTypes="0" containsString="0" containsNumber="1" minValue="0" maxValue="20.303999999999998"/>
    </cacheField>
    <cacheField name="TUSD (R$/MWh)" numFmtId="40">
      <sharedItems containsSemiMixedTypes="0" containsString="0" containsNumber="1" minValue="0" maxValue="874.51"/>
    </cacheField>
    <cacheField name="TE (R$/MWh)" numFmtId="40">
      <sharedItems containsSemiMixedTypes="0" containsString="0" containsNumber="1" minValue="0" maxValue="503.82"/>
    </cacheField>
    <cacheField name="TUSD (R$/kW) NOVA" numFmtId="40">
      <sharedItems containsString="0" containsBlank="1" containsNumber="1" minValue="5.5777500232004416" maxValue="21.187811346798188"/>
    </cacheField>
    <cacheField name="TUSD (R$/MWh) NOVA" numFmtId="40">
      <sharedItems containsString="0" containsBlank="1" containsNumber="1" minValue="73.373534858866179" maxValue="824.08652209229831"/>
    </cacheField>
    <cacheField name="TE (R$/MWh) NOVA" numFmtId="40">
      <sharedItems containsString="0" containsBlank="1" containsNumber="1" minValue="86.935731263247902" maxValue="397.1970744485763"/>
    </cacheField>
    <cacheField name="RA0 ou RV - TUSD (kW)" numFmtId="40">
      <sharedItems containsSemiMixedTypes="0" containsString="0" containsNumber="1" minValue="0" maxValue="100843.245"/>
    </cacheField>
    <cacheField name="RA0 ou RV - TUSD (MWh)" numFmtId="40">
      <sharedItems containsSemiMixedTypes="0" containsString="0" containsNumber="1" minValue="-2141.7190000000001" maxValue="1248935.4238400001"/>
    </cacheField>
    <cacheField name="RA0 ou RV - TE (MWh)" numFmtId="40">
      <sharedItems containsSemiMixedTypes="0" containsString="0" containsNumber="1" minValue="-2060.1059999999998" maxValue="1201343.1081600001"/>
    </cacheField>
    <cacheField name="RA1 ou RRD - TUSD (kW)" numFmtId="40">
      <sharedItems containsSemiMixedTypes="0" containsString="0" containsNumber="1" minValue="0" maxValue="130694.0928833119"/>
    </cacheField>
    <cacheField name="RA1 ou RRD - TUSD (MWh)" numFmtId="40">
      <sharedItems containsSemiMixedTypes="0" containsString="0" containsNumber="1" minValue="-2034.1805045966642" maxValue="1186224.7524887719"/>
    </cacheField>
    <cacheField name="RA1 ou RRD - TE (MWh)" numFmtId="40">
      <sharedItems containsSemiMixedTypes="0" containsString="0" containsNumber="1" minValue="-1626.9401136407821" maxValue="948744.04176843376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3">
  <r>
    <s v="Regular"/>
    <x v="0"/>
    <x v="0"/>
    <x v="0"/>
    <x v="0"/>
    <x v="0"/>
    <x v="0"/>
    <x v="0"/>
    <x v="0"/>
    <n v="245"/>
    <n v="208.25"/>
    <n v="105.798"/>
    <n v="99.450119999999998"/>
    <n v="105.798"/>
    <n v="99.450119999999998"/>
    <n v="0"/>
    <s v="CATIVO"/>
    <n v="0"/>
    <n v="23"/>
    <n v="11"/>
    <n v="78"/>
    <n v="16.29"/>
    <n v="71.260000000000005"/>
    <n v="297.31"/>
    <n v="25.700487807028669"/>
    <n v="110.20411135647974"/>
    <n v="234.85968807843457"/>
    <n v="598.65749999999991"/>
    <n v="2339.6381316000015"/>
    <n v="944.49292690830362"/>
    <n v="2190.4235911569049"/>
    <x v="0"/>
  </r>
  <r>
    <s v="Regular"/>
    <x v="0"/>
    <x v="0"/>
    <x v="0"/>
    <x v="0"/>
    <x v="0"/>
    <x v="0"/>
    <x v="0"/>
    <x v="1"/>
    <n v="245"/>
    <n v="208.25"/>
    <n v="117.194"/>
    <n v="110.16236000000001"/>
    <n v="117.194"/>
    <n v="110.16236000000001"/>
    <n v="0"/>
    <s v="CATIVO"/>
    <n v="0"/>
    <n v="23"/>
    <n v="11"/>
    <n v="78"/>
    <n v="16.29"/>
    <n v="71.260000000000005"/>
    <n v="297.31"/>
    <n v="25.700487807028669"/>
    <n v="110.20411135647974"/>
    <n v="234.85968807843457"/>
    <n v="598.65749999999991"/>
    <n v="2591.6515547999988"/>
    <n v="944.49292690830362"/>
    <n v="2426.3644146585193"/>
    <x v="0"/>
  </r>
  <r>
    <s v="Regular"/>
    <x v="0"/>
    <x v="0"/>
    <x v="0"/>
    <x v="0"/>
    <x v="0"/>
    <x v="0"/>
    <x v="0"/>
    <x v="2"/>
    <n v="245"/>
    <n v="208.25"/>
    <n v="97.938999999999993"/>
    <n v="92.062659999999994"/>
    <n v="97.938999999999993"/>
    <n v="92.062659999999994"/>
    <n v="0"/>
    <s v="CATIVO"/>
    <n v="0"/>
    <n v="23"/>
    <n v="11"/>
    <n v="78"/>
    <n v="16.29"/>
    <n v="71.260000000000005"/>
    <n v="297.31"/>
    <n v="25.700487807028669"/>
    <n v="110.20411135647974"/>
    <n v="234.85968807843457"/>
    <n v="598.65749999999991"/>
    <n v="2165.8426337999999"/>
    <n v="944.49292690830362"/>
    <n v="2027.7122071713641"/>
    <x v="0"/>
  </r>
  <r>
    <s v="Regular"/>
    <x v="0"/>
    <x v="0"/>
    <x v="0"/>
    <x v="0"/>
    <x v="0"/>
    <x v="0"/>
    <x v="0"/>
    <x v="3"/>
    <n v="245"/>
    <n v="208.25"/>
    <n v="100.089"/>
    <n v="94.083659999999995"/>
    <n v="100.089"/>
    <n v="94.083659999999995"/>
    <n v="0"/>
    <s v="CATIVO"/>
    <n v="0"/>
    <n v="23"/>
    <n v="11"/>
    <n v="78"/>
    <n v="16.29"/>
    <n v="71.260000000000005"/>
    <n v="297.31"/>
    <n v="25.700487807028669"/>
    <n v="110.20411135647974"/>
    <n v="234.85968807843457"/>
    <n v="598.65749999999991"/>
    <n v="2213.3881638000016"/>
    <n v="944.49292690830362"/>
    <n v="2072.2254372984698"/>
    <x v="0"/>
  </r>
  <r>
    <s v="Regular"/>
    <x v="0"/>
    <x v="0"/>
    <x v="0"/>
    <x v="0"/>
    <x v="0"/>
    <x v="0"/>
    <x v="0"/>
    <x v="4"/>
    <n v="245"/>
    <n v="208.25"/>
    <n v="111.02800000000001"/>
    <n v="104.36632"/>
    <n v="111.02800000000001"/>
    <n v="104.36632"/>
    <n v="0"/>
    <s v="CATIVO"/>
    <n v="0"/>
    <n v="23"/>
    <n v="11"/>
    <n v="78"/>
    <n v="16.29"/>
    <n v="71.260000000000005"/>
    <n v="297.31"/>
    <n v="25.700487807028669"/>
    <n v="110.20411135647974"/>
    <n v="234.85968807843457"/>
    <n v="598.65749999999991"/>
    <n v="2455.2953976000017"/>
    <n v="944.49292690830362"/>
    <n v="2298.7046114195814"/>
    <x v="0"/>
  </r>
  <r>
    <s v="Regular"/>
    <x v="0"/>
    <x v="0"/>
    <x v="0"/>
    <x v="0"/>
    <x v="0"/>
    <x v="0"/>
    <x v="0"/>
    <x v="5"/>
    <n v="245"/>
    <n v="208.25"/>
    <n v="113.598"/>
    <n v="106.78212000000001"/>
    <n v="113.598"/>
    <n v="106.78212000000001"/>
    <n v="0"/>
    <s v="CATIVO"/>
    <n v="0"/>
    <n v="23"/>
    <n v="11"/>
    <n v="78"/>
    <n v="16.29"/>
    <n v="71.260000000000005"/>
    <n v="297.31"/>
    <n v="25.700487807028669"/>
    <n v="110.20411135647974"/>
    <n v="234.85968807843457"/>
    <n v="598.65749999999991"/>
    <n v="2512.1288915999976"/>
    <n v="944.49292690830362"/>
    <n v="2351.9134492924413"/>
    <x v="0"/>
  </r>
  <r>
    <s v="Regular"/>
    <x v="0"/>
    <x v="0"/>
    <x v="0"/>
    <x v="0"/>
    <x v="0"/>
    <x v="0"/>
    <x v="0"/>
    <x v="6"/>
    <n v="245"/>
    <n v="208.25"/>
    <n v="114.22799999999999"/>
    <n v="107.37432"/>
    <n v="114.22799999999999"/>
    <n v="107.37432"/>
    <n v="0"/>
    <s v="CATIVO"/>
    <n v="0"/>
    <n v="23"/>
    <n v="11"/>
    <n v="78"/>
    <n v="16.29"/>
    <n v="71.260000000000005"/>
    <n v="297.31"/>
    <n v="25.700487807028669"/>
    <n v="110.20411135647974"/>
    <n v="234.85968807843457"/>
    <n v="598.65749999999991"/>
    <n v="2526.0608375999991"/>
    <n v="944.49292690830362"/>
    <n v="2364.9568609110825"/>
    <x v="0"/>
  </r>
  <r>
    <s v="Regular"/>
    <x v="0"/>
    <x v="0"/>
    <x v="0"/>
    <x v="0"/>
    <x v="0"/>
    <x v="0"/>
    <x v="0"/>
    <x v="7"/>
    <n v="245"/>
    <n v="208.25"/>
    <n v="103.28400000000001"/>
    <n v="97.086960000000005"/>
    <n v="103.28400000000001"/>
    <n v="97.086960000000005"/>
    <n v="0"/>
    <s v="CATIVO"/>
    <n v="0"/>
    <n v="23"/>
    <n v="11"/>
    <n v="78"/>
    <n v="16.29"/>
    <n v="71.260000000000005"/>
    <n v="297.31"/>
    <n v="25.700487807028669"/>
    <n v="110.20411135647974"/>
    <n v="234.85968807843457"/>
    <n v="598.65749999999991"/>
    <n v="2284.0430328000007"/>
    <n v="944.49292690830362"/>
    <n v="2138.3741676501418"/>
    <x v="0"/>
  </r>
  <r>
    <s v="Regular"/>
    <x v="0"/>
    <x v="0"/>
    <x v="0"/>
    <x v="0"/>
    <x v="0"/>
    <x v="0"/>
    <x v="0"/>
    <x v="8"/>
    <n v="245"/>
    <n v="208.25"/>
    <n v="114.107"/>
    <n v="107.26058"/>
    <n v="114.107"/>
    <n v="107.26058"/>
    <n v="0"/>
    <s v="CATIVO"/>
    <n v="0"/>
    <n v="23"/>
    <n v="11"/>
    <n v="78"/>
    <n v="16.29"/>
    <n v="71.260000000000005"/>
    <n v="297.31"/>
    <n v="25.700487807028669"/>
    <n v="110.20411135647974"/>
    <n v="234.85968807843457"/>
    <n v="598.65749999999991"/>
    <n v="2523.3850193999983"/>
    <n v="944.49292690830362"/>
    <n v="2362.4516977271842"/>
    <x v="0"/>
  </r>
  <r>
    <s v="Regular"/>
    <x v="0"/>
    <x v="0"/>
    <x v="0"/>
    <x v="0"/>
    <x v="0"/>
    <x v="0"/>
    <x v="0"/>
    <x v="9"/>
    <n v="245"/>
    <n v="208.25"/>
    <n v="111.289"/>
    <n v="104.61166"/>
    <n v="111.289"/>
    <n v="104.61166"/>
    <n v="0"/>
    <s v="CATIVO"/>
    <n v="0"/>
    <n v="23"/>
    <n v="11"/>
    <n v="78"/>
    <n v="16.29"/>
    <n v="71.260000000000005"/>
    <n v="297.31"/>
    <n v="25.700487807028669"/>
    <n v="110.20411135647974"/>
    <n v="234.85968807843457"/>
    <n v="598.65749999999991"/>
    <n v="2461.0672038000002"/>
    <n v="944.49292690830362"/>
    <n v="2304.1083105187308"/>
    <x v="0"/>
  </r>
  <r>
    <s v="Regular"/>
    <x v="0"/>
    <x v="0"/>
    <x v="0"/>
    <x v="0"/>
    <x v="0"/>
    <x v="0"/>
    <x v="0"/>
    <x v="10"/>
    <n v="245"/>
    <n v="208.25"/>
    <n v="104.895"/>
    <n v="98.601299999999995"/>
    <n v="104.895"/>
    <n v="98.601299999999995"/>
    <n v="0"/>
    <s v="CATIVO"/>
    <n v="0"/>
    <n v="23"/>
    <n v="11"/>
    <n v="78"/>
    <n v="16.29"/>
    <n v="71.260000000000005"/>
    <n v="297.31"/>
    <n v="25.700487807028669"/>
    <n v="110.20411135647974"/>
    <n v="234.85968807843457"/>
    <n v="598.65749999999991"/>
    <n v="2319.6690090000002"/>
    <n v="944.49292690830362"/>
    <n v="2171.7280345035206"/>
    <x v="0"/>
  </r>
  <r>
    <s v="PROJETADO"/>
    <x v="0"/>
    <x v="0"/>
    <x v="0"/>
    <x v="0"/>
    <x v="0"/>
    <x v="0"/>
    <x v="0"/>
    <x v="11"/>
    <n v="245"/>
    <n v="208.25"/>
    <n v="104.895"/>
    <n v="98.601299999999995"/>
    <n v="104.895"/>
    <n v="98.601299999999995"/>
    <n v="0"/>
    <s v="CATIVO"/>
    <n v="0"/>
    <n v="23"/>
    <n v="11"/>
    <n v="78"/>
    <n v="16.29"/>
    <n v="71.260000000000005"/>
    <n v="297.31"/>
    <n v="25.700487807028669"/>
    <n v="110.20411135647974"/>
    <n v="234.85968807843457"/>
    <n v="598.65749999999991"/>
    <n v="2319.6690090000002"/>
    <n v="944.49292690830362"/>
    <n v="2171.7280345035206"/>
    <x v="0"/>
  </r>
  <r>
    <s v="Regular"/>
    <x v="0"/>
    <x v="0"/>
    <x v="0"/>
    <x v="0"/>
    <x v="0"/>
    <x v="0"/>
    <x v="1"/>
    <x v="0"/>
    <n v="245"/>
    <n v="208.25"/>
    <n v="10.843"/>
    <n v="10.19242"/>
    <n v="10.843"/>
    <n v="10.19242"/>
    <n v="0"/>
    <s v="CATIVO"/>
    <n v="0"/>
    <n v="1"/>
    <n v="11"/>
    <n v="66"/>
    <n v="21.6"/>
    <n v="71.260000000000005"/>
    <n v="503.82"/>
    <n v="26.585784792125558"/>
    <n v="110.20411135647974"/>
    <n v="397.1970744485763"/>
    <n v="793.80000000000007"/>
    <n v="374.13554639999984"/>
    <n v="977.02759111061425"/>
    <n v="330.10506346105319"/>
    <x v="0"/>
  </r>
  <r>
    <s v="Regular"/>
    <x v="0"/>
    <x v="0"/>
    <x v="0"/>
    <x v="0"/>
    <x v="0"/>
    <x v="0"/>
    <x v="1"/>
    <x v="1"/>
    <n v="245"/>
    <n v="208.25"/>
    <n v="11.622999999999999"/>
    <n v="10.92562"/>
    <n v="11.622999999999999"/>
    <n v="10.92562"/>
    <n v="0"/>
    <s v="CATIVO"/>
    <n v="0"/>
    <n v="1"/>
    <n v="11"/>
    <n v="66"/>
    <n v="21.6"/>
    <n v="71.260000000000005"/>
    <n v="503.82"/>
    <n v="26.585784792125558"/>
    <n v="110.20411135647974"/>
    <n v="397.1970744485763"/>
    <n v="793.80000000000007"/>
    <n v="401.04929039999945"/>
    <n v="977.02759111061425"/>
    <n v="353.85143895672945"/>
    <x v="0"/>
  </r>
  <r>
    <s v="Regular"/>
    <x v="0"/>
    <x v="0"/>
    <x v="0"/>
    <x v="0"/>
    <x v="0"/>
    <x v="0"/>
    <x v="1"/>
    <x v="2"/>
    <n v="245"/>
    <n v="208.25"/>
    <n v="11.743"/>
    <n v="11.03842"/>
    <n v="11.743"/>
    <n v="11.03842"/>
    <n v="0"/>
    <s v="CATIVO"/>
    <n v="0"/>
    <n v="1"/>
    <n v="11"/>
    <n v="66"/>
    <n v="21.6"/>
    <n v="71.260000000000005"/>
    <n v="503.82"/>
    <n v="26.585784792125558"/>
    <n v="110.20411135647974"/>
    <n v="397.1970744485763"/>
    <n v="793.80000000000007"/>
    <n v="405.18986639999997"/>
    <n v="977.02759111061425"/>
    <n v="357.50472749452638"/>
    <x v="0"/>
  </r>
  <r>
    <s v="Regular"/>
    <x v="0"/>
    <x v="0"/>
    <x v="0"/>
    <x v="0"/>
    <x v="0"/>
    <x v="0"/>
    <x v="1"/>
    <x v="3"/>
    <n v="245"/>
    <n v="208.25"/>
    <n v="10.788"/>
    <n v="10.14072"/>
    <n v="10.788"/>
    <n v="10.14072"/>
    <n v="0"/>
    <s v="CATIVO"/>
    <n v="0"/>
    <n v="1"/>
    <n v="11"/>
    <n v="66"/>
    <n v="21.6"/>
    <n v="71.260000000000005"/>
    <n v="503.82"/>
    <n v="26.585784792125558"/>
    <n v="110.20411135647974"/>
    <n v="397.1970744485763"/>
    <n v="793.80000000000007"/>
    <n v="372.23778240000019"/>
    <n v="977.02759111061425"/>
    <n v="328.43063954789687"/>
    <x v="0"/>
  </r>
  <r>
    <s v="Regular"/>
    <x v="0"/>
    <x v="0"/>
    <x v="0"/>
    <x v="0"/>
    <x v="0"/>
    <x v="0"/>
    <x v="1"/>
    <x v="4"/>
    <n v="245"/>
    <n v="208.25"/>
    <n v="11.489000000000001"/>
    <n v="10.799659999999999"/>
    <n v="11.489000000000001"/>
    <n v="10.799659999999999"/>
    <n v="0"/>
    <s v="CATIVO"/>
    <n v="0"/>
    <n v="1"/>
    <n v="11"/>
    <n v="66"/>
    <n v="21.6"/>
    <n v="71.260000000000005"/>
    <n v="503.82"/>
    <n v="26.585784792125558"/>
    <n v="110.20411135647974"/>
    <n v="397.1970744485763"/>
    <n v="793.80000000000007"/>
    <n v="396.42564720000081"/>
    <n v="977.02759111061425"/>
    <n v="349.77193342285801"/>
    <x v="0"/>
  </r>
  <r>
    <s v="Regular"/>
    <x v="0"/>
    <x v="0"/>
    <x v="0"/>
    <x v="0"/>
    <x v="0"/>
    <x v="0"/>
    <x v="1"/>
    <x v="5"/>
    <n v="245"/>
    <n v="208.25"/>
    <n v="12.214"/>
    <n v="11.481159999999999"/>
    <n v="12.214"/>
    <n v="11.481159999999999"/>
    <n v="0"/>
    <s v="CATIVO"/>
    <n v="0"/>
    <n v="1"/>
    <n v="11"/>
    <n v="66"/>
    <n v="21.6"/>
    <n v="71.260000000000005"/>
    <n v="503.82"/>
    <n v="26.585784792125558"/>
    <n v="110.20411135647974"/>
    <n v="397.1970744485763"/>
    <n v="793.80000000000007"/>
    <n v="421.44162720000071"/>
    <n v="977.02759111061425"/>
    <n v="371.84388500537796"/>
    <x v="0"/>
  </r>
  <r>
    <s v="Regular"/>
    <x v="0"/>
    <x v="0"/>
    <x v="0"/>
    <x v="0"/>
    <x v="0"/>
    <x v="0"/>
    <x v="1"/>
    <x v="6"/>
    <n v="245"/>
    <n v="208.25"/>
    <n v="11.095000000000001"/>
    <n v="10.4293"/>
    <n v="11.095000000000001"/>
    <n v="10.4293"/>
    <n v="0"/>
    <s v="CATIVO"/>
    <n v="0"/>
    <n v="1"/>
    <n v="11"/>
    <n v="66"/>
    <n v="21.6"/>
    <n v="71.260000000000005"/>
    <n v="503.82"/>
    <n v="26.585784792125558"/>
    <n v="110.20411135647974"/>
    <n v="397.1970744485763"/>
    <n v="793.80000000000007"/>
    <n v="382.83075600000063"/>
    <n v="977.02759111061425"/>
    <n v="337.77696939042636"/>
    <x v="0"/>
  </r>
  <r>
    <s v="Regular"/>
    <x v="0"/>
    <x v="0"/>
    <x v="0"/>
    <x v="0"/>
    <x v="0"/>
    <x v="0"/>
    <x v="1"/>
    <x v="7"/>
    <n v="245"/>
    <n v="208.25"/>
    <n v="10.555"/>
    <n v="9.9216999999999995"/>
    <n v="10.555"/>
    <n v="9.9216999999999995"/>
    <n v="0"/>
    <s v="CATIVO"/>
    <n v="0"/>
    <n v="1"/>
    <n v="11"/>
    <n v="66"/>
    <n v="21.6"/>
    <n v="71.260000000000005"/>
    <n v="503.82"/>
    <n v="26.585784792125558"/>
    <n v="110.20411135647974"/>
    <n v="397.1970744485763"/>
    <n v="793.80000000000007"/>
    <n v="364.19816400000013"/>
    <n v="977.02759111061425"/>
    <n v="321.33717097034207"/>
    <x v="0"/>
  </r>
  <r>
    <s v="Regular"/>
    <x v="0"/>
    <x v="0"/>
    <x v="0"/>
    <x v="0"/>
    <x v="0"/>
    <x v="0"/>
    <x v="1"/>
    <x v="8"/>
    <n v="245"/>
    <n v="208.25"/>
    <n v="12.113"/>
    <n v="11.38622"/>
    <n v="12.113"/>
    <n v="11.38622"/>
    <n v="0"/>
    <s v="CATIVO"/>
    <n v="0"/>
    <n v="1"/>
    <n v="11"/>
    <n v="66"/>
    <n v="21.6"/>
    <n v="71.260000000000005"/>
    <n v="503.82"/>
    <n v="26.585784792125558"/>
    <n v="110.20411135647974"/>
    <n v="397.1970744485763"/>
    <n v="793.80000000000007"/>
    <n v="417.95664239999985"/>
    <n v="977.02759111061425"/>
    <n v="368.76903381939854"/>
    <x v="0"/>
  </r>
  <r>
    <s v="Regular"/>
    <x v="0"/>
    <x v="0"/>
    <x v="0"/>
    <x v="0"/>
    <x v="0"/>
    <x v="0"/>
    <x v="1"/>
    <x v="9"/>
    <n v="245"/>
    <n v="208.25"/>
    <n v="9.4809999999999999"/>
    <n v="8.9121400000000008"/>
    <n v="9.4809999999999999"/>
    <n v="8.9121400000000008"/>
    <n v="0"/>
    <s v="CATIVO"/>
    <n v="0"/>
    <n v="1"/>
    <n v="11"/>
    <n v="66"/>
    <n v="21.6"/>
    <n v="71.260000000000005"/>
    <n v="503.82"/>
    <n v="26.585784792125558"/>
    <n v="110.20411135647974"/>
    <n v="397.1970744485763"/>
    <n v="793.80000000000007"/>
    <n v="327.14000879999941"/>
    <n v="977.02759111061425"/>
    <n v="288.6402385570637"/>
    <x v="0"/>
  </r>
  <r>
    <s v="Regular"/>
    <x v="0"/>
    <x v="0"/>
    <x v="0"/>
    <x v="0"/>
    <x v="0"/>
    <x v="0"/>
    <x v="1"/>
    <x v="10"/>
    <n v="245"/>
    <n v="208.25"/>
    <n v="11.755000000000001"/>
    <n v="11.0497"/>
    <n v="11.755000000000001"/>
    <n v="11.0497"/>
    <n v="0"/>
    <s v="CATIVO"/>
    <n v="0"/>
    <n v="1"/>
    <n v="11"/>
    <n v="66"/>
    <n v="21.6"/>
    <n v="71.260000000000005"/>
    <n v="503.82"/>
    <n v="26.585784792125558"/>
    <n v="110.20411135647974"/>
    <n v="397.1970744485763"/>
    <n v="793.80000000000007"/>
    <n v="405.60392400000063"/>
    <n v="977.02759111061425"/>
    <n v="357.87005634830666"/>
    <x v="0"/>
  </r>
  <r>
    <s v="PROJETADO"/>
    <x v="0"/>
    <x v="0"/>
    <x v="0"/>
    <x v="0"/>
    <x v="0"/>
    <x v="0"/>
    <x v="1"/>
    <x v="11"/>
    <n v="245"/>
    <n v="208.25"/>
    <n v="11.755000000000001"/>
    <n v="11.0497"/>
    <n v="11.755000000000001"/>
    <n v="11.0497"/>
    <n v="0"/>
    <s v="CATIVO"/>
    <n v="0"/>
    <n v="1"/>
    <n v="11"/>
    <n v="66"/>
    <n v="21.6"/>
    <n v="71.260000000000005"/>
    <n v="503.82"/>
    <n v="26.585784792125558"/>
    <n v="110.20411135647974"/>
    <n v="397.1970744485763"/>
    <n v="793.80000000000007"/>
    <n v="405.60392400000063"/>
    <n v="977.02759111061425"/>
    <n v="357.87005634830666"/>
    <x v="0"/>
  </r>
  <r>
    <s v="Regular"/>
    <x v="0"/>
    <x v="1"/>
    <x v="1"/>
    <x v="1"/>
    <x v="0"/>
    <x v="1"/>
    <x v="2"/>
    <x v="0"/>
    <n v="900"/>
    <n v="450"/>
    <n v="0"/>
    <n v="0"/>
    <n v="0"/>
    <n v="0"/>
    <n v="0"/>
    <s v="GERAÇÃO"/>
    <n v="30634"/>
    <n v="5"/>
    <n v="0"/>
    <n v="0"/>
    <n v="5.65"/>
    <n v="0"/>
    <n v="0"/>
    <n v="6.8222173943544444"/>
    <m/>
    <m/>
    <n v="2542.5"/>
    <n v="0"/>
    <n v="3069.9978274595001"/>
    <n v="0"/>
    <x v="1"/>
  </r>
  <r>
    <s v="Regular"/>
    <x v="0"/>
    <x v="1"/>
    <x v="1"/>
    <x v="1"/>
    <x v="0"/>
    <x v="2"/>
    <x v="2"/>
    <x v="0"/>
    <n v="780"/>
    <n v="390"/>
    <n v="0"/>
    <n v="0"/>
    <n v="0"/>
    <n v="0"/>
    <n v="0"/>
    <s v="GERAÇÃO"/>
    <n v="2430"/>
    <n v="5"/>
    <n v="0"/>
    <n v="0"/>
    <n v="5.65"/>
    <n v="0"/>
    <n v="0"/>
    <n v="6.8222173943544444"/>
    <m/>
    <m/>
    <n v="2203.5"/>
    <n v="0"/>
    <n v="2660.6647837982332"/>
    <n v="0"/>
    <x v="1"/>
  </r>
  <r>
    <s v="Regular"/>
    <x v="0"/>
    <x v="1"/>
    <x v="1"/>
    <x v="1"/>
    <x v="0"/>
    <x v="1"/>
    <x v="2"/>
    <x v="1"/>
    <n v="900"/>
    <n v="450"/>
    <n v="0"/>
    <n v="0"/>
    <n v="0"/>
    <n v="0"/>
    <n v="0"/>
    <s v="GERAÇÃO"/>
    <n v="30634"/>
    <n v="5"/>
    <n v="0"/>
    <n v="0"/>
    <n v="5.65"/>
    <n v="0"/>
    <n v="0"/>
    <n v="6.8222173943544444"/>
    <m/>
    <m/>
    <n v="2542.5"/>
    <n v="0"/>
    <n v="3069.9978274595001"/>
    <n v="0"/>
    <x v="1"/>
  </r>
  <r>
    <s v="Regular"/>
    <x v="0"/>
    <x v="1"/>
    <x v="1"/>
    <x v="1"/>
    <x v="0"/>
    <x v="2"/>
    <x v="2"/>
    <x v="1"/>
    <n v="780"/>
    <n v="390"/>
    <n v="0"/>
    <n v="0"/>
    <n v="0"/>
    <n v="0"/>
    <n v="0"/>
    <s v="GERAÇÃO"/>
    <n v="2430"/>
    <n v="5"/>
    <n v="0"/>
    <n v="0"/>
    <n v="5.65"/>
    <n v="0"/>
    <n v="0"/>
    <n v="6.8222173943544444"/>
    <m/>
    <m/>
    <n v="2203.5"/>
    <n v="0"/>
    <n v="2660.6647837982332"/>
    <n v="0"/>
    <x v="1"/>
  </r>
  <r>
    <s v="Regular"/>
    <x v="0"/>
    <x v="1"/>
    <x v="1"/>
    <x v="1"/>
    <x v="0"/>
    <x v="1"/>
    <x v="2"/>
    <x v="2"/>
    <n v="961"/>
    <n v="480.5"/>
    <n v="0"/>
    <n v="0"/>
    <n v="0"/>
    <n v="0"/>
    <n v="0"/>
    <s v="GERAÇÃO"/>
    <n v="30634"/>
    <n v="5"/>
    <n v="0"/>
    <n v="0"/>
    <n v="5.65"/>
    <n v="0"/>
    <n v="0"/>
    <n v="6.8222173943544444"/>
    <m/>
    <m/>
    <n v="2714.8250000000003"/>
    <n v="0"/>
    <n v="3278.0754579873105"/>
    <n v="0"/>
    <x v="1"/>
  </r>
  <r>
    <s v="Regular"/>
    <x v="0"/>
    <x v="1"/>
    <x v="1"/>
    <x v="1"/>
    <x v="0"/>
    <x v="2"/>
    <x v="2"/>
    <x v="2"/>
    <n v="780"/>
    <n v="390"/>
    <n v="0"/>
    <n v="0"/>
    <n v="0"/>
    <n v="0"/>
    <n v="0"/>
    <s v="GERAÇÃO"/>
    <n v="2430"/>
    <n v="5"/>
    <n v="0"/>
    <n v="0"/>
    <n v="5.65"/>
    <n v="0"/>
    <n v="0"/>
    <n v="6.8222173943544444"/>
    <m/>
    <m/>
    <n v="2203.5"/>
    <n v="0"/>
    <n v="2660.6647837982332"/>
    <n v="0"/>
    <x v="1"/>
  </r>
  <r>
    <s v="Regular"/>
    <x v="0"/>
    <x v="1"/>
    <x v="1"/>
    <x v="1"/>
    <x v="0"/>
    <x v="1"/>
    <x v="2"/>
    <x v="3"/>
    <n v="963"/>
    <n v="481.5"/>
    <n v="0"/>
    <n v="0"/>
    <n v="0"/>
    <n v="0"/>
    <n v="0"/>
    <s v="GERAÇÃO"/>
    <n v="30634"/>
    <n v="5"/>
    <n v="0"/>
    <n v="0"/>
    <n v="5.65"/>
    <n v="0"/>
    <n v="0"/>
    <n v="6.8222173943544444"/>
    <m/>
    <m/>
    <n v="2720.4750000000004"/>
    <n v="0"/>
    <n v="3284.8976753816651"/>
    <n v="0"/>
    <x v="1"/>
  </r>
  <r>
    <s v="Regular"/>
    <x v="0"/>
    <x v="1"/>
    <x v="1"/>
    <x v="1"/>
    <x v="0"/>
    <x v="2"/>
    <x v="2"/>
    <x v="3"/>
    <n v="780"/>
    <n v="390"/>
    <n v="0"/>
    <n v="0"/>
    <n v="0"/>
    <n v="0"/>
    <n v="0"/>
    <s v="GERAÇÃO"/>
    <n v="2430"/>
    <n v="5"/>
    <n v="0"/>
    <n v="0"/>
    <n v="5.65"/>
    <n v="0"/>
    <n v="0"/>
    <n v="6.8222173943544444"/>
    <m/>
    <m/>
    <n v="2203.5"/>
    <n v="0"/>
    <n v="2660.6647837982332"/>
    <n v="0"/>
    <x v="1"/>
  </r>
  <r>
    <s v="Regular"/>
    <x v="0"/>
    <x v="1"/>
    <x v="1"/>
    <x v="1"/>
    <x v="0"/>
    <x v="1"/>
    <x v="2"/>
    <x v="4"/>
    <n v="952"/>
    <n v="476"/>
    <n v="0"/>
    <n v="0"/>
    <n v="0"/>
    <n v="0"/>
    <n v="0"/>
    <s v="GERAÇÃO"/>
    <n v="30634"/>
    <n v="5"/>
    <n v="0"/>
    <n v="0"/>
    <n v="5.65"/>
    <n v="0"/>
    <n v="0"/>
    <n v="6.8222173943544444"/>
    <m/>
    <m/>
    <n v="2689.4"/>
    <n v="0"/>
    <n v="3247.3754797127153"/>
    <n v="0"/>
    <x v="1"/>
  </r>
  <r>
    <s v="Regular"/>
    <x v="0"/>
    <x v="1"/>
    <x v="1"/>
    <x v="1"/>
    <x v="0"/>
    <x v="2"/>
    <x v="2"/>
    <x v="4"/>
    <n v="780"/>
    <n v="390"/>
    <n v="0"/>
    <n v="0"/>
    <n v="0"/>
    <n v="0"/>
    <n v="0"/>
    <s v="GERAÇÃO"/>
    <n v="2430"/>
    <n v="5"/>
    <n v="0"/>
    <n v="0"/>
    <n v="5.65"/>
    <n v="0"/>
    <n v="0"/>
    <n v="6.8222173943544444"/>
    <m/>
    <m/>
    <n v="2203.5"/>
    <n v="0"/>
    <n v="2660.6647837982332"/>
    <n v="0"/>
    <x v="1"/>
  </r>
  <r>
    <s v="Regular"/>
    <x v="0"/>
    <x v="1"/>
    <x v="1"/>
    <x v="1"/>
    <x v="0"/>
    <x v="1"/>
    <x v="2"/>
    <x v="5"/>
    <n v="900"/>
    <n v="450"/>
    <n v="0"/>
    <n v="0"/>
    <n v="0"/>
    <n v="0"/>
    <n v="0"/>
    <s v="GERAÇÃO"/>
    <n v="30634"/>
    <n v="5"/>
    <n v="0"/>
    <n v="0"/>
    <n v="5.65"/>
    <n v="0"/>
    <n v="0"/>
    <n v="6.8222173943544444"/>
    <m/>
    <m/>
    <n v="2542.5"/>
    <n v="0"/>
    <n v="3069.9978274595001"/>
    <n v="0"/>
    <x v="1"/>
  </r>
  <r>
    <s v="Regular"/>
    <x v="0"/>
    <x v="1"/>
    <x v="1"/>
    <x v="1"/>
    <x v="0"/>
    <x v="2"/>
    <x v="2"/>
    <x v="5"/>
    <n v="780"/>
    <n v="390"/>
    <n v="0"/>
    <n v="0"/>
    <n v="0"/>
    <n v="0"/>
    <n v="0"/>
    <s v="GERAÇÃO"/>
    <n v="2430"/>
    <n v="5"/>
    <n v="0"/>
    <n v="0"/>
    <n v="5.65"/>
    <n v="0"/>
    <n v="0"/>
    <n v="6.8222173943544444"/>
    <m/>
    <m/>
    <n v="2203.5"/>
    <n v="0"/>
    <n v="2660.6647837982332"/>
    <n v="0"/>
    <x v="1"/>
  </r>
  <r>
    <s v="Regular"/>
    <x v="0"/>
    <x v="1"/>
    <x v="1"/>
    <x v="1"/>
    <x v="0"/>
    <x v="1"/>
    <x v="2"/>
    <x v="6"/>
    <n v="900"/>
    <n v="450"/>
    <n v="0"/>
    <n v="0"/>
    <n v="0"/>
    <n v="0"/>
    <n v="0"/>
    <s v="GERAÇÃO"/>
    <n v="30634"/>
    <n v="5"/>
    <n v="0"/>
    <n v="0"/>
    <n v="5.65"/>
    <n v="0"/>
    <n v="0"/>
    <n v="6.8222173943544444"/>
    <m/>
    <m/>
    <n v="2542.5"/>
    <n v="0"/>
    <n v="3069.9978274595001"/>
    <n v="0"/>
    <x v="1"/>
  </r>
  <r>
    <s v="Regular"/>
    <x v="0"/>
    <x v="1"/>
    <x v="1"/>
    <x v="1"/>
    <x v="0"/>
    <x v="2"/>
    <x v="2"/>
    <x v="6"/>
    <n v="780"/>
    <n v="390"/>
    <n v="0"/>
    <n v="0"/>
    <n v="0"/>
    <n v="0"/>
    <n v="0"/>
    <s v="GERAÇÃO"/>
    <n v="2430"/>
    <n v="5"/>
    <n v="0"/>
    <n v="0"/>
    <n v="5.65"/>
    <n v="0"/>
    <n v="0"/>
    <n v="6.8222173943544444"/>
    <m/>
    <m/>
    <n v="2203.5"/>
    <n v="0"/>
    <n v="2660.6647837982332"/>
    <n v="0"/>
    <x v="1"/>
  </r>
  <r>
    <s v="Regular"/>
    <x v="0"/>
    <x v="1"/>
    <x v="1"/>
    <x v="1"/>
    <x v="0"/>
    <x v="1"/>
    <x v="2"/>
    <x v="7"/>
    <n v="900"/>
    <n v="450"/>
    <n v="0"/>
    <n v="0"/>
    <n v="0"/>
    <n v="0"/>
    <n v="0"/>
    <s v="GERAÇÃO"/>
    <n v="30634"/>
    <n v="5"/>
    <n v="0"/>
    <n v="0"/>
    <n v="5.65"/>
    <n v="0"/>
    <n v="0"/>
    <n v="6.8222173943544444"/>
    <m/>
    <m/>
    <n v="2542.5"/>
    <n v="0"/>
    <n v="3069.9978274595001"/>
    <n v="0"/>
    <x v="1"/>
  </r>
  <r>
    <s v="Regular"/>
    <x v="0"/>
    <x v="1"/>
    <x v="1"/>
    <x v="1"/>
    <x v="0"/>
    <x v="2"/>
    <x v="2"/>
    <x v="7"/>
    <n v="780"/>
    <n v="390"/>
    <n v="0"/>
    <n v="0"/>
    <n v="0"/>
    <n v="0"/>
    <n v="0"/>
    <s v="GERAÇÃO"/>
    <n v="2430"/>
    <n v="5"/>
    <n v="0"/>
    <n v="0"/>
    <n v="5.65"/>
    <n v="0"/>
    <n v="0"/>
    <n v="6.8222173943544444"/>
    <m/>
    <m/>
    <n v="2203.5"/>
    <n v="0"/>
    <n v="2660.6647837982332"/>
    <n v="0"/>
    <x v="1"/>
  </r>
  <r>
    <s v="Regular"/>
    <x v="0"/>
    <x v="1"/>
    <x v="1"/>
    <x v="1"/>
    <x v="0"/>
    <x v="1"/>
    <x v="2"/>
    <x v="8"/>
    <n v="900"/>
    <n v="450"/>
    <n v="0"/>
    <n v="0"/>
    <n v="0"/>
    <n v="0"/>
    <n v="0"/>
    <s v="GERAÇÃO"/>
    <n v="30634"/>
    <n v="5"/>
    <n v="0"/>
    <n v="0"/>
    <n v="5.65"/>
    <n v="0"/>
    <n v="0"/>
    <n v="6.8222173943544444"/>
    <m/>
    <m/>
    <n v="2542.5"/>
    <n v="0"/>
    <n v="3069.9978274595001"/>
    <n v="0"/>
    <x v="1"/>
  </r>
  <r>
    <s v="Regular"/>
    <x v="0"/>
    <x v="1"/>
    <x v="1"/>
    <x v="1"/>
    <x v="0"/>
    <x v="2"/>
    <x v="2"/>
    <x v="8"/>
    <n v="780"/>
    <n v="390"/>
    <n v="0"/>
    <n v="0"/>
    <n v="0"/>
    <n v="0"/>
    <n v="0"/>
    <s v="GERAÇÃO"/>
    <n v="2430"/>
    <n v="5"/>
    <n v="0"/>
    <n v="0"/>
    <n v="5.65"/>
    <n v="0"/>
    <n v="0"/>
    <n v="6.8222173943544444"/>
    <m/>
    <m/>
    <n v="2203.5"/>
    <n v="0"/>
    <n v="2660.6647837982332"/>
    <n v="0"/>
    <x v="1"/>
  </r>
  <r>
    <s v="Regular"/>
    <x v="0"/>
    <x v="1"/>
    <x v="1"/>
    <x v="1"/>
    <x v="0"/>
    <x v="1"/>
    <x v="2"/>
    <x v="9"/>
    <n v="945"/>
    <n v="472.5"/>
    <n v="0"/>
    <n v="0"/>
    <n v="0"/>
    <n v="0"/>
    <n v="0"/>
    <s v="GERAÇÃO"/>
    <n v="30634"/>
    <n v="5"/>
    <n v="0"/>
    <n v="0"/>
    <n v="5.65"/>
    <n v="0"/>
    <n v="0"/>
    <n v="6.8222173943544444"/>
    <m/>
    <m/>
    <n v="2669.625"/>
    <n v="0"/>
    <n v="3223.4977188324751"/>
    <n v="0"/>
    <x v="1"/>
  </r>
  <r>
    <s v="Regular"/>
    <x v="0"/>
    <x v="1"/>
    <x v="1"/>
    <x v="1"/>
    <x v="0"/>
    <x v="2"/>
    <x v="2"/>
    <x v="9"/>
    <n v="780"/>
    <n v="390"/>
    <n v="0"/>
    <n v="0"/>
    <n v="0"/>
    <n v="0"/>
    <n v="0"/>
    <s v="GERAÇÃO"/>
    <n v="2430"/>
    <n v="5"/>
    <n v="0"/>
    <n v="0"/>
    <n v="5.65"/>
    <n v="0"/>
    <n v="0"/>
    <n v="6.8222173943544444"/>
    <m/>
    <m/>
    <n v="2203.5"/>
    <n v="0"/>
    <n v="2660.6647837982332"/>
    <n v="0"/>
    <x v="1"/>
  </r>
  <r>
    <s v="Regular"/>
    <x v="0"/>
    <x v="1"/>
    <x v="1"/>
    <x v="1"/>
    <x v="0"/>
    <x v="1"/>
    <x v="2"/>
    <x v="10"/>
    <n v="1075"/>
    <n v="537.5"/>
    <n v="0"/>
    <n v="0"/>
    <n v="0"/>
    <n v="0"/>
    <n v="0"/>
    <s v="GERAÇÃO"/>
    <n v="30634"/>
    <n v="5"/>
    <n v="0"/>
    <n v="0"/>
    <n v="5.65"/>
    <n v="0"/>
    <n v="0"/>
    <n v="6.8222173943544444"/>
    <m/>
    <m/>
    <n v="3036.875"/>
    <n v="0"/>
    <n v="3666.9418494655138"/>
    <n v="0"/>
    <x v="1"/>
  </r>
  <r>
    <s v="Regular"/>
    <x v="0"/>
    <x v="1"/>
    <x v="1"/>
    <x v="1"/>
    <x v="0"/>
    <x v="2"/>
    <x v="2"/>
    <x v="10"/>
    <n v="780"/>
    <n v="390"/>
    <n v="0"/>
    <n v="0"/>
    <n v="0"/>
    <n v="0"/>
    <n v="0"/>
    <s v="GERAÇÃO"/>
    <n v="2430"/>
    <n v="5"/>
    <n v="0"/>
    <n v="0"/>
    <n v="5.65"/>
    <n v="0"/>
    <n v="0"/>
    <n v="6.8222173943544444"/>
    <m/>
    <m/>
    <n v="2203.5"/>
    <n v="0"/>
    <n v="2660.6647837982332"/>
    <n v="0"/>
    <x v="1"/>
  </r>
  <r>
    <s v="PROJETADO"/>
    <x v="0"/>
    <x v="1"/>
    <x v="1"/>
    <x v="1"/>
    <x v="0"/>
    <x v="1"/>
    <x v="2"/>
    <x v="11"/>
    <n v="1075"/>
    <n v="537.5"/>
    <n v="0"/>
    <n v="0"/>
    <n v="0"/>
    <n v="0"/>
    <n v="0"/>
    <s v="GERAÇÃO"/>
    <n v="30634"/>
    <n v="5"/>
    <n v="0"/>
    <n v="0"/>
    <n v="5.65"/>
    <n v="0"/>
    <n v="0"/>
    <n v="6.8222173943544444"/>
    <m/>
    <m/>
    <n v="3036.875"/>
    <n v="0"/>
    <n v="3666.9418494655138"/>
    <n v="0"/>
    <x v="1"/>
  </r>
  <r>
    <s v="PROJETADO"/>
    <x v="0"/>
    <x v="1"/>
    <x v="1"/>
    <x v="1"/>
    <x v="0"/>
    <x v="2"/>
    <x v="2"/>
    <x v="11"/>
    <n v="780"/>
    <n v="390"/>
    <n v="0"/>
    <n v="0"/>
    <n v="0"/>
    <n v="0"/>
    <n v="0"/>
    <s v="GERAÇÃO"/>
    <n v="2430"/>
    <n v="5"/>
    <n v="0"/>
    <n v="0"/>
    <n v="5.65"/>
    <n v="0"/>
    <n v="0"/>
    <n v="6.8222173943544444"/>
    <m/>
    <m/>
    <n v="2203.5"/>
    <n v="0"/>
    <n v="2660.6647837982332"/>
    <n v="0"/>
    <x v="1"/>
  </r>
  <r>
    <s v="Regular"/>
    <x v="0"/>
    <x v="2"/>
    <x v="2"/>
    <x v="1"/>
    <x v="1"/>
    <x v="0"/>
    <x v="0"/>
    <x v="0"/>
    <n v="0"/>
    <n v="0"/>
    <n v="3583.413"/>
    <n v="3583.413"/>
    <n v="0"/>
    <n v="0"/>
    <n v="0"/>
    <s v="LIVRE"/>
    <n v="0"/>
    <n v="0"/>
    <n v="17"/>
    <n v="0"/>
    <n v="0"/>
    <n v="71.260000000000005"/>
    <n v="0"/>
    <m/>
    <n v="110.20411135647974"/>
    <m/>
    <n v="0"/>
    <n v="0"/>
    <n v="0"/>
    <n v="0"/>
    <x v="2"/>
  </r>
  <r>
    <s v="Regular"/>
    <x v="0"/>
    <x v="2"/>
    <x v="2"/>
    <x v="1"/>
    <x v="1"/>
    <x v="0"/>
    <x v="0"/>
    <x v="1"/>
    <n v="0"/>
    <n v="0"/>
    <n v="3805.9349999999999"/>
    <n v="3805.9349999999999"/>
    <n v="0"/>
    <n v="0"/>
    <n v="0"/>
    <s v="LIVRE"/>
    <n v="0"/>
    <n v="0"/>
    <n v="17"/>
    <n v="0"/>
    <n v="0"/>
    <n v="71.260000000000005"/>
    <n v="0"/>
    <m/>
    <n v="110.20411135647974"/>
    <m/>
    <n v="0"/>
    <n v="0"/>
    <n v="0"/>
    <n v="0"/>
    <x v="2"/>
  </r>
  <r>
    <s v="Regular"/>
    <x v="0"/>
    <x v="2"/>
    <x v="2"/>
    <x v="1"/>
    <x v="1"/>
    <x v="0"/>
    <x v="0"/>
    <x v="2"/>
    <n v="0"/>
    <n v="0"/>
    <n v="3521.2339999999999"/>
    <n v="3521.2339999999999"/>
    <n v="0"/>
    <n v="0"/>
    <n v="0"/>
    <s v="LIVRE"/>
    <n v="0"/>
    <n v="0"/>
    <n v="17"/>
    <n v="0"/>
    <n v="0"/>
    <n v="71.260000000000005"/>
    <n v="0"/>
    <m/>
    <n v="110.20411135647974"/>
    <m/>
    <n v="0"/>
    <n v="0"/>
    <n v="0"/>
    <n v="0"/>
    <x v="2"/>
  </r>
  <r>
    <s v="Regular"/>
    <x v="0"/>
    <x v="2"/>
    <x v="2"/>
    <x v="1"/>
    <x v="1"/>
    <x v="0"/>
    <x v="0"/>
    <x v="3"/>
    <n v="0"/>
    <n v="0"/>
    <n v="3488.46"/>
    <n v="3488.46"/>
    <n v="0"/>
    <n v="0"/>
    <n v="0"/>
    <s v="LIVRE"/>
    <n v="0"/>
    <n v="0"/>
    <n v="17"/>
    <n v="0"/>
    <n v="0"/>
    <n v="71.260000000000005"/>
    <n v="0"/>
    <m/>
    <n v="110.20411135647974"/>
    <m/>
    <n v="0"/>
    <n v="0"/>
    <n v="0"/>
    <n v="0"/>
    <x v="2"/>
  </r>
  <r>
    <s v="Regular"/>
    <x v="0"/>
    <x v="2"/>
    <x v="2"/>
    <x v="1"/>
    <x v="1"/>
    <x v="0"/>
    <x v="0"/>
    <x v="4"/>
    <n v="0"/>
    <n v="0"/>
    <n v="3759.0949999999998"/>
    <n v="3759.0949999999998"/>
    <n v="0"/>
    <n v="0"/>
    <n v="0"/>
    <s v="LIVRE"/>
    <n v="0"/>
    <n v="0"/>
    <n v="17"/>
    <n v="0"/>
    <n v="0"/>
    <n v="71.260000000000005"/>
    <n v="0"/>
    <m/>
    <n v="110.20411135647974"/>
    <m/>
    <n v="0"/>
    <n v="0"/>
    <n v="0"/>
    <n v="0"/>
    <x v="2"/>
  </r>
  <r>
    <s v="Regular"/>
    <x v="0"/>
    <x v="2"/>
    <x v="2"/>
    <x v="1"/>
    <x v="1"/>
    <x v="0"/>
    <x v="0"/>
    <x v="5"/>
    <n v="0"/>
    <n v="0"/>
    <n v="3501.3580000000002"/>
    <n v="3501.3580000000002"/>
    <n v="0"/>
    <n v="0"/>
    <n v="0"/>
    <s v="LIVRE"/>
    <n v="0"/>
    <n v="0"/>
    <n v="17"/>
    <n v="0"/>
    <n v="0"/>
    <n v="71.260000000000005"/>
    <n v="0"/>
    <m/>
    <n v="110.20411135647974"/>
    <m/>
    <n v="0"/>
    <n v="0"/>
    <n v="0"/>
    <n v="0"/>
    <x v="2"/>
  </r>
  <r>
    <s v="Regular"/>
    <x v="0"/>
    <x v="2"/>
    <x v="2"/>
    <x v="1"/>
    <x v="1"/>
    <x v="0"/>
    <x v="0"/>
    <x v="6"/>
    <n v="0"/>
    <n v="0"/>
    <n v="3808.7330000000002"/>
    <n v="3808.7330000000002"/>
    <n v="0"/>
    <n v="0"/>
    <n v="0"/>
    <s v="LIVRE"/>
    <n v="0"/>
    <n v="0"/>
    <n v="17"/>
    <n v="0"/>
    <n v="0"/>
    <n v="71.260000000000005"/>
    <n v="0"/>
    <m/>
    <n v="110.20411135647974"/>
    <m/>
    <n v="0"/>
    <n v="0"/>
    <n v="0"/>
    <n v="0"/>
    <x v="2"/>
  </r>
  <r>
    <s v="Regular"/>
    <x v="0"/>
    <x v="2"/>
    <x v="2"/>
    <x v="1"/>
    <x v="1"/>
    <x v="0"/>
    <x v="0"/>
    <x v="7"/>
    <n v="0"/>
    <n v="0"/>
    <n v="3887.973"/>
    <n v="3887.973"/>
    <n v="0"/>
    <n v="0"/>
    <n v="0"/>
    <s v="LIVRE"/>
    <n v="0"/>
    <n v="0"/>
    <n v="17"/>
    <n v="0"/>
    <n v="0"/>
    <n v="71.260000000000005"/>
    <n v="0"/>
    <m/>
    <n v="110.20411135647974"/>
    <m/>
    <n v="0"/>
    <n v="0"/>
    <n v="0"/>
    <n v="0"/>
    <x v="2"/>
  </r>
  <r>
    <s v="Regular"/>
    <x v="0"/>
    <x v="2"/>
    <x v="2"/>
    <x v="1"/>
    <x v="1"/>
    <x v="0"/>
    <x v="0"/>
    <x v="8"/>
    <n v="0"/>
    <n v="0"/>
    <n v="4502.0200000000004"/>
    <n v="4502.0200000000004"/>
    <n v="0"/>
    <n v="0"/>
    <n v="0"/>
    <s v="LIVRE"/>
    <n v="0"/>
    <n v="0"/>
    <n v="17"/>
    <n v="0"/>
    <n v="0"/>
    <n v="71.260000000000005"/>
    <n v="0"/>
    <m/>
    <n v="110.20411135647974"/>
    <m/>
    <n v="0"/>
    <n v="0"/>
    <n v="0"/>
    <n v="0"/>
    <x v="2"/>
  </r>
  <r>
    <s v="Regular"/>
    <x v="0"/>
    <x v="2"/>
    <x v="2"/>
    <x v="1"/>
    <x v="1"/>
    <x v="0"/>
    <x v="0"/>
    <x v="9"/>
    <n v="0"/>
    <n v="0"/>
    <n v="4039.2190000000001"/>
    <n v="4039.2190000000001"/>
    <n v="0"/>
    <n v="0"/>
    <n v="0"/>
    <s v="LIVRE"/>
    <n v="0"/>
    <n v="0"/>
    <n v="17"/>
    <n v="0"/>
    <n v="0"/>
    <n v="71.260000000000005"/>
    <n v="0"/>
    <m/>
    <n v="110.20411135647974"/>
    <m/>
    <n v="0"/>
    <n v="0"/>
    <n v="0"/>
    <n v="0"/>
    <x v="2"/>
  </r>
  <r>
    <s v="Regular"/>
    <x v="0"/>
    <x v="2"/>
    <x v="2"/>
    <x v="1"/>
    <x v="1"/>
    <x v="0"/>
    <x v="0"/>
    <x v="10"/>
    <n v="0"/>
    <n v="0"/>
    <n v="4380.7709999999997"/>
    <n v="4380.7709999999997"/>
    <n v="0"/>
    <n v="0"/>
    <n v="0"/>
    <s v="LIVRE"/>
    <n v="0"/>
    <n v="0"/>
    <n v="17"/>
    <n v="0"/>
    <n v="0"/>
    <n v="71.260000000000005"/>
    <n v="0"/>
    <m/>
    <n v="110.20411135647974"/>
    <m/>
    <n v="0"/>
    <n v="0"/>
    <n v="0"/>
    <n v="0"/>
    <x v="2"/>
  </r>
  <r>
    <s v="PROJETADO"/>
    <x v="0"/>
    <x v="2"/>
    <x v="2"/>
    <x v="1"/>
    <x v="1"/>
    <x v="0"/>
    <x v="0"/>
    <x v="11"/>
    <n v="0"/>
    <n v="0"/>
    <n v="4380.7709999999997"/>
    <n v="4380.7709999999997"/>
    <n v="0"/>
    <n v="0"/>
    <n v="0"/>
    <s v="LIVRE"/>
    <n v="0"/>
    <n v="0"/>
    <n v="17"/>
    <n v="0"/>
    <n v="0"/>
    <n v="71.260000000000005"/>
    <n v="0"/>
    <m/>
    <n v="110.20411135647974"/>
    <m/>
    <n v="0"/>
    <n v="0"/>
    <n v="0"/>
    <n v="0"/>
    <x v="2"/>
  </r>
  <r>
    <s v="Regular"/>
    <x v="0"/>
    <x v="2"/>
    <x v="2"/>
    <x v="1"/>
    <x v="1"/>
    <x v="0"/>
    <x v="2"/>
    <x v="0"/>
    <n v="10417"/>
    <n v="5208.5"/>
    <n v="0"/>
    <n v="0"/>
    <n v="0"/>
    <n v="0"/>
    <n v="6"/>
    <s v="LIVRE"/>
    <n v="0"/>
    <n v="19"/>
    <n v="0"/>
    <n v="0"/>
    <n v="16.29"/>
    <n v="0"/>
    <n v="0"/>
    <n v="25.700487807028669"/>
    <m/>
    <m/>
    <n v="84846.464999999997"/>
    <n v="0"/>
    <n v="133860.99074290882"/>
    <n v="0"/>
    <x v="2"/>
  </r>
  <r>
    <s v="Regular"/>
    <x v="0"/>
    <x v="2"/>
    <x v="2"/>
    <x v="1"/>
    <x v="1"/>
    <x v="0"/>
    <x v="2"/>
    <x v="1"/>
    <n v="10895"/>
    <n v="5447.5"/>
    <n v="0"/>
    <n v="0"/>
    <n v="0"/>
    <n v="0"/>
    <n v="7"/>
    <s v="LIVRE"/>
    <n v="0"/>
    <n v="19"/>
    <n v="0"/>
    <n v="0"/>
    <n v="16.29"/>
    <n v="0"/>
    <n v="0"/>
    <n v="25.700487807028669"/>
    <m/>
    <m/>
    <n v="88739.774999999994"/>
    <n v="0"/>
    <n v="140003.40732878869"/>
    <n v="0"/>
    <x v="2"/>
  </r>
  <r>
    <s v="Regular"/>
    <x v="0"/>
    <x v="2"/>
    <x v="2"/>
    <x v="1"/>
    <x v="1"/>
    <x v="0"/>
    <x v="2"/>
    <x v="2"/>
    <n v="10925"/>
    <n v="5462.5"/>
    <n v="0"/>
    <n v="0"/>
    <n v="0"/>
    <n v="0"/>
    <n v="7"/>
    <s v="LIVRE"/>
    <n v="0"/>
    <n v="19"/>
    <n v="0"/>
    <n v="0"/>
    <n v="16.29"/>
    <n v="0"/>
    <n v="0"/>
    <n v="25.700487807028669"/>
    <m/>
    <m/>
    <n v="88984.125"/>
    <n v="0"/>
    <n v="140388.91464589411"/>
    <n v="0"/>
    <x v="2"/>
  </r>
  <r>
    <s v="Regular"/>
    <x v="0"/>
    <x v="2"/>
    <x v="2"/>
    <x v="1"/>
    <x v="1"/>
    <x v="0"/>
    <x v="2"/>
    <x v="3"/>
    <n v="10895"/>
    <n v="5447.5"/>
    <n v="0"/>
    <n v="0"/>
    <n v="0"/>
    <n v="0"/>
    <n v="7"/>
    <s v="LIVRE"/>
    <n v="0"/>
    <n v="19"/>
    <n v="0"/>
    <n v="0"/>
    <n v="16.29"/>
    <n v="0"/>
    <n v="0"/>
    <n v="25.700487807028669"/>
    <m/>
    <m/>
    <n v="88739.774999999994"/>
    <n v="0"/>
    <n v="140003.40732878869"/>
    <n v="0"/>
    <x v="2"/>
  </r>
  <r>
    <s v="Regular"/>
    <x v="0"/>
    <x v="2"/>
    <x v="2"/>
    <x v="1"/>
    <x v="1"/>
    <x v="0"/>
    <x v="2"/>
    <x v="4"/>
    <n v="11405"/>
    <n v="5702.5"/>
    <n v="0"/>
    <n v="0"/>
    <n v="0"/>
    <n v="0"/>
    <n v="8"/>
    <s v="LIVRE"/>
    <n v="0"/>
    <n v="19"/>
    <n v="0"/>
    <n v="0"/>
    <n v="16.29"/>
    <n v="0"/>
    <n v="0"/>
    <n v="25.700487807028669"/>
    <m/>
    <m/>
    <n v="92893.724999999991"/>
    <n v="0"/>
    <n v="146557.03171958099"/>
    <n v="0"/>
    <x v="2"/>
  </r>
  <r>
    <s v="Regular"/>
    <x v="0"/>
    <x v="2"/>
    <x v="2"/>
    <x v="1"/>
    <x v="1"/>
    <x v="0"/>
    <x v="2"/>
    <x v="5"/>
    <n v="11395"/>
    <n v="5697.5"/>
    <n v="0"/>
    <n v="0"/>
    <n v="0"/>
    <n v="0"/>
    <n v="8"/>
    <s v="LIVRE"/>
    <n v="0"/>
    <n v="19"/>
    <n v="0"/>
    <n v="0"/>
    <n v="16.29"/>
    <n v="0"/>
    <n v="0"/>
    <n v="25.700487807028669"/>
    <m/>
    <m/>
    <n v="92812.274999999994"/>
    <n v="0"/>
    <n v="146428.52928054583"/>
    <n v="0"/>
    <x v="2"/>
  </r>
  <r>
    <s v="Regular"/>
    <x v="0"/>
    <x v="2"/>
    <x v="2"/>
    <x v="1"/>
    <x v="1"/>
    <x v="0"/>
    <x v="2"/>
    <x v="6"/>
    <n v="11448"/>
    <n v="5724"/>
    <n v="0"/>
    <n v="0"/>
    <n v="0"/>
    <n v="0"/>
    <n v="8"/>
    <s v="LIVRE"/>
    <n v="0"/>
    <n v="19"/>
    <n v="0"/>
    <n v="0"/>
    <n v="16.29"/>
    <n v="0"/>
    <n v="0"/>
    <n v="25.700487807028669"/>
    <m/>
    <m/>
    <n v="93243.959999999992"/>
    <n v="0"/>
    <n v="147109.59220743211"/>
    <n v="0"/>
    <x v="2"/>
  </r>
  <r>
    <s v="Regular"/>
    <x v="0"/>
    <x v="2"/>
    <x v="2"/>
    <x v="1"/>
    <x v="1"/>
    <x v="0"/>
    <x v="2"/>
    <x v="7"/>
    <n v="12306"/>
    <n v="6153"/>
    <n v="0"/>
    <n v="0"/>
    <n v="0"/>
    <n v="0"/>
    <n v="9"/>
    <s v="LIVRE"/>
    <n v="0"/>
    <n v="19"/>
    <n v="0"/>
    <n v="0"/>
    <n v="16.29"/>
    <n v="0"/>
    <n v="0"/>
    <n v="25.700487807028669"/>
    <m/>
    <m/>
    <n v="100232.37"/>
    <n v="0"/>
    <n v="158135.1014766474"/>
    <n v="0"/>
    <x v="2"/>
  </r>
  <r>
    <s v="Regular"/>
    <x v="0"/>
    <x v="2"/>
    <x v="2"/>
    <x v="1"/>
    <x v="1"/>
    <x v="0"/>
    <x v="2"/>
    <x v="8"/>
    <n v="12381"/>
    <n v="6190.5"/>
    <n v="0"/>
    <n v="0"/>
    <n v="0"/>
    <n v="0"/>
    <n v="9"/>
    <s v="LIVRE"/>
    <n v="0"/>
    <n v="19"/>
    <n v="0"/>
    <n v="0"/>
    <n v="16.29"/>
    <n v="0"/>
    <n v="0"/>
    <n v="25.700487807028669"/>
    <m/>
    <m/>
    <n v="100843.245"/>
    <n v="0"/>
    <n v="159098.86976941099"/>
    <n v="0"/>
    <x v="2"/>
  </r>
  <r>
    <s v="Regular"/>
    <x v="0"/>
    <x v="2"/>
    <x v="2"/>
    <x v="1"/>
    <x v="1"/>
    <x v="0"/>
    <x v="2"/>
    <x v="9"/>
    <n v="12368"/>
    <n v="6184"/>
    <n v="0"/>
    <n v="0"/>
    <n v="0"/>
    <n v="0"/>
    <n v="9"/>
    <s v="LIVRE"/>
    <n v="0"/>
    <n v="19"/>
    <n v="0"/>
    <n v="0"/>
    <n v="16.29"/>
    <n v="0"/>
    <n v="0"/>
    <n v="25.700487807028669"/>
    <m/>
    <m/>
    <n v="100737.36"/>
    <n v="0"/>
    <n v="158931.81659866529"/>
    <n v="0"/>
    <x v="2"/>
  </r>
  <r>
    <s v="Regular"/>
    <x v="0"/>
    <x v="2"/>
    <x v="2"/>
    <x v="1"/>
    <x v="1"/>
    <x v="0"/>
    <x v="2"/>
    <x v="10"/>
    <n v="12339"/>
    <n v="6169.5"/>
    <n v="0"/>
    <n v="0"/>
    <n v="0"/>
    <n v="0"/>
    <n v="9"/>
    <s v="LIVRE"/>
    <n v="0"/>
    <n v="19"/>
    <n v="0"/>
    <n v="0"/>
    <n v="16.29"/>
    <n v="0"/>
    <n v="0"/>
    <n v="25.700487807028669"/>
    <m/>
    <m/>
    <n v="100501.155"/>
    <n v="0"/>
    <n v="158559.15952546336"/>
    <n v="0"/>
    <x v="2"/>
  </r>
  <r>
    <s v="PROJETADO"/>
    <x v="0"/>
    <x v="2"/>
    <x v="2"/>
    <x v="1"/>
    <x v="1"/>
    <x v="0"/>
    <x v="2"/>
    <x v="11"/>
    <n v="12339"/>
    <n v="6169.5"/>
    <n v="0"/>
    <n v="0"/>
    <n v="0"/>
    <n v="0"/>
    <n v="9"/>
    <s v="LIVRE"/>
    <n v="0"/>
    <n v="19"/>
    <n v="0"/>
    <n v="0"/>
    <n v="16.29"/>
    <n v="0"/>
    <n v="0"/>
    <n v="25.700487807028669"/>
    <m/>
    <m/>
    <n v="100501.155"/>
    <n v="0"/>
    <n v="158559.15952546336"/>
    <n v="0"/>
    <x v="2"/>
  </r>
  <r>
    <s v="Regular"/>
    <x v="0"/>
    <x v="2"/>
    <x v="2"/>
    <x v="1"/>
    <x v="1"/>
    <x v="0"/>
    <x v="1"/>
    <x v="0"/>
    <n v="0"/>
    <n v="0"/>
    <n v="400.85399999999998"/>
    <n v="222.99508019999999"/>
    <n v="0"/>
    <n v="0"/>
    <n v="0"/>
    <s v="LIVRE"/>
    <n v="0"/>
    <n v="0"/>
    <n v="21"/>
    <n v="0"/>
    <n v="0"/>
    <n v="596.78"/>
    <n v="0"/>
    <m/>
    <n v="754.27013405435684"/>
    <m/>
    <n v="0"/>
    <n v="106142.646158244"/>
    <n v="0"/>
    <n v="134153.67128030909"/>
    <x v="2"/>
  </r>
  <r>
    <s v="Regular"/>
    <x v="0"/>
    <x v="2"/>
    <x v="2"/>
    <x v="1"/>
    <x v="1"/>
    <x v="0"/>
    <x v="1"/>
    <x v="1"/>
    <n v="0"/>
    <n v="0"/>
    <n v="417.75700000000001"/>
    <n v="233.8185929"/>
    <n v="0"/>
    <n v="0"/>
    <n v="0"/>
    <s v="LIVRE"/>
    <n v="0"/>
    <n v="0"/>
    <n v="21"/>
    <n v="0"/>
    <n v="0"/>
    <n v="596.78"/>
    <n v="0"/>
    <m/>
    <n v="754.27013405435684"/>
    <m/>
    <n v="0"/>
    <n v="109770.762589138"/>
    <n v="0"/>
    <n v="138739.24698106188"/>
    <x v="2"/>
  </r>
  <r>
    <s v="Regular"/>
    <x v="0"/>
    <x v="2"/>
    <x v="2"/>
    <x v="1"/>
    <x v="1"/>
    <x v="0"/>
    <x v="1"/>
    <x v="2"/>
    <n v="0"/>
    <n v="0"/>
    <n v="380.99599999999998"/>
    <n v="213.24346120000001"/>
    <n v="0"/>
    <n v="0"/>
    <n v="0"/>
    <s v="LIVRE"/>
    <n v="0"/>
    <n v="0"/>
    <n v="21"/>
    <n v="0"/>
    <n v="0"/>
    <n v="596.78"/>
    <n v="0"/>
    <m/>
    <n v="754.27013405435684"/>
    <m/>
    <n v="0"/>
    <n v="100111.36010506397"/>
    <n v="0"/>
    <n v="126530.72992863467"/>
    <x v="2"/>
  </r>
  <r>
    <s v="Regular"/>
    <x v="0"/>
    <x v="2"/>
    <x v="2"/>
    <x v="1"/>
    <x v="1"/>
    <x v="0"/>
    <x v="1"/>
    <x v="3"/>
    <n v="0"/>
    <n v="0"/>
    <n v="352.47500000000002"/>
    <n v="197.2802575"/>
    <n v="0"/>
    <n v="0"/>
    <n v="0"/>
    <s v="LIVRE"/>
    <n v="0"/>
    <n v="0"/>
    <n v="21"/>
    <n v="0"/>
    <n v="0"/>
    <n v="596.78"/>
    <n v="0"/>
    <m/>
    <n v="754.27013405435684"/>
    <m/>
    <n v="0"/>
    <n v="92617.11842915001"/>
    <n v="0"/>
    <n v="117058.7592300064"/>
    <x v="2"/>
  </r>
  <r>
    <s v="Regular"/>
    <x v="0"/>
    <x v="2"/>
    <x v="2"/>
    <x v="1"/>
    <x v="1"/>
    <x v="0"/>
    <x v="1"/>
    <x v="4"/>
    <n v="0"/>
    <n v="0"/>
    <n v="395.25299999999999"/>
    <n v="221.2231041"/>
    <n v="0"/>
    <n v="0"/>
    <n v="0"/>
    <s v="LIVRE"/>
    <n v="0"/>
    <n v="0"/>
    <n v="21"/>
    <n v="0"/>
    <n v="0"/>
    <n v="596.78"/>
    <n v="0"/>
    <m/>
    <n v="754.27013405435684"/>
    <m/>
    <n v="0"/>
    <n v="103857.56127520198"/>
    <n v="0"/>
    <n v="131265.55290995876"/>
    <x v="2"/>
  </r>
  <r>
    <s v="Regular"/>
    <x v="0"/>
    <x v="2"/>
    <x v="2"/>
    <x v="1"/>
    <x v="1"/>
    <x v="0"/>
    <x v="1"/>
    <x v="5"/>
    <n v="0"/>
    <n v="0"/>
    <n v="383.084"/>
    <n v="214.41211480000001"/>
    <n v="0"/>
    <n v="0"/>
    <n v="0"/>
    <s v="LIVRE"/>
    <n v="0"/>
    <n v="0"/>
    <n v="21"/>
    <n v="0"/>
    <n v="0"/>
    <n v="596.78"/>
    <n v="0"/>
    <m/>
    <n v="754.27013405435684"/>
    <m/>
    <n v="0"/>
    <n v="100660.00764965599"/>
    <n v="0"/>
    <n v="127224.16546100508"/>
    <x v="2"/>
  </r>
  <r>
    <s v="Regular"/>
    <x v="0"/>
    <x v="2"/>
    <x v="2"/>
    <x v="1"/>
    <x v="1"/>
    <x v="0"/>
    <x v="1"/>
    <x v="6"/>
    <n v="0"/>
    <n v="0"/>
    <n v="410.00799999999998"/>
    <n v="229.48147760000001"/>
    <n v="0"/>
    <n v="0"/>
    <n v="0"/>
    <s v="LIVRE"/>
    <n v="0"/>
    <n v="0"/>
    <n v="21"/>
    <n v="0"/>
    <n v="0"/>
    <n v="596.78"/>
    <n v="0"/>
    <m/>
    <n v="754.27013405435684"/>
    <m/>
    <n v="0"/>
    <n v="107734.61803787199"/>
    <n v="0"/>
    <n v="136165.76425101483"/>
    <x v="2"/>
  </r>
  <r>
    <s v="Regular"/>
    <x v="0"/>
    <x v="2"/>
    <x v="2"/>
    <x v="1"/>
    <x v="1"/>
    <x v="0"/>
    <x v="1"/>
    <x v="7"/>
    <n v="0"/>
    <n v="0"/>
    <n v="428.41199999999998"/>
    <n v="239.7821964"/>
    <n v="0"/>
    <n v="0"/>
    <n v="0"/>
    <s v="LIVRE"/>
    <n v="0"/>
    <n v="0"/>
    <n v="21"/>
    <n v="0"/>
    <n v="0"/>
    <n v="596.78"/>
    <n v="0"/>
    <m/>
    <n v="754.27013405435684"/>
    <m/>
    <n v="0"/>
    <n v="112570.49419240798"/>
    <n v="0"/>
    <n v="142277.82724801899"/>
    <x v="2"/>
  </r>
  <r>
    <s v="Regular"/>
    <x v="0"/>
    <x v="2"/>
    <x v="2"/>
    <x v="1"/>
    <x v="1"/>
    <x v="0"/>
    <x v="1"/>
    <x v="8"/>
    <n v="0"/>
    <n v="0"/>
    <n v="492.738"/>
    <n v="275.78545860000003"/>
    <n v="0"/>
    <n v="0"/>
    <n v="0"/>
    <s v="LIVRE"/>
    <n v="0"/>
    <n v="0"/>
    <n v="21"/>
    <n v="0"/>
    <n v="0"/>
    <n v="596.78"/>
    <n v="0"/>
    <m/>
    <n v="754.27013405435684"/>
    <m/>
    <n v="0"/>
    <n v="129472.93765669198"/>
    <n v="0"/>
    <n v="163640.82248521139"/>
    <x v="2"/>
  </r>
  <r>
    <s v="Regular"/>
    <x v="0"/>
    <x v="2"/>
    <x v="2"/>
    <x v="1"/>
    <x v="1"/>
    <x v="0"/>
    <x v="1"/>
    <x v="9"/>
    <n v="0"/>
    <n v="0"/>
    <n v="423.49700000000001"/>
    <n v="237.03127090000001"/>
    <n v="0"/>
    <n v="0"/>
    <n v="0"/>
    <s v="LIVRE"/>
    <n v="0"/>
    <n v="0"/>
    <n v="21"/>
    <n v="0"/>
    <n v="0"/>
    <n v="596.78"/>
    <n v="0"/>
    <m/>
    <n v="754.27013405435684"/>
    <m/>
    <n v="0"/>
    <n v="111279.017812298"/>
    <n v="0"/>
    <n v="140645.5304848004"/>
    <x v="2"/>
  </r>
  <r>
    <s v="Regular"/>
    <x v="0"/>
    <x v="2"/>
    <x v="2"/>
    <x v="1"/>
    <x v="1"/>
    <x v="0"/>
    <x v="1"/>
    <x v="10"/>
    <n v="0"/>
    <n v="0"/>
    <n v="495.89800000000002"/>
    <n v="277.5541106"/>
    <n v="0"/>
    <n v="0"/>
    <n v="0"/>
    <s v="LIVRE"/>
    <n v="0"/>
    <n v="0"/>
    <n v="21"/>
    <n v="0"/>
    <n v="0"/>
    <n v="596.78"/>
    <n v="0"/>
    <m/>
    <n v="754.27013405435684"/>
    <m/>
    <n v="0"/>
    <n v="130303.26631613201"/>
    <n v="0"/>
    <n v="164690.27472768768"/>
    <x v="2"/>
  </r>
  <r>
    <s v="PROJETADO"/>
    <x v="0"/>
    <x v="2"/>
    <x v="2"/>
    <x v="1"/>
    <x v="1"/>
    <x v="0"/>
    <x v="1"/>
    <x v="11"/>
    <n v="0"/>
    <n v="0"/>
    <n v="495.89800000000002"/>
    <n v="277.5541106"/>
    <n v="0"/>
    <n v="0"/>
    <n v="0"/>
    <s v="LIVRE"/>
    <n v="0"/>
    <n v="0"/>
    <n v="21"/>
    <n v="0"/>
    <n v="0"/>
    <n v="596.78"/>
    <n v="0"/>
    <m/>
    <n v="754.27013405435684"/>
    <m/>
    <n v="0"/>
    <n v="130303.26631613201"/>
    <n v="0"/>
    <n v="164690.27472768768"/>
    <x v="2"/>
  </r>
  <r>
    <s v="Regular"/>
    <x v="0"/>
    <x v="2"/>
    <x v="3"/>
    <x v="2"/>
    <x v="2"/>
    <x v="0"/>
    <x v="0"/>
    <x v="0"/>
    <n v="0"/>
    <n v="0"/>
    <n v="0.152"/>
    <n v="4.5600000000000002E-2"/>
    <n v="0.152"/>
    <n v="4.5600000000000002E-2"/>
    <n v="0"/>
    <s v="CATIVO"/>
    <n v="0"/>
    <n v="0"/>
    <n v="17"/>
    <n v="78"/>
    <n v="0"/>
    <n v="71.260000000000005"/>
    <n v="297.31"/>
    <m/>
    <n v="110.20411135647974"/>
    <n v="234.85968807843457"/>
    <n v="0"/>
    <n v="39.215848000000001"/>
    <n v="0"/>
    <n v="36.714788259874879"/>
    <x v="3"/>
  </r>
  <r>
    <s v="Regular"/>
    <x v="0"/>
    <x v="2"/>
    <x v="3"/>
    <x v="2"/>
    <x v="2"/>
    <x v="0"/>
    <x v="0"/>
    <x v="1"/>
    <n v="0"/>
    <n v="0"/>
    <n v="0.182"/>
    <n v="5.4600000000000003E-2"/>
    <n v="0.182"/>
    <n v="5.4600000000000003E-2"/>
    <n v="0"/>
    <s v="CATIVO"/>
    <n v="0"/>
    <n v="0"/>
    <n v="17"/>
    <n v="78"/>
    <n v="0"/>
    <n v="71.260000000000005"/>
    <n v="297.31"/>
    <m/>
    <n v="110.20411135647974"/>
    <n v="234.85968807843457"/>
    <n v="0"/>
    <n v="46.955818000000001"/>
    <n v="0"/>
    <n v="43.961128048008078"/>
    <x v="3"/>
  </r>
  <r>
    <s v="Regular"/>
    <x v="0"/>
    <x v="2"/>
    <x v="3"/>
    <x v="2"/>
    <x v="2"/>
    <x v="0"/>
    <x v="0"/>
    <x v="2"/>
    <n v="0"/>
    <n v="0"/>
    <n v="0.06"/>
    <n v="1.7999999999999999E-2"/>
    <n v="0.06"/>
    <n v="1.7999999999999999E-2"/>
    <n v="0"/>
    <s v="CATIVO"/>
    <n v="0"/>
    <n v="0"/>
    <n v="17"/>
    <n v="78"/>
    <n v="0"/>
    <n v="71.260000000000005"/>
    <n v="297.31"/>
    <m/>
    <n v="110.20411135647974"/>
    <n v="234.85968807843457"/>
    <n v="0"/>
    <n v="15.479939999999999"/>
    <n v="0"/>
    <n v="14.492679576266401"/>
    <x v="3"/>
  </r>
  <r>
    <s v="Regular"/>
    <x v="0"/>
    <x v="2"/>
    <x v="3"/>
    <x v="2"/>
    <x v="2"/>
    <x v="0"/>
    <x v="0"/>
    <x v="3"/>
    <n v="0"/>
    <n v="0"/>
    <n v="7.3"/>
    <n v="2.19"/>
    <n v="7.3"/>
    <n v="2.19"/>
    <n v="0"/>
    <s v="CATIVO"/>
    <n v="0"/>
    <n v="0"/>
    <n v="17"/>
    <n v="78"/>
    <n v="0"/>
    <n v="71.260000000000005"/>
    <n v="297.31"/>
    <m/>
    <n v="110.20411135647974"/>
    <n v="234.85968807843457"/>
    <n v="0"/>
    <n v="1883.3926999999999"/>
    <n v="0"/>
    <n v="1763.2760151124119"/>
    <x v="3"/>
  </r>
  <r>
    <s v="Regular"/>
    <x v="0"/>
    <x v="2"/>
    <x v="3"/>
    <x v="2"/>
    <x v="2"/>
    <x v="0"/>
    <x v="0"/>
    <x v="4"/>
    <n v="0"/>
    <n v="0"/>
    <n v="28.536999999999999"/>
    <n v="8.5610999999999997"/>
    <n v="28.536999999999999"/>
    <n v="8.5610999999999997"/>
    <n v="0"/>
    <s v="CATIVO"/>
    <n v="0"/>
    <n v="0"/>
    <n v="17"/>
    <n v="78"/>
    <n v="0"/>
    <n v="71.260000000000005"/>
    <n v="297.31"/>
    <m/>
    <n v="110.20411135647974"/>
    <n v="234.85968807843457"/>
    <n v="0"/>
    <n v="7362.5174630000001"/>
    <n v="0"/>
    <n v="6892.9599511319047"/>
    <x v="3"/>
  </r>
  <r>
    <s v="Regular"/>
    <x v="0"/>
    <x v="2"/>
    <x v="3"/>
    <x v="2"/>
    <x v="2"/>
    <x v="0"/>
    <x v="0"/>
    <x v="5"/>
    <n v="0"/>
    <n v="0"/>
    <n v="63.548999999999999"/>
    <n v="19.064699999999998"/>
    <n v="63.548999999999999"/>
    <n v="19.064699999999998"/>
    <n v="0"/>
    <s v="CATIVO"/>
    <n v="0"/>
    <n v="0"/>
    <n v="17"/>
    <n v="78"/>
    <n v="0"/>
    <n v="71.260000000000005"/>
    <n v="297.31"/>
    <m/>
    <n v="110.20411135647974"/>
    <n v="234.85968807843457"/>
    <n v="0"/>
    <n v="16395.578451000001"/>
    <n v="0"/>
    <n v="15349.921573202559"/>
    <x v="3"/>
  </r>
  <r>
    <s v="Regular"/>
    <x v="0"/>
    <x v="2"/>
    <x v="3"/>
    <x v="2"/>
    <x v="2"/>
    <x v="0"/>
    <x v="0"/>
    <x v="6"/>
    <n v="0"/>
    <n v="0"/>
    <n v="37.036999999999999"/>
    <n v="11.1111"/>
    <n v="37.036999999999999"/>
    <n v="11.1111"/>
    <n v="0"/>
    <s v="CATIVO"/>
    <n v="0"/>
    <n v="0"/>
    <n v="17"/>
    <n v="78"/>
    <n v="0"/>
    <n v="71.260000000000005"/>
    <n v="297.31"/>
    <m/>
    <n v="110.20411135647974"/>
    <n v="234.85968807843457"/>
    <n v="0"/>
    <n v="9555.5089630000002"/>
    <n v="0"/>
    <n v="8946.0895577696447"/>
    <x v="3"/>
  </r>
  <r>
    <s v="Regular"/>
    <x v="0"/>
    <x v="2"/>
    <x v="3"/>
    <x v="2"/>
    <x v="2"/>
    <x v="0"/>
    <x v="0"/>
    <x v="7"/>
    <n v="0"/>
    <n v="0"/>
    <n v="32.451999999999998"/>
    <n v="9.7355999999999998"/>
    <n v="32.451999999999998"/>
    <n v="9.7355999999999998"/>
    <n v="0"/>
    <s v="CATIVO"/>
    <n v="0"/>
    <n v="0"/>
    <n v="17"/>
    <n v="78"/>
    <n v="0"/>
    <n v="71.260000000000005"/>
    <n v="297.31"/>
    <m/>
    <n v="110.20411135647974"/>
    <n v="234.85968807843457"/>
    <n v="0"/>
    <n v="8372.5835480000005"/>
    <n v="0"/>
    <n v="7838.6072934832882"/>
    <x v="3"/>
  </r>
  <r>
    <s v="Regular"/>
    <x v="0"/>
    <x v="2"/>
    <x v="3"/>
    <x v="2"/>
    <x v="2"/>
    <x v="0"/>
    <x v="0"/>
    <x v="8"/>
    <n v="0"/>
    <n v="0"/>
    <n v="0.38200000000000001"/>
    <n v="0.11459999999999999"/>
    <n v="0.38200000000000001"/>
    <n v="0.11459999999999999"/>
    <n v="0"/>
    <s v="CATIVO"/>
    <n v="0"/>
    <n v="0"/>
    <n v="17"/>
    <n v="78"/>
    <n v="0"/>
    <n v="71.260000000000005"/>
    <n v="297.31"/>
    <m/>
    <n v="110.20411135647974"/>
    <n v="234.85968807843457"/>
    <n v="0"/>
    <n v="98.55561800000001"/>
    <n v="0"/>
    <n v="92.270059968896106"/>
    <x v="3"/>
  </r>
  <r>
    <s v="Regular"/>
    <x v="0"/>
    <x v="2"/>
    <x v="3"/>
    <x v="2"/>
    <x v="2"/>
    <x v="0"/>
    <x v="0"/>
    <x v="9"/>
    <n v="0"/>
    <n v="0"/>
    <n v="1.601"/>
    <n v="0.4803"/>
    <n v="1.601"/>
    <n v="0.4803"/>
    <n v="0"/>
    <s v="CATIVO"/>
    <n v="0"/>
    <n v="0"/>
    <n v="17"/>
    <n v="78"/>
    <n v="0"/>
    <n v="71.260000000000005"/>
    <n v="297.31"/>
    <m/>
    <n v="110.20411135647974"/>
    <n v="234.85968807843457"/>
    <n v="0"/>
    <n v="413.056399"/>
    <n v="0"/>
    <n v="386.71300002670847"/>
    <x v="3"/>
  </r>
  <r>
    <s v="Regular"/>
    <x v="0"/>
    <x v="2"/>
    <x v="3"/>
    <x v="2"/>
    <x v="2"/>
    <x v="0"/>
    <x v="0"/>
    <x v="10"/>
    <n v="0"/>
    <n v="0"/>
    <n v="1.696"/>
    <n v="0.50880000000000003"/>
    <n v="1.696"/>
    <n v="0.50880000000000003"/>
    <n v="0"/>
    <s v="CATIVO"/>
    <n v="0"/>
    <n v="0"/>
    <n v="17"/>
    <n v="78"/>
    <n v="0"/>
    <n v="71.260000000000005"/>
    <n v="297.31"/>
    <m/>
    <n v="110.20411135647974"/>
    <n v="234.85968807843457"/>
    <n v="0"/>
    <n v="437.56630399999995"/>
    <n v="0"/>
    <n v="409.65974268913021"/>
    <x v="3"/>
  </r>
  <r>
    <s v="PROJETADO"/>
    <x v="0"/>
    <x v="2"/>
    <x v="3"/>
    <x v="2"/>
    <x v="2"/>
    <x v="0"/>
    <x v="0"/>
    <x v="11"/>
    <n v="0"/>
    <n v="0"/>
    <n v="1.696"/>
    <n v="0.50880000000000003"/>
    <n v="1.696"/>
    <n v="0.50880000000000003"/>
    <n v="0"/>
    <s v="CATIVO"/>
    <n v="0"/>
    <n v="0"/>
    <n v="17"/>
    <n v="78"/>
    <n v="0"/>
    <n v="71.260000000000005"/>
    <n v="297.31"/>
    <m/>
    <n v="110.20411135647974"/>
    <n v="234.85968807843457"/>
    <n v="0"/>
    <n v="437.56630399999995"/>
    <n v="0"/>
    <n v="409.65974268913021"/>
    <x v="3"/>
  </r>
  <r>
    <s v="Regular"/>
    <x v="0"/>
    <x v="2"/>
    <x v="3"/>
    <x v="2"/>
    <x v="0"/>
    <x v="0"/>
    <x v="0"/>
    <x v="0"/>
    <n v="0"/>
    <n v="0"/>
    <n v="4.133"/>
    <n v="3.9676799999999997"/>
    <n v="4.133"/>
    <n v="3.9676799999999997"/>
    <n v="0"/>
    <s v="CATIVO"/>
    <n v="0"/>
    <n v="0"/>
    <n v="17"/>
    <n v="78"/>
    <n v="0"/>
    <n v="71.260000000000005"/>
    <n v="297.31"/>
    <m/>
    <n v="110.20411135647974"/>
    <n v="234.85968807843457"/>
    <n v="0"/>
    <n v="60.931992400000134"/>
    <n v="0"/>
    <n v="57.045947322580155"/>
    <x v="4"/>
  </r>
  <r>
    <s v="Regular"/>
    <x v="0"/>
    <x v="2"/>
    <x v="3"/>
    <x v="2"/>
    <x v="0"/>
    <x v="0"/>
    <x v="0"/>
    <x v="1"/>
    <n v="0"/>
    <n v="0"/>
    <n v="1.1839999999999999"/>
    <n v="1.1366400000000001"/>
    <n v="1.1839999999999999"/>
    <n v="1.1366400000000001"/>
    <n v="0"/>
    <s v="CATIVO"/>
    <n v="0"/>
    <n v="0"/>
    <n v="17"/>
    <n v="78"/>
    <n v="0"/>
    <n v="71.260000000000005"/>
    <n v="297.31"/>
    <m/>
    <n v="110.20411135647974"/>
    <n v="234.85968807843457"/>
    <n v="0"/>
    <n v="17.455475199999945"/>
    <n v="0"/>
    <n v="16.342221541237489"/>
    <x v="4"/>
  </r>
  <r>
    <s v="Regular"/>
    <x v="0"/>
    <x v="2"/>
    <x v="3"/>
    <x v="2"/>
    <x v="0"/>
    <x v="0"/>
    <x v="0"/>
    <x v="2"/>
    <n v="0"/>
    <n v="0"/>
    <n v="5.3810000000000002"/>
    <n v="5.1657599999999997"/>
    <n v="5.3810000000000002"/>
    <n v="5.1657599999999997"/>
    <n v="0"/>
    <s v="CATIVO"/>
    <n v="0"/>
    <n v="0"/>
    <n v="17"/>
    <n v="78"/>
    <n v="0"/>
    <n v="71.260000000000005"/>
    <n v="297.31"/>
    <m/>
    <n v="110.20411135647974"/>
    <n v="234.85968807843457"/>
    <n v="0"/>
    <n v="79.331006800000196"/>
    <n v="0"/>
    <n v="74.271532190371147"/>
    <x v="4"/>
  </r>
  <r>
    <s v="Regular"/>
    <x v="0"/>
    <x v="2"/>
    <x v="3"/>
    <x v="2"/>
    <x v="0"/>
    <x v="0"/>
    <x v="0"/>
    <x v="3"/>
    <n v="0"/>
    <n v="0"/>
    <n v="6.93"/>
    <n v="6.6528"/>
    <n v="6.93"/>
    <n v="6.6528"/>
    <n v="0"/>
    <s v="CATIVO"/>
    <n v="0"/>
    <n v="0"/>
    <n v="17"/>
    <n v="78"/>
    <n v="0"/>
    <n v="71.260000000000005"/>
    <n v="297.31"/>
    <m/>
    <n v="110.20411135647974"/>
    <n v="234.85968807843457"/>
    <n v="0"/>
    <n v="102.16760399999988"/>
    <n v="0"/>
    <n v="95.651685203358127"/>
    <x v="4"/>
  </r>
  <r>
    <s v="Regular"/>
    <x v="0"/>
    <x v="2"/>
    <x v="3"/>
    <x v="2"/>
    <x v="0"/>
    <x v="0"/>
    <x v="0"/>
    <x v="4"/>
    <n v="0"/>
    <n v="0"/>
    <n v="35.174999999999997"/>
    <n v="33.768000000000001"/>
    <n v="35.174999999999997"/>
    <n v="33.768000000000001"/>
    <n v="0"/>
    <s v="CATIVO"/>
    <n v="0"/>
    <n v="0"/>
    <n v="17"/>
    <n v="78"/>
    <n v="0"/>
    <n v="71.260000000000005"/>
    <n v="297.31"/>
    <m/>
    <n v="110.20411135647974"/>
    <n v="234.85968807843457"/>
    <n v="0"/>
    <n v="518.57798999999864"/>
    <n v="0"/>
    <n v="485.50476580492324"/>
    <x v="4"/>
  </r>
  <r>
    <s v="Regular"/>
    <x v="0"/>
    <x v="2"/>
    <x v="3"/>
    <x v="2"/>
    <x v="0"/>
    <x v="0"/>
    <x v="0"/>
    <x v="5"/>
    <n v="0"/>
    <n v="0"/>
    <n v="59.996000000000002"/>
    <n v="57.596159999999998"/>
    <n v="59.996000000000002"/>
    <n v="57.596159999999998"/>
    <n v="0"/>
    <s v="CATIVO"/>
    <n v="0"/>
    <n v="0"/>
    <n v="17"/>
    <n v="78"/>
    <n v="0"/>
    <n v="71.260000000000005"/>
    <n v="297.31"/>
    <m/>
    <n v="110.20411135647974"/>
    <n v="234.85968807843457"/>
    <n v="0"/>
    <n v="884.50902880000172"/>
    <n v="0"/>
    <n v="828.09790843588644"/>
    <x v="4"/>
  </r>
  <r>
    <s v="Regular"/>
    <x v="0"/>
    <x v="2"/>
    <x v="3"/>
    <x v="2"/>
    <x v="0"/>
    <x v="0"/>
    <x v="0"/>
    <x v="6"/>
    <n v="0"/>
    <n v="0"/>
    <n v="56.631"/>
    <n v="54.365760000000002"/>
    <n v="56.631"/>
    <n v="54.365760000000002"/>
    <n v="0"/>
    <s v="CATIVO"/>
    <n v="0"/>
    <n v="0"/>
    <n v="17"/>
    <n v="78"/>
    <n v="0"/>
    <n v="71.260000000000005"/>
    <n v="297.31"/>
    <m/>
    <n v="110.20411135647974"/>
    <n v="234.85968807843457"/>
    <n v="0"/>
    <n v="834.89950679999947"/>
    <n v="0"/>
    <n v="781.65232103194478"/>
    <x v="4"/>
  </r>
  <r>
    <s v="Regular"/>
    <x v="0"/>
    <x v="2"/>
    <x v="3"/>
    <x v="2"/>
    <x v="0"/>
    <x v="0"/>
    <x v="0"/>
    <x v="7"/>
    <n v="0"/>
    <n v="0"/>
    <n v="30.75"/>
    <n v="29.52"/>
    <n v="30.75"/>
    <n v="29.52"/>
    <n v="0"/>
    <s v="CATIVO"/>
    <n v="0"/>
    <n v="0"/>
    <n v="17"/>
    <n v="78"/>
    <n v="0"/>
    <n v="71.260000000000005"/>
    <n v="297.31"/>
    <m/>
    <n v="110.20411135647974"/>
    <n v="234.85968807843457"/>
    <n v="0"/>
    <n v="453.34110000000015"/>
    <n v="0"/>
    <n v="424.42847330494476"/>
    <x v="4"/>
  </r>
  <r>
    <s v="Regular"/>
    <x v="0"/>
    <x v="2"/>
    <x v="3"/>
    <x v="2"/>
    <x v="0"/>
    <x v="0"/>
    <x v="0"/>
    <x v="8"/>
    <n v="0"/>
    <n v="0"/>
    <n v="0.42399999999999999"/>
    <n v="0.40704000000000001"/>
    <n v="0.42399999999999999"/>
    <n v="0.40704000000000001"/>
    <n v="0"/>
    <s v="CATIVO"/>
    <n v="0"/>
    <n v="0"/>
    <n v="17"/>
    <n v="78"/>
    <n v="0"/>
    <n v="71.260000000000005"/>
    <n v="297.31"/>
    <m/>
    <n v="110.20411135647974"/>
    <n v="234.85968807843457"/>
    <n v="0"/>
    <n v="6.2509471999999917"/>
    <n v="0"/>
    <n v="5.8522820384161385"/>
    <x v="4"/>
  </r>
  <r>
    <s v="Regular"/>
    <x v="0"/>
    <x v="2"/>
    <x v="3"/>
    <x v="2"/>
    <x v="0"/>
    <x v="0"/>
    <x v="0"/>
    <x v="9"/>
    <n v="0"/>
    <n v="0"/>
    <n v="2.1419999999999999"/>
    <n v="2.0563199999999999"/>
    <n v="2.1419999999999999"/>
    <n v="2.0563199999999999"/>
    <n v="0"/>
    <s v="CATIVO"/>
    <n v="0"/>
    <n v="0"/>
    <n v="17"/>
    <n v="78"/>
    <n v="0"/>
    <n v="71.260000000000005"/>
    <n v="297.31"/>
    <m/>
    <n v="110.20411135647974"/>
    <n v="234.85968807843457"/>
    <n v="0"/>
    <n v="31.579077599999991"/>
    <n v="0"/>
    <n v="29.565066335583452"/>
    <x v="4"/>
  </r>
  <r>
    <s v="Regular"/>
    <x v="0"/>
    <x v="2"/>
    <x v="3"/>
    <x v="2"/>
    <x v="0"/>
    <x v="0"/>
    <x v="0"/>
    <x v="10"/>
    <n v="0"/>
    <n v="0"/>
    <n v="3.1789999999999998"/>
    <n v="3.0518399999999999"/>
    <n v="3.1789999999999998"/>
    <n v="3.0518399999999999"/>
    <n v="0"/>
    <s v="CATIVO"/>
    <n v="0"/>
    <n v="0"/>
    <n v="17"/>
    <n v="78"/>
    <n v="0"/>
    <n v="71.260000000000005"/>
    <n v="297.31"/>
    <m/>
    <n v="110.20411135647974"/>
    <n v="234.85968807843457"/>
    <n v="0"/>
    <n v="46.867361199999976"/>
    <n v="0"/>
    <n v="43.878312736143684"/>
    <x v="4"/>
  </r>
  <r>
    <s v="PROJETADO"/>
    <x v="0"/>
    <x v="2"/>
    <x v="3"/>
    <x v="2"/>
    <x v="0"/>
    <x v="0"/>
    <x v="0"/>
    <x v="11"/>
    <n v="0"/>
    <n v="0"/>
    <n v="3.1789999999999998"/>
    <n v="3.0518399999999999"/>
    <n v="3.1789999999999998"/>
    <n v="3.0518399999999999"/>
    <n v="0"/>
    <s v="CATIVO"/>
    <n v="0"/>
    <n v="0"/>
    <n v="17"/>
    <n v="78"/>
    <n v="0"/>
    <n v="71.260000000000005"/>
    <n v="297.31"/>
    <m/>
    <n v="110.20411135647974"/>
    <n v="234.85968807843457"/>
    <n v="0"/>
    <n v="46.867361199999976"/>
    <n v="0"/>
    <n v="43.878312736143684"/>
    <x v="4"/>
  </r>
  <r>
    <s v="Regular"/>
    <x v="0"/>
    <x v="2"/>
    <x v="3"/>
    <x v="2"/>
    <x v="0"/>
    <x v="0"/>
    <x v="2"/>
    <x v="0"/>
    <n v="981"/>
    <n v="941.76"/>
    <n v="0"/>
    <n v="0"/>
    <n v="0"/>
    <n v="0"/>
    <n v="3"/>
    <s v="CATIVO"/>
    <n v="0"/>
    <n v="19"/>
    <n v="0"/>
    <n v="0"/>
    <n v="16.29"/>
    <n v="0"/>
    <n v="0"/>
    <n v="25.700487807028669"/>
    <m/>
    <m/>
    <n v="639.21960000000013"/>
    <n v="0"/>
    <n v="1008.4871415478052"/>
    <n v="0"/>
    <x v="4"/>
  </r>
  <r>
    <s v="Regular"/>
    <x v="0"/>
    <x v="2"/>
    <x v="3"/>
    <x v="2"/>
    <x v="0"/>
    <x v="0"/>
    <x v="2"/>
    <x v="1"/>
    <n v="175"/>
    <n v="168"/>
    <n v="0"/>
    <n v="0"/>
    <n v="0"/>
    <n v="0"/>
    <n v="3"/>
    <s v="CATIVO"/>
    <n v="0"/>
    <n v="19"/>
    <n v="0"/>
    <n v="0"/>
    <n v="16.29"/>
    <n v="0"/>
    <n v="0"/>
    <n v="25.700487807028669"/>
    <m/>
    <m/>
    <n v="114.03"/>
    <n v="0"/>
    <n v="179.90341464920067"/>
    <n v="0"/>
    <x v="4"/>
  </r>
  <r>
    <s v="Regular"/>
    <x v="0"/>
    <x v="2"/>
    <x v="3"/>
    <x v="2"/>
    <x v="0"/>
    <x v="0"/>
    <x v="2"/>
    <x v="2"/>
    <n v="1001"/>
    <n v="960.96"/>
    <n v="0"/>
    <n v="0"/>
    <n v="0"/>
    <n v="0"/>
    <n v="3"/>
    <s v="CATIVO"/>
    <n v="0"/>
    <n v="19"/>
    <n v="0"/>
    <n v="0"/>
    <n v="16.29"/>
    <n v="0"/>
    <n v="0"/>
    <n v="25.700487807028669"/>
    <m/>
    <m/>
    <n v="652.25159999999937"/>
    <n v="0"/>
    <n v="1029.047531793427"/>
    <n v="0"/>
    <x v="4"/>
  </r>
  <r>
    <s v="Regular"/>
    <x v="0"/>
    <x v="2"/>
    <x v="3"/>
    <x v="2"/>
    <x v="0"/>
    <x v="0"/>
    <x v="2"/>
    <x v="3"/>
    <n v="345"/>
    <n v="331.2"/>
    <n v="0"/>
    <n v="0"/>
    <n v="0"/>
    <n v="0"/>
    <n v="3"/>
    <s v="CATIVO"/>
    <n v="0"/>
    <n v="19"/>
    <n v="0"/>
    <n v="0"/>
    <n v="16.29"/>
    <n v="0"/>
    <n v="0"/>
    <n v="25.700487807028669"/>
    <m/>
    <m/>
    <n v="224.80200000000016"/>
    <n v="0"/>
    <n v="354.66673173699593"/>
    <n v="0"/>
    <x v="4"/>
  </r>
  <r>
    <s v="Regular"/>
    <x v="0"/>
    <x v="2"/>
    <x v="3"/>
    <x v="2"/>
    <x v="0"/>
    <x v="0"/>
    <x v="2"/>
    <x v="4"/>
    <n v="381"/>
    <n v="365.76"/>
    <n v="0"/>
    <n v="0"/>
    <n v="0"/>
    <n v="0"/>
    <n v="3"/>
    <s v="CATIVO"/>
    <n v="0"/>
    <n v="19"/>
    <n v="0"/>
    <n v="0"/>
    <n v="16.29"/>
    <n v="0"/>
    <n v="0"/>
    <n v="25.700487807028669"/>
    <m/>
    <m/>
    <n v="248.25960000000015"/>
    <n v="0"/>
    <n v="391.67543417911713"/>
    <n v="0"/>
    <x v="4"/>
  </r>
  <r>
    <s v="Regular"/>
    <x v="0"/>
    <x v="2"/>
    <x v="3"/>
    <x v="2"/>
    <x v="0"/>
    <x v="0"/>
    <x v="2"/>
    <x v="5"/>
    <n v="927"/>
    <n v="889.92"/>
    <n v="0"/>
    <n v="0"/>
    <n v="0"/>
    <n v="0"/>
    <n v="3"/>
    <s v="CATIVO"/>
    <n v="0"/>
    <n v="19"/>
    <n v="0"/>
    <n v="0"/>
    <n v="16.29"/>
    <n v="0"/>
    <n v="0"/>
    <n v="25.700487807028669"/>
    <m/>
    <m/>
    <n v="604.03320000000065"/>
    <n v="0"/>
    <n v="952.97408788462405"/>
    <n v="0"/>
    <x v="4"/>
  </r>
  <r>
    <s v="Regular"/>
    <x v="0"/>
    <x v="2"/>
    <x v="3"/>
    <x v="2"/>
    <x v="0"/>
    <x v="0"/>
    <x v="2"/>
    <x v="6"/>
    <n v="635"/>
    <n v="609.6"/>
    <n v="0"/>
    <n v="0"/>
    <n v="0"/>
    <n v="0"/>
    <n v="3"/>
    <s v="CATIVO"/>
    <n v="0"/>
    <n v="19"/>
    <n v="0"/>
    <n v="0"/>
    <n v="16.29"/>
    <n v="0"/>
    <n v="0"/>
    <n v="25.700487807028669"/>
    <m/>
    <m/>
    <n v="413.76599999999962"/>
    <n v="0"/>
    <n v="652.79239029852761"/>
    <n v="0"/>
    <x v="4"/>
  </r>
  <r>
    <s v="Regular"/>
    <x v="0"/>
    <x v="2"/>
    <x v="3"/>
    <x v="2"/>
    <x v="0"/>
    <x v="0"/>
    <x v="2"/>
    <x v="7"/>
    <n v="589"/>
    <n v="565.44000000000005"/>
    <n v="0"/>
    <n v="0"/>
    <n v="0"/>
    <n v="0"/>
    <n v="3"/>
    <s v="CATIVO"/>
    <n v="0"/>
    <n v="19"/>
    <n v="0"/>
    <n v="0"/>
    <n v="16.29"/>
    <n v="0"/>
    <n v="0"/>
    <n v="25.700487807028669"/>
    <m/>
    <m/>
    <n v="383.79239999999908"/>
    <n v="0"/>
    <n v="605.50349273359404"/>
    <n v="0"/>
    <x v="4"/>
  </r>
  <r>
    <s v="Regular"/>
    <x v="0"/>
    <x v="2"/>
    <x v="3"/>
    <x v="2"/>
    <x v="0"/>
    <x v="0"/>
    <x v="2"/>
    <x v="8"/>
    <n v="102"/>
    <n v="97.92"/>
    <n v="0"/>
    <n v="0"/>
    <n v="0"/>
    <n v="0"/>
    <n v="3"/>
    <s v="CATIVO"/>
    <n v="0"/>
    <n v="19"/>
    <n v="0"/>
    <n v="0"/>
    <n v="16.29"/>
    <n v="0"/>
    <n v="0"/>
    <n v="25.700487807028669"/>
    <m/>
    <m/>
    <n v="66.463199999999972"/>
    <n v="0"/>
    <n v="104.85799025267693"/>
    <n v="0"/>
    <x v="4"/>
  </r>
  <r>
    <s v="Regular"/>
    <x v="0"/>
    <x v="2"/>
    <x v="3"/>
    <x v="2"/>
    <x v="0"/>
    <x v="0"/>
    <x v="2"/>
    <x v="9"/>
    <n v="172"/>
    <n v="165.12"/>
    <n v="0"/>
    <n v="0"/>
    <n v="0"/>
    <n v="0"/>
    <n v="3"/>
    <s v="CATIVO"/>
    <n v="0"/>
    <n v="19"/>
    <n v="0"/>
    <n v="0"/>
    <n v="16.29"/>
    <n v="0"/>
    <n v="0"/>
    <n v="25.700487807028669"/>
    <m/>
    <m/>
    <n v="112.07519999999992"/>
    <n v="0"/>
    <n v="176.81935611235713"/>
    <n v="0"/>
    <x v="4"/>
  </r>
  <r>
    <s v="Regular"/>
    <x v="0"/>
    <x v="2"/>
    <x v="3"/>
    <x v="2"/>
    <x v="0"/>
    <x v="0"/>
    <x v="2"/>
    <x v="10"/>
    <n v="177"/>
    <n v="169.92"/>
    <n v="0"/>
    <n v="0"/>
    <n v="0"/>
    <n v="0"/>
    <n v="3"/>
    <s v="CATIVO"/>
    <n v="0"/>
    <n v="19"/>
    <n v="0"/>
    <n v="0"/>
    <n v="16.29"/>
    <n v="0"/>
    <n v="0"/>
    <n v="25.700487807028669"/>
    <m/>
    <m/>
    <n v="115.3332000000002"/>
    <n v="0"/>
    <n v="181.95945367376331"/>
    <n v="0"/>
    <x v="4"/>
  </r>
  <r>
    <s v="PROJETADO"/>
    <x v="0"/>
    <x v="2"/>
    <x v="3"/>
    <x v="2"/>
    <x v="0"/>
    <x v="0"/>
    <x v="2"/>
    <x v="11"/>
    <n v="177"/>
    <n v="169.92"/>
    <n v="0"/>
    <n v="0"/>
    <n v="0"/>
    <n v="0"/>
    <n v="3"/>
    <s v="CATIVO"/>
    <n v="0"/>
    <n v="19"/>
    <n v="0"/>
    <n v="0"/>
    <n v="16.29"/>
    <n v="0"/>
    <n v="0"/>
    <n v="25.700487807028669"/>
    <m/>
    <m/>
    <n v="115.3332000000002"/>
    <n v="0"/>
    <n v="181.95945367376331"/>
    <n v="0"/>
    <x v="4"/>
  </r>
  <r>
    <s v="Regular"/>
    <x v="0"/>
    <x v="2"/>
    <x v="3"/>
    <x v="2"/>
    <x v="0"/>
    <x v="0"/>
    <x v="1"/>
    <x v="0"/>
    <n v="0"/>
    <n v="0"/>
    <n v="5.0999999999999997E-2"/>
    <n v="4.8959999999999997E-2"/>
    <n v="5.0999999999999997E-2"/>
    <n v="4.8959999999999997E-2"/>
    <n v="0"/>
    <s v="CATIVO"/>
    <n v="0"/>
    <n v="0"/>
    <n v="21"/>
    <n v="66"/>
    <n v="0"/>
    <n v="596.78"/>
    <n v="503.82"/>
    <m/>
    <n v="754.27013405435684"/>
    <n v="397.1970744485763"/>
    <n v="0"/>
    <n v="2.2452240000000003"/>
    <n v="0"/>
    <n v="2.3489931053459836"/>
    <x v="4"/>
  </r>
  <r>
    <s v="Regular"/>
    <x v="0"/>
    <x v="2"/>
    <x v="3"/>
    <x v="2"/>
    <x v="0"/>
    <x v="0"/>
    <x v="1"/>
    <x v="1"/>
    <n v="0"/>
    <n v="0"/>
    <n v="5.0999999999999997E-2"/>
    <n v="4.8959999999999997E-2"/>
    <n v="5.0999999999999997E-2"/>
    <n v="4.8959999999999997E-2"/>
    <n v="0"/>
    <s v="CATIVO"/>
    <n v="0"/>
    <n v="0"/>
    <n v="21"/>
    <n v="66"/>
    <n v="0"/>
    <n v="596.78"/>
    <n v="503.82"/>
    <m/>
    <n v="754.27013405435684"/>
    <n v="397.1970744485763"/>
    <n v="0"/>
    <n v="2.2452240000000003"/>
    <n v="0"/>
    <n v="2.3489931053459836"/>
    <x v="4"/>
  </r>
  <r>
    <s v="Regular"/>
    <x v="0"/>
    <x v="2"/>
    <x v="3"/>
    <x v="2"/>
    <x v="0"/>
    <x v="0"/>
    <x v="1"/>
    <x v="2"/>
    <n v="0"/>
    <n v="0"/>
    <n v="5.1999999999999998E-2"/>
    <n v="4.9919999999999999E-2"/>
    <n v="5.1999999999999998E-2"/>
    <n v="4.9919999999999999E-2"/>
    <n v="0"/>
    <s v="CATIVO"/>
    <n v="0"/>
    <n v="0"/>
    <n v="21"/>
    <n v="66"/>
    <n v="0"/>
    <n v="596.78"/>
    <n v="503.82"/>
    <m/>
    <n v="754.27013405435684"/>
    <n v="397.1970744485763"/>
    <n v="0"/>
    <n v="2.289247999999998"/>
    <n v="0"/>
    <n v="2.3950517936860996"/>
    <x v="4"/>
  </r>
  <r>
    <s v="Regular"/>
    <x v="0"/>
    <x v="2"/>
    <x v="3"/>
    <x v="2"/>
    <x v="0"/>
    <x v="0"/>
    <x v="1"/>
    <x v="3"/>
    <n v="0"/>
    <n v="0"/>
    <n v="7.2999999999999995E-2"/>
    <n v="7.0080000000000003E-2"/>
    <n v="7.2999999999999995E-2"/>
    <n v="7.0080000000000003E-2"/>
    <n v="0"/>
    <s v="CATIVO"/>
    <n v="0"/>
    <n v="0"/>
    <n v="21"/>
    <n v="66"/>
    <n v="0"/>
    <n v="596.78"/>
    <n v="503.82"/>
    <m/>
    <n v="754.27013405435684"/>
    <n v="397.1970744485763"/>
    <n v="0"/>
    <n v="3.2137519999999911"/>
    <n v="0"/>
    <n v="3.3622842488285558"/>
    <x v="4"/>
  </r>
  <r>
    <s v="Regular"/>
    <x v="0"/>
    <x v="2"/>
    <x v="3"/>
    <x v="2"/>
    <x v="0"/>
    <x v="0"/>
    <x v="1"/>
    <x v="4"/>
    <n v="0"/>
    <n v="0"/>
    <n v="3.5999999999999997E-2"/>
    <n v="3.456E-2"/>
    <n v="3.5999999999999997E-2"/>
    <n v="3.456E-2"/>
    <n v="0"/>
    <s v="CATIVO"/>
    <n v="0"/>
    <n v="0"/>
    <n v="21"/>
    <n v="66"/>
    <n v="0"/>
    <n v="596.78"/>
    <n v="503.82"/>
    <m/>
    <n v="754.27013405435684"/>
    <n v="397.1970744485763"/>
    <n v="0"/>
    <n v="1.5848639999999965"/>
    <n v="0"/>
    <n v="1.6581127802442202"/>
    <x v="4"/>
  </r>
  <r>
    <s v="Regular"/>
    <x v="0"/>
    <x v="2"/>
    <x v="3"/>
    <x v="2"/>
    <x v="0"/>
    <x v="0"/>
    <x v="1"/>
    <x v="5"/>
    <n v="0"/>
    <n v="0"/>
    <n v="6.9000000000000006E-2"/>
    <n v="6.6239999999999993E-2"/>
    <n v="6.9000000000000006E-2"/>
    <n v="6.6239999999999993E-2"/>
    <n v="0"/>
    <s v="CATIVO"/>
    <n v="0"/>
    <n v="0"/>
    <n v="21"/>
    <n v="66"/>
    <n v="0"/>
    <n v="596.78"/>
    <n v="503.82"/>
    <m/>
    <n v="754.27013405435684"/>
    <n v="397.1970744485763"/>
    <n v="0"/>
    <n v="3.0376560000000135"/>
    <n v="0"/>
    <n v="3.1780494954681098"/>
    <x v="4"/>
  </r>
  <r>
    <s v="Regular"/>
    <x v="0"/>
    <x v="2"/>
    <x v="3"/>
    <x v="2"/>
    <x v="0"/>
    <x v="0"/>
    <x v="1"/>
    <x v="6"/>
    <n v="0"/>
    <n v="0"/>
    <n v="0.153"/>
    <n v="0.14688000000000001"/>
    <n v="0.153"/>
    <n v="0.14688000000000001"/>
    <n v="0"/>
    <s v="CATIVO"/>
    <n v="0"/>
    <n v="0"/>
    <n v="21"/>
    <n v="66"/>
    <n v="0"/>
    <n v="596.78"/>
    <n v="503.82"/>
    <m/>
    <n v="754.27013405435684"/>
    <n v="397.1970744485763"/>
    <n v="0"/>
    <n v="6.735671999999985"/>
    <n v="0"/>
    <n v="7.0469793160379357"/>
    <x v="4"/>
  </r>
  <r>
    <s v="Regular"/>
    <x v="0"/>
    <x v="2"/>
    <x v="3"/>
    <x v="2"/>
    <x v="0"/>
    <x v="0"/>
    <x v="1"/>
    <x v="7"/>
    <n v="0"/>
    <n v="0"/>
    <n v="0.125"/>
    <n v="0.12"/>
    <n v="0.125"/>
    <n v="0.12"/>
    <n v="0"/>
    <s v="CATIVO"/>
    <n v="0"/>
    <n v="0"/>
    <n v="21"/>
    <n v="66"/>
    <n v="0"/>
    <n v="596.78"/>
    <n v="503.82"/>
    <m/>
    <n v="754.27013405435684"/>
    <n v="397.1970744485763"/>
    <n v="0"/>
    <n v="5.5030000000000046"/>
    <n v="0"/>
    <n v="5.7573360425146705"/>
    <x v="4"/>
  </r>
  <r>
    <s v="Regular"/>
    <x v="0"/>
    <x v="2"/>
    <x v="3"/>
    <x v="2"/>
    <x v="0"/>
    <x v="0"/>
    <x v="1"/>
    <x v="8"/>
    <n v="0"/>
    <n v="0"/>
    <n v="6.8000000000000005E-2"/>
    <n v="6.5280000000000005E-2"/>
    <n v="6.8000000000000005E-2"/>
    <n v="6.5280000000000005E-2"/>
    <n v="0"/>
    <s v="CATIVO"/>
    <n v="0"/>
    <n v="0"/>
    <n v="21"/>
    <n v="66"/>
    <n v="0"/>
    <n v="596.78"/>
    <n v="503.82"/>
    <m/>
    <n v="754.27013405435684"/>
    <n v="397.1970744485763"/>
    <n v="0"/>
    <n v="2.9936319999999998"/>
    <n v="0"/>
    <n v="3.1319908071279783"/>
    <x v="4"/>
  </r>
  <r>
    <s v="Regular"/>
    <x v="0"/>
    <x v="2"/>
    <x v="3"/>
    <x v="2"/>
    <x v="0"/>
    <x v="0"/>
    <x v="1"/>
    <x v="9"/>
    <n v="0"/>
    <n v="0"/>
    <n v="9.5000000000000001E-2"/>
    <n v="9.1200000000000003E-2"/>
    <n v="9.5000000000000001E-2"/>
    <n v="9.1200000000000003E-2"/>
    <n v="0"/>
    <s v="CATIVO"/>
    <n v="0"/>
    <n v="0"/>
    <n v="21"/>
    <n v="66"/>
    <n v="0"/>
    <n v="596.78"/>
    <n v="503.82"/>
    <m/>
    <n v="754.27013405435684"/>
    <n v="397.1970744485763"/>
    <n v="0"/>
    <n v="4.1822799999999978"/>
    <n v="0"/>
    <n v="4.3755753923111431"/>
    <x v="4"/>
  </r>
  <r>
    <s v="Regular"/>
    <x v="0"/>
    <x v="2"/>
    <x v="3"/>
    <x v="2"/>
    <x v="0"/>
    <x v="0"/>
    <x v="1"/>
    <x v="10"/>
    <n v="0"/>
    <n v="0"/>
    <n v="0.111"/>
    <n v="0.10656"/>
    <n v="0.111"/>
    <n v="0.10656"/>
    <n v="0"/>
    <s v="CATIVO"/>
    <n v="0"/>
    <n v="0"/>
    <n v="21"/>
    <n v="66"/>
    <n v="0"/>
    <n v="596.78"/>
    <n v="503.82"/>
    <m/>
    <n v="754.27013405435684"/>
    <n v="397.1970744485763"/>
    <n v="0"/>
    <n v="4.8866639999999997"/>
    <n v="0"/>
    <n v="5.1125144057530223"/>
    <x v="4"/>
  </r>
  <r>
    <s v="PROJETADO"/>
    <x v="0"/>
    <x v="2"/>
    <x v="3"/>
    <x v="2"/>
    <x v="0"/>
    <x v="0"/>
    <x v="1"/>
    <x v="11"/>
    <n v="0"/>
    <n v="0"/>
    <n v="0.111"/>
    <n v="0.10656"/>
    <n v="0.111"/>
    <n v="0.10656"/>
    <n v="0"/>
    <s v="CATIVO"/>
    <n v="0"/>
    <n v="0"/>
    <n v="21"/>
    <n v="66"/>
    <n v="0"/>
    <n v="596.78"/>
    <n v="503.82"/>
    <m/>
    <n v="754.27013405435684"/>
    <n v="397.1970744485763"/>
    <n v="0"/>
    <n v="4.8866639999999997"/>
    <n v="0"/>
    <n v="5.1125144057530223"/>
    <x v="4"/>
  </r>
  <r>
    <s v="Regular"/>
    <x v="0"/>
    <x v="2"/>
    <x v="3"/>
    <x v="1"/>
    <x v="0"/>
    <x v="0"/>
    <x v="0"/>
    <x v="0"/>
    <n v="0"/>
    <n v="0"/>
    <n v="82.04"/>
    <n v="78.758400000000009"/>
    <n v="82.04"/>
    <n v="78.758400000000009"/>
    <n v="0"/>
    <s v="CATIVO"/>
    <n v="0"/>
    <n v="0"/>
    <n v="17"/>
    <n v="78"/>
    <n v="0"/>
    <n v="71.260000000000005"/>
    <n v="297.31"/>
    <m/>
    <n v="110.20411135647974"/>
    <n v="234.85968807843457"/>
    <n v="0"/>
    <n v="1209.499311999999"/>
    <n v="0"/>
    <n v="1132.3613642256139"/>
    <x v="4"/>
  </r>
  <r>
    <s v="Regular"/>
    <x v="0"/>
    <x v="2"/>
    <x v="3"/>
    <x v="1"/>
    <x v="0"/>
    <x v="0"/>
    <x v="0"/>
    <x v="1"/>
    <n v="0"/>
    <n v="0"/>
    <n v="76.536000000000001"/>
    <n v="73.474559999999997"/>
    <n v="76.536000000000001"/>
    <n v="73.474559999999997"/>
    <n v="0"/>
    <s v="CATIVO"/>
    <n v="0"/>
    <n v="0"/>
    <n v="17"/>
    <n v="78"/>
    <n v="0"/>
    <n v="71.260000000000005"/>
    <n v="297.31"/>
    <m/>
    <n v="110.20411135647974"/>
    <n v="234.85968807843457"/>
    <n v="0"/>
    <n v="1128.3549408000017"/>
    <n v="0"/>
    <n v="1056.3921181420255"/>
    <x v="4"/>
  </r>
  <r>
    <s v="Regular"/>
    <x v="0"/>
    <x v="2"/>
    <x v="3"/>
    <x v="1"/>
    <x v="0"/>
    <x v="0"/>
    <x v="0"/>
    <x v="2"/>
    <n v="0"/>
    <n v="0"/>
    <n v="74.075999999999993"/>
    <n v="71.112960000000001"/>
    <n v="74.075999999999993"/>
    <n v="71.112960000000001"/>
    <n v="0"/>
    <s v="CATIVO"/>
    <n v="0"/>
    <n v="0"/>
    <n v="17"/>
    <n v="78"/>
    <n v="0"/>
    <n v="71.260000000000005"/>
    <n v="297.31"/>
    <m/>
    <n v="110.20411135647974"/>
    <n v="234.85968807843457"/>
    <n v="0"/>
    <n v="1092.0876527999972"/>
    <n v="0"/>
    <n v="1022.4378402776258"/>
    <x v="4"/>
  </r>
  <r>
    <s v="Regular"/>
    <x v="0"/>
    <x v="2"/>
    <x v="3"/>
    <x v="1"/>
    <x v="0"/>
    <x v="0"/>
    <x v="0"/>
    <x v="3"/>
    <n v="0"/>
    <n v="0"/>
    <n v="79.597999999999999"/>
    <n v="76.414079999999998"/>
    <n v="79.597999999999999"/>
    <n v="76.414079999999998"/>
    <n v="0"/>
    <s v="CATIVO"/>
    <n v="0"/>
    <n v="0"/>
    <n v="17"/>
    <n v="78"/>
    <n v="0"/>
    <n v="71.260000000000005"/>
    <n v="297.31"/>
    <m/>
    <n v="110.20411135647974"/>
    <n v="234.85968807843457"/>
    <n v="0"/>
    <n v="1173.4973944000003"/>
    <n v="0"/>
    <n v="1098.6555322968125"/>
    <x v="4"/>
  </r>
  <r>
    <s v="Regular"/>
    <x v="0"/>
    <x v="2"/>
    <x v="3"/>
    <x v="1"/>
    <x v="0"/>
    <x v="0"/>
    <x v="0"/>
    <x v="4"/>
    <n v="0"/>
    <n v="0"/>
    <n v="105.44"/>
    <n v="101.22239999999999"/>
    <n v="105.44"/>
    <n v="101.22239999999999"/>
    <n v="0"/>
    <s v="CATIVO"/>
    <n v="0"/>
    <n v="0"/>
    <n v="17"/>
    <n v="78"/>
    <n v="0"/>
    <n v="71.260000000000005"/>
    <n v="297.31"/>
    <m/>
    <n v="110.20411135647974"/>
    <n v="234.85968807843457"/>
    <n v="0"/>
    <n v="1554.4808320000016"/>
    <n v="0"/>
    <n v="1455.3410804966961"/>
    <x v="4"/>
  </r>
  <r>
    <s v="Regular"/>
    <x v="0"/>
    <x v="2"/>
    <x v="3"/>
    <x v="1"/>
    <x v="0"/>
    <x v="0"/>
    <x v="0"/>
    <x v="5"/>
    <n v="0"/>
    <n v="0"/>
    <n v="85.52"/>
    <n v="82.099199999999996"/>
    <n v="85.52"/>
    <n v="82.099199999999996"/>
    <n v="0"/>
    <s v="CATIVO"/>
    <n v="0"/>
    <n v="0"/>
    <n v="17"/>
    <n v="78"/>
    <n v="0"/>
    <n v="71.260000000000005"/>
    <n v="297.31"/>
    <m/>
    <n v="110.20411135647974"/>
    <n v="234.85968807843457"/>
    <n v="0"/>
    <n v="1260.8042559999999"/>
    <n v="0"/>
    <n v="1180.3942451069547"/>
    <x v="4"/>
  </r>
  <r>
    <s v="Regular"/>
    <x v="0"/>
    <x v="2"/>
    <x v="3"/>
    <x v="1"/>
    <x v="0"/>
    <x v="0"/>
    <x v="0"/>
    <x v="6"/>
    <n v="0"/>
    <n v="0"/>
    <n v="110.642"/>
    <n v="106.21632"/>
    <n v="110.642"/>
    <n v="106.21632"/>
    <n v="0"/>
    <s v="CATIVO"/>
    <n v="0"/>
    <n v="0"/>
    <n v="17"/>
    <n v="78"/>
    <n v="0"/>
    <n v="71.260000000000005"/>
    <n v="297.31"/>
    <m/>
    <n v="110.20411135647974"/>
    <n v="234.85968807843457"/>
    <n v="0"/>
    <n v="1631.1728776"/>
    <n v="0"/>
    <n v="1527.1419558831115"/>
    <x v="4"/>
  </r>
  <r>
    <s v="Regular"/>
    <x v="0"/>
    <x v="2"/>
    <x v="3"/>
    <x v="1"/>
    <x v="0"/>
    <x v="0"/>
    <x v="0"/>
    <x v="7"/>
    <n v="0"/>
    <n v="0"/>
    <n v="104.31"/>
    <n v="100.13760000000001"/>
    <n v="104.31"/>
    <n v="100.13760000000001"/>
    <n v="0"/>
    <s v="CATIVO"/>
    <n v="0"/>
    <n v="0"/>
    <n v="17"/>
    <n v="78"/>
    <n v="0"/>
    <n v="71.260000000000005"/>
    <n v="297.31"/>
    <m/>
    <n v="110.20411135647974"/>
    <n v="234.85968807843457"/>
    <n v="0"/>
    <n v="1537.8214679999985"/>
    <n v="0"/>
    <n v="1439.7441967622351"/>
    <x v="4"/>
  </r>
  <r>
    <s v="Regular"/>
    <x v="0"/>
    <x v="2"/>
    <x v="3"/>
    <x v="1"/>
    <x v="0"/>
    <x v="0"/>
    <x v="0"/>
    <x v="8"/>
    <n v="0"/>
    <n v="0"/>
    <n v="115.179"/>
    <n v="110.57183999999999"/>
    <n v="115.179"/>
    <n v="110.57183999999999"/>
    <n v="0"/>
    <s v="CATIVO"/>
    <n v="0"/>
    <n v="0"/>
    <n v="17"/>
    <n v="78"/>
    <n v="0"/>
    <n v="71.260000000000005"/>
    <n v="297.31"/>
    <m/>
    <n v="110.20411135647974"/>
    <n v="234.85968807843457"/>
    <n v="0"/>
    <n v="1698.0609612000028"/>
    <n v="0"/>
    <n v="1589.7641342045624"/>
    <x v="4"/>
  </r>
  <r>
    <s v="Regular"/>
    <x v="0"/>
    <x v="2"/>
    <x v="3"/>
    <x v="1"/>
    <x v="0"/>
    <x v="0"/>
    <x v="0"/>
    <x v="9"/>
    <n v="0"/>
    <n v="0"/>
    <n v="144.667"/>
    <n v="138.88032000000001"/>
    <n v="144.667"/>
    <n v="138.88032000000001"/>
    <n v="0"/>
    <s v="CATIVO"/>
    <n v="0"/>
    <n v="0"/>
    <n v="17"/>
    <n v="78"/>
    <n v="0"/>
    <n v="71.260000000000005"/>
    <n v="297.31"/>
    <m/>
    <n v="110.20411135647974"/>
    <n v="234.85968807843457"/>
    <n v="0"/>
    <n v="2132.7966475999965"/>
    <n v="0"/>
    <n v="1996.7737869140265"/>
    <x v="4"/>
  </r>
  <r>
    <s v="Regular"/>
    <x v="0"/>
    <x v="2"/>
    <x v="3"/>
    <x v="1"/>
    <x v="0"/>
    <x v="0"/>
    <x v="0"/>
    <x v="10"/>
    <n v="0"/>
    <n v="0"/>
    <n v="117.187"/>
    <n v="112.49952"/>
    <n v="117.187"/>
    <n v="112.49952"/>
    <n v="0"/>
    <s v="CATIVO"/>
    <n v="0"/>
    <n v="0"/>
    <n v="17"/>
    <n v="78"/>
    <n v="0"/>
    <n v="71.260000000000005"/>
    <n v="297.31"/>
    <m/>
    <n v="110.20411135647974"/>
    <n v="234.85968807843457"/>
    <n v="0"/>
    <n v="1727.6645035999977"/>
    <n v="0"/>
    <n v="1617.4796585751701"/>
    <x v="4"/>
  </r>
  <r>
    <s v="PROJETADO"/>
    <x v="0"/>
    <x v="2"/>
    <x v="3"/>
    <x v="1"/>
    <x v="0"/>
    <x v="0"/>
    <x v="0"/>
    <x v="11"/>
    <n v="0"/>
    <n v="0"/>
    <n v="117.187"/>
    <n v="112.49952"/>
    <n v="117.187"/>
    <n v="112.49952"/>
    <n v="0"/>
    <s v="CATIVO"/>
    <n v="0"/>
    <n v="0"/>
    <n v="17"/>
    <n v="78"/>
    <n v="0"/>
    <n v="71.260000000000005"/>
    <n v="297.31"/>
    <m/>
    <n v="110.20411135647974"/>
    <n v="234.85968807843457"/>
    <n v="0"/>
    <n v="1727.6645035999977"/>
    <n v="0"/>
    <n v="1617.4796585751701"/>
    <x v="4"/>
  </r>
  <r>
    <s v="Regular"/>
    <x v="0"/>
    <x v="2"/>
    <x v="3"/>
    <x v="1"/>
    <x v="0"/>
    <x v="0"/>
    <x v="2"/>
    <x v="0"/>
    <n v="518"/>
    <n v="497.28"/>
    <n v="0"/>
    <n v="0"/>
    <n v="0"/>
    <n v="0"/>
    <n v="5"/>
    <s v="CATIVO"/>
    <n v="0"/>
    <n v="19"/>
    <n v="0"/>
    <n v="0"/>
    <n v="16.29"/>
    <n v="0"/>
    <n v="0"/>
    <n v="25.700487807028669"/>
    <m/>
    <m/>
    <n v="337.52880000000044"/>
    <n v="0"/>
    <n v="532.51410736163473"/>
    <n v="0"/>
    <x v="4"/>
  </r>
  <r>
    <s v="Regular"/>
    <x v="0"/>
    <x v="2"/>
    <x v="3"/>
    <x v="1"/>
    <x v="0"/>
    <x v="0"/>
    <x v="2"/>
    <x v="1"/>
    <n v="380"/>
    <n v="364.8"/>
    <n v="0"/>
    <n v="0"/>
    <n v="0"/>
    <n v="0"/>
    <n v="5"/>
    <s v="CATIVO"/>
    <n v="0"/>
    <n v="19"/>
    <n v="0"/>
    <n v="0"/>
    <n v="16.29"/>
    <n v="0"/>
    <n v="0"/>
    <n v="25.700487807028669"/>
    <m/>
    <m/>
    <n v="247.60799999999981"/>
    <n v="0"/>
    <n v="390.64741466683546"/>
    <n v="0"/>
    <x v="4"/>
  </r>
  <r>
    <s v="Regular"/>
    <x v="0"/>
    <x v="2"/>
    <x v="3"/>
    <x v="1"/>
    <x v="0"/>
    <x v="0"/>
    <x v="2"/>
    <x v="2"/>
    <n v="321"/>
    <n v="308.16000000000003"/>
    <n v="0"/>
    <n v="0"/>
    <n v="0"/>
    <n v="0"/>
    <n v="5"/>
    <s v="CATIVO"/>
    <n v="0"/>
    <n v="19"/>
    <n v="0"/>
    <n v="0"/>
    <n v="16.29"/>
    <n v="0"/>
    <n v="0"/>
    <n v="25.700487807028669"/>
    <m/>
    <m/>
    <n v="209.16359999999958"/>
    <n v="0"/>
    <n v="329.99426344224747"/>
    <n v="0"/>
    <x v="4"/>
  </r>
  <r>
    <s v="Regular"/>
    <x v="0"/>
    <x v="2"/>
    <x v="3"/>
    <x v="1"/>
    <x v="0"/>
    <x v="0"/>
    <x v="2"/>
    <x v="3"/>
    <n v="450"/>
    <n v="432"/>
    <n v="0"/>
    <n v="0"/>
    <n v="0"/>
    <n v="0"/>
    <n v="5"/>
    <s v="CATIVO"/>
    <n v="0"/>
    <n v="19"/>
    <n v="0"/>
    <n v="0"/>
    <n v="16.29"/>
    <n v="0"/>
    <n v="0"/>
    <n v="25.700487807028669"/>
    <m/>
    <m/>
    <n v="293.21999999999997"/>
    <n v="0"/>
    <n v="462.60878052651606"/>
    <n v="0"/>
    <x v="4"/>
  </r>
  <r>
    <s v="Regular"/>
    <x v="0"/>
    <x v="2"/>
    <x v="3"/>
    <x v="1"/>
    <x v="0"/>
    <x v="0"/>
    <x v="2"/>
    <x v="4"/>
    <n v="537"/>
    <n v="515.52"/>
    <n v="0"/>
    <n v="0"/>
    <n v="0"/>
    <n v="0"/>
    <n v="5"/>
    <s v="CATIVO"/>
    <n v="0"/>
    <n v="19"/>
    <n v="0"/>
    <n v="0"/>
    <n v="16.29"/>
    <n v="0"/>
    <n v="0"/>
    <n v="25.700487807028669"/>
    <m/>
    <m/>
    <n v="349.90920000000028"/>
    <n v="0"/>
    <n v="552.04647809497624"/>
    <n v="0"/>
    <x v="4"/>
  </r>
  <r>
    <s v="Regular"/>
    <x v="0"/>
    <x v="2"/>
    <x v="3"/>
    <x v="1"/>
    <x v="0"/>
    <x v="0"/>
    <x v="2"/>
    <x v="5"/>
    <n v="404"/>
    <n v="387.84"/>
    <n v="0"/>
    <n v="0"/>
    <n v="0"/>
    <n v="0"/>
    <n v="5"/>
    <s v="CATIVO"/>
    <n v="0"/>
    <n v="19"/>
    <n v="0"/>
    <n v="0"/>
    <n v="16.29"/>
    <n v="0"/>
    <n v="0"/>
    <n v="25.700487807028669"/>
    <m/>
    <m/>
    <n v="263.24640000000039"/>
    <n v="0"/>
    <n v="415.31988296158391"/>
    <n v="0"/>
    <x v="4"/>
  </r>
  <r>
    <s v="Regular"/>
    <x v="0"/>
    <x v="2"/>
    <x v="3"/>
    <x v="1"/>
    <x v="0"/>
    <x v="0"/>
    <x v="2"/>
    <x v="6"/>
    <n v="525"/>
    <n v="504"/>
    <n v="0"/>
    <n v="0"/>
    <n v="0"/>
    <n v="0"/>
    <n v="5"/>
    <s v="CATIVO"/>
    <n v="0"/>
    <n v="19"/>
    <n v="0"/>
    <n v="0"/>
    <n v="16.29"/>
    <n v="0"/>
    <n v="0"/>
    <n v="25.700487807028669"/>
    <m/>
    <m/>
    <n v="342.09"/>
    <n v="0"/>
    <n v="539.71024394760207"/>
    <n v="0"/>
    <x v="4"/>
  </r>
  <r>
    <s v="Regular"/>
    <x v="0"/>
    <x v="2"/>
    <x v="3"/>
    <x v="1"/>
    <x v="0"/>
    <x v="0"/>
    <x v="2"/>
    <x v="7"/>
    <n v="595"/>
    <n v="571.20000000000005"/>
    <n v="0"/>
    <n v="0"/>
    <n v="0"/>
    <n v="0"/>
    <n v="5"/>
    <s v="CATIVO"/>
    <n v="0"/>
    <n v="19"/>
    <n v="0"/>
    <n v="0"/>
    <n v="16.29"/>
    <n v="0"/>
    <n v="0"/>
    <n v="25.700487807028669"/>
    <m/>
    <m/>
    <n v="387.70199999999926"/>
    <n v="0"/>
    <n v="611.67160980728113"/>
    <n v="0"/>
    <x v="4"/>
  </r>
  <r>
    <s v="Regular"/>
    <x v="0"/>
    <x v="2"/>
    <x v="3"/>
    <x v="1"/>
    <x v="0"/>
    <x v="0"/>
    <x v="2"/>
    <x v="8"/>
    <n v="737"/>
    <n v="707.52"/>
    <n v="0"/>
    <n v="0"/>
    <n v="0"/>
    <n v="0"/>
    <n v="5"/>
    <s v="CATIVO"/>
    <n v="0"/>
    <n v="19"/>
    <n v="0"/>
    <n v="0"/>
    <n v="16.29"/>
    <n v="0"/>
    <n v="0"/>
    <n v="25.700487807028669"/>
    <m/>
    <m/>
    <n v="480.22920000000028"/>
    <n v="0"/>
    <n v="757.65038055120567"/>
    <n v="0"/>
    <x v="4"/>
  </r>
  <r>
    <s v="Regular"/>
    <x v="0"/>
    <x v="2"/>
    <x v="3"/>
    <x v="1"/>
    <x v="0"/>
    <x v="0"/>
    <x v="2"/>
    <x v="9"/>
    <n v="810"/>
    <n v="777.6"/>
    <n v="0"/>
    <n v="0"/>
    <n v="0"/>
    <n v="0"/>
    <n v="5"/>
    <s v="CATIVO"/>
    <n v="0"/>
    <n v="19"/>
    <n v="0"/>
    <n v="0"/>
    <n v="16.29"/>
    <n v="0"/>
    <n v="0"/>
    <n v="25.700487807028669"/>
    <m/>
    <m/>
    <n v="527.79599999999959"/>
    <n v="0"/>
    <n v="832.69580494772833"/>
    <n v="0"/>
    <x v="4"/>
  </r>
  <r>
    <s v="Regular"/>
    <x v="0"/>
    <x v="2"/>
    <x v="3"/>
    <x v="1"/>
    <x v="0"/>
    <x v="0"/>
    <x v="2"/>
    <x v="10"/>
    <n v="773"/>
    <n v="742.08"/>
    <n v="0"/>
    <n v="0"/>
    <n v="0"/>
    <n v="0"/>
    <n v="5"/>
    <s v="CATIVO"/>
    <n v="0"/>
    <n v="19"/>
    <n v="0"/>
    <n v="0"/>
    <n v="16.29"/>
    <n v="0"/>
    <n v="0"/>
    <n v="25.700487807028669"/>
    <m/>
    <m/>
    <n v="503.68679999999932"/>
    <n v="0"/>
    <n v="794.65908299332534"/>
    <n v="0"/>
    <x v="4"/>
  </r>
  <r>
    <s v="PROJETADO"/>
    <x v="0"/>
    <x v="2"/>
    <x v="3"/>
    <x v="1"/>
    <x v="0"/>
    <x v="0"/>
    <x v="2"/>
    <x v="11"/>
    <n v="773"/>
    <n v="742.08"/>
    <n v="0"/>
    <n v="0"/>
    <n v="0"/>
    <n v="0"/>
    <n v="5"/>
    <s v="CATIVO"/>
    <n v="0"/>
    <n v="19"/>
    <n v="0"/>
    <n v="0"/>
    <n v="16.29"/>
    <n v="0"/>
    <n v="0"/>
    <n v="25.700487807028669"/>
    <m/>
    <m/>
    <n v="503.68679999999932"/>
    <n v="0"/>
    <n v="794.65908299332534"/>
    <n v="0"/>
    <x v="4"/>
  </r>
  <r>
    <s v="Regular"/>
    <x v="0"/>
    <x v="2"/>
    <x v="3"/>
    <x v="1"/>
    <x v="0"/>
    <x v="0"/>
    <x v="1"/>
    <x v="0"/>
    <n v="0"/>
    <n v="0"/>
    <n v="3.0960000000000001"/>
    <n v="2.9721600000000001"/>
    <n v="3.0960000000000001"/>
    <n v="2.9721600000000001"/>
    <n v="0"/>
    <s v="CATIVO"/>
    <n v="0"/>
    <n v="0"/>
    <n v="21"/>
    <n v="66"/>
    <n v="0"/>
    <n v="596.78"/>
    <n v="503.82"/>
    <m/>
    <n v="754.27013405435684"/>
    <n v="397.1970744485763"/>
    <n v="0"/>
    <n v="136.29830399999994"/>
    <n v="0"/>
    <n v="142.59769910100317"/>
    <x v="4"/>
  </r>
  <r>
    <s v="Regular"/>
    <x v="0"/>
    <x v="2"/>
    <x v="3"/>
    <x v="1"/>
    <x v="0"/>
    <x v="0"/>
    <x v="1"/>
    <x v="1"/>
    <n v="0"/>
    <n v="0"/>
    <n v="3.1389999999999998"/>
    <n v="3.0134400000000001"/>
    <n v="3.1389999999999998"/>
    <n v="3.0134400000000001"/>
    <n v="0"/>
    <s v="CATIVO"/>
    <n v="0"/>
    <n v="0"/>
    <n v="21"/>
    <n v="66"/>
    <n v="0"/>
    <n v="596.78"/>
    <n v="503.82"/>
    <m/>
    <n v="754.27013405435684"/>
    <n v="397.1970744485763"/>
    <n v="0"/>
    <n v="138.19133599999964"/>
    <n v="0"/>
    <n v="144.57822269962793"/>
    <x v="4"/>
  </r>
  <r>
    <s v="Regular"/>
    <x v="0"/>
    <x v="2"/>
    <x v="3"/>
    <x v="1"/>
    <x v="0"/>
    <x v="0"/>
    <x v="1"/>
    <x v="2"/>
    <n v="0"/>
    <n v="0"/>
    <n v="3.145"/>
    <n v="3.0192000000000001"/>
    <n v="3.145"/>
    <n v="3.0192000000000001"/>
    <n v="0"/>
    <s v="CATIVO"/>
    <n v="0"/>
    <n v="0"/>
    <n v="21"/>
    <n v="66"/>
    <n v="0"/>
    <n v="596.78"/>
    <n v="503.82"/>
    <m/>
    <n v="754.27013405435684"/>
    <n v="397.1970744485763"/>
    <n v="0"/>
    <n v="138.45547999999991"/>
    <n v="0"/>
    <n v="144.85457482966888"/>
    <x v="4"/>
  </r>
  <r>
    <s v="Regular"/>
    <x v="0"/>
    <x v="2"/>
    <x v="3"/>
    <x v="1"/>
    <x v="0"/>
    <x v="0"/>
    <x v="1"/>
    <x v="3"/>
    <n v="0"/>
    <n v="0"/>
    <n v="7.8280000000000003"/>
    <n v="7.5148799999999998"/>
    <n v="7.8280000000000003"/>
    <n v="7.5148799999999998"/>
    <n v="0"/>
    <s v="CATIVO"/>
    <n v="0"/>
    <n v="0"/>
    <n v="21"/>
    <n v="66"/>
    <n v="0"/>
    <n v="596.78"/>
    <n v="503.82"/>
    <m/>
    <n v="754.27013405435684"/>
    <n v="397.1970744485763"/>
    <n v="0"/>
    <n v="344.61987200000056"/>
    <n v="0"/>
    <n v="360.54741232643903"/>
    <x v="4"/>
  </r>
  <r>
    <s v="Regular"/>
    <x v="0"/>
    <x v="2"/>
    <x v="3"/>
    <x v="1"/>
    <x v="0"/>
    <x v="0"/>
    <x v="1"/>
    <x v="4"/>
    <n v="0"/>
    <n v="0"/>
    <n v="9.3659999999999997"/>
    <n v="8.9913600000000002"/>
    <n v="9.3659999999999997"/>
    <n v="8.9913600000000002"/>
    <n v="0"/>
    <s v="CATIVO"/>
    <n v="0"/>
    <n v="0"/>
    <n v="21"/>
    <n v="66"/>
    <n v="0"/>
    <n v="596.78"/>
    <n v="503.82"/>
    <m/>
    <n v="754.27013405435684"/>
    <n v="397.1970744485763"/>
    <n v="0"/>
    <n v="412.32878399999936"/>
    <n v="0"/>
    <n v="431.3856749935382"/>
    <x v="4"/>
  </r>
  <r>
    <s v="Regular"/>
    <x v="0"/>
    <x v="2"/>
    <x v="3"/>
    <x v="1"/>
    <x v="0"/>
    <x v="0"/>
    <x v="1"/>
    <x v="5"/>
    <n v="0"/>
    <n v="0"/>
    <n v="3.806"/>
    <n v="3.6537600000000001"/>
    <n v="3.806"/>
    <n v="3.6537600000000001"/>
    <n v="0"/>
    <s v="CATIVO"/>
    <n v="0"/>
    <n v="0"/>
    <n v="21"/>
    <n v="66"/>
    <n v="0"/>
    <n v="596.78"/>
    <n v="503.82"/>
    <m/>
    <n v="754.27013405435684"/>
    <n v="397.1970744485763"/>
    <n v="0"/>
    <n v="167.55534399999993"/>
    <n v="0"/>
    <n v="175.29936782248646"/>
    <x v="4"/>
  </r>
  <r>
    <s v="Regular"/>
    <x v="0"/>
    <x v="2"/>
    <x v="3"/>
    <x v="1"/>
    <x v="0"/>
    <x v="0"/>
    <x v="1"/>
    <x v="6"/>
    <n v="0"/>
    <n v="0"/>
    <n v="6.9459999999999997"/>
    <n v="6.6681600000000003"/>
    <n v="6.9459999999999997"/>
    <n v="6.6681600000000003"/>
    <n v="0"/>
    <s v="CATIVO"/>
    <n v="0"/>
    <n v="0"/>
    <n v="21"/>
    <n v="66"/>
    <n v="0"/>
    <n v="596.78"/>
    <n v="503.82"/>
    <m/>
    <n v="754.27013405435684"/>
    <n v="397.1970744485763"/>
    <n v="0"/>
    <n v="305.79070399999932"/>
    <n v="0"/>
    <n v="319.9236492104543"/>
    <x v="4"/>
  </r>
  <r>
    <s v="Regular"/>
    <x v="0"/>
    <x v="2"/>
    <x v="3"/>
    <x v="1"/>
    <x v="0"/>
    <x v="0"/>
    <x v="1"/>
    <x v="7"/>
    <n v="0"/>
    <n v="0"/>
    <n v="7.7380000000000004"/>
    <n v="7.4284800000000004"/>
    <n v="7.7380000000000004"/>
    <n v="7.4284800000000004"/>
    <n v="0"/>
    <s v="CATIVO"/>
    <n v="0"/>
    <n v="0"/>
    <n v="21"/>
    <n v="66"/>
    <n v="0"/>
    <n v="596.78"/>
    <n v="503.82"/>
    <m/>
    <n v="754.27013405435684"/>
    <n v="397.1970744485763"/>
    <n v="0"/>
    <n v="340.657712"/>
    <n v="0"/>
    <n v="356.40213037582788"/>
    <x v="4"/>
  </r>
  <r>
    <s v="Regular"/>
    <x v="0"/>
    <x v="2"/>
    <x v="3"/>
    <x v="1"/>
    <x v="0"/>
    <x v="0"/>
    <x v="1"/>
    <x v="8"/>
    <n v="0"/>
    <n v="0"/>
    <n v="12.128"/>
    <n v="11.64288"/>
    <n v="12.128"/>
    <n v="11.64288"/>
    <n v="0"/>
    <s v="CATIVO"/>
    <n v="0"/>
    <n v="0"/>
    <n v="21"/>
    <n v="66"/>
    <n v="0"/>
    <n v="596.78"/>
    <n v="503.82"/>
    <m/>
    <n v="754.27013405435684"/>
    <n v="397.1970744485763"/>
    <n v="0"/>
    <n v="533.92307200000027"/>
    <n v="0"/>
    <n v="558.59977218894323"/>
    <x v="4"/>
  </r>
  <r>
    <s v="Regular"/>
    <x v="0"/>
    <x v="2"/>
    <x v="3"/>
    <x v="1"/>
    <x v="0"/>
    <x v="0"/>
    <x v="1"/>
    <x v="9"/>
    <n v="0"/>
    <n v="0"/>
    <n v="13.789"/>
    <n v="13.237439999999999"/>
    <n v="13.789"/>
    <n v="13.237439999999999"/>
    <n v="0"/>
    <s v="CATIVO"/>
    <n v="0"/>
    <n v="0"/>
    <n v="21"/>
    <n v="66"/>
    <n v="0"/>
    <n v="596.78"/>
    <n v="503.82"/>
    <m/>
    <n v="754.27013405435684"/>
    <n v="397.1970744485763"/>
    <n v="0"/>
    <n v="607.0469360000003"/>
    <n v="0"/>
    <n v="635.10325352187806"/>
    <x v="4"/>
  </r>
  <r>
    <s v="Regular"/>
    <x v="0"/>
    <x v="2"/>
    <x v="3"/>
    <x v="1"/>
    <x v="0"/>
    <x v="0"/>
    <x v="1"/>
    <x v="10"/>
    <n v="0"/>
    <n v="0"/>
    <n v="8.1319999999999997"/>
    <n v="7.8067200000000003"/>
    <n v="8.1319999999999997"/>
    <n v="7.8067200000000003"/>
    <n v="0"/>
    <s v="CATIVO"/>
    <n v="0"/>
    <n v="0"/>
    <n v="21"/>
    <n v="66"/>
    <n v="0"/>
    <n v="596.78"/>
    <n v="503.82"/>
    <m/>
    <n v="754.27013405435684"/>
    <n v="397.1970744485763"/>
    <n v="0"/>
    <n v="358.00316799999928"/>
    <n v="0"/>
    <n v="374.54925358183334"/>
    <x v="4"/>
  </r>
  <r>
    <s v="PROJETADO"/>
    <x v="0"/>
    <x v="2"/>
    <x v="3"/>
    <x v="1"/>
    <x v="0"/>
    <x v="0"/>
    <x v="1"/>
    <x v="11"/>
    <n v="0"/>
    <n v="0"/>
    <n v="8.1319999999999997"/>
    <n v="7.8067200000000003"/>
    <n v="8.1319999999999997"/>
    <n v="7.8067200000000003"/>
    <n v="0"/>
    <s v="CATIVO"/>
    <n v="0"/>
    <n v="0"/>
    <n v="21"/>
    <n v="66"/>
    <n v="0"/>
    <n v="596.78"/>
    <n v="503.82"/>
    <m/>
    <n v="754.27013405435684"/>
    <n v="397.1970744485763"/>
    <n v="0"/>
    <n v="358.00316799999928"/>
    <n v="0"/>
    <n v="374.54925358183334"/>
    <x v="4"/>
  </r>
  <r>
    <s v="Regular"/>
    <x v="1"/>
    <x v="3"/>
    <x v="4"/>
    <x v="3"/>
    <x v="0"/>
    <x v="0"/>
    <x v="2"/>
    <x v="0"/>
    <n v="0"/>
    <n v="0"/>
    <n v="3154.2910000000002"/>
    <n v="3154.2910000000002"/>
    <n v="3154.2910000000002"/>
    <n v="3154.2910000000002"/>
    <n v="16524"/>
    <s v="CATIVO"/>
    <n v="0"/>
    <n v="0"/>
    <n v="12"/>
    <n v="48"/>
    <n v="0"/>
    <n v="326.98"/>
    <n v="314.52"/>
    <m/>
    <n v="374.7229828513768"/>
    <n v="248.38780360927973"/>
    <n v="0"/>
    <n v="0"/>
    <n v="0"/>
    <n v="0"/>
    <x v="5"/>
  </r>
  <r>
    <s v="Regular"/>
    <x v="1"/>
    <x v="3"/>
    <x v="4"/>
    <x v="4"/>
    <x v="0"/>
    <x v="0"/>
    <x v="2"/>
    <x v="0"/>
    <n v="0"/>
    <n v="0"/>
    <n v="18.510000000000002"/>
    <n v="18.510000000000002"/>
    <n v="18.510000000000002"/>
    <n v="18.510000000000002"/>
    <n v="23"/>
    <s v="CATIVO"/>
    <n v="0"/>
    <n v="0"/>
    <n v="14"/>
    <n v="52"/>
    <n v="0"/>
    <n v="88.57"/>
    <n v="110.08"/>
    <m/>
    <n v="89.009346396352143"/>
    <n v="86.935731263247902"/>
    <n v="0"/>
    <n v="6828.5240999999996"/>
    <n v="0"/>
    <n v="6048.2377196042244"/>
    <x v="6"/>
  </r>
  <r>
    <s v="Regular"/>
    <x v="1"/>
    <x v="3"/>
    <x v="4"/>
    <x v="4"/>
    <x v="0"/>
    <x v="0"/>
    <x v="2"/>
    <x v="1"/>
    <n v="0"/>
    <n v="0"/>
    <n v="18.72"/>
    <n v="18.72"/>
    <n v="18.72"/>
    <n v="18.72"/>
    <n v="18"/>
    <s v="CATIVO"/>
    <n v="0"/>
    <n v="0"/>
    <n v="14"/>
    <n v="52"/>
    <n v="0"/>
    <n v="88.57"/>
    <n v="110.08"/>
    <m/>
    <n v="89.009346396352143"/>
    <n v="86.935731263247902"/>
    <n v="0"/>
    <n v="6905.9951999999994"/>
    <n v="0"/>
    <n v="6116.8562998914676"/>
    <x v="6"/>
  </r>
  <r>
    <s v="Regular"/>
    <x v="1"/>
    <x v="3"/>
    <x v="4"/>
    <x v="4"/>
    <x v="0"/>
    <x v="0"/>
    <x v="2"/>
    <x v="2"/>
    <n v="0"/>
    <n v="0"/>
    <n v="18.93"/>
    <n v="18.93"/>
    <n v="18.93"/>
    <n v="18.93"/>
    <n v="16"/>
    <s v="CATIVO"/>
    <n v="0"/>
    <n v="0"/>
    <n v="14"/>
    <n v="52"/>
    <n v="0"/>
    <n v="88.57"/>
    <n v="110.08"/>
    <m/>
    <n v="89.009346396352143"/>
    <n v="86.935731263247902"/>
    <n v="0"/>
    <n v="6983.4662999999991"/>
    <n v="0"/>
    <n v="6185.4748801787118"/>
    <x v="6"/>
  </r>
  <r>
    <s v="Regular"/>
    <x v="1"/>
    <x v="3"/>
    <x v="4"/>
    <x v="4"/>
    <x v="0"/>
    <x v="0"/>
    <x v="2"/>
    <x v="3"/>
    <n v="0"/>
    <n v="0"/>
    <n v="19.02"/>
    <n v="19.02"/>
    <n v="19.02"/>
    <n v="19.02"/>
    <n v="19"/>
    <s v="CATIVO"/>
    <n v="0"/>
    <n v="0"/>
    <n v="14"/>
    <n v="52"/>
    <n v="0"/>
    <n v="88.57"/>
    <n v="110.08"/>
    <m/>
    <n v="89.009346396352143"/>
    <n v="86.935731263247902"/>
    <n v="0"/>
    <n v="7016.6681999999992"/>
    <n v="0"/>
    <n v="6214.8828431589591"/>
    <x v="6"/>
  </r>
  <r>
    <s v="Regular"/>
    <x v="1"/>
    <x v="3"/>
    <x v="4"/>
    <x v="4"/>
    <x v="0"/>
    <x v="0"/>
    <x v="2"/>
    <x v="4"/>
    <n v="0"/>
    <n v="0"/>
    <n v="19.14"/>
    <n v="19.14"/>
    <n v="19.14"/>
    <n v="19.14"/>
    <n v="14"/>
    <s v="CATIVO"/>
    <n v="0"/>
    <n v="0"/>
    <n v="14"/>
    <n v="52"/>
    <n v="0"/>
    <n v="88.57"/>
    <n v="110.08"/>
    <m/>
    <n v="89.009346396352143"/>
    <n v="86.935731263247902"/>
    <n v="0"/>
    <n v="7060.9373999999998"/>
    <n v="0"/>
    <n v="6254.093460465956"/>
    <x v="6"/>
  </r>
  <r>
    <s v="Regular"/>
    <x v="1"/>
    <x v="3"/>
    <x v="4"/>
    <x v="4"/>
    <x v="0"/>
    <x v="0"/>
    <x v="2"/>
    <x v="5"/>
    <n v="0"/>
    <n v="0"/>
    <n v="19.260000000000002"/>
    <n v="19.260000000000002"/>
    <n v="19.260000000000002"/>
    <n v="19.260000000000002"/>
    <n v="14"/>
    <s v="CATIVO"/>
    <n v="0"/>
    <n v="0"/>
    <n v="14"/>
    <n v="52"/>
    <n v="0"/>
    <n v="88.57"/>
    <n v="110.08"/>
    <m/>
    <n v="89.009346396352143"/>
    <n v="86.935731263247902"/>
    <n v="0"/>
    <n v="7105.2065999999995"/>
    <n v="0"/>
    <n v="6293.304077772953"/>
    <x v="6"/>
  </r>
  <r>
    <s v="Regular"/>
    <x v="1"/>
    <x v="3"/>
    <x v="4"/>
    <x v="4"/>
    <x v="0"/>
    <x v="0"/>
    <x v="2"/>
    <x v="6"/>
    <n v="0"/>
    <n v="0"/>
    <n v="23.800999999999998"/>
    <n v="23.800999999999998"/>
    <n v="23.800999999999998"/>
    <n v="23.800999999999998"/>
    <n v="17"/>
    <s v="CATIVO"/>
    <n v="0"/>
    <n v="0"/>
    <n v="14"/>
    <n v="52"/>
    <n v="0"/>
    <n v="88.57"/>
    <n v="110.08"/>
    <m/>
    <n v="89.009346396352143"/>
    <n v="86.935731263247902"/>
    <n v="0"/>
    <n v="8780.4269099999983"/>
    <n v="0"/>
    <n v="7777.0991876985472"/>
    <x v="6"/>
  </r>
  <r>
    <s v="Sistema de Compensação"/>
    <x v="1"/>
    <x v="3"/>
    <x v="4"/>
    <x v="4"/>
    <x v="0"/>
    <x v="0"/>
    <x v="2"/>
    <x v="6"/>
    <n v="0"/>
    <n v="0"/>
    <n v="9.6000000000000002E-2"/>
    <n v="9.6000000000000002E-2"/>
    <n v="9.6000000000000002E-2"/>
    <n v="9.6000000000000002E-2"/>
    <n v="0"/>
    <s v="CATIVO"/>
    <n v="0"/>
    <n v="0"/>
    <n v="14"/>
    <n v="52"/>
    <n v="0"/>
    <n v="88.57"/>
    <n v="110.08"/>
    <m/>
    <n v="89.009346396352143"/>
    <n v="86.935731263247902"/>
    <n v="0"/>
    <n v="35.41536"/>
    <n v="0"/>
    <n v="31.368493845597271"/>
    <x v="6"/>
  </r>
  <r>
    <s v="Regular"/>
    <x v="1"/>
    <x v="3"/>
    <x v="4"/>
    <x v="4"/>
    <x v="0"/>
    <x v="0"/>
    <x v="2"/>
    <x v="7"/>
    <n v="0"/>
    <n v="0"/>
    <n v="24.66"/>
    <n v="24.66"/>
    <n v="24.66"/>
    <n v="24.66"/>
    <n v="19"/>
    <s v="CATIVO"/>
    <n v="0"/>
    <n v="0"/>
    <n v="14"/>
    <n v="52"/>
    <n v="0"/>
    <n v="88.57"/>
    <n v="110.08"/>
    <m/>
    <n v="89.009346396352143"/>
    <n v="86.935731263247902"/>
    <n v="0"/>
    <n v="9097.3205999999991"/>
    <n v="0"/>
    <n v="8057.7818565877988"/>
    <x v="6"/>
  </r>
  <r>
    <s v="Regular"/>
    <x v="1"/>
    <x v="3"/>
    <x v="4"/>
    <x v="4"/>
    <x v="0"/>
    <x v="0"/>
    <x v="2"/>
    <x v="8"/>
    <n v="0"/>
    <n v="0"/>
    <n v="25.83"/>
    <n v="25.83"/>
    <n v="25.83"/>
    <n v="25.83"/>
    <n v="18"/>
    <s v="CATIVO"/>
    <n v="0"/>
    <n v="0"/>
    <n v="14"/>
    <n v="52"/>
    <n v="0"/>
    <n v="88.57"/>
    <n v="110.08"/>
    <m/>
    <n v="89.009346396352143"/>
    <n v="86.935731263247902"/>
    <n v="0"/>
    <n v="9528.9452999999994"/>
    <n v="0"/>
    <n v="8440.0853753310148"/>
    <x v="6"/>
  </r>
  <r>
    <s v="Regular"/>
    <x v="1"/>
    <x v="3"/>
    <x v="4"/>
    <x v="4"/>
    <x v="0"/>
    <x v="0"/>
    <x v="2"/>
    <x v="9"/>
    <n v="0"/>
    <n v="0"/>
    <n v="26.37"/>
    <n v="26.37"/>
    <n v="26.37"/>
    <n v="26.37"/>
    <n v="25"/>
    <s v="CATIVO"/>
    <n v="0"/>
    <n v="0"/>
    <n v="14"/>
    <n v="52"/>
    <n v="0"/>
    <n v="88.57"/>
    <n v="110.08"/>
    <m/>
    <n v="89.009346396352143"/>
    <n v="86.935731263247902"/>
    <n v="0"/>
    <n v="9728.1566999999995"/>
    <n v="0"/>
    <n v="8616.5331532125001"/>
    <x v="6"/>
  </r>
  <r>
    <s v="Regular"/>
    <x v="1"/>
    <x v="3"/>
    <x v="4"/>
    <x v="4"/>
    <x v="0"/>
    <x v="0"/>
    <x v="2"/>
    <x v="10"/>
    <n v="0"/>
    <n v="0"/>
    <n v="25.265999999999998"/>
    <n v="25.265999999999998"/>
    <n v="25.265999999999998"/>
    <n v="25.265999999999998"/>
    <n v="36"/>
    <s v="CATIVO"/>
    <n v="0"/>
    <n v="0"/>
    <n v="14"/>
    <n v="52"/>
    <n v="0"/>
    <n v="88.57"/>
    <n v="110.08"/>
    <m/>
    <n v="89.009346396352143"/>
    <n v="86.935731263247902"/>
    <n v="0"/>
    <n v="9320.8800599999977"/>
    <n v="0"/>
    <n v="8255.7954739881316"/>
    <x v="6"/>
  </r>
  <r>
    <s v="Sistema de Compensação"/>
    <x v="1"/>
    <x v="3"/>
    <x v="4"/>
    <x v="4"/>
    <x v="0"/>
    <x v="0"/>
    <x v="2"/>
    <x v="10"/>
    <n v="0"/>
    <n v="0"/>
    <n v="0.03"/>
    <n v="0.03"/>
    <n v="0.03"/>
    <n v="0.03"/>
    <n v="0"/>
    <s v="CATIVO"/>
    <n v="0"/>
    <n v="0"/>
    <n v="14"/>
    <n v="52"/>
    <n v="0"/>
    <n v="88.57"/>
    <n v="110.08"/>
    <m/>
    <n v="89.009346396352143"/>
    <n v="86.935731263247902"/>
    <n v="0"/>
    <n v="11.067299999999999"/>
    <n v="0"/>
    <n v="9.8026543267491473"/>
    <x v="6"/>
  </r>
  <r>
    <s v="PROJETADO"/>
    <x v="1"/>
    <x v="3"/>
    <x v="4"/>
    <x v="4"/>
    <x v="0"/>
    <x v="0"/>
    <x v="2"/>
    <x v="11"/>
    <n v="0"/>
    <n v="0"/>
    <n v="25.265999999999998"/>
    <n v="25.265999999999998"/>
    <n v="25.265999999999998"/>
    <n v="25.265999999999998"/>
    <n v="36"/>
    <s v="CATIVO"/>
    <n v="0"/>
    <n v="0"/>
    <n v="14"/>
    <n v="52"/>
    <n v="0"/>
    <n v="88.57"/>
    <n v="110.08"/>
    <m/>
    <n v="89.009346396352143"/>
    <n v="86.935731263247902"/>
    <n v="0"/>
    <n v="9320.8800599999977"/>
    <n v="0"/>
    <n v="8255.7954739881316"/>
    <x v="6"/>
  </r>
  <r>
    <s v="PROJETADO"/>
    <x v="1"/>
    <x v="3"/>
    <x v="4"/>
    <x v="4"/>
    <x v="0"/>
    <x v="0"/>
    <x v="2"/>
    <x v="11"/>
    <n v="0"/>
    <n v="0"/>
    <n v="0.03"/>
    <n v="0.03"/>
    <n v="0.03"/>
    <n v="0.03"/>
    <n v="0"/>
    <s v="CATIVO"/>
    <n v="0"/>
    <n v="0"/>
    <n v="14"/>
    <n v="52"/>
    <n v="0"/>
    <n v="88.57"/>
    <n v="110.08"/>
    <m/>
    <n v="89.009346396352143"/>
    <n v="86.935731263247902"/>
    <n v="0"/>
    <n v="11.067299999999999"/>
    <n v="0"/>
    <n v="9.8026543267491473"/>
    <x v="6"/>
  </r>
  <r>
    <s v="Regular"/>
    <x v="1"/>
    <x v="3"/>
    <x v="4"/>
    <x v="5"/>
    <x v="0"/>
    <x v="0"/>
    <x v="2"/>
    <x v="0"/>
    <n v="0"/>
    <n v="0"/>
    <n v="36.993000000000002"/>
    <n v="36.993000000000002"/>
    <n v="36.993000000000002"/>
    <n v="36.993000000000002"/>
    <n v="160"/>
    <s v="CATIVO"/>
    <n v="0"/>
    <n v="0"/>
    <n v="6"/>
    <n v="50"/>
    <n v="0"/>
    <n v="151.83000000000001"/>
    <n v="188.71"/>
    <m/>
    <n v="152.58745096517512"/>
    <n v="149.03268216556782"/>
    <n v="0"/>
    <n v="8398.1508599999961"/>
    <n v="0"/>
    <n v="7438.5557232703823"/>
    <x v="6"/>
  </r>
  <r>
    <s v="Regular"/>
    <x v="1"/>
    <x v="3"/>
    <x v="4"/>
    <x v="5"/>
    <x v="0"/>
    <x v="0"/>
    <x v="2"/>
    <x v="1"/>
    <n v="0"/>
    <n v="0"/>
    <n v="38.11"/>
    <n v="38.11"/>
    <n v="38.11"/>
    <n v="38.11"/>
    <n v="158"/>
    <s v="CATIVO"/>
    <n v="0"/>
    <n v="0"/>
    <n v="6"/>
    <n v="50"/>
    <n v="0"/>
    <n v="151.83000000000001"/>
    <n v="188.71"/>
    <m/>
    <n v="152.58745096517512"/>
    <n v="149.03268216556782"/>
    <n v="0"/>
    <n v="8651.7321999999967"/>
    <n v="0"/>
    <n v="7663.1621824084086"/>
    <x v="6"/>
  </r>
  <r>
    <s v="Regular"/>
    <x v="1"/>
    <x v="3"/>
    <x v="4"/>
    <x v="5"/>
    <x v="0"/>
    <x v="0"/>
    <x v="2"/>
    <x v="2"/>
    <n v="0"/>
    <n v="0"/>
    <n v="39.01"/>
    <n v="39.01"/>
    <n v="39.01"/>
    <n v="39.01"/>
    <n v="159"/>
    <s v="CATIVO"/>
    <n v="0"/>
    <n v="0"/>
    <n v="6"/>
    <n v="50"/>
    <n v="0"/>
    <n v="151.83000000000001"/>
    <n v="188.71"/>
    <m/>
    <n v="152.58745096517512"/>
    <n v="149.03268216556782"/>
    <n v="0"/>
    <n v="8856.050199999996"/>
    <n v="0"/>
    <n v="7844.1342622868542"/>
    <x v="6"/>
  </r>
  <r>
    <s v="Regular"/>
    <x v="1"/>
    <x v="3"/>
    <x v="4"/>
    <x v="5"/>
    <x v="0"/>
    <x v="0"/>
    <x v="2"/>
    <x v="3"/>
    <n v="0"/>
    <n v="0"/>
    <n v="39.098999999999997"/>
    <n v="39.098999999999997"/>
    <n v="39.098999999999997"/>
    <n v="39.098999999999997"/>
    <n v="172"/>
    <s v="CATIVO"/>
    <n v="0"/>
    <n v="0"/>
    <n v="6"/>
    <n v="50"/>
    <n v="0"/>
    <n v="151.83000000000001"/>
    <n v="188.71"/>
    <m/>
    <n v="152.58745096517512"/>
    <n v="149.03268216556782"/>
    <n v="0"/>
    <n v="8876.2549799999961"/>
    <n v="0"/>
    <n v="7862.0303901859443"/>
    <x v="6"/>
  </r>
  <r>
    <s v="Regular"/>
    <x v="1"/>
    <x v="3"/>
    <x v="4"/>
    <x v="5"/>
    <x v="0"/>
    <x v="0"/>
    <x v="2"/>
    <x v="4"/>
    <n v="0"/>
    <n v="0"/>
    <n v="40.432000000000002"/>
    <n v="40.432000000000002"/>
    <n v="40.432000000000002"/>
    <n v="40.432000000000002"/>
    <n v="130"/>
    <s v="CATIVO"/>
    <n v="0"/>
    <n v="0"/>
    <n v="6"/>
    <n v="50"/>
    <n v="0"/>
    <n v="151.83000000000001"/>
    <n v="188.71"/>
    <m/>
    <n v="152.58745096517512"/>
    <n v="149.03268216556782"/>
    <n v="0"/>
    <n v="9178.872639999996"/>
    <n v="0"/>
    <n v="8130.0701484947995"/>
    <x v="6"/>
  </r>
  <r>
    <s v="Regular"/>
    <x v="1"/>
    <x v="3"/>
    <x v="4"/>
    <x v="5"/>
    <x v="0"/>
    <x v="0"/>
    <x v="2"/>
    <x v="5"/>
    <n v="0"/>
    <n v="0"/>
    <n v="40.813000000000002"/>
    <n v="40.813000000000002"/>
    <n v="40.813000000000002"/>
    <n v="40.813000000000002"/>
    <n v="116"/>
    <s v="CATIVO"/>
    <n v="0"/>
    <n v="0"/>
    <n v="6"/>
    <n v="50"/>
    <n v="0"/>
    <n v="151.83000000000001"/>
    <n v="188.71"/>
    <m/>
    <n v="152.58745096517512"/>
    <n v="149.03268216556782"/>
    <n v="0"/>
    <n v="9265.3672599999954"/>
    <n v="0"/>
    <n v="8206.6816623100076"/>
    <x v="6"/>
  </r>
  <r>
    <s v="Refaturamento - Regular"/>
    <x v="1"/>
    <x v="3"/>
    <x v="4"/>
    <x v="5"/>
    <x v="0"/>
    <x v="0"/>
    <x v="2"/>
    <x v="5"/>
    <n v="0"/>
    <n v="0"/>
    <n v="7.0000000000000007E-2"/>
    <n v="7.0000000000000007E-2"/>
    <n v="7.0000000000000007E-2"/>
    <n v="7.0000000000000007E-2"/>
    <n v="0"/>
    <s v="CATIVO"/>
    <n v="0"/>
    <n v="0"/>
    <n v="6"/>
    <n v="50"/>
    <n v="0"/>
    <n v="151.83000000000001"/>
    <n v="188.71"/>
    <m/>
    <n v="152.58745096517512"/>
    <n v="149.03268216556782"/>
    <n v="0"/>
    <n v="15.891399999999994"/>
    <n v="0"/>
    <n v="14.075606212768005"/>
    <x v="6"/>
  </r>
  <r>
    <s v="Regular"/>
    <x v="1"/>
    <x v="3"/>
    <x v="4"/>
    <x v="5"/>
    <x v="0"/>
    <x v="0"/>
    <x v="2"/>
    <x v="6"/>
    <n v="0"/>
    <n v="0"/>
    <n v="51.213999999999999"/>
    <n v="51.213999999999999"/>
    <n v="51.213999999999999"/>
    <n v="51.213999999999999"/>
    <n v="112"/>
    <s v="CATIVO"/>
    <n v="0"/>
    <n v="0"/>
    <n v="6"/>
    <n v="50"/>
    <n v="0"/>
    <n v="151.83000000000001"/>
    <n v="188.71"/>
    <m/>
    <n v="152.58745096517512"/>
    <n v="149.03268216556782"/>
    <n v="0"/>
    <n v="11626.602279999994"/>
    <n v="0"/>
    <n v="10298.11566543858"/>
    <x v="6"/>
  </r>
  <r>
    <s v="Sistema de Compensação"/>
    <x v="1"/>
    <x v="3"/>
    <x v="4"/>
    <x v="5"/>
    <x v="0"/>
    <x v="0"/>
    <x v="2"/>
    <x v="6"/>
    <n v="0"/>
    <n v="0"/>
    <n v="7.0000000000000007E-2"/>
    <n v="7.0000000000000007E-2"/>
    <n v="7.0000000000000007E-2"/>
    <n v="7.0000000000000007E-2"/>
    <n v="0"/>
    <s v="CATIVO"/>
    <n v="0"/>
    <n v="0"/>
    <n v="6"/>
    <n v="50"/>
    <n v="0"/>
    <n v="151.83000000000001"/>
    <n v="188.71"/>
    <m/>
    <n v="152.58745096517512"/>
    <n v="149.03268216556782"/>
    <n v="0"/>
    <n v="15.891399999999994"/>
    <n v="0"/>
    <n v="14.075606212768005"/>
    <x v="6"/>
  </r>
  <r>
    <s v="Regular"/>
    <x v="1"/>
    <x v="3"/>
    <x v="4"/>
    <x v="5"/>
    <x v="0"/>
    <x v="0"/>
    <x v="2"/>
    <x v="7"/>
    <n v="0"/>
    <n v="0"/>
    <n v="51.893999999999998"/>
    <n v="51.893999999999998"/>
    <n v="51.893999999999998"/>
    <n v="51.893999999999998"/>
    <n v="159"/>
    <s v="CATIVO"/>
    <n v="0"/>
    <n v="0"/>
    <n v="6"/>
    <n v="50"/>
    <n v="0"/>
    <n v="151.83000000000001"/>
    <n v="188.71"/>
    <m/>
    <n v="152.58745096517512"/>
    <n v="149.03268216556782"/>
    <n v="0"/>
    <n v="11780.975879999995"/>
    <n v="0"/>
    <n v="10434.850125791181"/>
    <x v="6"/>
  </r>
  <r>
    <s v="Regular"/>
    <x v="1"/>
    <x v="3"/>
    <x v="4"/>
    <x v="5"/>
    <x v="0"/>
    <x v="0"/>
    <x v="2"/>
    <x v="8"/>
    <n v="0"/>
    <n v="0"/>
    <n v="55.418999999999997"/>
    <n v="55.418999999999997"/>
    <n v="55.418999999999997"/>
    <n v="55.418999999999997"/>
    <n v="147"/>
    <s v="CATIVO"/>
    <n v="0"/>
    <n v="0"/>
    <n v="6"/>
    <n v="50"/>
    <n v="0"/>
    <n v="151.83000000000001"/>
    <n v="188.71"/>
    <m/>
    <n v="152.58745096517512"/>
    <n v="149.03268216556782"/>
    <n v="0"/>
    <n v="12581.221379999994"/>
    <n v="0"/>
    <n v="11143.657438648428"/>
    <x v="6"/>
  </r>
  <r>
    <s v="Regular"/>
    <x v="1"/>
    <x v="3"/>
    <x v="4"/>
    <x v="5"/>
    <x v="0"/>
    <x v="0"/>
    <x v="2"/>
    <x v="9"/>
    <n v="0"/>
    <n v="0"/>
    <n v="53.268999999999998"/>
    <n v="53.268999999999998"/>
    <n v="53.268999999999998"/>
    <n v="53.268999999999998"/>
    <n v="244"/>
    <s v="CATIVO"/>
    <n v="0"/>
    <n v="0"/>
    <n v="6"/>
    <n v="50"/>
    <n v="0"/>
    <n v="151.83000000000001"/>
    <n v="188.71"/>
    <m/>
    <n v="152.58745096517512"/>
    <n v="149.03268216556782"/>
    <n v="0"/>
    <n v="12093.128379999995"/>
    <n v="0"/>
    <n v="10711.335247827696"/>
    <x v="6"/>
  </r>
  <r>
    <s v="Regular"/>
    <x v="1"/>
    <x v="3"/>
    <x v="4"/>
    <x v="5"/>
    <x v="0"/>
    <x v="0"/>
    <x v="2"/>
    <x v="10"/>
    <n v="0"/>
    <n v="0"/>
    <n v="50.225000000000001"/>
    <n v="50.225000000000001"/>
    <n v="50.225000000000001"/>
    <n v="50.225000000000001"/>
    <n v="211"/>
    <s v="CATIVO"/>
    <n v="0"/>
    <n v="0"/>
    <n v="6"/>
    <n v="50"/>
    <n v="0"/>
    <n v="151.83000000000001"/>
    <n v="188.71"/>
    <m/>
    <n v="152.58745096517512"/>
    <n v="149.03268216556782"/>
    <n v="0"/>
    <n v="11402.079499999994"/>
    <n v="0"/>
    <n v="10099.247457661042"/>
    <x v="6"/>
  </r>
  <r>
    <s v="Sistema de Compensação"/>
    <x v="1"/>
    <x v="3"/>
    <x v="4"/>
    <x v="5"/>
    <x v="0"/>
    <x v="0"/>
    <x v="2"/>
    <x v="10"/>
    <n v="0"/>
    <n v="0"/>
    <n v="7.0000000000000007E-2"/>
    <n v="7.0000000000000007E-2"/>
    <n v="7.0000000000000007E-2"/>
    <n v="7.0000000000000007E-2"/>
    <n v="0"/>
    <s v="CATIVO"/>
    <n v="0"/>
    <n v="0"/>
    <n v="6"/>
    <n v="50"/>
    <n v="0"/>
    <n v="151.83000000000001"/>
    <n v="188.71"/>
    <m/>
    <n v="152.58745096517512"/>
    <n v="149.03268216556782"/>
    <n v="0"/>
    <n v="15.891399999999994"/>
    <n v="0"/>
    <n v="14.075606212768005"/>
    <x v="6"/>
  </r>
  <r>
    <s v="PROJETADO"/>
    <x v="1"/>
    <x v="3"/>
    <x v="4"/>
    <x v="5"/>
    <x v="0"/>
    <x v="0"/>
    <x v="2"/>
    <x v="11"/>
    <n v="0"/>
    <n v="0"/>
    <n v="50.225000000000001"/>
    <n v="50.225000000000001"/>
    <n v="50.225000000000001"/>
    <n v="50.225000000000001"/>
    <n v="211"/>
    <s v="CATIVO"/>
    <n v="0"/>
    <n v="0"/>
    <n v="6"/>
    <n v="50"/>
    <n v="0"/>
    <n v="151.83000000000001"/>
    <n v="188.71"/>
    <m/>
    <n v="152.58745096517512"/>
    <n v="149.03268216556782"/>
    <n v="0"/>
    <n v="11402.079499999994"/>
    <n v="0"/>
    <n v="10099.247457661042"/>
    <x v="6"/>
  </r>
  <r>
    <s v="PROJETADO"/>
    <x v="1"/>
    <x v="3"/>
    <x v="4"/>
    <x v="5"/>
    <x v="0"/>
    <x v="0"/>
    <x v="2"/>
    <x v="11"/>
    <n v="0"/>
    <n v="0"/>
    <n v="7.0000000000000007E-2"/>
    <n v="7.0000000000000007E-2"/>
    <n v="7.0000000000000007E-2"/>
    <n v="7.0000000000000007E-2"/>
    <n v="0"/>
    <s v="CATIVO"/>
    <n v="0"/>
    <n v="0"/>
    <n v="6"/>
    <n v="50"/>
    <n v="0"/>
    <n v="151.83000000000001"/>
    <n v="188.71"/>
    <m/>
    <n v="152.58745096517512"/>
    <n v="149.03268216556782"/>
    <n v="0"/>
    <n v="15.891399999999994"/>
    <n v="0"/>
    <n v="14.075606212768005"/>
    <x v="6"/>
  </r>
  <r>
    <s v="Regular"/>
    <x v="1"/>
    <x v="3"/>
    <x v="4"/>
    <x v="6"/>
    <x v="0"/>
    <x v="0"/>
    <x v="2"/>
    <x v="0"/>
    <n v="0"/>
    <n v="0"/>
    <n v="30.233000000000001"/>
    <n v="30.233000000000001"/>
    <n v="30.233000000000001"/>
    <n v="30.233000000000001"/>
    <n v="328"/>
    <s v="CATIVO"/>
    <n v="0"/>
    <n v="0"/>
    <n v="10"/>
    <n v="55"/>
    <n v="0"/>
    <n v="227.74"/>
    <n v="283.07"/>
    <m/>
    <n v="228.88117644776267"/>
    <n v="223.54902324835177"/>
    <n v="0"/>
    <n v="1715.7227499999983"/>
    <n v="0"/>
    <n v="1519.8135808236241"/>
    <x v="6"/>
  </r>
  <r>
    <s v="Regular"/>
    <x v="1"/>
    <x v="3"/>
    <x v="4"/>
    <x v="6"/>
    <x v="0"/>
    <x v="0"/>
    <x v="2"/>
    <x v="1"/>
    <n v="0"/>
    <n v="0"/>
    <n v="32.238"/>
    <n v="32.238"/>
    <n v="32.238"/>
    <n v="32.238"/>
    <n v="335"/>
    <s v="CATIVO"/>
    <n v="0"/>
    <n v="0"/>
    <n v="10"/>
    <n v="55"/>
    <n v="0"/>
    <n v="227.74"/>
    <n v="283.07"/>
    <m/>
    <n v="228.88117644776267"/>
    <n v="223.54902324835177"/>
    <n v="0"/>
    <n v="1829.5064999999981"/>
    <n v="0"/>
    <n v="1620.6049753114805"/>
    <x v="6"/>
  </r>
  <r>
    <s v="Regular"/>
    <x v="1"/>
    <x v="3"/>
    <x v="4"/>
    <x v="6"/>
    <x v="0"/>
    <x v="0"/>
    <x v="2"/>
    <x v="2"/>
    <n v="0"/>
    <n v="0"/>
    <n v="31.712"/>
    <n v="31.712"/>
    <n v="31.712"/>
    <n v="31.712"/>
    <n v="351"/>
    <s v="CATIVO"/>
    <n v="0"/>
    <n v="0"/>
    <n v="10"/>
    <n v="55"/>
    <n v="0"/>
    <n v="227.74"/>
    <n v="283.07"/>
    <m/>
    <n v="228.88117644776267"/>
    <n v="223.54902324835177"/>
    <n v="0"/>
    <n v="1799.6559999999981"/>
    <n v="0"/>
    <n v="1594.1629436403521"/>
    <x v="6"/>
  </r>
  <r>
    <s v="Regular"/>
    <x v="1"/>
    <x v="3"/>
    <x v="4"/>
    <x v="6"/>
    <x v="0"/>
    <x v="0"/>
    <x v="2"/>
    <x v="3"/>
    <n v="0"/>
    <n v="0"/>
    <n v="29.334"/>
    <n v="29.334"/>
    <n v="29.334"/>
    <n v="29.334"/>
    <n v="354"/>
    <s v="CATIVO"/>
    <n v="0"/>
    <n v="0"/>
    <n v="10"/>
    <n v="55"/>
    <n v="0"/>
    <n v="227.74"/>
    <n v="283.07"/>
    <m/>
    <n v="228.88117644776267"/>
    <n v="223.54902324835177"/>
    <n v="0"/>
    <n v="1664.7044999999982"/>
    <n v="0"/>
    <n v="1474.6208308762011"/>
    <x v="6"/>
  </r>
  <r>
    <s v="Regular"/>
    <x v="1"/>
    <x v="3"/>
    <x v="4"/>
    <x v="6"/>
    <x v="0"/>
    <x v="0"/>
    <x v="2"/>
    <x v="4"/>
    <n v="0"/>
    <n v="0"/>
    <n v="36.238999999999997"/>
    <n v="36.238999999999997"/>
    <n v="36.238999999999997"/>
    <n v="36.238999999999997"/>
    <n v="366"/>
    <s v="CATIVO"/>
    <n v="0"/>
    <n v="0"/>
    <n v="10"/>
    <n v="55"/>
    <n v="0"/>
    <n v="227.74"/>
    <n v="283.07"/>
    <m/>
    <n v="228.88117644776267"/>
    <n v="223.54902324835177"/>
    <n v="0"/>
    <n v="2056.5632499999979"/>
    <n v="0"/>
    <n v="1821.7353340874974"/>
    <x v="6"/>
  </r>
  <r>
    <s v="Regular"/>
    <x v="1"/>
    <x v="3"/>
    <x v="4"/>
    <x v="6"/>
    <x v="0"/>
    <x v="0"/>
    <x v="2"/>
    <x v="5"/>
    <n v="0"/>
    <n v="0"/>
    <n v="38.335999999999999"/>
    <n v="38.335999999999999"/>
    <n v="38.335999999999999"/>
    <n v="38.335999999999999"/>
    <n v="358"/>
    <s v="CATIVO"/>
    <n v="0"/>
    <n v="0"/>
    <n v="10"/>
    <n v="55"/>
    <n v="0"/>
    <n v="227.74"/>
    <n v="283.07"/>
    <m/>
    <n v="228.88117644776267"/>
    <n v="223.54902324835177"/>
    <n v="0"/>
    <n v="2175.5679999999979"/>
    <n v="0"/>
    <n v="1927.151570616692"/>
    <x v="6"/>
  </r>
  <r>
    <s v="Refaturamento - Regular"/>
    <x v="1"/>
    <x v="3"/>
    <x v="4"/>
    <x v="6"/>
    <x v="0"/>
    <x v="0"/>
    <x v="2"/>
    <x v="5"/>
    <n v="0"/>
    <n v="0"/>
    <n v="0.08"/>
    <n v="0.08"/>
    <n v="0.08"/>
    <n v="0.08"/>
    <n v="0"/>
    <s v="CATIVO"/>
    <n v="0"/>
    <n v="0"/>
    <n v="10"/>
    <n v="55"/>
    <n v="0"/>
    <n v="227.74"/>
    <n v="283.07"/>
    <m/>
    <n v="228.88117644776267"/>
    <n v="223.54902324835177"/>
    <n v="0"/>
    <n v="4.5399999999999956"/>
    <n v="0"/>
    <n v="4.0216017750765696"/>
    <x v="6"/>
  </r>
  <r>
    <s v="Regular"/>
    <x v="1"/>
    <x v="3"/>
    <x v="4"/>
    <x v="6"/>
    <x v="0"/>
    <x v="0"/>
    <x v="2"/>
    <x v="6"/>
    <n v="0"/>
    <n v="0"/>
    <n v="52.743000000000002"/>
    <n v="52.743000000000002"/>
    <n v="52.743000000000002"/>
    <n v="52.743000000000002"/>
    <n v="437"/>
    <s v="CATIVO"/>
    <n v="0"/>
    <n v="0"/>
    <n v="10"/>
    <n v="55"/>
    <n v="0"/>
    <n v="227.74"/>
    <n v="283.07"/>
    <m/>
    <n v="228.88117644776267"/>
    <n v="223.54902324835177"/>
    <n v="0"/>
    <n v="2993.1652499999973"/>
    <n v="0"/>
    <n v="2651.3917802857941"/>
    <x v="6"/>
  </r>
  <r>
    <s v="Sistema de Compensação"/>
    <x v="1"/>
    <x v="3"/>
    <x v="4"/>
    <x v="6"/>
    <x v="0"/>
    <x v="0"/>
    <x v="2"/>
    <x v="6"/>
    <n v="0"/>
    <n v="0"/>
    <n v="0.12"/>
    <n v="0.12"/>
    <n v="0.12"/>
    <n v="0.12"/>
    <n v="0"/>
    <s v="CATIVO"/>
    <n v="0"/>
    <n v="0"/>
    <n v="10"/>
    <n v="55"/>
    <n v="0"/>
    <n v="227.74"/>
    <n v="283.07"/>
    <m/>
    <n v="228.88117644776267"/>
    <n v="223.54902324835177"/>
    <n v="0"/>
    <n v="6.8099999999999925"/>
    <n v="0"/>
    <n v="6.0324026626148539"/>
    <x v="6"/>
  </r>
  <r>
    <s v="Regular"/>
    <x v="1"/>
    <x v="3"/>
    <x v="4"/>
    <x v="6"/>
    <x v="0"/>
    <x v="0"/>
    <x v="2"/>
    <x v="7"/>
    <n v="0"/>
    <n v="0"/>
    <n v="46.892000000000003"/>
    <n v="46.892000000000003"/>
    <n v="46.892000000000003"/>
    <n v="46.892000000000003"/>
    <n v="460"/>
    <s v="CATIVO"/>
    <n v="0"/>
    <n v="0"/>
    <n v="10"/>
    <n v="55"/>
    <n v="0"/>
    <n v="227.74"/>
    <n v="283.07"/>
    <m/>
    <n v="228.88117644776267"/>
    <n v="223.54902324835177"/>
    <n v="0"/>
    <n v="2661.1209999999974"/>
    <n v="0"/>
    <n v="2357.2618804611316"/>
    <x v="6"/>
  </r>
  <r>
    <s v="Regular"/>
    <x v="1"/>
    <x v="3"/>
    <x v="4"/>
    <x v="6"/>
    <x v="0"/>
    <x v="0"/>
    <x v="2"/>
    <x v="8"/>
    <n v="0"/>
    <n v="0"/>
    <n v="57.16"/>
    <n v="57.16"/>
    <n v="57.16"/>
    <n v="57.16"/>
    <n v="441"/>
    <s v="CATIVO"/>
    <n v="0"/>
    <n v="0"/>
    <n v="10"/>
    <n v="55"/>
    <n v="0"/>
    <n v="227.74"/>
    <n v="283.07"/>
    <m/>
    <n v="228.88117644776267"/>
    <n v="223.54902324835177"/>
    <n v="0"/>
    <n v="3243.8299999999967"/>
    <n v="0"/>
    <n v="2873.4344682922087"/>
    <x v="6"/>
  </r>
  <r>
    <s v="Regular"/>
    <x v="1"/>
    <x v="3"/>
    <x v="4"/>
    <x v="6"/>
    <x v="0"/>
    <x v="0"/>
    <x v="2"/>
    <x v="9"/>
    <n v="0"/>
    <n v="0"/>
    <n v="41.701999999999998"/>
    <n v="41.701999999999998"/>
    <n v="41.701999999999998"/>
    <n v="41.701999999999998"/>
    <n v="478"/>
    <s v="CATIVO"/>
    <n v="0"/>
    <n v="0"/>
    <n v="10"/>
    <n v="55"/>
    <n v="0"/>
    <n v="227.74"/>
    <n v="283.07"/>
    <m/>
    <n v="228.88117644776267"/>
    <n v="223.54902324835177"/>
    <n v="0"/>
    <n v="2366.5884999999976"/>
    <n v="0"/>
    <n v="2096.3604653030388"/>
    <x v="6"/>
  </r>
  <r>
    <s v="Regular"/>
    <x v="1"/>
    <x v="3"/>
    <x v="4"/>
    <x v="6"/>
    <x v="0"/>
    <x v="0"/>
    <x v="2"/>
    <x v="10"/>
    <n v="0"/>
    <n v="0"/>
    <n v="41.686999999999998"/>
    <n v="41.686999999999998"/>
    <n v="41.686999999999998"/>
    <n v="41.686999999999998"/>
    <n v="437"/>
    <s v="CATIVO"/>
    <n v="0"/>
    <n v="0"/>
    <n v="10"/>
    <n v="55"/>
    <n v="0"/>
    <n v="227.74"/>
    <n v="283.07"/>
    <m/>
    <n v="228.88117644776267"/>
    <n v="223.54902324835177"/>
    <n v="0"/>
    <n v="2365.7372499999974"/>
    <n v="0"/>
    <n v="2095.606414970212"/>
    <x v="6"/>
  </r>
  <r>
    <s v="Sistema de Compensação"/>
    <x v="1"/>
    <x v="3"/>
    <x v="4"/>
    <x v="6"/>
    <x v="0"/>
    <x v="0"/>
    <x v="2"/>
    <x v="10"/>
    <n v="0"/>
    <n v="0"/>
    <n v="0.01"/>
    <n v="0.01"/>
    <n v="0.01"/>
    <n v="0.01"/>
    <n v="1"/>
    <s v="CATIVO"/>
    <n v="0"/>
    <n v="0"/>
    <n v="10"/>
    <n v="55"/>
    <n v="0"/>
    <n v="227.74"/>
    <n v="283.07"/>
    <m/>
    <n v="228.88117644776267"/>
    <n v="223.54902324835177"/>
    <n v="0"/>
    <n v="0.56749999999999945"/>
    <n v="0"/>
    <n v="0.5027002218845712"/>
    <x v="6"/>
  </r>
  <r>
    <s v="PROJETADO"/>
    <x v="1"/>
    <x v="3"/>
    <x v="4"/>
    <x v="6"/>
    <x v="0"/>
    <x v="0"/>
    <x v="2"/>
    <x v="11"/>
    <n v="0"/>
    <n v="0"/>
    <n v="41.686999999999998"/>
    <n v="41.686999999999998"/>
    <n v="41.686999999999998"/>
    <n v="41.686999999999998"/>
    <n v="437"/>
    <s v="CATIVO"/>
    <n v="0"/>
    <n v="0"/>
    <n v="10"/>
    <n v="55"/>
    <n v="0"/>
    <n v="227.74"/>
    <n v="283.07"/>
    <m/>
    <n v="228.88117644776267"/>
    <n v="223.54902324835177"/>
    <n v="0"/>
    <n v="2365.7372499999974"/>
    <n v="0"/>
    <n v="2095.606414970212"/>
    <x v="6"/>
  </r>
  <r>
    <s v="PROJETADO"/>
    <x v="1"/>
    <x v="3"/>
    <x v="4"/>
    <x v="6"/>
    <x v="0"/>
    <x v="0"/>
    <x v="2"/>
    <x v="11"/>
    <n v="0"/>
    <n v="0"/>
    <n v="0.01"/>
    <n v="0.01"/>
    <n v="0.01"/>
    <n v="0.01"/>
    <n v="1"/>
    <s v="CATIVO"/>
    <n v="0"/>
    <n v="0"/>
    <n v="10"/>
    <n v="55"/>
    <n v="0"/>
    <n v="227.74"/>
    <n v="283.07"/>
    <m/>
    <n v="228.88117644776267"/>
    <n v="223.54902324835177"/>
    <n v="0"/>
    <n v="0.56749999999999945"/>
    <n v="0"/>
    <n v="0.5027002218845712"/>
    <x v="6"/>
  </r>
  <r>
    <s v="Regular"/>
    <x v="1"/>
    <x v="3"/>
    <x v="4"/>
    <x v="7"/>
    <x v="0"/>
    <x v="0"/>
    <x v="2"/>
    <x v="0"/>
    <n v="0"/>
    <n v="0"/>
    <n v="7.76"/>
    <n v="7.76"/>
    <n v="7.76"/>
    <n v="7.76"/>
    <n v="106"/>
    <s v="CATIVO"/>
    <n v="0"/>
    <n v="0"/>
    <n v="20"/>
    <n v="39"/>
    <n v="0"/>
    <n v="253.04"/>
    <n v="314.52"/>
    <m/>
    <n v="254.31241827529186"/>
    <n v="248.38780360927973"/>
    <n v="0"/>
    <n v="0"/>
    <n v="0"/>
    <n v="0"/>
    <x v="6"/>
  </r>
  <r>
    <s v="Regular"/>
    <x v="1"/>
    <x v="3"/>
    <x v="4"/>
    <x v="7"/>
    <x v="0"/>
    <x v="0"/>
    <x v="2"/>
    <x v="1"/>
    <n v="0"/>
    <n v="0"/>
    <n v="7.2859999999999996"/>
    <n v="7.2859999999999996"/>
    <n v="7.2859999999999996"/>
    <n v="7.2859999999999996"/>
    <n v="113"/>
    <s v="CATIVO"/>
    <n v="0"/>
    <n v="0"/>
    <n v="20"/>
    <n v="39"/>
    <n v="0"/>
    <n v="253.04"/>
    <n v="314.52"/>
    <m/>
    <n v="254.31241827529186"/>
    <n v="248.38780360927973"/>
    <n v="0"/>
    <n v="0"/>
    <n v="0"/>
    <n v="0"/>
    <x v="6"/>
  </r>
  <r>
    <s v="Regular"/>
    <x v="1"/>
    <x v="3"/>
    <x v="4"/>
    <x v="7"/>
    <x v="0"/>
    <x v="0"/>
    <x v="2"/>
    <x v="2"/>
    <n v="0"/>
    <n v="0"/>
    <n v="6.76"/>
    <n v="6.76"/>
    <n v="6.76"/>
    <n v="6.76"/>
    <n v="105"/>
    <s v="CATIVO"/>
    <n v="0"/>
    <n v="0"/>
    <n v="20"/>
    <n v="39"/>
    <n v="0"/>
    <n v="253.04"/>
    <n v="314.52"/>
    <m/>
    <n v="254.31241827529186"/>
    <n v="248.38780360927973"/>
    <n v="0"/>
    <n v="0"/>
    <n v="0"/>
    <n v="0"/>
    <x v="6"/>
  </r>
  <r>
    <s v="Regular"/>
    <x v="1"/>
    <x v="3"/>
    <x v="4"/>
    <x v="7"/>
    <x v="0"/>
    <x v="0"/>
    <x v="2"/>
    <x v="3"/>
    <n v="0"/>
    <n v="0"/>
    <n v="5.4669999999999996"/>
    <n v="5.4669999999999996"/>
    <n v="5.4669999999999996"/>
    <n v="5.4669999999999996"/>
    <n v="89"/>
    <s v="CATIVO"/>
    <n v="0"/>
    <n v="0"/>
    <n v="20"/>
    <n v="39"/>
    <n v="0"/>
    <n v="253.04"/>
    <n v="314.52"/>
    <m/>
    <n v="254.31241827529186"/>
    <n v="248.38780360927973"/>
    <n v="0"/>
    <n v="0"/>
    <n v="0"/>
    <n v="0"/>
    <x v="6"/>
  </r>
  <r>
    <s v="Regular"/>
    <x v="1"/>
    <x v="3"/>
    <x v="4"/>
    <x v="7"/>
    <x v="0"/>
    <x v="0"/>
    <x v="2"/>
    <x v="4"/>
    <n v="0"/>
    <n v="0"/>
    <n v="9.23"/>
    <n v="9.23"/>
    <n v="9.23"/>
    <n v="9.23"/>
    <n v="128"/>
    <s v="CATIVO"/>
    <n v="0"/>
    <n v="0"/>
    <n v="20"/>
    <n v="39"/>
    <n v="0"/>
    <n v="253.04"/>
    <n v="314.52"/>
    <m/>
    <n v="254.31241827529186"/>
    <n v="248.38780360927973"/>
    <n v="0"/>
    <n v="0"/>
    <n v="0"/>
    <n v="0"/>
    <x v="6"/>
  </r>
  <r>
    <s v="Regular"/>
    <x v="1"/>
    <x v="3"/>
    <x v="4"/>
    <x v="7"/>
    <x v="0"/>
    <x v="0"/>
    <x v="2"/>
    <x v="5"/>
    <n v="0"/>
    <n v="0"/>
    <n v="12.256"/>
    <n v="12.256"/>
    <n v="12.256"/>
    <n v="12.256"/>
    <n v="154"/>
    <s v="CATIVO"/>
    <n v="0"/>
    <n v="0"/>
    <n v="20"/>
    <n v="39"/>
    <n v="0"/>
    <n v="253.04"/>
    <n v="314.52"/>
    <m/>
    <n v="254.31241827529186"/>
    <n v="248.38780360927973"/>
    <n v="0"/>
    <n v="0"/>
    <n v="0"/>
    <n v="0"/>
    <x v="6"/>
  </r>
  <r>
    <s v="Regular"/>
    <x v="1"/>
    <x v="3"/>
    <x v="4"/>
    <x v="7"/>
    <x v="0"/>
    <x v="0"/>
    <x v="2"/>
    <x v="6"/>
    <n v="0"/>
    <n v="0"/>
    <n v="22.824999999999999"/>
    <n v="22.824999999999999"/>
    <n v="22.824999999999999"/>
    <n v="22.824999999999999"/>
    <n v="226"/>
    <s v="CATIVO"/>
    <n v="0"/>
    <n v="0"/>
    <n v="20"/>
    <n v="39"/>
    <n v="0"/>
    <n v="253.04"/>
    <n v="314.52"/>
    <m/>
    <n v="254.31241827529186"/>
    <n v="248.38780360927973"/>
    <n v="0"/>
    <n v="0"/>
    <n v="0"/>
    <n v="0"/>
    <x v="6"/>
  </r>
  <r>
    <s v="Sistema de Compensação"/>
    <x v="1"/>
    <x v="3"/>
    <x v="4"/>
    <x v="7"/>
    <x v="0"/>
    <x v="0"/>
    <x v="2"/>
    <x v="6"/>
    <n v="0"/>
    <n v="0"/>
    <n v="0.10299999999999999"/>
    <n v="0.10299999999999999"/>
    <n v="0.10299999999999999"/>
    <n v="0.10299999999999999"/>
    <n v="4"/>
    <s v="CATIVO"/>
    <n v="0"/>
    <n v="0"/>
    <n v="20"/>
    <n v="39"/>
    <n v="0"/>
    <n v="253.04"/>
    <n v="314.52"/>
    <m/>
    <n v="254.31241827529186"/>
    <n v="248.38780360927973"/>
    <n v="0"/>
    <n v="0"/>
    <n v="0"/>
    <n v="0"/>
    <x v="6"/>
  </r>
  <r>
    <s v="Regular"/>
    <x v="1"/>
    <x v="3"/>
    <x v="4"/>
    <x v="7"/>
    <x v="0"/>
    <x v="0"/>
    <x v="2"/>
    <x v="7"/>
    <n v="0"/>
    <n v="0"/>
    <n v="16.157"/>
    <n v="16.157"/>
    <n v="16.157"/>
    <n v="16.157"/>
    <n v="184"/>
    <s v="CATIVO"/>
    <n v="0"/>
    <n v="0"/>
    <n v="20"/>
    <n v="39"/>
    <n v="0"/>
    <n v="253.04"/>
    <n v="314.52"/>
    <m/>
    <n v="254.31241827529186"/>
    <n v="248.38780360927973"/>
    <n v="0"/>
    <n v="0"/>
    <n v="0"/>
    <n v="0"/>
    <x v="6"/>
  </r>
  <r>
    <s v="Regular"/>
    <x v="1"/>
    <x v="3"/>
    <x v="4"/>
    <x v="7"/>
    <x v="0"/>
    <x v="0"/>
    <x v="2"/>
    <x v="8"/>
    <n v="0"/>
    <n v="0"/>
    <n v="24.401"/>
    <n v="24.401"/>
    <n v="24.401"/>
    <n v="24.401"/>
    <n v="255"/>
    <s v="CATIVO"/>
    <n v="0"/>
    <n v="0"/>
    <n v="20"/>
    <n v="39"/>
    <n v="0"/>
    <n v="253.04"/>
    <n v="314.52"/>
    <m/>
    <n v="254.31241827529186"/>
    <n v="248.38780360927973"/>
    <n v="0"/>
    <n v="0"/>
    <n v="0"/>
    <n v="0"/>
    <x v="6"/>
  </r>
  <r>
    <s v="Regular"/>
    <x v="1"/>
    <x v="3"/>
    <x v="4"/>
    <x v="7"/>
    <x v="0"/>
    <x v="0"/>
    <x v="2"/>
    <x v="9"/>
    <n v="0"/>
    <n v="0"/>
    <n v="10.157999999999999"/>
    <n v="10.157999999999999"/>
    <n v="10.157999999999999"/>
    <n v="10.157999999999999"/>
    <n v="132"/>
    <s v="CATIVO"/>
    <n v="0"/>
    <n v="0"/>
    <n v="20"/>
    <n v="39"/>
    <n v="0"/>
    <n v="253.04"/>
    <n v="314.52"/>
    <m/>
    <n v="254.31241827529186"/>
    <n v="248.38780360927973"/>
    <n v="0"/>
    <n v="0"/>
    <n v="0"/>
    <n v="0"/>
    <x v="6"/>
  </r>
  <r>
    <s v="Regular"/>
    <x v="1"/>
    <x v="3"/>
    <x v="4"/>
    <x v="7"/>
    <x v="0"/>
    <x v="0"/>
    <x v="2"/>
    <x v="10"/>
    <n v="0"/>
    <n v="0"/>
    <n v="11.754"/>
    <n v="11.754"/>
    <n v="11.754"/>
    <n v="11.754"/>
    <n v="152"/>
    <s v="CATIVO"/>
    <n v="0"/>
    <n v="0"/>
    <n v="20"/>
    <n v="39"/>
    <n v="0"/>
    <n v="253.04"/>
    <n v="314.52"/>
    <m/>
    <n v="254.31241827529186"/>
    <n v="248.38780360927973"/>
    <n v="0"/>
    <n v="0"/>
    <n v="0"/>
    <n v="0"/>
    <x v="6"/>
  </r>
  <r>
    <s v="PROJETADO"/>
    <x v="1"/>
    <x v="3"/>
    <x v="4"/>
    <x v="7"/>
    <x v="0"/>
    <x v="0"/>
    <x v="2"/>
    <x v="11"/>
    <n v="0"/>
    <n v="0"/>
    <n v="11.754"/>
    <n v="11.754"/>
    <n v="11.754"/>
    <n v="11.754"/>
    <n v="152"/>
    <s v="CATIVO"/>
    <n v="0"/>
    <n v="0"/>
    <n v="20"/>
    <n v="39"/>
    <n v="0"/>
    <n v="253.04"/>
    <n v="314.52"/>
    <m/>
    <n v="254.31241827529186"/>
    <n v="248.38780360927973"/>
    <n v="0"/>
    <n v="0"/>
    <n v="0"/>
    <n v="0"/>
    <x v="6"/>
  </r>
  <r>
    <s v="Regular"/>
    <x v="2"/>
    <x v="3"/>
    <x v="3"/>
    <x v="2"/>
    <x v="3"/>
    <x v="0"/>
    <x v="2"/>
    <x v="0"/>
    <n v="0"/>
    <n v="0"/>
    <n v="0.1"/>
    <n v="0.1"/>
    <n v="0.1"/>
    <n v="0.1"/>
    <n v="0"/>
    <s v="CATIVO"/>
    <n v="0"/>
    <n v="0"/>
    <n v="32"/>
    <n v="56"/>
    <n v="0"/>
    <n v="287.75"/>
    <n v="276.77999999999997"/>
    <m/>
    <n v="352.23960388029417"/>
    <n v="233.48453539272293"/>
    <n v="0"/>
    <n v="7.6970000000000027"/>
    <n v="0"/>
    <n v="3.7386647187639426"/>
    <x v="4"/>
  </r>
  <r>
    <s v="Regular"/>
    <x v="2"/>
    <x v="3"/>
    <x v="3"/>
    <x v="2"/>
    <x v="3"/>
    <x v="0"/>
    <x v="2"/>
    <x v="1"/>
    <n v="0"/>
    <n v="0"/>
    <n v="0.1"/>
    <n v="0.1"/>
    <n v="0.1"/>
    <n v="0.1"/>
    <n v="0"/>
    <s v="CATIVO"/>
    <n v="0"/>
    <n v="0"/>
    <n v="32"/>
    <n v="56"/>
    <n v="0"/>
    <n v="287.75"/>
    <n v="276.77999999999997"/>
    <m/>
    <n v="352.23960388029417"/>
    <n v="233.48453539272293"/>
    <n v="0"/>
    <n v="7.6970000000000027"/>
    <n v="0"/>
    <n v="3.7386647187639426"/>
    <x v="4"/>
  </r>
  <r>
    <s v="Regular"/>
    <x v="2"/>
    <x v="3"/>
    <x v="3"/>
    <x v="2"/>
    <x v="3"/>
    <x v="0"/>
    <x v="2"/>
    <x v="2"/>
    <n v="0"/>
    <n v="0"/>
    <n v="5.8999999999999997E-2"/>
    <n v="5.8999999999999997E-2"/>
    <n v="5.8999999999999997E-2"/>
    <n v="5.8999999999999997E-2"/>
    <n v="0"/>
    <s v="CATIVO"/>
    <n v="0"/>
    <n v="0"/>
    <n v="32"/>
    <n v="56"/>
    <n v="0"/>
    <n v="287.75"/>
    <n v="276.77999999999997"/>
    <m/>
    <n v="352.23960388029417"/>
    <n v="233.48453539272293"/>
    <n v="0"/>
    <n v="4.5412300000000014"/>
    <n v="0"/>
    <n v="2.2058121840707261"/>
    <x v="4"/>
  </r>
  <r>
    <s v="Regular"/>
    <x v="2"/>
    <x v="3"/>
    <x v="3"/>
    <x v="2"/>
    <x v="3"/>
    <x v="0"/>
    <x v="2"/>
    <x v="3"/>
    <n v="0"/>
    <n v="0"/>
    <n v="5.8999999999999997E-2"/>
    <n v="5.8999999999999997E-2"/>
    <n v="5.8999999999999997E-2"/>
    <n v="5.8999999999999997E-2"/>
    <n v="0"/>
    <s v="CATIVO"/>
    <n v="0"/>
    <n v="0"/>
    <n v="32"/>
    <n v="56"/>
    <n v="0"/>
    <n v="287.75"/>
    <n v="276.77999999999997"/>
    <m/>
    <n v="352.23960388029417"/>
    <n v="233.48453539272293"/>
    <n v="0"/>
    <n v="4.5412300000000014"/>
    <n v="0"/>
    <n v="2.2058121840707261"/>
    <x v="4"/>
  </r>
  <r>
    <s v="Regular"/>
    <x v="2"/>
    <x v="3"/>
    <x v="3"/>
    <x v="2"/>
    <x v="3"/>
    <x v="0"/>
    <x v="2"/>
    <x v="4"/>
    <n v="0"/>
    <n v="0"/>
    <n v="1.649"/>
    <n v="1.649"/>
    <n v="1.649"/>
    <n v="1.649"/>
    <n v="0"/>
    <s v="CATIVO"/>
    <n v="0"/>
    <n v="0"/>
    <n v="32"/>
    <n v="56"/>
    <n v="0"/>
    <n v="287.75"/>
    <n v="276.77999999999997"/>
    <m/>
    <n v="352.23960388029417"/>
    <n v="233.48453539272293"/>
    <n v="0"/>
    <n v="126.92353000000004"/>
    <n v="0"/>
    <n v="61.650581212417414"/>
    <x v="4"/>
  </r>
  <r>
    <s v="Regular"/>
    <x v="2"/>
    <x v="3"/>
    <x v="3"/>
    <x v="2"/>
    <x v="3"/>
    <x v="0"/>
    <x v="2"/>
    <x v="5"/>
    <n v="0"/>
    <n v="0"/>
    <n v="1.54"/>
    <n v="1.54"/>
    <n v="1.54"/>
    <n v="1.54"/>
    <n v="0"/>
    <s v="CATIVO"/>
    <n v="0"/>
    <n v="0"/>
    <n v="32"/>
    <n v="56"/>
    <n v="0"/>
    <n v="287.75"/>
    <n v="276.77999999999997"/>
    <m/>
    <n v="352.23960388029417"/>
    <n v="233.48453539272293"/>
    <n v="0"/>
    <n v="118.53380000000004"/>
    <n v="0"/>
    <n v="57.57543666896472"/>
    <x v="4"/>
  </r>
  <r>
    <s v="Regular"/>
    <x v="2"/>
    <x v="3"/>
    <x v="3"/>
    <x v="2"/>
    <x v="3"/>
    <x v="0"/>
    <x v="2"/>
    <x v="6"/>
    <n v="0"/>
    <n v="0"/>
    <n v="2.0259999999999998"/>
    <n v="2.0259999999999998"/>
    <n v="2.0259999999999998"/>
    <n v="2.0259999999999998"/>
    <n v="0"/>
    <s v="CATIVO"/>
    <n v="0"/>
    <n v="0"/>
    <n v="32"/>
    <n v="56"/>
    <n v="0"/>
    <n v="287.75"/>
    <n v="276.77999999999997"/>
    <m/>
    <n v="352.23960388029417"/>
    <n v="233.48453539272293"/>
    <n v="0"/>
    <n v="155.94122000000004"/>
    <n v="0"/>
    <n v="75.745347202157475"/>
    <x v="4"/>
  </r>
  <r>
    <s v="Regular"/>
    <x v="2"/>
    <x v="3"/>
    <x v="3"/>
    <x v="2"/>
    <x v="3"/>
    <x v="0"/>
    <x v="2"/>
    <x v="7"/>
    <n v="0"/>
    <n v="0"/>
    <n v="0.251"/>
    <n v="0.251"/>
    <n v="0.251"/>
    <n v="0.251"/>
    <n v="0"/>
    <s v="CATIVO"/>
    <n v="0"/>
    <n v="0"/>
    <n v="32"/>
    <n v="56"/>
    <n v="0"/>
    <n v="287.75"/>
    <n v="276.77999999999997"/>
    <m/>
    <n v="352.23960388029417"/>
    <n v="233.48453539272293"/>
    <n v="0"/>
    <n v="19.319470000000006"/>
    <n v="0"/>
    <n v="9.3840484440974965"/>
    <x v="4"/>
  </r>
  <r>
    <s v="Regular"/>
    <x v="2"/>
    <x v="3"/>
    <x v="3"/>
    <x v="2"/>
    <x v="3"/>
    <x v="0"/>
    <x v="2"/>
    <x v="8"/>
    <n v="0"/>
    <n v="0"/>
    <n v="0.1"/>
    <n v="0.1"/>
    <n v="0.1"/>
    <n v="0.1"/>
    <n v="0"/>
    <s v="CATIVO"/>
    <n v="0"/>
    <n v="0"/>
    <n v="32"/>
    <n v="56"/>
    <n v="0"/>
    <n v="287.75"/>
    <n v="276.77999999999997"/>
    <m/>
    <n v="352.23960388029417"/>
    <n v="233.48453539272293"/>
    <n v="0"/>
    <n v="7.6970000000000027"/>
    <n v="0"/>
    <n v="3.7386647187639426"/>
    <x v="4"/>
  </r>
  <r>
    <s v="Regular"/>
    <x v="2"/>
    <x v="3"/>
    <x v="3"/>
    <x v="2"/>
    <x v="3"/>
    <x v="0"/>
    <x v="2"/>
    <x v="9"/>
    <n v="0"/>
    <n v="0"/>
    <n v="0.1"/>
    <n v="0.1"/>
    <n v="0.1"/>
    <n v="0.1"/>
    <n v="0"/>
    <s v="CATIVO"/>
    <n v="0"/>
    <n v="0"/>
    <n v="32"/>
    <n v="56"/>
    <n v="0"/>
    <n v="287.75"/>
    <n v="276.77999999999997"/>
    <m/>
    <n v="352.23960388029417"/>
    <n v="233.48453539272293"/>
    <n v="0"/>
    <n v="7.6970000000000027"/>
    <n v="0"/>
    <n v="3.7386647187639426"/>
    <x v="4"/>
  </r>
  <r>
    <s v="Regular"/>
    <x v="2"/>
    <x v="3"/>
    <x v="3"/>
    <x v="2"/>
    <x v="3"/>
    <x v="0"/>
    <x v="2"/>
    <x v="10"/>
    <n v="0"/>
    <n v="0"/>
    <n v="5.8999999999999997E-2"/>
    <n v="5.8999999999999997E-2"/>
    <n v="5.8999999999999997E-2"/>
    <n v="5.8999999999999997E-2"/>
    <n v="0"/>
    <s v="CATIVO"/>
    <n v="0"/>
    <n v="0"/>
    <n v="32"/>
    <n v="56"/>
    <n v="0"/>
    <n v="287.75"/>
    <n v="276.77999999999997"/>
    <m/>
    <n v="352.23960388029417"/>
    <n v="233.48453539272293"/>
    <n v="0"/>
    <n v="4.5412300000000014"/>
    <n v="0"/>
    <n v="2.2058121840707261"/>
    <x v="4"/>
  </r>
  <r>
    <s v="PROJETADO"/>
    <x v="2"/>
    <x v="3"/>
    <x v="3"/>
    <x v="2"/>
    <x v="3"/>
    <x v="0"/>
    <x v="2"/>
    <x v="11"/>
    <n v="0"/>
    <n v="0"/>
    <n v="5.8999999999999997E-2"/>
    <n v="5.8999999999999997E-2"/>
    <n v="5.8999999999999997E-2"/>
    <n v="5.8999999999999997E-2"/>
    <n v="0"/>
    <s v="CATIVO"/>
    <n v="0"/>
    <n v="0"/>
    <n v="32"/>
    <n v="56"/>
    <n v="0"/>
    <n v="287.75"/>
    <n v="276.77999999999997"/>
    <m/>
    <n v="352.23960388029417"/>
    <n v="233.48453539272293"/>
    <n v="0"/>
    <n v="4.5412300000000014"/>
    <n v="0"/>
    <n v="2.2058121840707261"/>
    <x v="4"/>
  </r>
  <r>
    <s v="Regular"/>
    <x v="2"/>
    <x v="3"/>
    <x v="3"/>
    <x v="2"/>
    <x v="2"/>
    <x v="0"/>
    <x v="2"/>
    <x v="2"/>
    <n v="0"/>
    <n v="0"/>
    <n v="4.1000000000000002E-2"/>
    <n v="1.6400000000000001E-2"/>
    <n v="4.1000000000000002E-2"/>
    <n v="1.6400000000000001E-2"/>
    <n v="0"/>
    <s v="CATIVO"/>
    <n v="0"/>
    <n v="0"/>
    <n v="32"/>
    <n v="56"/>
    <n v="0"/>
    <n v="287.75"/>
    <n v="276.77999999999997"/>
    <m/>
    <n v="352.23960388029417"/>
    <n v="233.48453539272293"/>
    <n v="0"/>
    <n v="17.043208"/>
    <n v="0"/>
    <n v="15.941666360809435"/>
    <x v="3"/>
  </r>
  <r>
    <s v="Regular"/>
    <x v="2"/>
    <x v="3"/>
    <x v="3"/>
    <x v="2"/>
    <x v="2"/>
    <x v="0"/>
    <x v="2"/>
    <x v="3"/>
    <n v="0"/>
    <n v="0"/>
    <n v="4.1000000000000002E-2"/>
    <n v="1.6400000000000001E-2"/>
    <n v="4.1000000000000002E-2"/>
    <n v="1.6400000000000001E-2"/>
    <n v="0"/>
    <s v="CATIVO"/>
    <n v="0"/>
    <n v="0"/>
    <n v="32"/>
    <n v="56"/>
    <n v="0"/>
    <n v="287.75"/>
    <n v="276.77999999999997"/>
    <m/>
    <n v="352.23960388029417"/>
    <n v="233.48453539272293"/>
    <n v="0"/>
    <n v="17.043208"/>
    <n v="0"/>
    <n v="15.941666360809435"/>
    <x v="3"/>
  </r>
  <r>
    <s v="Regular"/>
    <x v="2"/>
    <x v="3"/>
    <x v="3"/>
    <x v="2"/>
    <x v="2"/>
    <x v="0"/>
    <x v="2"/>
    <x v="4"/>
    <n v="0"/>
    <n v="0"/>
    <n v="1.1890000000000001"/>
    <n v="0.47560000000000002"/>
    <n v="1.1890000000000001"/>
    <n v="0.47560000000000002"/>
    <n v="0"/>
    <s v="CATIVO"/>
    <n v="0"/>
    <n v="0"/>
    <n v="32"/>
    <n v="56"/>
    <n v="0"/>
    <n v="287.75"/>
    <n v="276.77999999999997"/>
    <m/>
    <n v="352.23960388029417"/>
    <n v="233.48453539272293"/>
    <n v="0"/>
    <n v="494.25303200000008"/>
    <n v="0"/>
    <n v="462.30832446347364"/>
    <x v="3"/>
  </r>
  <r>
    <s v="Regular"/>
    <x v="2"/>
    <x v="3"/>
    <x v="3"/>
    <x v="2"/>
    <x v="2"/>
    <x v="0"/>
    <x v="2"/>
    <x v="5"/>
    <n v="0"/>
    <n v="0"/>
    <n v="1.8859999999999999"/>
    <n v="0.75439999999999996"/>
    <n v="1.8859999999999999"/>
    <n v="0.75439999999999996"/>
    <n v="0"/>
    <s v="CATIVO"/>
    <n v="0"/>
    <n v="0"/>
    <n v="32"/>
    <n v="56"/>
    <n v="0"/>
    <n v="287.75"/>
    <n v="276.77999999999997"/>
    <m/>
    <n v="352.23960388029417"/>
    <n v="233.48453539272293"/>
    <n v="0"/>
    <n v="783.98756800000001"/>
    <n v="0"/>
    <n v="733.316652597234"/>
    <x v="3"/>
  </r>
  <r>
    <s v="Regular"/>
    <x v="2"/>
    <x v="3"/>
    <x v="3"/>
    <x v="2"/>
    <x v="2"/>
    <x v="0"/>
    <x v="2"/>
    <x v="6"/>
    <n v="0"/>
    <n v="0"/>
    <n v="1.927"/>
    <n v="0.77080000000000004"/>
    <n v="1.927"/>
    <n v="0.77080000000000004"/>
    <n v="0"/>
    <s v="CATIVO"/>
    <n v="0"/>
    <n v="0"/>
    <n v="32"/>
    <n v="56"/>
    <n v="0"/>
    <n v="287.75"/>
    <n v="276.77999999999997"/>
    <m/>
    <n v="352.23960388029417"/>
    <n v="233.48453539272293"/>
    <n v="0"/>
    <n v="801.03077600000006"/>
    <n v="0"/>
    <n v="749.25831895804356"/>
    <x v="3"/>
  </r>
  <r>
    <s v="Regular"/>
    <x v="2"/>
    <x v="3"/>
    <x v="3"/>
    <x v="2"/>
    <x v="2"/>
    <x v="0"/>
    <x v="2"/>
    <x v="10"/>
    <n v="0"/>
    <n v="0"/>
    <n v="4.1000000000000002E-2"/>
    <n v="1.6400000000000001E-2"/>
    <n v="4.1000000000000002E-2"/>
    <n v="1.6400000000000001E-2"/>
    <n v="0"/>
    <s v="CATIVO"/>
    <n v="0"/>
    <n v="0"/>
    <n v="32"/>
    <n v="56"/>
    <n v="0"/>
    <n v="287.75"/>
    <n v="276.77999999999997"/>
    <m/>
    <n v="352.23960388029417"/>
    <n v="233.48453539272293"/>
    <n v="0"/>
    <n v="17.043208"/>
    <n v="0"/>
    <n v="15.941666360809435"/>
    <x v="3"/>
  </r>
  <r>
    <s v="PROJETADO"/>
    <x v="2"/>
    <x v="3"/>
    <x v="3"/>
    <x v="2"/>
    <x v="2"/>
    <x v="0"/>
    <x v="2"/>
    <x v="11"/>
    <n v="0"/>
    <n v="0"/>
    <n v="4.1000000000000002E-2"/>
    <n v="1.6400000000000001E-2"/>
    <n v="4.1000000000000002E-2"/>
    <n v="1.6400000000000001E-2"/>
    <n v="0"/>
    <s v="CATIVO"/>
    <n v="0"/>
    <n v="0"/>
    <n v="32"/>
    <n v="56"/>
    <n v="0"/>
    <n v="287.75"/>
    <n v="276.77999999999997"/>
    <m/>
    <n v="352.23960388029417"/>
    <n v="233.48453539272293"/>
    <n v="0"/>
    <n v="17.043208"/>
    <n v="0"/>
    <n v="15.941666360809435"/>
    <x v="3"/>
  </r>
  <r>
    <s v="Regular"/>
    <x v="2"/>
    <x v="3"/>
    <x v="3"/>
    <x v="1"/>
    <x v="0"/>
    <x v="0"/>
    <x v="2"/>
    <x v="0"/>
    <n v="0"/>
    <n v="0"/>
    <n v="131.71799999999999"/>
    <n v="131.71799999999999"/>
    <n v="131.71799999999999"/>
    <n v="131.71799999999999"/>
    <n v="208"/>
    <s v="CATIVO"/>
    <n v="0"/>
    <n v="0"/>
    <n v="32"/>
    <n v="56"/>
    <n v="0"/>
    <n v="287.75"/>
    <n v="276.77999999999997"/>
    <m/>
    <n v="352.23960388029417"/>
    <n v="233.48453539272293"/>
    <n v="0"/>
    <n v="10138.334460000004"/>
    <n v="0"/>
    <n v="4924.4943942614891"/>
    <x v="4"/>
  </r>
  <r>
    <s v="Regular"/>
    <x v="2"/>
    <x v="3"/>
    <x v="3"/>
    <x v="1"/>
    <x v="0"/>
    <x v="0"/>
    <x v="2"/>
    <x v="1"/>
    <n v="0"/>
    <n v="0"/>
    <n v="123.667"/>
    <n v="123.667"/>
    <n v="123.667"/>
    <n v="123.667"/>
    <n v="207"/>
    <s v="CATIVO"/>
    <n v="0"/>
    <n v="0"/>
    <n v="32"/>
    <n v="56"/>
    <n v="0"/>
    <n v="287.75"/>
    <n v="276.77999999999997"/>
    <m/>
    <n v="352.23960388029417"/>
    <n v="233.48453539272293"/>
    <n v="0"/>
    <n v="9518.6489900000033"/>
    <n v="0"/>
    <n v="4623.4944977538053"/>
    <x v="4"/>
  </r>
  <r>
    <s v="Regular"/>
    <x v="2"/>
    <x v="3"/>
    <x v="3"/>
    <x v="1"/>
    <x v="0"/>
    <x v="0"/>
    <x v="2"/>
    <x v="2"/>
    <n v="0"/>
    <n v="0"/>
    <n v="134.45599999999999"/>
    <n v="134.45599999999999"/>
    <n v="134.45599999999999"/>
    <n v="134.45599999999999"/>
    <n v="207"/>
    <s v="CATIVO"/>
    <n v="0"/>
    <n v="0"/>
    <n v="32"/>
    <n v="56"/>
    <n v="0"/>
    <n v="287.75"/>
    <n v="276.77999999999997"/>
    <m/>
    <n v="352.23960388029417"/>
    <n v="233.48453539272293"/>
    <n v="0"/>
    <n v="10349.078320000002"/>
    <n v="0"/>
    <n v="5026.8590342612461"/>
    <x v="4"/>
  </r>
  <r>
    <s v="Regular"/>
    <x v="2"/>
    <x v="3"/>
    <x v="3"/>
    <x v="1"/>
    <x v="0"/>
    <x v="0"/>
    <x v="2"/>
    <x v="3"/>
    <n v="0"/>
    <n v="0"/>
    <n v="126.17400000000001"/>
    <n v="126.17400000000001"/>
    <n v="126.17400000000001"/>
    <n v="126.17400000000001"/>
    <n v="207"/>
    <s v="CATIVO"/>
    <n v="0"/>
    <n v="0"/>
    <n v="32"/>
    <n v="56"/>
    <n v="0"/>
    <n v="287.75"/>
    <n v="276.77999999999997"/>
    <m/>
    <n v="352.23960388029417"/>
    <n v="233.48453539272293"/>
    <n v="0"/>
    <n v="9711.6127800000031"/>
    <n v="0"/>
    <n v="4717.2228222532176"/>
    <x v="4"/>
  </r>
  <r>
    <s v="Sistema de Compensação"/>
    <x v="2"/>
    <x v="3"/>
    <x v="3"/>
    <x v="1"/>
    <x v="0"/>
    <x v="0"/>
    <x v="2"/>
    <x v="3"/>
    <n v="0"/>
    <n v="0"/>
    <n v="0.05"/>
    <n v="0.05"/>
    <n v="0.05"/>
    <n v="0.05"/>
    <n v="1"/>
    <s v="CATIVO"/>
    <n v="0"/>
    <n v="0"/>
    <n v="32"/>
    <n v="56"/>
    <n v="0"/>
    <n v="287.75"/>
    <n v="276.77999999999997"/>
    <m/>
    <n v="352.23960388029417"/>
    <n v="233.48453539272293"/>
    <n v="0"/>
    <n v="3.8485000000000014"/>
    <n v="0"/>
    <n v="1.8693323593819713"/>
    <x v="4"/>
  </r>
  <r>
    <s v="Regular"/>
    <x v="2"/>
    <x v="3"/>
    <x v="3"/>
    <x v="1"/>
    <x v="0"/>
    <x v="0"/>
    <x v="2"/>
    <x v="4"/>
    <n v="0"/>
    <n v="0"/>
    <n v="154.369"/>
    <n v="154.369"/>
    <n v="154.369"/>
    <n v="154.369"/>
    <n v="205"/>
    <s v="CATIVO"/>
    <n v="0"/>
    <n v="0"/>
    <n v="32"/>
    <n v="56"/>
    <n v="0"/>
    <n v="287.75"/>
    <n v="276.77999999999997"/>
    <m/>
    <n v="352.23960388029417"/>
    <n v="233.48453539272293"/>
    <n v="0"/>
    <n v="11881.781930000005"/>
    <n v="0"/>
    <n v="5771.3393397087102"/>
    <x v="4"/>
  </r>
  <r>
    <s v="Sistema de Compensação"/>
    <x v="2"/>
    <x v="3"/>
    <x v="3"/>
    <x v="1"/>
    <x v="0"/>
    <x v="0"/>
    <x v="2"/>
    <x v="4"/>
    <n v="0"/>
    <n v="0"/>
    <n v="0.21"/>
    <n v="0.21"/>
    <n v="0.21"/>
    <n v="0.21"/>
    <n v="2"/>
    <s v="CATIVO"/>
    <n v="0"/>
    <n v="0"/>
    <n v="32"/>
    <n v="56"/>
    <n v="0"/>
    <n v="287.75"/>
    <n v="276.77999999999997"/>
    <m/>
    <n v="352.23960388029417"/>
    <n v="233.48453539272293"/>
    <n v="0"/>
    <n v="16.163700000000006"/>
    <n v="0"/>
    <n v="7.8511959094042787"/>
    <x v="4"/>
  </r>
  <r>
    <s v="Regular"/>
    <x v="2"/>
    <x v="3"/>
    <x v="3"/>
    <x v="1"/>
    <x v="0"/>
    <x v="0"/>
    <x v="2"/>
    <x v="5"/>
    <n v="0"/>
    <n v="0"/>
    <n v="143.977"/>
    <n v="143.977"/>
    <n v="143.977"/>
    <n v="143.977"/>
    <n v="203"/>
    <s v="CATIVO"/>
    <n v="0"/>
    <n v="0"/>
    <n v="32"/>
    <n v="56"/>
    <n v="0"/>
    <n v="287.75"/>
    <n v="276.77999999999997"/>
    <m/>
    <n v="352.23960388029417"/>
    <n v="233.48453539272293"/>
    <n v="0"/>
    <n v="11081.909690000004"/>
    <n v="0"/>
    <n v="5382.817302134762"/>
    <x v="4"/>
  </r>
  <r>
    <s v="Refaturamento - Regular"/>
    <x v="2"/>
    <x v="3"/>
    <x v="3"/>
    <x v="1"/>
    <x v="0"/>
    <x v="0"/>
    <x v="2"/>
    <x v="5"/>
    <n v="0"/>
    <n v="0"/>
    <n v="-1.627"/>
    <n v="-1.627"/>
    <n v="-1.627"/>
    <n v="-1.627"/>
    <n v="0"/>
    <s v="CATIVO"/>
    <n v="0"/>
    <n v="0"/>
    <n v="32"/>
    <n v="56"/>
    <n v="0"/>
    <n v="287.75"/>
    <n v="276.77999999999997"/>
    <m/>
    <n v="352.23960388029417"/>
    <n v="233.48453539272293"/>
    <n v="0"/>
    <n v="-125.23019000000005"/>
    <n v="0"/>
    <n v="-60.828074974289343"/>
    <x v="4"/>
  </r>
  <r>
    <s v="Sistema de Compensação"/>
    <x v="2"/>
    <x v="3"/>
    <x v="3"/>
    <x v="1"/>
    <x v="0"/>
    <x v="0"/>
    <x v="2"/>
    <x v="5"/>
    <n v="0"/>
    <n v="0"/>
    <n v="0.41699999999999998"/>
    <n v="0.41699999999999998"/>
    <n v="0.41699999999999998"/>
    <n v="0.41699999999999998"/>
    <n v="4"/>
    <s v="CATIVO"/>
    <n v="0"/>
    <n v="0"/>
    <n v="32"/>
    <n v="56"/>
    <n v="0"/>
    <n v="287.75"/>
    <n v="276.77999999999997"/>
    <m/>
    <n v="352.23960388029417"/>
    <n v="233.48453539272293"/>
    <n v="0"/>
    <n v="32.09649000000001"/>
    <n v="0"/>
    <n v="15.590231877245639"/>
    <x v="4"/>
  </r>
  <r>
    <s v="Regular"/>
    <x v="2"/>
    <x v="3"/>
    <x v="3"/>
    <x v="1"/>
    <x v="0"/>
    <x v="0"/>
    <x v="2"/>
    <x v="6"/>
    <n v="0"/>
    <n v="0"/>
    <n v="155.065"/>
    <n v="155.065"/>
    <n v="155.065"/>
    <n v="155.065"/>
    <n v="202"/>
    <s v="CATIVO"/>
    <n v="0"/>
    <n v="0"/>
    <n v="32"/>
    <n v="56"/>
    <n v="0"/>
    <n v="287.75"/>
    <n v="276.77999999999997"/>
    <m/>
    <n v="352.23960388029417"/>
    <n v="233.48453539272293"/>
    <n v="0"/>
    <n v="11935.353050000003"/>
    <n v="0"/>
    <n v="5797.3604461513078"/>
    <x v="4"/>
  </r>
  <r>
    <s v="Sistema de Compensação"/>
    <x v="2"/>
    <x v="3"/>
    <x v="3"/>
    <x v="1"/>
    <x v="0"/>
    <x v="0"/>
    <x v="2"/>
    <x v="6"/>
    <n v="0"/>
    <n v="0"/>
    <n v="0.52400000000000002"/>
    <n v="0.52400000000000002"/>
    <n v="0.52400000000000002"/>
    <n v="0.52400000000000002"/>
    <n v="5"/>
    <s v="CATIVO"/>
    <n v="0"/>
    <n v="0"/>
    <n v="32"/>
    <n v="56"/>
    <n v="0"/>
    <n v="287.75"/>
    <n v="276.77999999999997"/>
    <m/>
    <n v="352.23960388029417"/>
    <n v="233.48453539272293"/>
    <n v="0"/>
    <n v="40.332280000000019"/>
    <n v="0"/>
    <n v="19.59060312632306"/>
    <x v="4"/>
  </r>
  <r>
    <s v="Regular"/>
    <x v="2"/>
    <x v="3"/>
    <x v="3"/>
    <x v="1"/>
    <x v="0"/>
    <x v="0"/>
    <x v="2"/>
    <x v="7"/>
    <n v="0"/>
    <n v="0"/>
    <n v="154.22800000000001"/>
    <n v="154.22800000000001"/>
    <n v="154.22800000000001"/>
    <n v="154.22800000000001"/>
    <n v="203"/>
    <s v="CATIVO"/>
    <n v="0"/>
    <n v="0"/>
    <n v="32"/>
    <n v="56"/>
    <n v="0"/>
    <n v="287.75"/>
    <n v="276.77999999999997"/>
    <m/>
    <n v="352.23960388029417"/>
    <n v="233.48453539272293"/>
    <n v="0"/>
    <n v="11870.929160000005"/>
    <n v="0"/>
    <n v="5766.0678224552539"/>
    <x v="4"/>
  </r>
  <r>
    <s v="Sistema de Compensação"/>
    <x v="2"/>
    <x v="3"/>
    <x v="3"/>
    <x v="1"/>
    <x v="0"/>
    <x v="0"/>
    <x v="2"/>
    <x v="7"/>
    <n v="0"/>
    <n v="0"/>
    <n v="0.70199999999999996"/>
    <n v="0.70199999999999996"/>
    <n v="0.70199999999999996"/>
    <n v="0.70199999999999996"/>
    <n v="5"/>
    <s v="CATIVO"/>
    <n v="0"/>
    <n v="0"/>
    <n v="32"/>
    <n v="56"/>
    <n v="0"/>
    <n v="287.75"/>
    <n v="276.77999999999997"/>
    <m/>
    <n v="352.23960388029417"/>
    <n v="233.48453539272293"/>
    <n v="0"/>
    <n v="54.032940000000018"/>
    <n v="0"/>
    <n v="26.245426325722875"/>
    <x v="4"/>
  </r>
  <r>
    <s v="Regular"/>
    <x v="2"/>
    <x v="3"/>
    <x v="3"/>
    <x v="1"/>
    <x v="0"/>
    <x v="0"/>
    <x v="2"/>
    <x v="8"/>
    <n v="0"/>
    <n v="0"/>
    <n v="136.06200000000001"/>
    <n v="136.06200000000001"/>
    <n v="136.06200000000001"/>
    <n v="136.06200000000001"/>
    <n v="203"/>
    <s v="CATIVO"/>
    <n v="0"/>
    <n v="0"/>
    <n v="32"/>
    <n v="56"/>
    <n v="0"/>
    <n v="287.75"/>
    <n v="276.77999999999997"/>
    <m/>
    <n v="352.23960388029417"/>
    <n v="233.48453539272293"/>
    <n v="0"/>
    <n v="10472.692140000005"/>
    <n v="0"/>
    <n v="5086.9019896445961"/>
    <x v="4"/>
  </r>
  <r>
    <s v="Refaturamento - Regular"/>
    <x v="2"/>
    <x v="3"/>
    <x v="3"/>
    <x v="1"/>
    <x v="0"/>
    <x v="0"/>
    <x v="2"/>
    <x v="8"/>
    <n v="0"/>
    <n v="0"/>
    <n v="0.16"/>
    <n v="0.16"/>
    <n v="0.16"/>
    <n v="0.16"/>
    <n v="0"/>
    <s v="CATIVO"/>
    <n v="0"/>
    <n v="0"/>
    <n v="32"/>
    <n v="56"/>
    <n v="0"/>
    <n v="287.75"/>
    <n v="276.77999999999997"/>
    <m/>
    <n v="352.23960388029417"/>
    <n v="233.48453539272293"/>
    <n v="0"/>
    <n v="12.315200000000004"/>
    <n v="0"/>
    <n v="5.9818635500223083"/>
    <x v="4"/>
  </r>
  <r>
    <s v="Sistema de Compensação"/>
    <x v="2"/>
    <x v="3"/>
    <x v="3"/>
    <x v="1"/>
    <x v="0"/>
    <x v="0"/>
    <x v="2"/>
    <x v="8"/>
    <n v="0"/>
    <n v="0"/>
    <n v="0.46899999999999997"/>
    <n v="0.46899999999999997"/>
    <n v="0.46899999999999997"/>
    <n v="0.46899999999999997"/>
    <n v="5"/>
    <s v="CATIVO"/>
    <n v="0"/>
    <n v="0"/>
    <n v="32"/>
    <n v="56"/>
    <n v="0"/>
    <n v="287.75"/>
    <n v="276.77999999999997"/>
    <m/>
    <n v="352.23960388029417"/>
    <n v="233.48453539272293"/>
    <n v="0"/>
    <n v="36.09893000000001"/>
    <n v="0"/>
    <n v="17.53433753100289"/>
    <x v="4"/>
  </r>
  <r>
    <s v="Regular"/>
    <x v="2"/>
    <x v="3"/>
    <x v="3"/>
    <x v="1"/>
    <x v="0"/>
    <x v="0"/>
    <x v="2"/>
    <x v="9"/>
    <n v="0"/>
    <n v="0"/>
    <n v="149.77799999999999"/>
    <n v="149.77799999999999"/>
    <n v="149.77799999999999"/>
    <n v="149.77799999999999"/>
    <n v="203"/>
    <s v="CATIVO"/>
    <n v="0"/>
    <n v="0"/>
    <n v="32"/>
    <n v="56"/>
    <n v="0"/>
    <n v="287.75"/>
    <n v="276.77999999999997"/>
    <m/>
    <n v="352.23960388029417"/>
    <n v="233.48453539272293"/>
    <n v="0"/>
    <n v="11528.412660000004"/>
    <n v="0"/>
    <n v="5599.6972424702572"/>
    <x v="4"/>
  </r>
  <r>
    <s v="Sistema de Compensação"/>
    <x v="2"/>
    <x v="3"/>
    <x v="3"/>
    <x v="1"/>
    <x v="0"/>
    <x v="0"/>
    <x v="2"/>
    <x v="9"/>
    <n v="0"/>
    <n v="0"/>
    <n v="1.0640000000000001"/>
    <n v="1.0640000000000001"/>
    <n v="1.0640000000000001"/>
    <n v="1.0640000000000001"/>
    <n v="5"/>
    <s v="CATIVO"/>
    <n v="0"/>
    <n v="0"/>
    <n v="32"/>
    <n v="56"/>
    <n v="0"/>
    <n v="287.75"/>
    <n v="276.77999999999997"/>
    <m/>
    <n v="352.23960388029417"/>
    <n v="233.48453539272293"/>
    <n v="0"/>
    <n v="81.89608000000004"/>
    <n v="0"/>
    <n v="39.779392607648354"/>
    <x v="4"/>
  </r>
  <r>
    <s v="Regular"/>
    <x v="2"/>
    <x v="3"/>
    <x v="3"/>
    <x v="1"/>
    <x v="0"/>
    <x v="0"/>
    <x v="2"/>
    <x v="10"/>
    <n v="0"/>
    <n v="0"/>
    <n v="129.52199999999999"/>
    <n v="129.52199999999999"/>
    <n v="129.52199999999999"/>
    <n v="129.52199999999999"/>
    <n v="202"/>
    <s v="CATIVO"/>
    <n v="0"/>
    <n v="0"/>
    <n v="32"/>
    <n v="56"/>
    <n v="0"/>
    <n v="287.75"/>
    <n v="276.77999999999997"/>
    <m/>
    <n v="352.23960388029417"/>
    <n v="233.48453539272293"/>
    <n v="0"/>
    <n v="9969.3083400000032"/>
    <n v="0"/>
    <n v="4842.393317037433"/>
    <x v="4"/>
  </r>
  <r>
    <s v="Sistema de Compensação"/>
    <x v="2"/>
    <x v="3"/>
    <x v="3"/>
    <x v="1"/>
    <x v="0"/>
    <x v="0"/>
    <x v="2"/>
    <x v="10"/>
    <n v="0"/>
    <n v="0"/>
    <n v="6.4989999999999997"/>
    <n v="6.4989999999999997"/>
    <n v="6.4989999999999997"/>
    <n v="6.4989999999999997"/>
    <n v="6"/>
    <s v="CATIVO"/>
    <n v="0"/>
    <n v="0"/>
    <n v="32"/>
    <n v="56"/>
    <n v="0"/>
    <n v="287.75"/>
    <n v="276.77999999999997"/>
    <m/>
    <n v="352.23960388029417"/>
    <n v="233.48453539272293"/>
    <n v="0"/>
    <n v="500.22803000000016"/>
    <n v="0"/>
    <n v="242.97582007246862"/>
    <x v="4"/>
  </r>
  <r>
    <s v="PROJETADO"/>
    <x v="2"/>
    <x v="3"/>
    <x v="3"/>
    <x v="1"/>
    <x v="0"/>
    <x v="0"/>
    <x v="2"/>
    <x v="11"/>
    <n v="0"/>
    <n v="0"/>
    <n v="129.52199999999999"/>
    <n v="129.52199999999999"/>
    <n v="129.52199999999999"/>
    <n v="129.52199999999999"/>
    <n v="202"/>
    <s v="CATIVO"/>
    <n v="0"/>
    <n v="0"/>
    <n v="32"/>
    <n v="56"/>
    <n v="0"/>
    <n v="287.75"/>
    <n v="276.77999999999997"/>
    <m/>
    <n v="352.23960388029417"/>
    <n v="233.48453539272293"/>
    <n v="0"/>
    <n v="9969.3083400000032"/>
    <n v="0"/>
    <n v="4842.393317037433"/>
    <x v="4"/>
  </r>
  <r>
    <s v="PROJETADO"/>
    <x v="2"/>
    <x v="3"/>
    <x v="3"/>
    <x v="1"/>
    <x v="0"/>
    <x v="0"/>
    <x v="2"/>
    <x v="11"/>
    <n v="0"/>
    <n v="0"/>
    <n v="6.4989999999999997"/>
    <n v="6.4989999999999997"/>
    <n v="6.4989999999999997"/>
    <n v="6.4989999999999997"/>
    <n v="6"/>
    <s v="CATIVO"/>
    <n v="0"/>
    <n v="0"/>
    <n v="32"/>
    <n v="56"/>
    <n v="0"/>
    <n v="287.75"/>
    <n v="276.77999999999997"/>
    <m/>
    <n v="352.23960388029417"/>
    <n v="233.48453539272293"/>
    <n v="0"/>
    <n v="500.22803000000016"/>
    <n v="0"/>
    <n v="242.97582007246862"/>
    <x v="4"/>
  </r>
  <r>
    <s v="Regular"/>
    <x v="3"/>
    <x v="3"/>
    <x v="0"/>
    <x v="0"/>
    <x v="0"/>
    <x v="0"/>
    <x v="2"/>
    <x v="0"/>
    <n v="0"/>
    <n v="0"/>
    <n v="128.226"/>
    <n v="120.53243999999999"/>
    <n v="128.226"/>
    <n v="120.53243999999999"/>
    <n v="23"/>
    <s v="CATIVO"/>
    <n v="0"/>
    <n v="0"/>
    <n v="68"/>
    <n v="76"/>
    <n v="0"/>
    <n v="326.98"/>
    <n v="314.52"/>
    <m/>
    <n v="374.7229828513768"/>
    <n v="248.38780360927973"/>
    <n v="0"/>
    <n v="4935.4187400000028"/>
    <n v="0"/>
    <n v="4793.9402222822519"/>
    <x v="0"/>
  </r>
  <r>
    <s v="Regular"/>
    <x v="3"/>
    <x v="3"/>
    <x v="0"/>
    <x v="0"/>
    <x v="0"/>
    <x v="0"/>
    <x v="2"/>
    <x v="1"/>
    <n v="0"/>
    <n v="0"/>
    <n v="134.18799999999999"/>
    <n v="126.13672"/>
    <n v="134.18799999999999"/>
    <n v="126.13672"/>
    <n v="23"/>
    <s v="CATIVO"/>
    <n v="0"/>
    <n v="0"/>
    <n v="68"/>
    <n v="76"/>
    <n v="0"/>
    <n v="326.98"/>
    <n v="314.52"/>
    <m/>
    <n v="374.7229828513768"/>
    <n v="248.38780360927973"/>
    <n v="0"/>
    <n v="5164.896119999994"/>
    <n v="0"/>
    <n v="5016.8394128149494"/>
    <x v="0"/>
  </r>
  <r>
    <s v="Regular"/>
    <x v="3"/>
    <x v="3"/>
    <x v="0"/>
    <x v="0"/>
    <x v="0"/>
    <x v="0"/>
    <x v="2"/>
    <x v="2"/>
    <n v="0"/>
    <n v="0"/>
    <n v="120.355"/>
    <n v="113.1337"/>
    <n v="120.355"/>
    <n v="113.1337"/>
    <n v="23"/>
    <s v="CATIVO"/>
    <n v="0"/>
    <n v="0"/>
    <n v="68"/>
    <n v="76"/>
    <n v="0"/>
    <n v="326.98"/>
    <n v="314.52"/>
    <m/>
    <n v="374.7229828513768"/>
    <n v="248.38780360927973"/>
    <n v="0"/>
    <n v="4632.4639499999994"/>
    <n v="0"/>
    <n v="4499.6699222683383"/>
    <x v="0"/>
  </r>
  <r>
    <s v="Regular"/>
    <x v="3"/>
    <x v="3"/>
    <x v="0"/>
    <x v="0"/>
    <x v="0"/>
    <x v="0"/>
    <x v="2"/>
    <x v="3"/>
    <n v="0"/>
    <n v="0"/>
    <n v="117.742"/>
    <n v="110.67748"/>
    <n v="117.742"/>
    <n v="110.67748"/>
    <n v="23"/>
    <s v="CATIVO"/>
    <n v="0"/>
    <n v="0"/>
    <n v="68"/>
    <n v="76"/>
    <n v="0"/>
    <n v="326.98"/>
    <n v="314.52"/>
    <m/>
    <n v="374.7229828513768"/>
    <n v="248.38780360927973"/>
    <n v="0"/>
    <n v="4531.8895800000009"/>
    <n v="0"/>
    <n v="4401.9786131670389"/>
    <x v="0"/>
  </r>
  <r>
    <s v="Regular"/>
    <x v="3"/>
    <x v="3"/>
    <x v="0"/>
    <x v="0"/>
    <x v="0"/>
    <x v="0"/>
    <x v="2"/>
    <x v="4"/>
    <n v="0"/>
    <n v="0"/>
    <n v="138.86199999999999"/>
    <n v="130.53028"/>
    <n v="138.86199999999999"/>
    <n v="130.53028"/>
    <n v="23"/>
    <s v="CATIVO"/>
    <n v="0"/>
    <n v="0"/>
    <n v="68"/>
    <n v="76"/>
    <n v="0"/>
    <n v="326.98"/>
    <n v="314.52"/>
    <m/>
    <n v="374.7229828513768"/>
    <n v="248.38780360927973"/>
    <n v="0"/>
    <n v="5344.7983799999929"/>
    <n v="0"/>
    <n v="5191.5846017699751"/>
    <x v="0"/>
  </r>
  <r>
    <s v="Regular"/>
    <x v="3"/>
    <x v="3"/>
    <x v="0"/>
    <x v="0"/>
    <x v="0"/>
    <x v="0"/>
    <x v="2"/>
    <x v="5"/>
    <n v="0"/>
    <n v="0"/>
    <n v="136.72"/>
    <n v="128.51679999999999"/>
    <n v="136.72"/>
    <n v="128.51679999999999"/>
    <n v="23"/>
    <s v="CATIVO"/>
    <n v="0"/>
    <n v="0"/>
    <n v="68"/>
    <n v="76"/>
    <n v="0"/>
    <n v="326.98"/>
    <n v="314.52"/>
    <m/>
    <n v="374.7229828513768"/>
    <n v="248.38780360927973"/>
    <n v="0"/>
    <n v="5262.352800000006"/>
    <n v="0"/>
    <n v="5111.5024034940634"/>
    <x v="0"/>
  </r>
  <r>
    <s v="Regular"/>
    <x v="3"/>
    <x v="3"/>
    <x v="0"/>
    <x v="0"/>
    <x v="0"/>
    <x v="0"/>
    <x v="2"/>
    <x v="6"/>
    <n v="0"/>
    <n v="0"/>
    <n v="133.994"/>
    <n v="125.95435999999999"/>
    <n v="133.994"/>
    <n v="125.95435999999999"/>
    <n v="23"/>
    <s v="CATIVO"/>
    <n v="0"/>
    <n v="0"/>
    <n v="68"/>
    <n v="76"/>
    <n v="0"/>
    <n v="326.98"/>
    <n v="314.52"/>
    <m/>
    <n v="374.7229828513768"/>
    <n v="248.38780360927973"/>
    <n v="0"/>
    <n v="5157.429060000004"/>
    <n v="0"/>
    <n v="5009.5864032605568"/>
    <x v="0"/>
  </r>
  <r>
    <s v="Regular"/>
    <x v="3"/>
    <x v="3"/>
    <x v="0"/>
    <x v="0"/>
    <x v="0"/>
    <x v="0"/>
    <x v="2"/>
    <x v="7"/>
    <n v="0"/>
    <n v="0"/>
    <n v="130.32300000000001"/>
    <n v="122.50362"/>
    <n v="130.32300000000001"/>
    <n v="122.50362"/>
    <n v="32"/>
    <s v="CATIVO"/>
    <n v="0"/>
    <n v="0"/>
    <n v="68"/>
    <n v="76"/>
    <n v="0"/>
    <n v="326.98"/>
    <n v="314.52"/>
    <m/>
    <n v="374.7229828513768"/>
    <n v="248.38780360927973"/>
    <n v="0"/>
    <n v="5016.1322700000055"/>
    <n v="0"/>
    <n v="4872.3400214347348"/>
    <x v="0"/>
  </r>
  <r>
    <s v="Regular"/>
    <x v="3"/>
    <x v="3"/>
    <x v="0"/>
    <x v="0"/>
    <x v="0"/>
    <x v="0"/>
    <x v="2"/>
    <x v="8"/>
    <n v="0"/>
    <n v="0"/>
    <n v="134.40899999999999"/>
    <n v="126.34446"/>
    <n v="134.40899999999999"/>
    <n v="126.34446"/>
    <n v="32"/>
    <s v="CATIVO"/>
    <n v="0"/>
    <n v="0"/>
    <n v="68"/>
    <n v="76"/>
    <n v="0"/>
    <n v="326.98"/>
    <n v="314.52"/>
    <m/>
    <n v="374.7229828513768"/>
    <n v="248.38780360927973"/>
    <n v="0"/>
    <n v="5173.4024099999961"/>
    <n v="0"/>
    <n v="5025.1018618434191"/>
    <x v="0"/>
  </r>
  <r>
    <s v="Regular"/>
    <x v="3"/>
    <x v="3"/>
    <x v="0"/>
    <x v="0"/>
    <x v="0"/>
    <x v="0"/>
    <x v="2"/>
    <x v="9"/>
    <n v="0"/>
    <n v="0"/>
    <n v="141.02799999999999"/>
    <n v="132.56631999999999"/>
    <n v="141.02799999999999"/>
    <n v="132.56631999999999"/>
    <n v="33"/>
    <s v="CATIVO"/>
    <n v="0"/>
    <n v="0"/>
    <n v="68"/>
    <n v="76"/>
    <n v="0"/>
    <n v="326.98"/>
    <n v="314.52"/>
    <m/>
    <n v="374.7229828513768"/>
    <n v="248.38780360927973"/>
    <n v="0"/>
    <n v="5428.1677200000013"/>
    <n v="0"/>
    <n v="5272.5640795784093"/>
    <x v="0"/>
  </r>
  <r>
    <s v="Regular"/>
    <x v="3"/>
    <x v="3"/>
    <x v="0"/>
    <x v="0"/>
    <x v="0"/>
    <x v="0"/>
    <x v="2"/>
    <x v="10"/>
    <n v="0"/>
    <n v="0"/>
    <n v="143.99799999999999"/>
    <n v="135.35812000000001"/>
    <n v="143.99799999999999"/>
    <n v="135.35812000000001"/>
    <n v="33"/>
    <s v="CATIVO"/>
    <n v="0"/>
    <n v="0"/>
    <n v="68"/>
    <n v="76"/>
    <n v="0"/>
    <n v="326.98"/>
    <n v="314.52"/>
    <m/>
    <n v="374.7229828513768"/>
    <n v="248.38780360927973"/>
    <n v="0"/>
    <n v="5542.4830199999851"/>
    <n v="0"/>
    <n v="5383.6024217256818"/>
    <x v="0"/>
  </r>
  <r>
    <s v="PROJETADO"/>
    <x v="3"/>
    <x v="3"/>
    <x v="0"/>
    <x v="0"/>
    <x v="0"/>
    <x v="0"/>
    <x v="2"/>
    <x v="11"/>
    <n v="0"/>
    <n v="0"/>
    <n v="143.99799999999999"/>
    <n v="135.35812000000001"/>
    <n v="143.99799999999999"/>
    <n v="135.35812000000001"/>
    <n v="33"/>
    <s v="CATIVO"/>
    <n v="0"/>
    <n v="0"/>
    <n v="68"/>
    <n v="76"/>
    <n v="0"/>
    <n v="326.98"/>
    <n v="314.52"/>
    <m/>
    <n v="374.7229828513768"/>
    <n v="248.38780360927973"/>
    <n v="0"/>
    <n v="5542.4830199999851"/>
    <n v="0"/>
    <n v="5383.6024217256818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8">
  <r>
    <s v="Regular"/>
    <x v="0"/>
    <x v="0"/>
    <x v="0"/>
    <x v="0"/>
    <x v="0"/>
    <x v="0"/>
    <x v="0"/>
    <x v="0"/>
    <n v="245"/>
    <n v="245"/>
    <n v="105.798"/>
    <n v="105.798"/>
    <n v="105.798"/>
    <n v="105.798"/>
    <n v="0"/>
    <x v="0"/>
    <n v="0"/>
    <n v="23"/>
    <n v="11"/>
    <n v="78"/>
    <n v="15.312599999999998"/>
    <n v="66.984400000000008"/>
    <n v="279.47139999999996"/>
    <n v="20.478680251484136"/>
    <n v="90.284891520890241"/>
    <n v="227.81389743608153"/>
    <n v="3751.5869999999995"/>
    <n v="7086.8155512000012"/>
    <n v="29567.515177199995"/>
    <n v="5017.2766616136132"/>
    <n v="9551.9609531271453"/>
    <n v="24102.254720942554"/>
  </r>
  <r>
    <s v="Regular"/>
    <x v="0"/>
    <x v="0"/>
    <x v="0"/>
    <x v="0"/>
    <x v="0"/>
    <x v="0"/>
    <x v="0"/>
    <x v="1"/>
    <n v="245"/>
    <n v="245"/>
    <n v="117.194"/>
    <n v="117.194"/>
    <n v="117.194"/>
    <n v="117.194"/>
    <n v="0"/>
    <x v="0"/>
    <n v="0"/>
    <n v="23"/>
    <n v="11"/>
    <n v="78"/>
    <n v="15.312599999999998"/>
    <n v="66.984400000000008"/>
    <n v="279.47139999999996"/>
    <n v="20.478680251484136"/>
    <n v="90.284891520890241"/>
    <n v="227.81389743608153"/>
    <n v="3751.5869999999995"/>
    <n v="7850.1697736000015"/>
    <n v="32752.371251599998"/>
    <n v="5017.2766616136132"/>
    <n v="10580.84757689921"/>
    <n v="26698.421896124139"/>
  </r>
  <r>
    <s v="Regular"/>
    <x v="0"/>
    <x v="0"/>
    <x v="0"/>
    <x v="0"/>
    <x v="0"/>
    <x v="0"/>
    <x v="0"/>
    <x v="2"/>
    <n v="245"/>
    <n v="245"/>
    <n v="97.938999999999993"/>
    <n v="97.938999999999993"/>
    <n v="97.938999999999993"/>
    <n v="97.938999999999993"/>
    <n v="0"/>
    <x v="0"/>
    <n v="0"/>
    <n v="23"/>
    <n v="11"/>
    <n v="78"/>
    <n v="15.312599999999998"/>
    <n v="66.984400000000008"/>
    <n v="279.47139999999996"/>
    <n v="20.478680251484136"/>
    <n v="90.284891520890241"/>
    <n v="227.81389743608153"/>
    <n v="3751.5869999999995"/>
    <n v="6560.3851516000004"/>
    <n v="27371.149444599992"/>
    <n v="5017.2766616136132"/>
    <n v="8842.4119906644682"/>
    <n v="22311.865300992387"/>
  </r>
  <r>
    <s v="Regular"/>
    <x v="0"/>
    <x v="0"/>
    <x v="0"/>
    <x v="0"/>
    <x v="0"/>
    <x v="0"/>
    <x v="0"/>
    <x v="3"/>
    <n v="245"/>
    <n v="245"/>
    <n v="100.089"/>
    <n v="100.089"/>
    <n v="100.089"/>
    <n v="100.089"/>
    <n v="0"/>
    <x v="0"/>
    <n v="0"/>
    <n v="23"/>
    <n v="11"/>
    <n v="78"/>
    <n v="15.312599999999998"/>
    <n v="66.984400000000008"/>
    <n v="279.47139999999996"/>
    <n v="20.478680251484136"/>
    <n v="90.284891520890241"/>
    <n v="227.81389743608153"/>
    <n v="3751.5869999999995"/>
    <n v="6704.4016116000003"/>
    <n v="27972.012954599995"/>
    <n v="5017.2766616136132"/>
    <n v="9036.5245074343838"/>
    <n v="22801.665180479966"/>
  </r>
  <r>
    <s v="Regular"/>
    <x v="0"/>
    <x v="0"/>
    <x v="0"/>
    <x v="0"/>
    <x v="0"/>
    <x v="0"/>
    <x v="0"/>
    <x v="4"/>
    <n v="245"/>
    <n v="245"/>
    <n v="111.02800000000001"/>
    <n v="111.02800000000001"/>
    <n v="111.02800000000001"/>
    <n v="111.02800000000001"/>
    <n v="0"/>
    <x v="0"/>
    <n v="0"/>
    <n v="23"/>
    <n v="11"/>
    <n v="78"/>
    <n v="15.312599999999998"/>
    <n v="66.984400000000008"/>
    <n v="279.47139999999996"/>
    <n v="20.478680251484136"/>
    <n v="90.284891520890241"/>
    <n v="227.81389743608153"/>
    <n v="3751.5869999999995"/>
    <n v="7437.1439632000011"/>
    <n v="31029.150599199998"/>
    <n v="5017.2766616136132"/>
    <n v="10024.150935781403"/>
    <n v="25293.721404533262"/>
  </r>
  <r>
    <s v="Regular"/>
    <x v="0"/>
    <x v="0"/>
    <x v="0"/>
    <x v="0"/>
    <x v="0"/>
    <x v="0"/>
    <x v="0"/>
    <x v="5"/>
    <n v="245"/>
    <n v="245"/>
    <n v="113.598"/>
    <n v="113.598"/>
    <n v="113.598"/>
    <n v="113.598"/>
    <n v="0"/>
    <x v="0"/>
    <n v="0"/>
    <n v="23"/>
    <n v="11"/>
    <n v="78"/>
    <n v="15.312599999999998"/>
    <n v="66.984400000000008"/>
    <n v="279.47139999999996"/>
    <n v="20.478680251484136"/>
    <n v="90.284891520890241"/>
    <n v="227.81389743608153"/>
    <n v="3751.5869999999995"/>
    <n v="7609.2938712000005"/>
    <n v="31747.392097199994"/>
    <n v="5017.2766616136132"/>
    <n v="10256.183106990089"/>
    <n v="25879.203120943988"/>
  </r>
  <r>
    <s v="Regular"/>
    <x v="0"/>
    <x v="0"/>
    <x v="0"/>
    <x v="0"/>
    <x v="0"/>
    <x v="0"/>
    <x v="0"/>
    <x v="6"/>
    <n v="245"/>
    <n v="245"/>
    <n v="114.22799999999999"/>
    <n v="114.22799999999999"/>
    <n v="114.22799999999999"/>
    <n v="114.22799999999999"/>
    <n v="0"/>
    <x v="0"/>
    <n v="0"/>
    <n v="23"/>
    <n v="11"/>
    <n v="78"/>
    <n v="15.312599999999998"/>
    <n v="66.984400000000008"/>
    <n v="279.47139999999996"/>
    <n v="20.478680251484136"/>
    <n v="90.284891520890241"/>
    <n v="227.81389743608153"/>
    <n v="3751.5869999999995"/>
    <n v="7651.4940432000003"/>
    <n v="31923.459079199994"/>
    <n v="5017.2766616136132"/>
    <n v="10313.06258864825"/>
    <n v="26022.725876328721"/>
  </r>
  <r>
    <s v="Regular"/>
    <x v="0"/>
    <x v="0"/>
    <x v="0"/>
    <x v="0"/>
    <x v="0"/>
    <x v="0"/>
    <x v="0"/>
    <x v="7"/>
    <n v="245"/>
    <n v="245"/>
    <n v="103.28400000000001"/>
    <n v="103.28400000000001"/>
    <n v="103.28400000000001"/>
    <n v="103.28400000000001"/>
    <n v="0"/>
    <x v="0"/>
    <n v="0"/>
    <n v="23"/>
    <n v="11"/>
    <n v="78"/>
    <n v="15.312599999999998"/>
    <n v="66.984400000000008"/>
    <n v="279.47139999999996"/>
    <n v="20.478680251484136"/>
    <n v="90.284891520890241"/>
    <n v="227.81389743608153"/>
    <n v="3751.5869999999995"/>
    <n v="6918.4167696000013"/>
    <n v="28864.924077599997"/>
    <n v="5017.2766616136132"/>
    <n v="9324.9847358436291"/>
    <n v="23529.530582788248"/>
  </r>
  <r>
    <s v="Regular"/>
    <x v="0"/>
    <x v="0"/>
    <x v="0"/>
    <x v="0"/>
    <x v="0"/>
    <x v="0"/>
    <x v="0"/>
    <x v="8"/>
    <n v="245"/>
    <n v="245"/>
    <n v="114.107"/>
    <n v="114.107"/>
    <n v="114.107"/>
    <n v="114.107"/>
    <n v="0"/>
    <x v="0"/>
    <n v="0"/>
    <n v="23"/>
    <n v="11"/>
    <n v="78"/>
    <n v="15.312599999999998"/>
    <n v="66.984400000000008"/>
    <n v="279.47139999999996"/>
    <n v="20.478680251484136"/>
    <n v="90.284891520890241"/>
    <n v="227.81389743608153"/>
    <n v="3751.5869999999995"/>
    <n v="7643.3889308000007"/>
    <n v="31889.643039799994"/>
    <n v="5017.2766616136132"/>
    <n v="10302.138116774222"/>
    <n v="25995.160394738956"/>
  </r>
  <r>
    <s v="Regular"/>
    <x v="0"/>
    <x v="0"/>
    <x v="0"/>
    <x v="0"/>
    <x v="0"/>
    <x v="0"/>
    <x v="0"/>
    <x v="9"/>
    <n v="245"/>
    <n v="245"/>
    <n v="111.289"/>
    <n v="111.289"/>
    <n v="111.289"/>
    <n v="111.289"/>
    <n v="0"/>
    <x v="0"/>
    <n v="0"/>
    <n v="23"/>
    <n v="11"/>
    <n v="78"/>
    <n v="15.312599999999998"/>
    <n v="66.984400000000008"/>
    <n v="279.47139999999996"/>
    <n v="20.478680251484136"/>
    <n v="90.284891520890241"/>
    <n v="227.81389743608153"/>
    <n v="3751.5869999999995"/>
    <n v="7454.6268916000008"/>
    <n v="31102.092634599994"/>
    <n v="5017.2766616136132"/>
    <n v="10047.715292468354"/>
    <n v="25353.180831764079"/>
  </r>
  <r>
    <s v="Regular"/>
    <x v="0"/>
    <x v="0"/>
    <x v="0"/>
    <x v="0"/>
    <x v="0"/>
    <x v="0"/>
    <x v="0"/>
    <x v="10"/>
    <n v="245"/>
    <n v="245"/>
    <n v="104.895"/>
    <n v="104.895"/>
    <n v="104.895"/>
    <n v="104.895"/>
    <n v="0"/>
    <x v="0"/>
    <n v="0"/>
    <n v="23"/>
    <n v="11"/>
    <n v="78"/>
    <n v="15.312599999999998"/>
    <n v="66.984400000000008"/>
    <n v="279.47139999999996"/>
    <n v="20.478680251484136"/>
    <n v="90.284891520890241"/>
    <n v="227.81389743608153"/>
    <n v="3751.5869999999995"/>
    <n v="7026.3286380000009"/>
    <n v="29315.152502999994"/>
    <n v="5017.2766616136132"/>
    <n v="9470.4336960837809"/>
    <n v="23896.538771557771"/>
  </r>
  <r>
    <s v="PROJETADO"/>
    <x v="0"/>
    <x v="0"/>
    <x v="0"/>
    <x v="0"/>
    <x v="0"/>
    <x v="0"/>
    <x v="0"/>
    <x v="11"/>
    <n v="245"/>
    <n v="245"/>
    <n v="104.895"/>
    <n v="104.895"/>
    <n v="104.895"/>
    <n v="104.895"/>
    <n v="0"/>
    <x v="0"/>
    <n v="0"/>
    <n v="23"/>
    <n v="11"/>
    <n v="78"/>
    <n v="15.312599999999998"/>
    <n v="66.984400000000008"/>
    <n v="279.47139999999996"/>
    <n v="20.478680251484136"/>
    <n v="90.284891520890241"/>
    <n v="227.81389743608153"/>
    <n v="3751.5869999999995"/>
    <n v="7026.3286380000009"/>
    <n v="29315.152502999994"/>
    <n v="5017.2766616136132"/>
    <n v="9470.4336960837809"/>
    <n v="23896.538771557771"/>
  </r>
  <r>
    <s v="Regular"/>
    <x v="0"/>
    <x v="0"/>
    <x v="0"/>
    <x v="0"/>
    <x v="0"/>
    <x v="0"/>
    <x v="1"/>
    <x v="0"/>
    <n v="245"/>
    <n v="245"/>
    <n v="10.843"/>
    <n v="10.843"/>
    <n v="10.843"/>
    <n v="10.843"/>
    <n v="0"/>
    <x v="0"/>
    <n v="0"/>
    <n v="1"/>
    <n v="11"/>
    <n v="66"/>
    <n v="20.303999999999998"/>
    <n v="66.984400000000008"/>
    <n v="473.59079999999994"/>
    <n v="21.187811346798188"/>
    <n v="90.284891520890241"/>
    <n v="385.28116221511902"/>
    <n v="4974.4799999999996"/>
    <n v="726.3118492000001"/>
    <n v="5135.1450443999993"/>
    <n v="5191.0137799655558"/>
    <n v="978.95907876101285"/>
    <n v="4177.6036418985359"/>
  </r>
  <r>
    <s v="Regular"/>
    <x v="0"/>
    <x v="0"/>
    <x v="0"/>
    <x v="0"/>
    <x v="0"/>
    <x v="0"/>
    <x v="1"/>
    <x v="1"/>
    <n v="245"/>
    <n v="245"/>
    <n v="11.622999999999999"/>
    <n v="11.622999999999999"/>
    <n v="11.622999999999999"/>
    <n v="11.622999999999999"/>
    <n v="0"/>
    <x v="0"/>
    <n v="0"/>
    <n v="1"/>
    <n v="11"/>
    <n v="66"/>
    <n v="20.303999999999998"/>
    <n v="66.984400000000008"/>
    <n v="473.59079999999994"/>
    <n v="21.187811346798188"/>
    <n v="90.284891520890241"/>
    <n v="385.28116221511902"/>
    <n v="4974.4799999999996"/>
    <n v="778.5596812"/>
    <n v="5504.5458683999987"/>
    <n v="5191.0137799655558"/>
    <n v="1049.3812941473072"/>
    <n v="4478.1229484263285"/>
  </r>
  <r>
    <s v="Regular"/>
    <x v="0"/>
    <x v="0"/>
    <x v="0"/>
    <x v="0"/>
    <x v="0"/>
    <x v="0"/>
    <x v="1"/>
    <x v="2"/>
    <n v="245"/>
    <n v="245"/>
    <n v="11.743"/>
    <n v="11.743"/>
    <n v="11.743"/>
    <n v="11.743"/>
    <n v="0"/>
    <x v="0"/>
    <n v="0"/>
    <n v="1"/>
    <n v="11"/>
    <n v="66"/>
    <n v="20.303999999999998"/>
    <n v="66.984400000000008"/>
    <n v="473.59079999999994"/>
    <n v="21.187811346798188"/>
    <n v="90.284891520890241"/>
    <n v="385.28116221511902"/>
    <n v="4974.4799999999996"/>
    <n v="786.59780920000014"/>
    <n v="5561.3767644"/>
    <n v="5191.0137799655558"/>
    <n v="1060.2154811298142"/>
    <n v="4524.3566878921429"/>
  </r>
  <r>
    <s v="Regular"/>
    <x v="0"/>
    <x v="0"/>
    <x v="0"/>
    <x v="0"/>
    <x v="0"/>
    <x v="0"/>
    <x v="1"/>
    <x v="3"/>
    <n v="245"/>
    <n v="245"/>
    <n v="10.788"/>
    <n v="10.788"/>
    <n v="10.788"/>
    <n v="10.788"/>
    <n v="0"/>
    <x v="0"/>
    <n v="0"/>
    <n v="1"/>
    <n v="11"/>
    <n v="66"/>
    <n v="20.303999999999998"/>
    <n v="66.984400000000008"/>
    <n v="473.59079999999994"/>
    <n v="21.187811346798188"/>
    <n v="90.284891520890241"/>
    <n v="385.28116221511902"/>
    <n v="4974.4799999999996"/>
    <n v="722.62770720000015"/>
    <n v="5109.0975503999998"/>
    <n v="5191.0137799655558"/>
    <n v="973.993409727364"/>
    <n v="4156.413177976704"/>
  </r>
  <r>
    <s v="Regular"/>
    <x v="0"/>
    <x v="0"/>
    <x v="0"/>
    <x v="0"/>
    <x v="0"/>
    <x v="0"/>
    <x v="1"/>
    <x v="4"/>
    <n v="245"/>
    <n v="245"/>
    <n v="11.489000000000001"/>
    <n v="11.489000000000001"/>
    <n v="11.489000000000001"/>
    <n v="11.489000000000001"/>
    <n v="0"/>
    <x v="0"/>
    <n v="0"/>
    <n v="1"/>
    <n v="11"/>
    <n v="66"/>
    <n v="20.303999999999998"/>
    <n v="66.984400000000008"/>
    <n v="473.59079999999994"/>
    <n v="21.187811346798188"/>
    <n v="90.284891520890241"/>
    <n v="385.28116221511902"/>
    <n v="4974.4799999999996"/>
    <n v="769.58377160000009"/>
    <n v="5441.0847011999995"/>
    <n v="5191.0137799655558"/>
    <n v="1037.2831186835081"/>
    <n v="4426.4952726895026"/>
  </r>
  <r>
    <s v="Regular"/>
    <x v="0"/>
    <x v="0"/>
    <x v="0"/>
    <x v="0"/>
    <x v="0"/>
    <x v="0"/>
    <x v="1"/>
    <x v="5"/>
    <n v="245"/>
    <n v="245"/>
    <n v="12.214"/>
    <n v="12.214"/>
    <n v="12.214"/>
    <n v="12.214"/>
    <n v="0"/>
    <x v="0"/>
    <n v="0"/>
    <n v="1"/>
    <n v="11"/>
    <n v="66"/>
    <n v="20.303999999999998"/>
    <n v="66.984400000000008"/>
    <n v="473.59079999999994"/>
    <n v="21.187811346798188"/>
    <n v="90.284891520890241"/>
    <n v="385.28116221511902"/>
    <n v="4974.4799999999996"/>
    <n v="818.14746160000016"/>
    <n v="5784.4380311999994"/>
    <n v="5191.0137799655558"/>
    <n v="1102.7396650361534"/>
    <n v="4705.8241152954643"/>
  </r>
  <r>
    <s v="Regular"/>
    <x v="0"/>
    <x v="0"/>
    <x v="0"/>
    <x v="0"/>
    <x v="0"/>
    <x v="0"/>
    <x v="1"/>
    <x v="6"/>
    <n v="245"/>
    <n v="245"/>
    <n v="11.095000000000001"/>
    <n v="11.095000000000001"/>
    <n v="11.095000000000001"/>
    <n v="11.095000000000001"/>
    <n v="0"/>
    <x v="0"/>
    <n v="0"/>
    <n v="1"/>
    <n v="11"/>
    <n v="66"/>
    <n v="20.303999999999998"/>
    <n v="66.984400000000008"/>
    <n v="473.59079999999994"/>
    <n v="21.187811346798188"/>
    <n v="90.284891520890241"/>
    <n v="385.28116221511902"/>
    <n v="4974.4799999999996"/>
    <n v="743.1919180000001"/>
    <n v="5254.4899259999993"/>
    <n v="5191.0137799655558"/>
    <n v="1001.7108714242772"/>
    <n v="4274.6944947767461"/>
  </r>
  <r>
    <s v="Regular"/>
    <x v="0"/>
    <x v="0"/>
    <x v="0"/>
    <x v="0"/>
    <x v="0"/>
    <x v="0"/>
    <x v="1"/>
    <x v="7"/>
    <n v="245"/>
    <n v="245"/>
    <n v="10.555"/>
    <n v="10.555"/>
    <n v="10.555"/>
    <n v="10.555"/>
    <n v="0"/>
    <x v="0"/>
    <n v="0"/>
    <n v="1"/>
    <n v="11"/>
    <n v="66"/>
    <n v="20.303999999999998"/>
    <n v="66.984400000000008"/>
    <n v="473.59079999999994"/>
    <n v="21.187811346798188"/>
    <n v="90.284891520890241"/>
    <n v="385.28116221511902"/>
    <n v="4974.4799999999996"/>
    <n v="707.02034200000003"/>
    <n v="4998.7508939999989"/>
    <n v="5191.0137799655558"/>
    <n v="952.95703000299648"/>
    <n v="4066.6426671805812"/>
  </r>
  <r>
    <s v="Regular"/>
    <x v="0"/>
    <x v="0"/>
    <x v="0"/>
    <x v="0"/>
    <x v="0"/>
    <x v="0"/>
    <x v="1"/>
    <x v="8"/>
    <n v="245"/>
    <n v="245"/>
    <n v="12.113"/>
    <n v="12.113"/>
    <n v="12.113"/>
    <n v="12.113"/>
    <n v="0"/>
    <x v="0"/>
    <n v="0"/>
    <n v="1"/>
    <n v="11"/>
    <n v="66"/>
    <n v="20.303999999999998"/>
    <n v="66.984400000000008"/>
    <n v="473.59079999999994"/>
    <n v="21.187811346798188"/>
    <n v="90.284891520890241"/>
    <n v="385.28116221511902"/>
    <n v="4974.4799999999996"/>
    <n v="811.38203720000001"/>
    <n v="5736.605360399999"/>
    <n v="5191.0137799655558"/>
    <n v="1093.6208909925435"/>
    <n v="4666.9107179117364"/>
  </r>
  <r>
    <s v="Regular"/>
    <x v="0"/>
    <x v="0"/>
    <x v="0"/>
    <x v="0"/>
    <x v="0"/>
    <x v="0"/>
    <x v="1"/>
    <x v="9"/>
    <n v="245"/>
    <n v="245"/>
    <n v="9.4809999999999999"/>
    <n v="9.4809999999999999"/>
    <n v="9.4809999999999999"/>
    <n v="9.4809999999999999"/>
    <n v="0"/>
    <x v="0"/>
    <n v="0"/>
    <n v="1"/>
    <n v="11"/>
    <n v="66"/>
    <n v="20.303999999999998"/>
    <n v="66.984400000000008"/>
    <n v="473.59079999999994"/>
    <n v="21.187811346798188"/>
    <n v="90.284891520890241"/>
    <n v="385.28116221511902"/>
    <n v="4974.4799999999996"/>
    <n v="635.07909640000003"/>
    <n v="4490.1143747999995"/>
    <n v="5191.0137799655558"/>
    <n v="855.99105650956039"/>
    <n v="3652.8506989615435"/>
  </r>
  <r>
    <s v="Regular"/>
    <x v="0"/>
    <x v="0"/>
    <x v="0"/>
    <x v="0"/>
    <x v="0"/>
    <x v="0"/>
    <x v="1"/>
    <x v="10"/>
    <n v="245"/>
    <n v="245"/>
    <n v="11.755000000000001"/>
    <n v="11.755000000000001"/>
    <n v="11.755000000000001"/>
    <n v="11.755000000000001"/>
    <n v="0"/>
    <x v="0"/>
    <n v="0"/>
    <n v="1"/>
    <n v="11"/>
    <n v="66"/>
    <n v="20.303999999999998"/>
    <n v="66.984400000000008"/>
    <n v="473.59079999999994"/>
    <n v="21.187811346798188"/>
    <n v="90.284891520890241"/>
    <n v="385.28116221511902"/>
    <n v="4974.4799999999996"/>
    <n v="787.4016220000002"/>
    <n v="5567.0598540000001"/>
    <n v="5191.0137799655558"/>
    <n v="1061.2988998280648"/>
    <n v="4528.9800618387244"/>
  </r>
  <r>
    <s v="PROJETADO"/>
    <x v="0"/>
    <x v="0"/>
    <x v="0"/>
    <x v="0"/>
    <x v="0"/>
    <x v="0"/>
    <x v="1"/>
    <x v="11"/>
    <n v="245"/>
    <n v="245"/>
    <n v="11.755000000000001"/>
    <n v="11.755000000000001"/>
    <n v="11.755000000000001"/>
    <n v="11.755000000000001"/>
    <n v="0"/>
    <x v="0"/>
    <n v="0"/>
    <n v="1"/>
    <n v="11"/>
    <n v="66"/>
    <n v="20.303999999999998"/>
    <n v="66.984400000000008"/>
    <n v="473.59079999999994"/>
    <n v="21.187811346798188"/>
    <n v="90.284891520890241"/>
    <n v="385.28116221511902"/>
    <n v="4974.4799999999996"/>
    <n v="787.4016220000002"/>
    <n v="5567.0598540000001"/>
    <n v="5191.0137799655558"/>
    <n v="1061.2988998280648"/>
    <n v="4528.9800618387244"/>
  </r>
  <r>
    <s v="Regular"/>
    <x v="0"/>
    <x v="1"/>
    <x v="1"/>
    <x v="1"/>
    <x v="0"/>
    <x v="1"/>
    <x v="2"/>
    <x v="0"/>
    <n v="900"/>
    <n v="450"/>
    <n v="0"/>
    <n v="0"/>
    <n v="0"/>
    <n v="0"/>
    <n v="0"/>
    <x v="1"/>
    <n v="30634"/>
    <n v="5"/>
    <n v="0"/>
    <n v="0"/>
    <n v="5.65"/>
    <n v="0"/>
    <n v="0"/>
    <n v="5.5777500232004416"/>
    <m/>
    <m/>
    <n v="2542.5"/>
    <n v="0"/>
    <n v="0"/>
    <n v="2509.9875104401985"/>
    <n v="0"/>
    <n v="0"/>
  </r>
  <r>
    <s v="Regular"/>
    <x v="0"/>
    <x v="1"/>
    <x v="1"/>
    <x v="1"/>
    <x v="0"/>
    <x v="2"/>
    <x v="2"/>
    <x v="0"/>
    <n v="780"/>
    <n v="390"/>
    <n v="0"/>
    <n v="0"/>
    <n v="0"/>
    <n v="0"/>
    <n v="0"/>
    <x v="1"/>
    <n v="2430"/>
    <n v="5"/>
    <n v="0"/>
    <n v="0"/>
    <n v="5.65"/>
    <n v="0"/>
    <n v="0"/>
    <n v="5.5777500232004416"/>
    <m/>
    <m/>
    <n v="2203.5"/>
    <n v="0"/>
    <n v="0"/>
    <n v="2175.3225090481724"/>
    <n v="0"/>
    <n v="0"/>
  </r>
  <r>
    <s v="Regular"/>
    <x v="0"/>
    <x v="1"/>
    <x v="1"/>
    <x v="1"/>
    <x v="0"/>
    <x v="1"/>
    <x v="2"/>
    <x v="1"/>
    <n v="900"/>
    <n v="450"/>
    <n v="0"/>
    <n v="0"/>
    <n v="0"/>
    <n v="0"/>
    <n v="0"/>
    <x v="1"/>
    <n v="30634"/>
    <n v="5"/>
    <n v="0"/>
    <n v="0"/>
    <n v="5.65"/>
    <n v="0"/>
    <n v="0"/>
    <n v="5.5777500232004416"/>
    <m/>
    <m/>
    <n v="2542.5"/>
    <n v="0"/>
    <n v="0"/>
    <n v="2509.9875104401985"/>
    <n v="0"/>
    <n v="0"/>
  </r>
  <r>
    <s v="Regular"/>
    <x v="0"/>
    <x v="1"/>
    <x v="1"/>
    <x v="1"/>
    <x v="0"/>
    <x v="2"/>
    <x v="2"/>
    <x v="1"/>
    <n v="780"/>
    <n v="390"/>
    <n v="0"/>
    <n v="0"/>
    <n v="0"/>
    <n v="0"/>
    <n v="0"/>
    <x v="1"/>
    <n v="2430"/>
    <n v="5"/>
    <n v="0"/>
    <n v="0"/>
    <n v="5.65"/>
    <n v="0"/>
    <n v="0"/>
    <n v="5.5777500232004416"/>
    <m/>
    <m/>
    <n v="2203.5"/>
    <n v="0"/>
    <n v="0"/>
    <n v="2175.3225090481724"/>
    <n v="0"/>
    <n v="0"/>
  </r>
  <r>
    <s v="Regular"/>
    <x v="0"/>
    <x v="1"/>
    <x v="1"/>
    <x v="1"/>
    <x v="0"/>
    <x v="1"/>
    <x v="2"/>
    <x v="2"/>
    <n v="961"/>
    <n v="480.5"/>
    <n v="0"/>
    <n v="0"/>
    <n v="0"/>
    <n v="0"/>
    <n v="0"/>
    <x v="1"/>
    <n v="30634"/>
    <n v="5"/>
    <n v="0"/>
    <n v="0"/>
    <n v="5.65"/>
    <n v="0"/>
    <n v="0"/>
    <n v="5.5777500232004416"/>
    <m/>
    <m/>
    <n v="2714.8250000000003"/>
    <n v="0"/>
    <n v="0"/>
    <n v="2680.108886147812"/>
    <n v="0"/>
    <n v="0"/>
  </r>
  <r>
    <s v="Regular"/>
    <x v="0"/>
    <x v="1"/>
    <x v="1"/>
    <x v="1"/>
    <x v="0"/>
    <x v="2"/>
    <x v="2"/>
    <x v="2"/>
    <n v="780"/>
    <n v="390"/>
    <n v="0"/>
    <n v="0"/>
    <n v="0"/>
    <n v="0"/>
    <n v="0"/>
    <x v="1"/>
    <n v="2430"/>
    <n v="5"/>
    <n v="0"/>
    <n v="0"/>
    <n v="5.65"/>
    <n v="0"/>
    <n v="0"/>
    <n v="5.5777500232004416"/>
    <m/>
    <m/>
    <n v="2203.5"/>
    <n v="0"/>
    <n v="0"/>
    <n v="2175.3225090481724"/>
    <n v="0"/>
    <n v="0"/>
  </r>
  <r>
    <s v="Regular"/>
    <x v="0"/>
    <x v="1"/>
    <x v="1"/>
    <x v="1"/>
    <x v="0"/>
    <x v="1"/>
    <x v="2"/>
    <x v="3"/>
    <n v="963"/>
    <n v="481.5"/>
    <n v="0"/>
    <n v="0"/>
    <n v="0"/>
    <n v="0"/>
    <n v="0"/>
    <x v="1"/>
    <n v="30634"/>
    <n v="5"/>
    <n v="0"/>
    <n v="0"/>
    <n v="5.65"/>
    <n v="0"/>
    <n v="0"/>
    <n v="5.5777500232004416"/>
    <m/>
    <m/>
    <n v="2720.4750000000004"/>
    <n v="0"/>
    <n v="0"/>
    <n v="2685.6866361710127"/>
    <n v="0"/>
    <n v="0"/>
  </r>
  <r>
    <s v="Regular"/>
    <x v="0"/>
    <x v="1"/>
    <x v="1"/>
    <x v="1"/>
    <x v="0"/>
    <x v="2"/>
    <x v="2"/>
    <x v="3"/>
    <n v="780"/>
    <n v="390"/>
    <n v="0"/>
    <n v="0"/>
    <n v="0"/>
    <n v="0"/>
    <n v="0"/>
    <x v="1"/>
    <n v="2430"/>
    <n v="5"/>
    <n v="0"/>
    <n v="0"/>
    <n v="5.65"/>
    <n v="0"/>
    <n v="0"/>
    <n v="5.5777500232004416"/>
    <m/>
    <m/>
    <n v="2203.5"/>
    <n v="0"/>
    <n v="0"/>
    <n v="2175.3225090481724"/>
    <n v="0"/>
    <n v="0"/>
  </r>
  <r>
    <s v="Regular"/>
    <x v="0"/>
    <x v="1"/>
    <x v="1"/>
    <x v="1"/>
    <x v="0"/>
    <x v="1"/>
    <x v="2"/>
    <x v="4"/>
    <n v="952"/>
    <n v="476"/>
    <n v="0"/>
    <n v="0"/>
    <n v="0"/>
    <n v="0"/>
    <n v="0"/>
    <x v="1"/>
    <n v="30634"/>
    <n v="5"/>
    <n v="0"/>
    <n v="0"/>
    <n v="5.65"/>
    <n v="0"/>
    <n v="0"/>
    <n v="5.5777500232004416"/>
    <m/>
    <m/>
    <n v="2689.4"/>
    <n v="0"/>
    <n v="0"/>
    <n v="2655.0090110434103"/>
    <n v="0"/>
    <n v="0"/>
  </r>
  <r>
    <s v="Regular"/>
    <x v="0"/>
    <x v="1"/>
    <x v="1"/>
    <x v="1"/>
    <x v="0"/>
    <x v="2"/>
    <x v="2"/>
    <x v="4"/>
    <n v="780"/>
    <n v="390"/>
    <n v="0"/>
    <n v="0"/>
    <n v="0"/>
    <n v="0"/>
    <n v="0"/>
    <x v="1"/>
    <n v="2430"/>
    <n v="5"/>
    <n v="0"/>
    <n v="0"/>
    <n v="5.65"/>
    <n v="0"/>
    <n v="0"/>
    <n v="5.5777500232004416"/>
    <m/>
    <m/>
    <n v="2203.5"/>
    <n v="0"/>
    <n v="0"/>
    <n v="2175.3225090481724"/>
    <n v="0"/>
    <n v="0"/>
  </r>
  <r>
    <s v="Regular"/>
    <x v="0"/>
    <x v="1"/>
    <x v="1"/>
    <x v="1"/>
    <x v="0"/>
    <x v="1"/>
    <x v="2"/>
    <x v="5"/>
    <n v="900"/>
    <n v="450"/>
    <n v="0"/>
    <n v="0"/>
    <n v="0"/>
    <n v="0"/>
    <n v="0"/>
    <x v="1"/>
    <n v="30634"/>
    <n v="5"/>
    <n v="0"/>
    <n v="0"/>
    <n v="5.65"/>
    <n v="0"/>
    <n v="0"/>
    <n v="5.5777500232004416"/>
    <m/>
    <m/>
    <n v="2542.5"/>
    <n v="0"/>
    <n v="0"/>
    <n v="2509.9875104401985"/>
    <n v="0"/>
    <n v="0"/>
  </r>
  <r>
    <s v="Regular"/>
    <x v="0"/>
    <x v="1"/>
    <x v="1"/>
    <x v="1"/>
    <x v="0"/>
    <x v="2"/>
    <x v="2"/>
    <x v="5"/>
    <n v="780"/>
    <n v="390"/>
    <n v="0"/>
    <n v="0"/>
    <n v="0"/>
    <n v="0"/>
    <n v="0"/>
    <x v="1"/>
    <n v="2430"/>
    <n v="5"/>
    <n v="0"/>
    <n v="0"/>
    <n v="5.65"/>
    <n v="0"/>
    <n v="0"/>
    <n v="5.5777500232004416"/>
    <m/>
    <m/>
    <n v="2203.5"/>
    <n v="0"/>
    <n v="0"/>
    <n v="2175.3225090481724"/>
    <n v="0"/>
    <n v="0"/>
  </r>
  <r>
    <s v="Regular"/>
    <x v="0"/>
    <x v="1"/>
    <x v="1"/>
    <x v="1"/>
    <x v="0"/>
    <x v="1"/>
    <x v="2"/>
    <x v="6"/>
    <n v="900"/>
    <n v="450"/>
    <n v="0"/>
    <n v="0"/>
    <n v="0"/>
    <n v="0"/>
    <n v="0"/>
    <x v="1"/>
    <n v="30634"/>
    <n v="5"/>
    <n v="0"/>
    <n v="0"/>
    <n v="5.65"/>
    <n v="0"/>
    <n v="0"/>
    <n v="5.5777500232004416"/>
    <m/>
    <m/>
    <n v="2542.5"/>
    <n v="0"/>
    <n v="0"/>
    <n v="2509.9875104401985"/>
    <n v="0"/>
    <n v="0"/>
  </r>
  <r>
    <s v="Regular"/>
    <x v="0"/>
    <x v="1"/>
    <x v="1"/>
    <x v="1"/>
    <x v="0"/>
    <x v="2"/>
    <x v="2"/>
    <x v="6"/>
    <n v="780"/>
    <n v="390"/>
    <n v="0"/>
    <n v="0"/>
    <n v="0"/>
    <n v="0"/>
    <n v="0"/>
    <x v="1"/>
    <n v="2430"/>
    <n v="5"/>
    <n v="0"/>
    <n v="0"/>
    <n v="5.65"/>
    <n v="0"/>
    <n v="0"/>
    <n v="5.5777500232004416"/>
    <m/>
    <m/>
    <n v="2203.5"/>
    <n v="0"/>
    <n v="0"/>
    <n v="2175.3225090481724"/>
    <n v="0"/>
    <n v="0"/>
  </r>
  <r>
    <s v="Regular"/>
    <x v="0"/>
    <x v="1"/>
    <x v="1"/>
    <x v="1"/>
    <x v="0"/>
    <x v="1"/>
    <x v="2"/>
    <x v="7"/>
    <n v="900"/>
    <n v="450"/>
    <n v="0"/>
    <n v="0"/>
    <n v="0"/>
    <n v="0"/>
    <n v="0"/>
    <x v="1"/>
    <n v="30634"/>
    <n v="5"/>
    <n v="0"/>
    <n v="0"/>
    <n v="5.65"/>
    <n v="0"/>
    <n v="0"/>
    <n v="5.5777500232004416"/>
    <m/>
    <m/>
    <n v="2542.5"/>
    <n v="0"/>
    <n v="0"/>
    <n v="2509.9875104401985"/>
    <n v="0"/>
    <n v="0"/>
  </r>
  <r>
    <s v="Regular"/>
    <x v="0"/>
    <x v="1"/>
    <x v="1"/>
    <x v="1"/>
    <x v="0"/>
    <x v="2"/>
    <x v="2"/>
    <x v="7"/>
    <n v="780"/>
    <n v="390"/>
    <n v="0"/>
    <n v="0"/>
    <n v="0"/>
    <n v="0"/>
    <n v="0"/>
    <x v="1"/>
    <n v="2430"/>
    <n v="5"/>
    <n v="0"/>
    <n v="0"/>
    <n v="5.65"/>
    <n v="0"/>
    <n v="0"/>
    <n v="5.5777500232004416"/>
    <m/>
    <m/>
    <n v="2203.5"/>
    <n v="0"/>
    <n v="0"/>
    <n v="2175.3225090481724"/>
    <n v="0"/>
    <n v="0"/>
  </r>
  <r>
    <s v="Regular"/>
    <x v="0"/>
    <x v="1"/>
    <x v="1"/>
    <x v="1"/>
    <x v="0"/>
    <x v="1"/>
    <x v="2"/>
    <x v="8"/>
    <n v="900"/>
    <n v="450"/>
    <n v="0"/>
    <n v="0"/>
    <n v="0"/>
    <n v="0"/>
    <n v="0"/>
    <x v="1"/>
    <n v="30634"/>
    <n v="5"/>
    <n v="0"/>
    <n v="0"/>
    <n v="5.65"/>
    <n v="0"/>
    <n v="0"/>
    <n v="5.5777500232004416"/>
    <m/>
    <m/>
    <n v="2542.5"/>
    <n v="0"/>
    <n v="0"/>
    <n v="2509.9875104401985"/>
    <n v="0"/>
    <n v="0"/>
  </r>
  <r>
    <s v="Regular"/>
    <x v="0"/>
    <x v="1"/>
    <x v="1"/>
    <x v="1"/>
    <x v="0"/>
    <x v="2"/>
    <x v="2"/>
    <x v="8"/>
    <n v="780"/>
    <n v="390"/>
    <n v="0"/>
    <n v="0"/>
    <n v="0"/>
    <n v="0"/>
    <n v="0"/>
    <x v="1"/>
    <n v="2430"/>
    <n v="5"/>
    <n v="0"/>
    <n v="0"/>
    <n v="5.65"/>
    <n v="0"/>
    <n v="0"/>
    <n v="5.5777500232004416"/>
    <m/>
    <m/>
    <n v="2203.5"/>
    <n v="0"/>
    <n v="0"/>
    <n v="2175.3225090481724"/>
    <n v="0"/>
    <n v="0"/>
  </r>
  <r>
    <s v="Regular"/>
    <x v="0"/>
    <x v="1"/>
    <x v="1"/>
    <x v="1"/>
    <x v="0"/>
    <x v="1"/>
    <x v="2"/>
    <x v="9"/>
    <n v="945"/>
    <n v="472.5"/>
    <n v="0"/>
    <n v="0"/>
    <n v="0"/>
    <n v="0"/>
    <n v="0"/>
    <x v="1"/>
    <n v="30634"/>
    <n v="5"/>
    <n v="0"/>
    <n v="0"/>
    <n v="5.65"/>
    <n v="0"/>
    <n v="0"/>
    <n v="5.5777500232004416"/>
    <m/>
    <m/>
    <n v="2669.625"/>
    <n v="0"/>
    <n v="0"/>
    <n v="2635.4868859622088"/>
    <n v="0"/>
    <n v="0"/>
  </r>
  <r>
    <s v="Regular"/>
    <x v="0"/>
    <x v="1"/>
    <x v="1"/>
    <x v="1"/>
    <x v="0"/>
    <x v="2"/>
    <x v="2"/>
    <x v="9"/>
    <n v="780"/>
    <n v="390"/>
    <n v="0"/>
    <n v="0"/>
    <n v="0"/>
    <n v="0"/>
    <n v="0"/>
    <x v="1"/>
    <n v="2430"/>
    <n v="5"/>
    <n v="0"/>
    <n v="0"/>
    <n v="5.65"/>
    <n v="0"/>
    <n v="0"/>
    <n v="5.5777500232004416"/>
    <m/>
    <m/>
    <n v="2203.5"/>
    <n v="0"/>
    <n v="0"/>
    <n v="2175.3225090481724"/>
    <n v="0"/>
    <n v="0"/>
  </r>
  <r>
    <s v="Regular"/>
    <x v="0"/>
    <x v="1"/>
    <x v="1"/>
    <x v="1"/>
    <x v="0"/>
    <x v="1"/>
    <x v="2"/>
    <x v="10"/>
    <n v="1075"/>
    <n v="537.5"/>
    <n v="0"/>
    <n v="0"/>
    <n v="0"/>
    <n v="0"/>
    <n v="0"/>
    <x v="1"/>
    <n v="30634"/>
    <n v="5"/>
    <n v="0"/>
    <n v="0"/>
    <n v="5.65"/>
    <n v="0"/>
    <n v="0"/>
    <n v="5.5777500232004416"/>
    <m/>
    <m/>
    <n v="3036.875"/>
    <n v="0"/>
    <n v="0"/>
    <n v="2998.0406374702375"/>
    <n v="0"/>
    <n v="0"/>
  </r>
  <r>
    <s v="Regular"/>
    <x v="0"/>
    <x v="1"/>
    <x v="1"/>
    <x v="1"/>
    <x v="0"/>
    <x v="2"/>
    <x v="2"/>
    <x v="10"/>
    <n v="780"/>
    <n v="390"/>
    <n v="0"/>
    <n v="0"/>
    <n v="0"/>
    <n v="0"/>
    <n v="0"/>
    <x v="1"/>
    <n v="2430"/>
    <n v="5"/>
    <n v="0"/>
    <n v="0"/>
    <n v="5.65"/>
    <n v="0"/>
    <n v="0"/>
    <n v="5.5777500232004416"/>
    <m/>
    <m/>
    <n v="2203.5"/>
    <n v="0"/>
    <n v="0"/>
    <n v="2175.3225090481724"/>
    <n v="0"/>
    <n v="0"/>
  </r>
  <r>
    <s v="PROJETADO"/>
    <x v="0"/>
    <x v="1"/>
    <x v="1"/>
    <x v="1"/>
    <x v="0"/>
    <x v="1"/>
    <x v="2"/>
    <x v="11"/>
    <n v="1075"/>
    <n v="537.5"/>
    <n v="0"/>
    <n v="0"/>
    <n v="0"/>
    <n v="0"/>
    <n v="0"/>
    <x v="1"/>
    <n v="30634"/>
    <n v="5"/>
    <n v="0"/>
    <n v="0"/>
    <n v="5.65"/>
    <n v="0"/>
    <n v="0"/>
    <n v="5.5777500232004416"/>
    <m/>
    <m/>
    <n v="3036.875"/>
    <n v="0"/>
    <n v="0"/>
    <n v="2998.0406374702375"/>
    <n v="0"/>
    <n v="0"/>
  </r>
  <r>
    <s v="PROJETADO"/>
    <x v="0"/>
    <x v="1"/>
    <x v="1"/>
    <x v="1"/>
    <x v="0"/>
    <x v="2"/>
    <x v="2"/>
    <x v="11"/>
    <n v="780"/>
    <n v="390"/>
    <n v="0"/>
    <n v="0"/>
    <n v="0"/>
    <n v="0"/>
    <n v="0"/>
    <x v="1"/>
    <n v="2430"/>
    <n v="5"/>
    <n v="0"/>
    <n v="0"/>
    <n v="5.65"/>
    <n v="0"/>
    <n v="0"/>
    <n v="5.5777500232004416"/>
    <m/>
    <m/>
    <n v="2203.5"/>
    <n v="0"/>
    <n v="0"/>
    <n v="2175.3225090481724"/>
    <n v="0"/>
    <n v="0"/>
  </r>
  <r>
    <s v="Regular"/>
    <x v="0"/>
    <x v="2"/>
    <x v="2"/>
    <x v="1"/>
    <x v="0"/>
    <x v="0"/>
    <x v="0"/>
    <x v="0"/>
    <n v="0"/>
    <n v="0"/>
    <n v="99.381"/>
    <n v="99.381"/>
    <n v="99.381"/>
    <n v="99.381"/>
    <n v="0"/>
    <x v="0"/>
    <n v="0"/>
    <n v="0"/>
    <n v="17"/>
    <n v="78"/>
    <n v="0"/>
    <n v="71.260000000000005"/>
    <n v="297.31"/>
    <m/>
    <n v="93.077207753495102"/>
    <n v="234.85968807843457"/>
    <n v="0"/>
    <n v="7081.8900600000006"/>
    <n v="29546.965110000001"/>
    <n v="0"/>
    <n v="9250.1059837500961"/>
    <n v="23340.590660922906"/>
  </r>
  <r>
    <s v="Sistema de Compensação"/>
    <x v="0"/>
    <x v="2"/>
    <x v="2"/>
    <x v="1"/>
    <x v="0"/>
    <x v="0"/>
    <x v="0"/>
    <x v="0"/>
    <n v="0"/>
    <n v="0"/>
    <n v="105.495"/>
    <n v="105.495"/>
    <n v="105.495"/>
    <n v="105.495"/>
    <n v="0"/>
    <x v="0"/>
    <n v="0"/>
    <n v="0"/>
    <n v="17"/>
    <n v="78"/>
    <n v="0"/>
    <n v="71.260000000000005"/>
    <n v="297.31"/>
    <m/>
    <n v="93.077207753495102"/>
    <n v="234.85968807843457"/>
    <n v="0"/>
    <n v="7517.5737000000008"/>
    <n v="31364.71845"/>
    <n v="0"/>
    <n v="9819.1800319549657"/>
    <n v="24776.522793834458"/>
  </r>
  <r>
    <s v="Regular"/>
    <x v="0"/>
    <x v="2"/>
    <x v="2"/>
    <x v="1"/>
    <x v="0"/>
    <x v="0"/>
    <x v="0"/>
    <x v="1"/>
    <n v="0"/>
    <n v="0"/>
    <n v="158.95400000000001"/>
    <n v="158.95400000000001"/>
    <n v="158.95400000000001"/>
    <n v="158.95400000000001"/>
    <n v="0"/>
    <x v="0"/>
    <n v="0"/>
    <n v="0"/>
    <n v="17"/>
    <n v="78"/>
    <n v="0"/>
    <n v="71.260000000000005"/>
    <n v="297.31"/>
    <m/>
    <n v="93.077207753495102"/>
    <n v="234.85968807843457"/>
    <n v="0"/>
    <n v="11327.062040000001"/>
    <n v="47258.613740000001"/>
    <n v="0"/>
    <n v="14794.994481249061"/>
    <n v="37331.886858819489"/>
  </r>
  <r>
    <s v="Sistema de Compensação"/>
    <x v="0"/>
    <x v="2"/>
    <x v="2"/>
    <x v="1"/>
    <x v="0"/>
    <x v="0"/>
    <x v="0"/>
    <x v="1"/>
    <n v="0"/>
    <n v="0"/>
    <n v="101.03700000000001"/>
    <n v="101.03700000000001"/>
    <n v="101.03700000000001"/>
    <n v="101.03700000000001"/>
    <n v="0"/>
    <x v="0"/>
    <n v="0"/>
    <n v="0"/>
    <n v="17"/>
    <n v="78"/>
    <n v="0"/>
    <n v="71.260000000000005"/>
    <n v="297.31"/>
    <m/>
    <n v="93.077207753495102"/>
    <n v="234.85968807843457"/>
    <n v="0"/>
    <n v="7199.8966200000013"/>
    <n v="30039.31047"/>
    <n v="0"/>
    <n v="9404.2418397898855"/>
    <n v="23729.518304380796"/>
  </r>
  <r>
    <s v="Regular"/>
    <x v="0"/>
    <x v="2"/>
    <x v="2"/>
    <x v="1"/>
    <x v="0"/>
    <x v="0"/>
    <x v="0"/>
    <x v="2"/>
    <n v="0"/>
    <n v="0"/>
    <n v="108.143"/>
    <n v="108.143"/>
    <n v="108.143"/>
    <n v="108.143"/>
    <n v="0"/>
    <x v="0"/>
    <n v="0"/>
    <n v="0"/>
    <n v="17"/>
    <n v="78"/>
    <n v="0"/>
    <n v="71.260000000000005"/>
    <n v="297.31"/>
    <m/>
    <n v="93.077207753495102"/>
    <n v="234.85968807843457"/>
    <n v="0"/>
    <n v="7706.2701800000004"/>
    <n v="32151.995330000002"/>
    <n v="0"/>
    <n v="10065.648478086221"/>
    <n v="25398.431247866149"/>
  </r>
  <r>
    <s v="Sistema de Compensação"/>
    <x v="0"/>
    <x v="2"/>
    <x v="2"/>
    <x v="1"/>
    <x v="0"/>
    <x v="0"/>
    <x v="0"/>
    <x v="2"/>
    <n v="0"/>
    <n v="0"/>
    <n v="66.349000000000004"/>
    <n v="66.349000000000004"/>
    <n v="66.349000000000004"/>
    <n v="66.349000000000004"/>
    <n v="0"/>
    <x v="0"/>
    <n v="0"/>
    <n v="0"/>
    <n v="17"/>
    <n v="78"/>
    <n v="0"/>
    <n v="71.260000000000005"/>
    <n v="297.31"/>
    <m/>
    <n v="93.077207753495102"/>
    <n v="234.85968807843457"/>
    <n v="0"/>
    <n v="4728.0297400000009"/>
    <n v="19726.22119"/>
    <n v="0"/>
    <n v="6175.5796572366471"/>
    <n v="15582.705444316056"/>
  </r>
  <r>
    <s v="Regular"/>
    <x v="0"/>
    <x v="2"/>
    <x v="2"/>
    <x v="1"/>
    <x v="0"/>
    <x v="0"/>
    <x v="0"/>
    <x v="3"/>
    <n v="0"/>
    <n v="0"/>
    <n v="95.004999999999995"/>
    <n v="95.004999999999995"/>
    <n v="95.004999999999995"/>
    <n v="95.004999999999995"/>
    <n v="0"/>
    <x v="0"/>
    <n v="0"/>
    <n v="0"/>
    <n v="17"/>
    <n v="78"/>
    <n v="0"/>
    <n v="71.260000000000005"/>
    <n v="297.31"/>
    <m/>
    <n v="93.077207753495102"/>
    <n v="234.85968807843457"/>
    <n v="0"/>
    <n v="6770.0563000000002"/>
    <n v="28245.936549999999"/>
    <n v="0"/>
    <n v="8842.8001226208016"/>
    <n v="22312.844665891676"/>
  </r>
  <r>
    <s v="Sistema de Compensação"/>
    <x v="0"/>
    <x v="2"/>
    <x v="2"/>
    <x v="1"/>
    <x v="0"/>
    <x v="0"/>
    <x v="0"/>
    <x v="3"/>
    <n v="0"/>
    <n v="0"/>
    <n v="71.483000000000004"/>
    <n v="71.483000000000004"/>
    <n v="71.483000000000004"/>
    <n v="71.483000000000004"/>
    <n v="0"/>
    <x v="0"/>
    <n v="0"/>
    <n v="0"/>
    <n v="17"/>
    <n v="78"/>
    <n v="0"/>
    <n v="71.260000000000005"/>
    <n v="297.31"/>
    <m/>
    <n v="93.077207753495102"/>
    <n v="234.85968807843457"/>
    <n v="0"/>
    <n v="5093.8785800000005"/>
    <n v="21252.61073"/>
    <n v="0"/>
    <n v="6653.438041843091"/>
    <n v="16788.47508291074"/>
  </r>
  <r>
    <s v="Regular"/>
    <x v="0"/>
    <x v="2"/>
    <x v="2"/>
    <x v="1"/>
    <x v="0"/>
    <x v="0"/>
    <x v="0"/>
    <x v="4"/>
    <n v="0"/>
    <n v="0"/>
    <n v="313.13099999999997"/>
    <n v="313.13099999999997"/>
    <n v="313.13099999999997"/>
    <n v="313.13099999999997"/>
    <n v="0"/>
    <x v="0"/>
    <n v="0"/>
    <n v="0"/>
    <n v="17"/>
    <n v="78"/>
    <n v="0"/>
    <n v="71.260000000000005"/>
    <n v="297.31"/>
    <m/>
    <n v="93.077207753495102"/>
    <n v="234.85968807843457"/>
    <n v="0"/>
    <n v="22313.715059999999"/>
    <n v="93096.977609999987"/>
    <n v="0"/>
    <n v="29145.359141059671"/>
    <n v="73541.848987688296"/>
  </r>
  <r>
    <s v="Sistema de Compensação"/>
    <x v="0"/>
    <x v="2"/>
    <x v="2"/>
    <x v="1"/>
    <x v="0"/>
    <x v="0"/>
    <x v="0"/>
    <x v="4"/>
    <n v="0"/>
    <n v="0"/>
    <n v="56.927999999999997"/>
    <n v="56.927999999999997"/>
    <n v="56.927999999999997"/>
    <n v="56.927999999999997"/>
    <n v="0"/>
    <x v="0"/>
    <n v="0"/>
    <n v="0"/>
    <n v="17"/>
    <n v="78"/>
    <n v="0"/>
    <n v="71.260000000000005"/>
    <n v="297.31"/>
    <m/>
    <n v="93.077207753495102"/>
    <n v="234.85968807843457"/>
    <n v="0"/>
    <n v="4056.6892800000001"/>
    <n v="16925.26368"/>
    <n v="0"/>
    <n v="5298.6992829909686"/>
    <n v="13370.092322929122"/>
  </r>
  <r>
    <s v="Regular"/>
    <x v="0"/>
    <x v="2"/>
    <x v="2"/>
    <x v="1"/>
    <x v="0"/>
    <x v="0"/>
    <x v="0"/>
    <x v="5"/>
    <n v="0"/>
    <n v="0"/>
    <n v="317.916"/>
    <n v="317.916"/>
    <n v="317.916"/>
    <n v="317.916"/>
    <n v="0"/>
    <x v="0"/>
    <n v="0"/>
    <n v="0"/>
    <n v="17"/>
    <n v="78"/>
    <n v="0"/>
    <n v="71.260000000000005"/>
    <n v="297.31"/>
    <m/>
    <n v="93.077207753495102"/>
    <n v="234.85968807843457"/>
    <n v="0"/>
    <n v="22654.694160000003"/>
    <n v="94519.605960000001"/>
    <n v="0"/>
    <n v="29590.733580160148"/>
    <n v="74665.652595143605"/>
  </r>
  <r>
    <s v="Sistema de Compensação"/>
    <x v="0"/>
    <x v="2"/>
    <x v="2"/>
    <x v="1"/>
    <x v="0"/>
    <x v="0"/>
    <x v="0"/>
    <x v="5"/>
    <n v="0"/>
    <n v="0"/>
    <n v="105.55200000000001"/>
    <n v="105.55200000000001"/>
    <n v="105.55200000000001"/>
    <n v="105.55200000000001"/>
    <n v="0"/>
    <x v="0"/>
    <n v="0"/>
    <n v="0"/>
    <n v="17"/>
    <n v="78"/>
    <n v="0"/>
    <n v="71.260000000000005"/>
    <n v="297.31"/>
    <m/>
    <n v="93.077207753495102"/>
    <n v="234.85968807843457"/>
    <n v="0"/>
    <n v="7521.6355200000007"/>
    <n v="31381.665120000001"/>
    <n v="0"/>
    <n v="9824.4854327969151"/>
    <n v="24789.909796054926"/>
  </r>
  <r>
    <s v="Regular"/>
    <x v="0"/>
    <x v="2"/>
    <x v="2"/>
    <x v="1"/>
    <x v="0"/>
    <x v="0"/>
    <x v="0"/>
    <x v="6"/>
    <n v="0"/>
    <n v="0"/>
    <n v="446.358"/>
    <n v="446.358"/>
    <n v="446.358"/>
    <n v="446.358"/>
    <n v="0"/>
    <x v="0"/>
    <n v="0"/>
    <n v="0"/>
    <n v="17"/>
    <n v="78"/>
    <n v="0"/>
    <n v="71.260000000000005"/>
    <n v="297.31"/>
    <m/>
    <n v="93.077207753495102"/>
    <n v="234.85968807843457"/>
    <n v="0"/>
    <n v="31807.471080000003"/>
    <n v="132706.69698000001"/>
    <n v="0"/>
    <n v="41545.756298434564"/>
    <n v="104831.50065131389"/>
  </r>
  <r>
    <s v="Sistema de Compensação"/>
    <x v="0"/>
    <x v="2"/>
    <x v="2"/>
    <x v="1"/>
    <x v="0"/>
    <x v="0"/>
    <x v="0"/>
    <x v="6"/>
    <n v="0"/>
    <n v="0"/>
    <n v="134.19499999999999"/>
    <n v="134.19499999999999"/>
    <n v="134.19499999999999"/>
    <n v="134.19499999999999"/>
    <n v="0"/>
    <x v="0"/>
    <n v="0"/>
    <n v="0"/>
    <n v="17"/>
    <n v="78"/>
    <n v="0"/>
    <n v="71.260000000000005"/>
    <n v="297.31"/>
    <m/>
    <n v="93.077207753495102"/>
    <n v="234.85968807843457"/>
    <n v="0"/>
    <n v="9562.7357000000011"/>
    <n v="39897.515449999999"/>
    <n v="0"/>
    <n v="12490.495894480275"/>
    <n v="31516.995841685526"/>
  </r>
  <r>
    <s v="Regular"/>
    <x v="0"/>
    <x v="2"/>
    <x v="2"/>
    <x v="1"/>
    <x v="0"/>
    <x v="0"/>
    <x v="0"/>
    <x v="7"/>
    <n v="0"/>
    <n v="0"/>
    <n v="334.07"/>
    <n v="334.07"/>
    <n v="334.07"/>
    <n v="334.07"/>
    <n v="0"/>
    <x v="0"/>
    <n v="0"/>
    <n v="0"/>
    <n v="17"/>
    <n v="78"/>
    <n v="0"/>
    <n v="71.260000000000005"/>
    <n v="297.31"/>
    <m/>
    <n v="93.077207753495102"/>
    <n v="234.85968807843457"/>
    <n v="0"/>
    <n v="23805.8282"/>
    <n v="99322.351699999999"/>
    <n v="0"/>
    <n v="31094.302794210107"/>
    <n v="78459.575996362633"/>
  </r>
  <r>
    <s v="Sistema de Compensação"/>
    <x v="0"/>
    <x v="2"/>
    <x v="2"/>
    <x v="1"/>
    <x v="0"/>
    <x v="0"/>
    <x v="0"/>
    <x v="7"/>
    <n v="0"/>
    <n v="0"/>
    <n v="134.61500000000001"/>
    <n v="134.61500000000001"/>
    <n v="134.61500000000001"/>
    <n v="134.61500000000001"/>
    <n v="0"/>
    <x v="0"/>
    <n v="0"/>
    <n v="0"/>
    <n v="17"/>
    <n v="78"/>
    <n v="0"/>
    <n v="71.260000000000005"/>
    <n v="297.31"/>
    <m/>
    <n v="93.077207753495102"/>
    <n v="234.85968807843457"/>
    <n v="0"/>
    <n v="9592.6649000000016"/>
    <n v="40022.385650000004"/>
    <n v="0"/>
    <n v="12529.588321736745"/>
    <n v="31615.636910678473"/>
  </r>
  <r>
    <s v="Regular"/>
    <x v="0"/>
    <x v="2"/>
    <x v="2"/>
    <x v="1"/>
    <x v="0"/>
    <x v="0"/>
    <x v="0"/>
    <x v="8"/>
    <n v="0"/>
    <n v="0"/>
    <n v="398.065"/>
    <n v="398.065"/>
    <n v="398.065"/>
    <n v="398.065"/>
    <n v="0"/>
    <x v="0"/>
    <n v="0"/>
    <n v="0"/>
    <n v="17"/>
    <n v="78"/>
    <n v="0"/>
    <n v="71.260000000000005"/>
    <n v="297.31"/>
    <m/>
    <n v="93.077207753495102"/>
    <n v="234.85968807843457"/>
    <n v="0"/>
    <n v="28366.111900000004"/>
    <n v="118348.70514999999"/>
    <n v="0"/>
    <n v="37050.77870439503"/>
    <n v="93489.421734942051"/>
  </r>
  <r>
    <s v="Sistema de Compensação"/>
    <x v="0"/>
    <x v="2"/>
    <x v="2"/>
    <x v="1"/>
    <x v="0"/>
    <x v="0"/>
    <x v="0"/>
    <x v="8"/>
    <n v="0"/>
    <n v="0"/>
    <n v="62.463000000000001"/>
    <n v="62.463000000000001"/>
    <n v="62.463000000000001"/>
    <n v="62.463000000000001"/>
    <n v="0"/>
    <x v="0"/>
    <n v="0"/>
    <n v="0"/>
    <n v="17"/>
    <n v="78"/>
    <n v="0"/>
    <n v="71.260000000000005"/>
    <n v="297.31"/>
    <m/>
    <n v="93.077207753495102"/>
    <n v="234.85968807843457"/>
    <n v="0"/>
    <n v="4451.1133800000007"/>
    <n v="18570.874530000001"/>
    <n v="0"/>
    <n v="5813.881627906565"/>
    <n v="14670.040696443259"/>
  </r>
  <r>
    <s v="Regular"/>
    <x v="0"/>
    <x v="2"/>
    <x v="2"/>
    <x v="1"/>
    <x v="0"/>
    <x v="0"/>
    <x v="0"/>
    <x v="9"/>
    <n v="0"/>
    <n v="0"/>
    <n v="94.784000000000006"/>
    <n v="94.784000000000006"/>
    <n v="94.784000000000006"/>
    <n v="94.784000000000006"/>
    <n v="0"/>
    <x v="0"/>
    <n v="0"/>
    <n v="0"/>
    <n v="17"/>
    <n v="78"/>
    <n v="0"/>
    <n v="71.260000000000005"/>
    <n v="297.31"/>
    <m/>
    <n v="93.077207753495102"/>
    <n v="234.85968807843457"/>
    <n v="0"/>
    <n v="6754.3078400000013"/>
    <n v="28180.231040000002"/>
    <n v="0"/>
    <n v="8822.2300597072808"/>
    <n v="22260.940674826343"/>
  </r>
  <r>
    <s v="Sistema de Compensação"/>
    <x v="0"/>
    <x v="2"/>
    <x v="2"/>
    <x v="1"/>
    <x v="0"/>
    <x v="0"/>
    <x v="0"/>
    <x v="9"/>
    <n v="0"/>
    <n v="0"/>
    <n v="126.04600000000001"/>
    <n v="126.04600000000001"/>
    <n v="126.04600000000001"/>
    <n v="126.04600000000001"/>
    <n v="0"/>
    <x v="0"/>
    <n v="0"/>
    <n v="0"/>
    <n v="17"/>
    <n v="78"/>
    <n v="0"/>
    <n v="71.260000000000005"/>
    <n v="297.31"/>
    <m/>
    <n v="93.077207753495102"/>
    <n v="234.85968807843457"/>
    <n v="0"/>
    <n v="8982.0379600000015"/>
    <n v="37474.736260000005"/>
    <n v="0"/>
    <n v="11732.009728497043"/>
    <n v="29603.124243534367"/>
  </r>
  <r>
    <s v="Regular"/>
    <x v="0"/>
    <x v="2"/>
    <x v="2"/>
    <x v="1"/>
    <x v="0"/>
    <x v="0"/>
    <x v="0"/>
    <x v="10"/>
    <n v="0"/>
    <n v="0"/>
    <n v="109.345"/>
    <n v="109.345"/>
    <n v="109.345"/>
    <n v="109.345"/>
    <n v="0"/>
    <x v="0"/>
    <n v="0"/>
    <n v="0"/>
    <n v="17"/>
    <n v="78"/>
    <n v="0"/>
    <n v="71.260000000000005"/>
    <n v="297.31"/>
    <m/>
    <n v="93.077207753495102"/>
    <n v="234.85968807843457"/>
    <n v="0"/>
    <n v="7791.9247000000005"/>
    <n v="32509.361949999999"/>
    <n v="0"/>
    <n v="10177.527281805922"/>
    <n v="25680.732592936427"/>
  </r>
  <r>
    <s v="Sistema de Compensação"/>
    <x v="0"/>
    <x v="2"/>
    <x v="2"/>
    <x v="1"/>
    <x v="0"/>
    <x v="0"/>
    <x v="0"/>
    <x v="10"/>
    <n v="0"/>
    <n v="0"/>
    <n v="83.072000000000003"/>
    <n v="83.072000000000003"/>
    <n v="83.072000000000003"/>
    <n v="83.072000000000003"/>
    <n v="0"/>
    <x v="0"/>
    <n v="0"/>
    <n v="0"/>
    <n v="17"/>
    <n v="78"/>
    <n v="0"/>
    <n v="71.260000000000005"/>
    <n v="297.31"/>
    <m/>
    <n v="93.077207753495102"/>
    <n v="234.85968807843457"/>
    <n v="0"/>
    <n v="5919.7107200000009"/>
    <n v="24698.136320000001"/>
    <n v="0"/>
    <n v="7732.1098024983457"/>
    <n v="19510.264008051716"/>
  </r>
  <r>
    <s v="PROJETADO"/>
    <x v="0"/>
    <x v="2"/>
    <x v="2"/>
    <x v="1"/>
    <x v="0"/>
    <x v="0"/>
    <x v="0"/>
    <x v="11"/>
    <n v="0"/>
    <n v="0"/>
    <n v="109.345"/>
    <n v="109.345"/>
    <n v="109.345"/>
    <n v="109.345"/>
    <n v="0"/>
    <x v="0"/>
    <n v="0"/>
    <n v="0"/>
    <n v="17"/>
    <n v="78"/>
    <n v="0"/>
    <n v="71.260000000000005"/>
    <n v="297.31"/>
    <m/>
    <n v="93.077207753495102"/>
    <n v="234.85968807843457"/>
    <n v="0"/>
    <n v="7791.9247000000005"/>
    <n v="32509.361949999999"/>
    <n v="0"/>
    <n v="10177.527281805922"/>
    <n v="25680.732592936427"/>
  </r>
  <r>
    <s v="PROJETADO"/>
    <x v="0"/>
    <x v="2"/>
    <x v="2"/>
    <x v="1"/>
    <x v="0"/>
    <x v="0"/>
    <x v="0"/>
    <x v="11"/>
    <n v="0"/>
    <n v="0"/>
    <n v="83.072000000000003"/>
    <n v="83.072000000000003"/>
    <n v="83.072000000000003"/>
    <n v="83.072000000000003"/>
    <n v="0"/>
    <x v="0"/>
    <n v="0"/>
    <n v="0"/>
    <n v="17"/>
    <n v="78"/>
    <n v="0"/>
    <n v="71.260000000000005"/>
    <n v="297.31"/>
    <m/>
    <n v="93.077207753495102"/>
    <n v="234.85968807843457"/>
    <n v="0"/>
    <n v="5919.7107200000009"/>
    <n v="24698.136320000001"/>
    <n v="0"/>
    <n v="7732.1098024983457"/>
    <n v="19510.264008051716"/>
  </r>
  <r>
    <s v="Regular"/>
    <x v="0"/>
    <x v="2"/>
    <x v="2"/>
    <x v="1"/>
    <x v="0"/>
    <x v="0"/>
    <x v="2"/>
    <x v="0"/>
    <n v="1028"/>
    <n v="1028"/>
    <n v="0"/>
    <n v="0"/>
    <n v="0"/>
    <n v="0"/>
    <n v="15"/>
    <x v="0"/>
    <n v="0"/>
    <n v="19"/>
    <n v="0"/>
    <n v="0"/>
    <n v="16.29"/>
    <n v="0"/>
    <n v="0"/>
    <n v="21.112041496375397"/>
    <m/>
    <m/>
    <n v="16746.12"/>
    <n v="0"/>
    <n v="0"/>
    <n v="21703.178658273908"/>
    <n v="0"/>
    <n v="0"/>
  </r>
  <r>
    <s v="Sistema de Compensação"/>
    <x v="0"/>
    <x v="2"/>
    <x v="2"/>
    <x v="1"/>
    <x v="0"/>
    <x v="0"/>
    <x v="2"/>
    <x v="0"/>
    <n v="1973"/>
    <n v="1973"/>
    <n v="0"/>
    <n v="0"/>
    <n v="0"/>
    <n v="0"/>
    <n v="11"/>
    <x v="0"/>
    <n v="0"/>
    <n v="19"/>
    <n v="0"/>
    <n v="0"/>
    <n v="16.29"/>
    <n v="0"/>
    <n v="0"/>
    <n v="21.112041496375397"/>
    <m/>
    <m/>
    <n v="32140.17"/>
    <n v="0"/>
    <n v="0"/>
    <n v="41654.057872348661"/>
    <n v="0"/>
    <n v="0"/>
  </r>
  <r>
    <s v="Regular"/>
    <x v="0"/>
    <x v="2"/>
    <x v="2"/>
    <x v="1"/>
    <x v="0"/>
    <x v="0"/>
    <x v="2"/>
    <x v="1"/>
    <n v="1974"/>
    <n v="1974"/>
    <n v="0"/>
    <n v="0"/>
    <n v="0"/>
    <n v="0"/>
    <n v="18"/>
    <x v="0"/>
    <n v="0"/>
    <n v="19"/>
    <n v="0"/>
    <n v="0"/>
    <n v="16.29"/>
    <n v="0"/>
    <n v="0"/>
    <n v="21.112041496375397"/>
    <m/>
    <m/>
    <n v="32156.46"/>
    <n v="0"/>
    <n v="0"/>
    <n v="41675.169913845035"/>
    <n v="0"/>
    <n v="0"/>
  </r>
  <r>
    <s v="Sistema de Compensação"/>
    <x v="0"/>
    <x v="2"/>
    <x v="2"/>
    <x v="1"/>
    <x v="0"/>
    <x v="0"/>
    <x v="2"/>
    <x v="1"/>
    <n v="1000"/>
    <n v="1000"/>
    <n v="0"/>
    <n v="0"/>
    <n v="0"/>
    <n v="0"/>
    <n v="8"/>
    <x v="0"/>
    <n v="0"/>
    <n v="19"/>
    <n v="0"/>
    <n v="0"/>
    <n v="16.29"/>
    <n v="0"/>
    <n v="0"/>
    <n v="21.112041496375397"/>
    <m/>
    <m/>
    <n v="16290"/>
    <n v="0"/>
    <n v="0"/>
    <n v="21112.041496375397"/>
    <n v="0"/>
    <n v="0"/>
  </r>
  <r>
    <s v="Regular"/>
    <x v="0"/>
    <x v="2"/>
    <x v="2"/>
    <x v="1"/>
    <x v="0"/>
    <x v="0"/>
    <x v="2"/>
    <x v="2"/>
    <n v="1463"/>
    <n v="1463"/>
    <n v="0"/>
    <n v="0"/>
    <n v="0"/>
    <n v="0"/>
    <n v="17"/>
    <x v="0"/>
    <n v="0"/>
    <n v="19"/>
    <n v="0"/>
    <n v="0"/>
    <n v="16.29"/>
    <n v="0"/>
    <n v="0"/>
    <n v="21.112041496375397"/>
    <m/>
    <m/>
    <n v="23832.27"/>
    <n v="0"/>
    <n v="0"/>
    <n v="30886.916709197205"/>
    <n v="0"/>
    <n v="0"/>
  </r>
  <r>
    <s v="Sistema de Compensação"/>
    <x v="0"/>
    <x v="2"/>
    <x v="2"/>
    <x v="1"/>
    <x v="0"/>
    <x v="0"/>
    <x v="2"/>
    <x v="2"/>
    <n v="1476"/>
    <n v="1476"/>
    <n v="0"/>
    <n v="0"/>
    <n v="0"/>
    <n v="0"/>
    <n v="9"/>
    <x v="0"/>
    <n v="0"/>
    <n v="19"/>
    <n v="0"/>
    <n v="0"/>
    <n v="16.29"/>
    <n v="0"/>
    <n v="0"/>
    <n v="21.112041496375397"/>
    <m/>
    <m/>
    <n v="24044.039999999997"/>
    <n v="0"/>
    <n v="0"/>
    <n v="31161.373248650085"/>
    <n v="0"/>
    <n v="0"/>
  </r>
  <r>
    <s v="Regular"/>
    <x v="0"/>
    <x v="2"/>
    <x v="2"/>
    <x v="1"/>
    <x v="0"/>
    <x v="0"/>
    <x v="2"/>
    <x v="3"/>
    <n v="997"/>
    <n v="997"/>
    <n v="0"/>
    <n v="0"/>
    <n v="0"/>
    <n v="0"/>
    <n v="15"/>
    <x v="0"/>
    <n v="0"/>
    <n v="19"/>
    <n v="0"/>
    <n v="0"/>
    <n v="16.29"/>
    <n v="0"/>
    <n v="0"/>
    <n v="21.112041496375397"/>
    <m/>
    <m/>
    <n v="16241.13"/>
    <n v="0"/>
    <n v="0"/>
    <n v="21048.70537188627"/>
    <n v="0"/>
    <n v="0"/>
  </r>
  <r>
    <s v="Sistema de Compensação"/>
    <x v="0"/>
    <x v="2"/>
    <x v="2"/>
    <x v="1"/>
    <x v="0"/>
    <x v="0"/>
    <x v="2"/>
    <x v="3"/>
    <n v="2263"/>
    <n v="2263"/>
    <n v="0"/>
    <n v="0"/>
    <n v="0"/>
    <n v="0"/>
    <n v="11"/>
    <x v="0"/>
    <n v="0"/>
    <n v="19"/>
    <n v="0"/>
    <n v="0"/>
    <n v="16.29"/>
    <n v="0"/>
    <n v="0"/>
    <n v="21.112041496375397"/>
    <m/>
    <m/>
    <n v="36864.269999999997"/>
    <n v="0"/>
    <n v="0"/>
    <n v="47776.549906297521"/>
    <n v="0"/>
    <n v="0"/>
  </r>
  <r>
    <s v="Regular"/>
    <x v="0"/>
    <x v="2"/>
    <x v="2"/>
    <x v="1"/>
    <x v="0"/>
    <x v="0"/>
    <x v="2"/>
    <x v="4"/>
    <n v="1977"/>
    <n v="1977"/>
    <n v="0"/>
    <n v="0"/>
    <n v="0"/>
    <n v="0"/>
    <n v="18"/>
    <x v="0"/>
    <n v="0"/>
    <n v="19"/>
    <n v="0"/>
    <n v="0"/>
    <n v="16.29"/>
    <n v="0"/>
    <n v="0"/>
    <n v="21.112041496375397"/>
    <m/>
    <m/>
    <n v="32205.329999999998"/>
    <n v="0"/>
    <n v="0"/>
    <n v="41738.506038334162"/>
    <n v="0"/>
    <n v="0"/>
  </r>
  <r>
    <s v="Sistema de Compensação"/>
    <x v="0"/>
    <x v="2"/>
    <x v="2"/>
    <x v="1"/>
    <x v="0"/>
    <x v="0"/>
    <x v="2"/>
    <x v="4"/>
    <n v="1146"/>
    <n v="1146"/>
    <n v="0"/>
    <n v="0"/>
    <n v="0"/>
    <n v="0"/>
    <n v="8"/>
    <x v="0"/>
    <n v="0"/>
    <n v="19"/>
    <n v="0"/>
    <n v="0"/>
    <n v="16.29"/>
    <n v="0"/>
    <n v="0"/>
    <n v="21.112041496375397"/>
    <m/>
    <m/>
    <n v="18668.34"/>
    <n v="0"/>
    <n v="0"/>
    <n v="24194.399554846204"/>
    <n v="0"/>
    <n v="0"/>
  </r>
  <r>
    <s v="Regular"/>
    <x v="0"/>
    <x v="2"/>
    <x v="2"/>
    <x v="1"/>
    <x v="0"/>
    <x v="0"/>
    <x v="2"/>
    <x v="5"/>
    <n v="2089"/>
    <n v="2089"/>
    <n v="0"/>
    <n v="0"/>
    <n v="0"/>
    <n v="0"/>
    <n v="20"/>
    <x v="0"/>
    <n v="0"/>
    <n v="19"/>
    <n v="0"/>
    <n v="0"/>
    <n v="16.29"/>
    <n v="0"/>
    <n v="0"/>
    <n v="21.112041496375397"/>
    <m/>
    <m/>
    <n v="34029.81"/>
    <n v="0"/>
    <n v="0"/>
    <n v="44103.054685928204"/>
    <n v="0"/>
    <n v="0"/>
  </r>
  <r>
    <s v="Sistema de Compensação"/>
    <x v="0"/>
    <x v="2"/>
    <x v="2"/>
    <x v="1"/>
    <x v="0"/>
    <x v="0"/>
    <x v="2"/>
    <x v="5"/>
    <n v="792"/>
    <n v="792"/>
    <n v="0"/>
    <n v="0"/>
    <n v="0"/>
    <n v="0"/>
    <n v="5"/>
    <x v="0"/>
    <n v="0"/>
    <n v="19"/>
    <n v="0"/>
    <n v="0"/>
    <n v="16.29"/>
    <n v="0"/>
    <n v="0"/>
    <n v="21.112041496375397"/>
    <m/>
    <m/>
    <n v="12901.679999999998"/>
    <n v="0"/>
    <n v="0"/>
    <n v="16720.736865129315"/>
    <n v="0"/>
    <n v="0"/>
  </r>
  <r>
    <s v="Regular"/>
    <x v="0"/>
    <x v="2"/>
    <x v="2"/>
    <x v="1"/>
    <x v="0"/>
    <x v="0"/>
    <x v="2"/>
    <x v="6"/>
    <n v="2564"/>
    <n v="2564"/>
    <n v="0"/>
    <n v="0"/>
    <n v="0"/>
    <n v="0"/>
    <n v="22"/>
    <x v="0"/>
    <n v="0"/>
    <n v="19"/>
    <n v="0"/>
    <n v="0"/>
    <n v="16.29"/>
    <n v="0"/>
    <n v="0"/>
    <n v="21.112041496375397"/>
    <m/>
    <m/>
    <n v="41767.56"/>
    <n v="0"/>
    <n v="0"/>
    <n v="54131.274396706518"/>
    <n v="0"/>
    <n v="0"/>
  </r>
  <r>
    <s v="Sistema de Compensação"/>
    <x v="0"/>
    <x v="2"/>
    <x v="2"/>
    <x v="1"/>
    <x v="0"/>
    <x v="0"/>
    <x v="2"/>
    <x v="6"/>
    <n v="610"/>
    <n v="610"/>
    <n v="0"/>
    <n v="0"/>
    <n v="0"/>
    <n v="0"/>
    <n v="3"/>
    <x v="0"/>
    <n v="0"/>
    <n v="19"/>
    <n v="0"/>
    <n v="0"/>
    <n v="16.29"/>
    <n v="0"/>
    <n v="0"/>
    <n v="21.112041496375397"/>
    <m/>
    <m/>
    <n v="9936.9"/>
    <n v="0"/>
    <n v="0"/>
    <n v="12878.345312788992"/>
    <n v="0"/>
    <n v="0"/>
  </r>
  <r>
    <s v="Regular"/>
    <x v="0"/>
    <x v="2"/>
    <x v="2"/>
    <x v="1"/>
    <x v="0"/>
    <x v="0"/>
    <x v="2"/>
    <x v="7"/>
    <n v="2362"/>
    <n v="2362"/>
    <n v="0"/>
    <n v="0"/>
    <n v="0"/>
    <n v="0"/>
    <n v="22"/>
    <x v="0"/>
    <n v="0"/>
    <n v="19"/>
    <n v="0"/>
    <n v="0"/>
    <n v="16.29"/>
    <n v="0"/>
    <n v="0"/>
    <n v="21.112041496375397"/>
    <m/>
    <m/>
    <n v="38476.979999999996"/>
    <n v="0"/>
    <n v="0"/>
    <n v="49866.642014438687"/>
    <n v="0"/>
    <n v="0"/>
  </r>
  <r>
    <s v="Sistema de Compensação"/>
    <x v="0"/>
    <x v="2"/>
    <x v="2"/>
    <x v="1"/>
    <x v="0"/>
    <x v="0"/>
    <x v="2"/>
    <x v="7"/>
    <n v="578"/>
    <n v="578"/>
    <n v="0"/>
    <n v="0"/>
    <n v="0"/>
    <n v="0"/>
    <n v="3"/>
    <x v="0"/>
    <n v="0"/>
    <n v="19"/>
    <n v="0"/>
    <n v="0"/>
    <n v="16.29"/>
    <n v="0"/>
    <n v="0"/>
    <n v="21.112041496375397"/>
    <m/>
    <m/>
    <n v="9415.619999999999"/>
    <n v="0"/>
    <n v="0"/>
    <n v="12202.75998490498"/>
    <n v="0"/>
    <n v="0"/>
  </r>
  <r>
    <s v="Regular"/>
    <x v="0"/>
    <x v="2"/>
    <x v="2"/>
    <x v="1"/>
    <x v="0"/>
    <x v="0"/>
    <x v="2"/>
    <x v="8"/>
    <n v="2379"/>
    <n v="2379"/>
    <n v="0"/>
    <n v="0"/>
    <n v="0"/>
    <n v="0"/>
    <n v="22"/>
    <x v="0"/>
    <n v="0"/>
    <n v="19"/>
    <n v="0"/>
    <n v="0"/>
    <n v="16.29"/>
    <n v="0"/>
    <n v="0"/>
    <n v="21.112041496375397"/>
    <m/>
    <m/>
    <n v="38753.909999999996"/>
    <n v="0"/>
    <n v="0"/>
    <n v="50225.546719877071"/>
    <n v="0"/>
    <n v="0"/>
  </r>
  <r>
    <s v="Sistema de Compensação"/>
    <x v="0"/>
    <x v="2"/>
    <x v="2"/>
    <x v="1"/>
    <x v="0"/>
    <x v="0"/>
    <x v="2"/>
    <x v="8"/>
    <n v="622"/>
    <n v="622"/>
    <n v="0"/>
    <n v="0"/>
    <n v="0"/>
    <n v="0"/>
    <n v="4"/>
    <x v="0"/>
    <n v="0"/>
    <n v="19"/>
    <n v="0"/>
    <n v="0"/>
    <n v="16.29"/>
    <n v="0"/>
    <n v="0"/>
    <n v="21.112041496375397"/>
    <m/>
    <m/>
    <n v="10132.379999999999"/>
    <n v="0"/>
    <n v="0"/>
    <n v="13131.689810745496"/>
    <n v="0"/>
    <n v="0"/>
  </r>
  <r>
    <s v="Regular"/>
    <x v="0"/>
    <x v="2"/>
    <x v="2"/>
    <x v="1"/>
    <x v="0"/>
    <x v="0"/>
    <x v="2"/>
    <x v="9"/>
    <n v="894"/>
    <n v="894"/>
    <n v="0"/>
    <n v="0"/>
    <n v="0"/>
    <n v="0"/>
    <n v="14"/>
    <x v="0"/>
    <n v="0"/>
    <n v="19"/>
    <n v="0"/>
    <n v="0"/>
    <n v="16.29"/>
    <n v="0"/>
    <n v="0"/>
    <n v="21.112041496375397"/>
    <m/>
    <m/>
    <n v="14563.259999999998"/>
    <n v="0"/>
    <n v="0"/>
    <n v="18874.165097759604"/>
    <n v="0"/>
    <n v="0"/>
  </r>
  <r>
    <s v="Sistema de Compensação"/>
    <x v="0"/>
    <x v="2"/>
    <x v="2"/>
    <x v="1"/>
    <x v="0"/>
    <x v="0"/>
    <x v="2"/>
    <x v="9"/>
    <n v="2347"/>
    <n v="2347"/>
    <n v="0"/>
    <n v="0"/>
    <n v="0"/>
    <n v="0"/>
    <n v="12"/>
    <x v="0"/>
    <n v="0"/>
    <n v="19"/>
    <n v="0"/>
    <n v="0"/>
    <n v="16.29"/>
    <n v="0"/>
    <n v="0"/>
    <n v="21.112041496375397"/>
    <m/>
    <m/>
    <n v="38232.629999999997"/>
    <n v="0"/>
    <n v="0"/>
    <n v="49549.961391993056"/>
    <n v="0"/>
    <n v="0"/>
  </r>
  <r>
    <s v="Regular"/>
    <x v="0"/>
    <x v="2"/>
    <x v="2"/>
    <x v="1"/>
    <x v="0"/>
    <x v="0"/>
    <x v="2"/>
    <x v="10"/>
    <n v="886"/>
    <n v="886"/>
    <n v="0"/>
    <n v="0"/>
    <n v="0"/>
    <n v="0"/>
    <n v="14"/>
    <x v="0"/>
    <n v="0"/>
    <n v="19"/>
    <n v="0"/>
    <n v="0"/>
    <n v="16.29"/>
    <n v="0"/>
    <n v="0"/>
    <n v="21.112041496375397"/>
    <m/>
    <m/>
    <n v="14432.939999999999"/>
    <n v="0"/>
    <n v="0"/>
    <n v="18705.268765788602"/>
    <n v="0"/>
    <n v="0"/>
  </r>
  <r>
    <s v="Sistema de Compensação"/>
    <x v="0"/>
    <x v="2"/>
    <x v="2"/>
    <x v="1"/>
    <x v="0"/>
    <x v="0"/>
    <x v="2"/>
    <x v="10"/>
    <n v="2210"/>
    <n v="2210"/>
    <n v="0"/>
    <n v="0"/>
    <n v="0"/>
    <n v="0"/>
    <n v="12"/>
    <x v="0"/>
    <n v="0"/>
    <n v="19"/>
    <n v="0"/>
    <n v="0"/>
    <n v="16.29"/>
    <n v="0"/>
    <n v="0"/>
    <n v="21.112041496375397"/>
    <m/>
    <m/>
    <n v="36000.9"/>
    <n v="0"/>
    <n v="0"/>
    <n v="46657.611706989628"/>
    <n v="0"/>
    <n v="0"/>
  </r>
  <r>
    <s v="PROJETADO"/>
    <x v="0"/>
    <x v="2"/>
    <x v="2"/>
    <x v="1"/>
    <x v="0"/>
    <x v="0"/>
    <x v="2"/>
    <x v="11"/>
    <n v="886"/>
    <n v="886"/>
    <n v="0"/>
    <n v="0"/>
    <n v="0"/>
    <n v="0"/>
    <n v="14"/>
    <x v="0"/>
    <n v="0"/>
    <n v="19"/>
    <n v="0"/>
    <n v="0"/>
    <n v="16.29"/>
    <n v="0"/>
    <n v="0"/>
    <n v="21.112041496375397"/>
    <m/>
    <m/>
    <n v="14432.939999999999"/>
    <n v="0"/>
    <n v="0"/>
    <n v="18705.268765788602"/>
    <n v="0"/>
    <n v="0"/>
  </r>
  <r>
    <s v="PROJETADO"/>
    <x v="0"/>
    <x v="2"/>
    <x v="2"/>
    <x v="1"/>
    <x v="0"/>
    <x v="0"/>
    <x v="2"/>
    <x v="11"/>
    <n v="2210"/>
    <n v="2210"/>
    <n v="0"/>
    <n v="0"/>
    <n v="0"/>
    <n v="0"/>
    <n v="12"/>
    <x v="0"/>
    <n v="0"/>
    <n v="19"/>
    <n v="0"/>
    <n v="0"/>
    <n v="16.29"/>
    <n v="0"/>
    <n v="0"/>
    <n v="21.112041496375397"/>
    <m/>
    <m/>
    <n v="36000.9"/>
    <n v="0"/>
    <n v="0"/>
    <n v="46657.611706989628"/>
    <n v="0"/>
    <n v="0"/>
  </r>
  <r>
    <s v="Regular"/>
    <x v="0"/>
    <x v="2"/>
    <x v="2"/>
    <x v="1"/>
    <x v="0"/>
    <x v="0"/>
    <x v="1"/>
    <x v="0"/>
    <n v="0"/>
    <n v="0"/>
    <n v="10.646000000000001"/>
    <n v="10.646000000000001"/>
    <n v="10.646000000000001"/>
    <n v="10.646000000000001"/>
    <n v="0"/>
    <x v="0"/>
    <n v="0"/>
    <n v="0"/>
    <n v="21"/>
    <n v="66"/>
    <n v="0"/>
    <n v="596.78"/>
    <n v="503.82"/>
    <m/>
    <n v="622.21351227415789"/>
    <n v="397.1970744485763"/>
    <n v="0"/>
    <n v="6353.31988"/>
    <n v="5363.6677200000004"/>
    <n v="0"/>
    <n v="6624.0850516706851"/>
    <n v="4228.5600545795432"/>
  </r>
  <r>
    <s v="Sistema de Compensação"/>
    <x v="0"/>
    <x v="2"/>
    <x v="2"/>
    <x v="1"/>
    <x v="0"/>
    <x v="0"/>
    <x v="1"/>
    <x v="0"/>
    <n v="0"/>
    <n v="0"/>
    <n v="6.1929999999999996"/>
    <n v="6.1929999999999996"/>
    <n v="6.1929999999999996"/>
    <n v="6.1929999999999996"/>
    <n v="0"/>
    <x v="0"/>
    <n v="0"/>
    <n v="0"/>
    <n v="21"/>
    <n v="66"/>
    <n v="0"/>
    <n v="596.78"/>
    <n v="503.82"/>
    <m/>
    <n v="622.21351227415789"/>
    <n v="397.1970744485763"/>
    <n v="0"/>
    <n v="3695.8585399999997"/>
    <n v="3120.15726"/>
    <n v="0"/>
    <n v="3853.3682815138595"/>
    <n v="2459.8414820600328"/>
  </r>
  <r>
    <s v="Regular"/>
    <x v="0"/>
    <x v="2"/>
    <x v="2"/>
    <x v="1"/>
    <x v="0"/>
    <x v="0"/>
    <x v="1"/>
    <x v="1"/>
    <n v="0"/>
    <n v="0"/>
    <n v="13.403"/>
    <n v="13.403"/>
    <n v="13.403"/>
    <n v="13.403"/>
    <n v="0"/>
    <x v="0"/>
    <n v="0"/>
    <n v="0"/>
    <n v="21"/>
    <n v="66"/>
    <n v="0"/>
    <n v="596.78"/>
    <n v="503.82"/>
    <m/>
    <n v="622.21351227415789"/>
    <n v="397.1970744485763"/>
    <n v="0"/>
    <n v="7998.6423400000003"/>
    <n v="6752.6994599999998"/>
    <n v="0"/>
    <n v="8339.5277050105378"/>
    <n v="5323.6323888342686"/>
  </r>
  <r>
    <s v="Sistema de Compensação"/>
    <x v="0"/>
    <x v="2"/>
    <x v="2"/>
    <x v="1"/>
    <x v="0"/>
    <x v="0"/>
    <x v="1"/>
    <x v="1"/>
    <n v="0"/>
    <n v="0"/>
    <n v="7.7249999999999996"/>
    <n v="7.7249999999999996"/>
    <n v="7.7249999999999996"/>
    <n v="7.7249999999999996"/>
    <n v="0"/>
    <x v="0"/>
    <n v="0"/>
    <n v="0"/>
    <n v="21"/>
    <n v="66"/>
    <n v="0"/>
    <n v="596.78"/>
    <n v="503.82"/>
    <m/>
    <n v="622.21351227415789"/>
    <n v="397.1970744485763"/>
    <n v="0"/>
    <n v="4610.1254999999992"/>
    <n v="3892.0094999999997"/>
    <n v="0"/>
    <n v="4806.5993823178696"/>
    <n v="3068.3474001152517"/>
  </r>
  <r>
    <s v="Regular"/>
    <x v="0"/>
    <x v="2"/>
    <x v="2"/>
    <x v="1"/>
    <x v="0"/>
    <x v="0"/>
    <x v="1"/>
    <x v="2"/>
    <n v="0"/>
    <n v="0"/>
    <n v="11.365"/>
    <n v="11.365"/>
    <n v="11.365"/>
    <n v="11.365"/>
    <n v="0"/>
    <x v="0"/>
    <n v="0"/>
    <n v="0"/>
    <n v="21"/>
    <n v="66"/>
    <n v="0"/>
    <n v="596.78"/>
    <n v="503.82"/>
    <m/>
    <n v="622.21351227415789"/>
    <n v="397.1970744485763"/>
    <n v="0"/>
    <n v="6782.4047"/>
    <n v="5725.9143000000004"/>
    <n v="0"/>
    <n v="7071.4565669958047"/>
    <n v="4514.1447511080696"/>
  </r>
  <r>
    <s v="Sistema de Compensação"/>
    <x v="0"/>
    <x v="2"/>
    <x v="2"/>
    <x v="1"/>
    <x v="0"/>
    <x v="0"/>
    <x v="1"/>
    <x v="2"/>
    <n v="0"/>
    <n v="0"/>
    <n v="1.1859999999999999"/>
    <n v="1.1859999999999999"/>
    <n v="1.1859999999999999"/>
    <n v="1.1859999999999999"/>
    <n v="0"/>
    <x v="0"/>
    <n v="0"/>
    <n v="0"/>
    <n v="21"/>
    <n v="66"/>
    <n v="0"/>
    <n v="596.78"/>
    <n v="503.82"/>
    <m/>
    <n v="622.21351227415789"/>
    <n v="397.1970744485763"/>
    <n v="0"/>
    <n v="707.78107999999997"/>
    <n v="597.53051999999991"/>
    <n v="0"/>
    <n v="737.94522555715128"/>
    <n v="471.0757302960115"/>
  </r>
  <r>
    <s v="Regular"/>
    <x v="0"/>
    <x v="2"/>
    <x v="2"/>
    <x v="1"/>
    <x v="0"/>
    <x v="0"/>
    <x v="1"/>
    <x v="3"/>
    <n v="0"/>
    <n v="0"/>
    <n v="10.680999999999999"/>
    <n v="10.680999999999999"/>
    <n v="10.680999999999999"/>
    <n v="10.680999999999999"/>
    <n v="0"/>
    <x v="0"/>
    <n v="0"/>
    <n v="0"/>
    <n v="21"/>
    <n v="66"/>
    <n v="0"/>
    <n v="596.78"/>
    <n v="503.82"/>
    <m/>
    <n v="622.21351227415789"/>
    <n v="397.1970744485763"/>
    <n v="0"/>
    <n v="6374.2071799999994"/>
    <n v="5381.3014199999998"/>
    <n v="0"/>
    <n v="6645.8625246002803"/>
    <n v="4242.4619521852428"/>
  </r>
  <r>
    <s v="Sistema de Compensação"/>
    <x v="0"/>
    <x v="2"/>
    <x v="2"/>
    <x v="1"/>
    <x v="0"/>
    <x v="0"/>
    <x v="1"/>
    <x v="3"/>
    <n v="0"/>
    <n v="0"/>
    <n v="6.5030000000000001"/>
    <n v="6.5030000000000001"/>
    <n v="6.5030000000000001"/>
    <n v="6.5030000000000001"/>
    <n v="0"/>
    <x v="0"/>
    <n v="0"/>
    <n v="0"/>
    <n v="21"/>
    <n v="66"/>
    <n v="0"/>
    <n v="596.78"/>
    <n v="503.82"/>
    <m/>
    <n v="622.21351227415789"/>
    <n v="397.1970744485763"/>
    <n v="0"/>
    <n v="3880.8603399999997"/>
    <n v="3276.3414600000001"/>
    <n v="0"/>
    <n v="4046.2544703188487"/>
    <n v="2582.9725751390915"/>
  </r>
  <r>
    <s v="Regular"/>
    <x v="0"/>
    <x v="2"/>
    <x v="2"/>
    <x v="1"/>
    <x v="0"/>
    <x v="0"/>
    <x v="1"/>
    <x v="4"/>
    <n v="0"/>
    <n v="0"/>
    <n v="37.08"/>
    <n v="37.08"/>
    <n v="37.08"/>
    <n v="37.08"/>
    <n v="0"/>
    <x v="0"/>
    <n v="0"/>
    <n v="0"/>
    <n v="21"/>
    <n v="66"/>
    <n v="0"/>
    <n v="596.78"/>
    <n v="503.82"/>
    <m/>
    <n v="622.21351227415789"/>
    <n v="397.1970744485763"/>
    <n v="0"/>
    <n v="22128.6024"/>
    <n v="18681.6456"/>
    <n v="0"/>
    <n v="23071.677035125773"/>
    <n v="14728.067520553208"/>
  </r>
  <r>
    <s v="Sistema de Compensação"/>
    <x v="0"/>
    <x v="2"/>
    <x v="2"/>
    <x v="1"/>
    <x v="0"/>
    <x v="0"/>
    <x v="1"/>
    <x v="4"/>
    <n v="0"/>
    <n v="0"/>
    <n v="4.8920000000000003"/>
    <n v="4.8920000000000003"/>
    <n v="4.8920000000000003"/>
    <n v="4.8920000000000003"/>
    <n v="0"/>
    <x v="0"/>
    <n v="0"/>
    <n v="0"/>
    <n v="21"/>
    <n v="66"/>
    <n v="0"/>
    <n v="596.78"/>
    <n v="503.82"/>
    <m/>
    <n v="622.21351227415789"/>
    <n v="397.1970744485763"/>
    <n v="0"/>
    <n v="2919.44776"/>
    <n v="2464.6874400000002"/>
    <n v="0"/>
    <n v="3043.8685020451808"/>
    <n v="1943.0880882024353"/>
  </r>
  <r>
    <s v="Regular"/>
    <x v="0"/>
    <x v="2"/>
    <x v="2"/>
    <x v="1"/>
    <x v="0"/>
    <x v="0"/>
    <x v="1"/>
    <x v="5"/>
    <n v="0"/>
    <n v="0"/>
    <n v="30.876000000000001"/>
    <n v="30.876000000000001"/>
    <n v="30.876000000000001"/>
    <n v="30.876000000000001"/>
    <n v="0"/>
    <x v="0"/>
    <n v="0"/>
    <n v="0"/>
    <n v="21"/>
    <n v="66"/>
    <n v="0"/>
    <n v="596.78"/>
    <n v="503.82"/>
    <m/>
    <n v="622.21351227415789"/>
    <n v="397.1970744485763"/>
    <n v="0"/>
    <n v="18426.17928"/>
    <n v="15555.946320000001"/>
    <n v="0"/>
    <n v="19211.464404976901"/>
    <n v="12263.856870674243"/>
  </r>
  <r>
    <s v="Sistema de Compensação"/>
    <x v="0"/>
    <x v="2"/>
    <x v="2"/>
    <x v="1"/>
    <x v="0"/>
    <x v="0"/>
    <x v="1"/>
    <x v="5"/>
    <n v="0"/>
    <n v="0"/>
    <n v="7.8040000000000003"/>
    <n v="7.8040000000000003"/>
    <n v="7.8040000000000003"/>
    <n v="7.8040000000000003"/>
    <n v="0"/>
    <x v="0"/>
    <n v="0"/>
    <n v="0"/>
    <n v="21"/>
    <n v="66"/>
    <n v="0"/>
    <n v="596.78"/>
    <n v="503.82"/>
    <m/>
    <n v="622.21351227415789"/>
    <n v="397.1970744485763"/>
    <n v="0"/>
    <n v="4657.2711200000003"/>
    <n v="3931.8112799999999"/>
    <n v="0"/>
    <n v="4855.7542497875284"/>
    <n v="3099.7259689966895"/>
  </r>
  <r>
    <s v="Regular"/>
    <x v="0"/>
    <x v="2"/>
    <x v="2"/>
    <x v="1"/>
    <x v="0"/>
    <x v="0"/>
    <x v="1"/>
    <x v="6"/>
    <n v="0"/>
    <n v="0"/>
    <n v="34.972999999999999"/>
    <n v="34.972999999999999"/>
    <n v="34.972999999999999"/>
    <n v="34.972999999999999"/>
    <n v="0"/>
    <x v="0"/>
    <n v="0"/>
    <n v="0"/>
    <n v="21"/>
    <n v="66"/>
    <n v="0"/>
    <n v="596.78"/>
    <n v="503.82"/>
    <m/>
    <n v="622.21351227415789"/>
    <n v="397.1970744485763"/>
    <n v="0"/>
    <n v="20871.18694"/>
    <n v="17620.096859999998"/>
    <n v="0"/>
    <n v="21760.673164764125"/>
    <n v="13891.173284690058"/>
  </r>
  <r>
    <s v="Sistema de Compensação"/>
    <x v="0"/>
    <x v="2"/>
    <x v="2"/>
    <x v="1"/>
    <x v="0"/>
    <x v="0"/>
    <x v="1"/>
    <x v="6"/>
    <n v="0"/>
    <n v="0"/>
    <n v="13.972"/>
    <n v="13.972"/>
    <n v="13.972"/>
    <n v="13.972"/>
    <n v="0"/>
    <x v="0"/>
    <n v="0"/>
    <n v="0"/>
    <n v="21"/>
    <n v="66"/>
    <n v="0"/>
    <n v="596.78"/>
    <n v="503.82"/>
    <m/>
    <n v="622.21351227415789"/>
    <n v="397.1970744485763"/>
    <n v="0"/>
    <n v="8338.2101599999987"/>
    <n v="7039.3730399999995"/>
    <n v="0"/>
    <n v="8693.5671934945331"/>
    <n v="5549.6375241955075"/>
  </r>
  <r>
    <s v="Regular"/>
    <x v="0"/>
    <x v="2"/>
    <x v="2"/>
    <x v="1"/>
    <x v="0"/>
    <x v="0"/>
    <x v="1"/>
    <x v="7"/>
    <n v="0"/>
    <n v="0"/>
    <n v="27.006"/>
    <n v="27.006"/>
    <n v="27.006"/>
    <n v="27.006"/>
    <n v="0"/>
    <x v="0"/>
    <n v="0"/>
    <n v="0"/>
    <n v="21"/>
    <n v="66"/>
    <n v="0"/>
    <n v="596.78"/>
    <n v="503.82"/>
    <m/>
    <n v="622.21351227415789"/>
    <n v="397.1970744485763"/>
    <n v="0"/>
    <n v="16116.640679999999"/>
    <n v="13606.162920000001"/>
    <n v="0"/>
    <n v="16803.498112475907"/>
    <n v="10726.704192558253"/>
  </r>
  <r>
    <s v="Sistema de Compensação"/>
    <x v="0"/>
    <x v="2"/>
    <x v="2"/>
    <x v="1"/>
    <x v="0"/>
    <x v="0"/>
    <x v="1"/>
    <x v="7"/>
    <n v="0"/>
    <n v="0"/>
    <n v="13.486000000000001"/>
    <n v="13.486000000000001"/>
    <n v="13.486000000000001"/>
    <n v="13.486000000000001"/>
    <n v="0"/>
    <x v="0"/>
    <n v="0"/>
    <n v="0"/>
    <n v="21"/>
    <n v="66"/>
    <n v="0"/>
    <n v="596.78"/>
    <n v="503.82"/>
    <m/>
    <n v="622.21351227415789"/>
    <n v="397.1970744485763"/>
    <n v="0"/>
    <n v="8048.17508"/>
    <n v="6794.5165200000001"/>
    <n v="0"/>
    <n v="8391.171426529294"/>
    <n v="5356.5997460135004"/>
  </r>
  <r>
    <s v="Regular"/>
    <x v="0"/>
    <x v="2"/>
    <x v="2"/>
    <x v="1"/>
    <x v="0"/>
    <x v="0"/>
    <x v="1"/>
    <x v="8"/>
    <n v="0"/>
    <n v="0"/>
    <n v="41.917000000000002"/>
    <n v="41.917000000000002"/>
    <n v="41.917000000000002"/>
    <n v="41.917000000000002"/>
    <n v="0"/>
    <x v="0"/>
    <n v="0"/>
    <n v="0"/>
    <n v="21"/>
    <n v="66"/>
    <n v="0"/>
    <n v="596.78"/>
    <n v="503.82"/>
    <m/>
    <n v="622.21351227415789"/>
    <n v="397.1970744485763"/>
    <n v="0"/>
    <n v="25015.22726"/>
    <n v="21118.622940000001"/>
    <n v="0"/>
    <n v="26081.323793995878"/>
    <n v="16649.309769660973"/>
  </r>
  <r>
    <s v="Sistema de Compensação"/>
    <x v="0"/>
    <x v="2"/>
    <x v="2"/>
    <x v="1"/>
    <x v="0"/>
    <x v="0"/>
    <x v="1"/>
    <x v="8"/>
    <n v="0"/>
    <n v="0"/>
    <n v="6.4909999999999997"/>
    <n v="6.4909999999999997"/>
    <n v="6.4909999999999997"/>
    <n v="6.4909999999999997"/>
    <n v="0"/>
    <x v="0"/>
    <n v="0"/>
    <n v="0"/>
    <n v="21"/>
    <n v="66"/>
    <n v="0"/>
    <n v="596.78"/>
    <n v="503.82"/>
    <m/>
    <n v="622.21351227415789"/>
    <n v="397.1970744485763"/>
    <n v="0"/>
    <n v="3873.6989799999997"/>
    <n v="3270.2956199999999"/>
    <n v="0"/>
    <n v="4038.7879081715587"/>
    <n v="2578.2062102457085"/>
  </r>
  <r>
    <s v="Regular"/>
    <x v="0"/>
    <x v="2"/>
    <x v="2"/>
    <x v="1"/>
    <x v="0"/>
    <x v="0"/>
    <x v="1"/>
    <x v="9"/>
    <n v="0"/>
    <n v="0"/>
    <n v="11.417"/>
    <n v="11.417"/>
    <n v="11.417"/>
    <n v="11.417"/>
    <n v="0"/>
    <x v="0"/>
    <n v="0"/>
    <n v="0"/>
    <n v="21"/>
    <n v="66"/>
    <n v="0"/>
    <n v="596.78"/>
    <n v="503.82"/>
    <m/>
    <n v="622.21351227415789"/>
    <n v="397.1970744485763"/>
    <n v="0"/>
    <n v="6813.4372599999997"/>
    <n v="5752.11294"/>
    <n v="0"/>
    <n v="7103.8116696340603"/>
    <n v="4534.7989989793959"/>
  </r>
  <r>
    <s v="Sistema de Compensação"/>
    <x v="0"/>
    <x v="2"/>
    <x v="2"/>
    <x v="1"/>
    <x v="0"/>
    <x v="0"/>
    <x v="1"/>
    <x v="9"/>
    <n v="0"/>
    <n v="0"/>
    <n v="9.8030000000000008"/>
    <n v="9.8030000000000008"/>
    <n v="9.8030000000000008"/>
    <n v="9.8030000000000008"/>
    <n v="0"/>
    <x v="0"/>
    <n v="0"/>
    <n v="0"/>
    <n v="21"/>
    <n v="66"/>
    <n v="0"/>
    <n v="596.78"/>
    <n v="503.82"/>
    <m/>
    <n v="622.21351227415789"/>
    <n v="397.1970744485763"/>
    <n v="0"/>
    <n v="5850.23434"/>
    <n v="4938.9474600000003"/>
    <n v="0"/>
    <n v="6099.5590608235707"/>
    <n v="3893.7229208193939"/>
  </r>
  <r>
    <s v="Regular"/>
    <x v="0"/>
    <x v="2"/>
    <x v="2"/>
    <x v="1"/>
    <x v="0"/>
    <x v="0"/>
    <x v="1"/>
    <x v="10"/>
    <n v="0"/>
    <n v="0"/>
    <n v="13.666"/>
    <n v="13.666"/>
    <n v="13.666"/>
    <n v="13.666"/>
    <n v="0"/>
    <x v="0"/>
    <n v="0"/>
    <n v="0"/>
    <n v="21"/>
    <n v="66"/>
    <n v="0"/>
    <n v="596.78"/>
    <n v="503.82"/>
    <m/>
    <n v="622.21351227415789"/>
    <n v="397.1970744485763"/>
    <n v="0"/>
    <n v="8155.59548"/>
    <n v="6885.2041200000003"/>
    <n v="0"/>
    <n v="8503.1698587386418"/>
    <n v="5428.0952194142437"/>
  </r>
  <r>
    <s v="Sistema de Compensação"/>
    <x v="0"/>
    <x v="2"/>
    <x v="2"/>
    <x v="1"/>
    <x v="0"/>
    <x v="0"/>
    <x v="1"/>
    <x v="10"/>
    <n v="0"/>
    <n v="0"/>
    <n v="5.7249999999999996"/>
    <n v="5.7249999999999996"/>
    <n v="5.7249999999999996"/>
    <n v="5.7249999999999996"/>
    <n v="0"/>
    <x v="0"/>
    <n v="0"/>
    <n v="0"/>
    <n v="21"/>
    <n v="66"/>
    <n v="0"/>
    <n v="596.78"/>
    <n v="503.82"/>
    <m/>
    <n v="622.21351227415789"/>
    <n v="397.1970744485763"/>
    <n v="0"/>
    <n v="3416.5654999999997"/>
    <n v="2884.3694999999998"/>
    <n v="0"/>
    <n v="3562.1723577695539"/>
    <n v="2273.953251218099"/>
  </r>
  <r>
    <s v="PROJETADO"/>
    <x v="0"/>
    <x v="2"/>
    <x v="2"/>
    <x v="1"/>
    <x v="0"/>
    <x v="0"/>
    <x v="1"/>
    <x v="11"/>
    <n v="0"/>
    <n v="0"/>
    <n v="13.666"/>
    <n v="13.666"/>
    <n v="13.666"/>
    <n v="13.666"/>
    <n v="0"/>
    <x v="0"/>
    <n v="0"/>
    <n v="0"/>
    <n v="21"/>
    <n v="66"/>
    <n v="0"/>
    <n v="596.78"/>
    <n v="503.82"/>
    <m/>
    <n v="622.21351227415789"/>
    <n v="397.1970744485763"/>
    <n v="0"/>
    <n v="8155.59548"/>
    <n v="6885.2041200000003"/>
    <n v="0"/>
    <n v="8503.1698587386418"/>
    <n v="5428.0952194142437"/>
  </r>
  <r>
    <s v="PROJETADO"/>
    <x v="0"/>
    <x v="2"/>
    <x v="2"/>
    <x v="1"/>
    <x v="0"/>
    <x v="0"/>
    <x v="1"/>
    <x v="11"/>
    <n v="0"/>
    <n v="0"/>
    <n v="5.7249999999999996"/>
    <n v="5.7249999999999996"/>
    <n v="5.7249999999999996"/>
    <n v="5.7249999999999996"/>
    <n v="0"/>
    <x v="0"/>
    <n v="0"/>
    <n v="0"/>
    <n v="21"/>
    <n v="66"/>
    <n v="0"/>
    <n v="596.78"/>
    <n v="503.82"/>
    <m/>
    <n v="622.21351227415789"/>
    <n v="397.1970744485763"/>
    <n v="0"/>
    <n v="3416.5654999999997"/>
    <n v="2884.3694999999998"/>
    <n v="0"/>
    <n v="3562.1723577695539"/>
    <n v="2273.953251218099"/>
  </r>
  <r>
    <s v="Regular"/>
    <x v="0"/>
    <x v="2"/>
    <x v="3"/>
    <x v="1"/>
    <x v="1"/>
    <x v="0"/>
    <x v="0"/>
    <x v="0"/>
    <n v="0"/>
    <n v="0"/>
    <n v="3583.413"/>
    <n v="3583.413"/>
    <n v="0"/>
    <n v="0"/>
    <n v="0"/>
    <x v="2"/>
    <n v="0"/>
    <n v="0"/>
    <n v="17"/>
    <n v="0"/>
    <n v="0"/>
    <n v="71.260000000000005"/>
    <n v="0"/>
    <m/>
    <n v="93.077207753495102"/>
    <m/>
    <n v="0"/>
    <n v="255354.01038000002"/>
    <n v="0"/>
    <n v="0"/>
    <n v="333534.07626757515"/>
    <n v="0"/>
  </r>
  <r>
    <s v="Regular"/>
    <x v="0"/>
    <x v="2"/>
    <x v="3"/>
    <x v="1"/>
    <x v="1"/>
    <x v="0"/>
    <x v="0"/>
    <x v="1"/>
    <n v="0"/>
    <n v="0"/>
    <n v="3805.9349999999999"/>
    <n v="3805.9349999999999"/>
    <n v="0"/>
    <n v="0"/>
    <n v="0"/>
    <x v="2"/>
    <n v="0"/>
    <n v="0"/>
    <n v="17"/>
    <n v="0"/>
    <n v="0"/>
    <n v="71.260000000000005"/>
    <n v="0"/>
    <m/>
    <n v="93.077207753495102"/>
    <m/>
    <n v="0"/>
    <n v="271210.92810000002"/>
    <n v="0"/>
    <n v="0"/>
    <n v="354245.80269129836"/>
    <n v="0"/>
  </r>
  <r>
    <s v="Regular"/>
    <x v="0"/>
    <x v="2"/>
    <x v="3"/>
    <x v="1"/>
    <x v="1"/>
    <x v="0"/>
    <x v="0"/>
    <x v="2"/>
    <n v="0"/>
    <n v="0"/>
    <n v="3521.2339999999999"/>
    <n v="3521.2339999999999"/>
    <n v="0"/>
    <n v="0"/>
    <n v="0"/>
    <x v="2"/>
    <n v="0"/>
    <n v="0"/>
    <n v="17"/>
    <n v="0"/>
    <n v="0"/>
    <n v="71.260000000000005"/>
    <n v="0"/>
    <m/>
    <n v="93.077207753495102"/>
    <m/>
    <n v="0"/>
    <n v="250923.13484000001"/>
    <n v="0"/>
    <n v="0"/>
    <n v="327746.62856667058"/>
    <n v="0"/>
  </r>
  <r>
    <s v="Regular"/>
    <x v="0"/>
    <x v="2"/>
    <x v="3"/>
    <x v="1"/>
    <x v="1"/>
    <x v="0"/>
    <x v="0"/>
    <x v="3"/>
    <n v="0"/>
    <n v="0"/>
    <n v="3488.46"/>
    <n v="3488.46"/>
    <n v="0"/>
    <n v="0"/>
    <n v="0"/>
    <x v="2"/>
    <n v="0"/>
    <n v="0"/>
    <n v="17"/>
    <n v="0"/>
    <n v="0"/>
    <n v="71.260000000000005"/>
    <n v="0"/>
    <m/>
    <n v="93.077207753495102"/>
    <m/>
    <n v="0"/>
    <n v="248587.65960000001"/>
    <n v="0"/>
    <n v="0"/>
    <n v="324696.11615975754"/>
    <n v="0"/>
  </r>
  <r>
    <s v="Regular"/>
    <x v="0"/>
    <x v="2"/>
    <x v="3"/>
    <x v="1"/>
    <x v="1"/>
    <x v="0"/>
    <x v="0"/>
    <x v="4"/>
    <n v="0"/>
    <n v="0"/>
    <n v="3759.0949999999998"/>
    <n v="3759.0949999999998"/>
    <n v="0"/>
    <n v="0"/>
    <n v="0"/>
    <x v="2"/>
    <n v="0"/>
    <n v="0"/>
    <n v="17"/>
    <n v="0"/>
    <n v="0"/>
    <n v="71.260000000000005"/>
    <n v="0"/>
    <m/>
    <n v="93.077207753495102"/>
    <m/>
    <n v="0"/>
    <n v="267873.10970000003"/>
    <n v="0"/>
    <n v="0"/>
    <n v="349886.06628012465"/>
    <n v="0"/>
  </r>
  <r>
    <s v="Regular"/>
    <x v="0"/>
    <x v="2"/>
    <x v="3"/>
    <x v="1"/>
    <x v="1"/>
    <x v="0"/>
    <x v="0"/>
    <x v="5"/>
    <n v="0"/>
    <n v="0"/>
    <n v="3501.3580000000002"/>
    <n v="3501.3580000000002"/>
    <n v="0"/>
    <n v="0"/>
    <n v="0"/>
    <x v="2"/>
    <n v="0"/>
    <n v="0"/>
    <n v="17"/>
    <n v="0"/>
    <n v="0"/>
    <n v="71.260000000000005"/>
    <n v="0"/>
    <m/>
    <n v="93.077207753495102"/>
    <m/>
    <n v="0"/>
    <n v="249506.77108000003"/>
    <n v="0"/>
    <n v="0"/>
    <n v="325896.6259853621"/>
    <n v="0"/>
  </r>
  <r>
    <s v="Regular"/>
    <x v="0"/>
    <x v="2"/>
    <x v="3"/>
    <x v="1"/>
    <x v="1"/>
    <x v="0"/>
    <x v="0"/>
    <x v="6"/>
    <n v="0"/>
    <n v="0"/>
    <n v="3808.7330000000002"/>
    <n v="3808.7330000000002"/>
    <n v="0"/>
    <n v="0"/>
    <n v="0"/>
    <x v="2"/>
    <n v="0"/>
    <n v="0"/>
    <n v="17"/>
    <n v="0"/>
    <n v="0"/>
    <n v="71.260000000000005"/>
    <n v="0"/>
    <m/>
    <n v="93.077207753495102"/>
    <m/>
    <n v="0"/>
    <n v="271410.31358000002"/>
    <n v="0"/>
    <n v="0"/>
    <n v="354506.23271859268"/>
    <n v="0"/>
  </r>
  <r>
    <s v="Regular"/>
    <x v="0"/>
    <x v="2"/>
    <x v="3"/>
    <x v="1"/>
    <x v="1"/>
    <x v="0"/>
    <x v="0"/>
    <x v="7"/>
    <n v="0"/>
    <n v="0"/>
    <n v="3887.973"/>
    <n v="3887.973"/>
    <n v="0"/>
    <n v="0"/>
    <n v="0"/>
    <x v="2"/>
    <n v="0"/>
    <n v="0"/>
    <n v="17"/>
    <n v="0"/>
    <n v="0"/>
    <n v="71.260000000000005"/>
    <n v="0"/>
    <m/>
    <n v="93.077207753495102"/>
    <m/>
    <n v="0"/>
    <n v="277056.95598000003"/>
    <n v="0"/>
    <n v="0"/>
    <n v="361881.67066097964"/>
    <n v="0"/>
  </r>
  <r>
    <s v="Regular"/>
    <x v="0"/>
    <x v="2"/>
    <x v="3"/>
    <x v="1"/>
    <x v="1"/>
    <x v="0"/>
    <x v="0"/>
    <x v="8"/>
    <n v="0"/>
    <n v="0"/>
    <n v="4502.0200000000004"/>
    <n v="4502.0200000000004"/>
    <n v="0"/>
    <n v="0"/>
    <n v="0"/>
    <x v="2"/>
    <n v="0"/>
    <n v="0"/>
    <n v="17"/>
    <n v="0"/>
    <n v="0"/>
    <n v="71.260000000000005"/>
    <n v="0"/>
    <m/>
    <n v="93.077207753495102"/>
    <m/>
    <n v="0"/>
    <n v="320813.94520000007"/>
    <n v="0"/>
    <n v="0"/>
    <n v="419035.45085039007"/>
    <n v="0"/>
  </r>
  <r>
    <s v="Regular"/>
    <x v="0"/>
    <x v="2"/>
    <x v="3"/>
    <x v="1"/>
    <x v="1"/>
    <x v="0"/>
    <x v="0"/>
    <x v="9"/>
    <n v="0"/>
    <n v="0"/>
    <n v="4039.2190000000001"/>
    <n v="4039.2190000000001"/>
    <n v="0"/>
    <n v="0"/>
    <n v="0"/>
    <x v="2"/>
    <n v="0"/>
    <n v="0"/>
    <n v="17"/>
    <n v="0"/>
    <n v="0"/>
    <n v="71.260000000000005"/>
    <n v="0"/>
    <m/>
    <n v="93.077207753495102"/>
    <m/>
    <n v="0"/>
    <n v="287834.74594000005"/>
    <n v="0"/>
    <n v="0"/>
    <n v="375959.22602486477"/>
    <n v="0"/>
  </r>
  <r>
    <s v="Regular"/>
    <x v="0"/>
    <x v="2"/>
    <x v="3"/>
    <x v="1"/>
    <x v="1"/>
    <x v="0"/>
    <x v="0"/>
    <x v="10"/>
    <n v="0"/>
    <n v="0"/>
    <n v="4380.7709999999997"/>
    <n v="4380.7709999999997"/>
    <n v="0"/>
    <n v="0"/>
    <n v="0"/>
    <x v="2"/>
    <n v="0"/>
    <n v="0"/>
    <n v="17"/>
    <n v="0"/>
    <n v="0"/>
    <n v="71.260000000000005"/>
    <n v="0"/>
    <m/>
    <n v="93.077207753495102"/>
    <m/>
    <n v="0"/>
    <n v="312173.74145999999"/>
    <n v="0"/>
    <n v="0"/>
    <n v="407749.93248748645"/>
    <n v="0"/>
  </r>
  <r>
    <s v="PROJETADO"/>
    <x v="0"/>
    <x v="2"/>
    <x v="3"/>
    <x v="1"/>
    <x v="1"/>
    <x v="0"/>
    <x v="0"/>
    <x v="11"/>
    <n v="0"/>
    <n v="0"/>
    <n v="4380.7709999999997"/>
    <n v="4380.7709999999997"/>
    <n v="0"/>
    <n v="0"/>
    <n v="0"/>
    <x v="2"/>
    <n v="0"/>
    <n v="0"/>
    <n v="17"/>
    <n v="0"/>
    <n v="0"/>
    <n v="71.260000000000005"/>
    <n v="0"/>
    <m/>
    <n v="93.077207753495102"/>
    <m/>
    <n v="0"/>
    <n v="312173.74145999999"/>
    <n v="0"/>
    <n v="0"/>
    <n v="407749.93248748645"/>
    <n v="0"/>
  </r>
  <r>
    <s v="Regular"/>
    <x v="0"/>
    <x v="2"/>
    <x v="3"/>
    <x v="1"/>
    <x v="1"/>
    <x v="0"/>
    <x v="2"/>
    <x v="0"/>
    <n v="10417"/>
    <n v="5208.5"/>
    <n v="0"/>
    <n v="0"/>
    <n v="0"/>
    <n v="0"/>
    <n v="6"/>
    <x v="2"/>
    <n v="0"/>
    <n v="19"/>
    <n v="0"/>
    <n v="0"/>
    <n v="16.29"/>
    <n v="0"/>
    <n v="0"/>
    <n v="21.112041496375397"/>
    <m/>
    <m/>
    <n v="84846.464999999997"/>
    <n v="0"/>
    <n v="0"/>
    <n v="109962.06813387126"/>
    <n v="0"/>
    <n v="0"/>
  </r>
  <r>
    <s v="Regular"/>
    <x v="0"/>
    <x v="2"/>
    <x v="3"/>
    <x v="1"/>
    <x v="1"/>
    <x v="0"/>
    <x v="2"/>
    <x v="1"/>
    <n v="10895"/>
    <n v="5447.5"/>
    <n v="0"/>
    <n v="0"/>
    <n v="0"/>
    <n v="0"/>
    <n v="7"/>
    <x v="2"/>
    <n v="0"/>
    <n v="19"/>
    <n v="0"/>
    <n v="0"/>
    <n v="16.29"/>
    <n v="0"/>
    <n v="0"/>
    <n v="21.112041496375397"/>
    <m/>
    <m/>
    <n v="88739.774999999994"/>
    <n v="0"/>
    <n v="0"/>
    <n v="115007.84605150498"/>
    <n v="0"/>
    <n v="0"/>
  </r>
  <r>
    <s v="Regular"/>
    <x v="0"/>
    <x v="2"/>
    <x v="3"/>
    <x v="1"/>
    <x v="1"/>
    <x v="0"/>
    <x v="2"/>
    <x v="2"/>
    <n v="10925"/>
    <n v="5462.5"/>
    <n v="0"/>
    <n v="0"/>
    <n v="0"/>
    <n v="0"/>
    <n v="7"/>
    <x v="2"/>
    <n v="0"/>
    <n v="19"/>
    <n v="0"/>
    <n v="0"/>
    <n v="16.29"/>
    <n v="0"/>
    <n v="0"/>
    <n v="21.112041496375397"/>
    <m/>
    <m/>
    <n v="88984.125"/>
    <n v="0"/>
    <n v="0"/>
    <n v="115324.5266739506"/>
    <n v="0"/>
    <n v="0"/>
  </r>
  <r>
    <s v="Regular"/>
    <x v="0"/>
    <x v="2"/>
    <x v="3"/>
    <x v="1"/>
    <x v="1"/>
    <x v="0"/>
    <x v="2"/>
    <x v="3"/>
    <n v="10895"/>
    <n v="5447.5"/>
    <n v="0"/>
    <n v="0"/>
    <n v="0"/>
    <n v="0"/>
    <n v="7"/>
    <x v="2"/>
    <n v="0"/>
    <n v="19"/>
    <n v="0"/>
    <n v="0"/>
    <n v="16.29"/>
    <n v="0"/>
    <n v="0"/>
    <n v="21.112041496375397"/>
    <m/>
    <m/>
    <n v="88739.774999999994"/>
    <n v="0"/>
    <n v="0"/>
    <n v="115007.84605150498"/>
    <n v="0"/>
    <n v="0"/>
  </r>
  <r>
    <s v="Regular"/>
    <x v="0"/>
    <x v="2"/>
    <x v="3"/>
    <x v="1"/>
    <x v="1"/>
    <x v="0"/>
    <x v="2"/>
    <x v="4"/>
    <n v="11405"/>
    <n v="5702.5"/>
    <n v="0"/>
    <n v="0"/>
    <n v="0"/>
    <n v="0"/>
    <n v="8"/>
    <x v="2"/>
    <n v="0"/>
    <n v="19"/>
    <n v="0"/>
    <n v="0"/>
    <n v="16.29"/>
    <n v="0"/>
    <n v="0"/>
    <n v="21.112041496375397"/>
    <m/>
    <m/>
    <n v="92893.724999999991"/>
    <n v="0"/>
    <n v="0"/>
    <n v="120391.41663308071"/>
    <n v="0"/>
    <n v="0"/>
  </r>
  <r>
    <s v="Regular"/>
    <x v="0"/>
    <x v="2"/>
    <x v="3"/>
    <x v="1"/>
    <x v="1"/>
    <x v="0"/>
    <x v="2"/>
    <x v="5"/>
    <n v="11395"/>
    <n v="5697.5"/>
    <n v="0"/>
    <n v="0"/>
    <n v="0"/>
    <n v="0"/>
    <n v="8"/>
    <x v="2"/>
    <n v="0"/>
    <n v="19"/>
    <n v="0"/>
    <n v="0"/>
    <n v="16.29"/>
    <n v="0"/>
    <n v="0"/>
    <n v="21.112041496375397"/>
    <m/>
    <m/>
    <n v="92812.274999999994"/>
    <n v="0"/>
    <n v="0"/>
    <n v="120285.85642559883"/>
    <n v="0"/>
    <n v="0"/>
  </r>
  <r>
    <s v="Regular"/>
    <x v="0"/>
    <x v="2"/>
    <x v="3"/>
    <x v="1"/>
    <x v="1"/>
    <x v="0"/>
    <x v="2"/>
    <x v="6"/>
    <n v="11448"/>
    <n v="5724"/>
    <n v="0"/>
    <n v="0"/>
    <n v="0"/>
    <n v="0"/>
    <n v="8"/>
    <x v="2"/>
    <n v="0"/>
    <n v="19"/>
    <n v="0"/>
    <n v="0"/>
    <n v="16.29"/>
    <n v="0"/>
    <n v="0"/>
    <n v="21.112041496375397"/>
    <m/>
    <m/>
    <n v="93243.959999999992"/>
    <n v="0"/>
    <n v="0"/>
    <n v="120845.32552525277"/>
    <n v="0"/>
    <n v="0"/>
  </r>
  <r>
    <s v="Regular"/>
    <x v="0"/>
    <x v="2"/>
    <x v="3"/>
    <x v="1"/>
    <x v="1"/>
    <x v="0"/>
    <x v="2"/>
    <x v="7"/>
    <n v="12306"/>
    <n v="6153"/>
    <n v="0"/>
    <n v="0"/>
    <n v="0"/>
    <n v="0"/>
    <n v="9"/>
    <x v="2"/>
    <n v="0"/>
    <n v="19"/>
    <n v="0"/>
    <n v="0"/>
    <n v="16.29"/>
    <n v="0"/>
    <n v="0"/>
    <n v="21.112041496375397"/>
    <m/>
    <m/>
    <n v="100232.37"/>
    <n v="0"/>
    <n v="0"/>
    <n v="129902.39132719782"/>
    <n v="0"/>
    <n v="0"/>
  </r>
  <r>
    <s v="Regular"/>
    <x v="0"/>
    <x v="2"/>
    <x v="3"/>
    <x v="1"/>
    <x v="1"/>
    <x v="0"/>
    <x v="2"/>
    <x v="8"/>
    <n v="12381"/>
    <n v="6190.5"/>
    <n v="0"/>
    <n v="0"/>
    <n v="0"/>
    <n v="0"/>
    <n v="9"/>
    <x v="2"/>
    <n v="0"/>
    <n v="19"/>
    <n v="0"/>
    <n v="0"/>
    <n v="16.29"/>
    <n v="0"/>
    <n v="0"/>
    <n v="21.112041496375397"/>
    <m/>
    <m/>
    <n v="100843.245"/>
    <n v="0"/>
    <n v="0"/>
    <n v="130694.0928833119"/>
    <n v="0"/>
    <n v="0"/>
  </r>
  <r>
    <s v="Regular"/>
    <x v="0"/>
    <x v="2"/>
    <x v="3"/>
    <x v="1"/>
    <x v="1"/>
    <x v="0"/>
    <x v="2"/>
    <x v="9"/>
    <n v="12368"/>
    <n v="6184"/>
    <n v="0"/>
    <n v="0"/>
    <n v="0"/>
    <n v="0"/>
    <n v="9"/>
    <x v="2"/>
    <n v="0"/>
    <n v="19"/>
    <n v="0"/>
    <n v="0"/>
    <n v="16.29"/>
    <n v="0"/>
    <n v="0"/>
    <n v="21.112041496375397"/>
    <m/>
    <m/>
    <n v="100737.36"/>
    <n v="0"/>
    <n v="0"/>
    <n v="130556.86461358545"/>
    <n v="0"/>
    <n v="0"/>
  </r>
  <r>
    <s v="Regular"/>
    <x v="0"/>
    <x v="2"/>
    <x v="3"/>
    <x v="1"/>
    <x v="1"/>
    <x v="0"/>
    <x v="2"/>
    <x v="10"/>
    <n v="12339"/>
    <n v="6169.5"/>
    <n v="0"/>
    <n v="0"/>
    <n v="0"/>
    <n v="0"/>
    <n v="9"/>
    <x v="2"/>
    <n v="0"/>
    <n v="19"/>
    <n v="0"/>
    <n v="0"/>
    <n v="16.29"/>
    <n v="0"/>
    <n v="0"/>
    <n v="21.112041496375397"/>
    <m/>
    <m/>
    <n v="100501.155"/>
    <n v="0"/>
    <n v="0"/>
    <n v="130250.74001188802"/>
    <n v="0"/>
    <n v="0"/>
  </r>
  <r>
    <s v="PROJETADO"/>
    <x v="0"/>
    <x v="2"/>
    <x v="3"/>
    <x v="1"/>
    <x v="1"/>
    <x v="0"/>
    <x v="2"/>
    <x v="11"/>
    <n v="12339"/>
    <n v="6169.5"/>
    <n v="0"/>
    <n v="0"/>
    <n v="0"/>
    <n v="0"/>
    <n v="9"/>
    <x v="2"/>
    <n v="0"/>
    <n v="19"/>
    <n v="0"/>
    <n v="0"/>
    <n v="16.29"/>
    <n v="0"/>
    <n v="0"/>
    <n v="21.112041496375397"/>
    <m/>
    <m/>
    <n v="100501.155"/>
    <n v="0"/>
    <n v="0"/>
    <n v="130250.74001188802"/>
    <n v="0"/>
    <n v="0"/>
  </r>
  <r>
    <s v="Regular"/>
    <x v="0"/>
    <x v="2"/>
    <x v="3"/>
    <x v="1"/>
    <x v="1"/>
    <x v="0"/>
    <x v="1"/>
    <x v="0"/>
    <n v="0"/>
    <n v="0"/>
    <n v="400.85399999999998"/>
    <n v="222.99508019999999"/>
    <n v="0"/>
    <n v="0"/>
    <n v="0"/>
    <x v="2"/>
    <n v="0"/>
    <n v="0"/>
    <n v="21"/>
    <n v="0"/>
    <n v="0"/>
    <n v="596.78"/>
    <n v="0"/>
    <m/>
    <n v="622.21351227415789"/>
    <m/>
    <n v="0"/>
    <n v="133079.00396175598"/>
    <n v="0"/>
    <n v="0"/>
    <n v="138750.55207109952"/>
    <n v="0"/>
  </r>
  <r>
    <s v="Regular"/>
    <x v="0"/>
    <x v="2"/>
    <x v="3"/>
    <x v="1"/>
    <x v="1"/>
    <x v="0"/>
    <x v="1"/>
    <x v="1"/>
    <n v="0"/>
    <n v="0"/>
    <n v="417.75700000000001"/>
    <n v="233.8185929"/>
    <n v="0"/>
    <n v="0"/>
    <n v="0"/>
    <x v="2"/>
    <n v="0"/>
    <n v="0"/>
    <n v="21"/>
    <n v="0"/>
    <n v="0"/>
    <n v="596.78"/>
    <n v="0"/>
    <m/>
    <n v="622.21351227415789"/>
    <m/>
    <n v="0"/>
    <n v="139538.25987086201"/>
    <n v="0"/>
    <n v="0"/>
    <n v="145485.08792331046"/>
    <n v="0"/>
  </r>
  <r>
    <s v="Regular"/>
    <x v="0"/>
    <x v="2"/>
    <x v="3"/>
    <x v="1"/>
    <x v="1"/>
    <x v="0"/>
    <x v="1"/>
    <x v="2"/>
    <n v="0"/>
    <n v="0"/>
    <n v="380.99599999999998"/>
    <n v="213.24346120000001"/>
    <n v="0"/>
    <n v="0"/>
    <n v="0"/>
    <x v="2"/>
    <n v="0"/>
    <n v="0"/>
    <n v="21"/>
    <n v="0"/>
    <n v="0"/>
    <n v="596.78"/>
    <n v="0"/>
    <m/>
    <n v="622.21351227415789"/>
    <m/>
    <n v="0"/>
    <n v="127259.43277493601"/>
    <n v="0"/>
    <n v="0"/>
    <n v="132682.96296275011"/>
    <n v="0"/>
  </r>
  <r>
    <s v="Regular"/>
    <x v="0"/>
    <x v="2"/>
    <x v="3"/>
    <x v="1"/>
    <x v="1"/>
    <x v="0"/>
    <x v="1"/>
    <x v="3"/>
    <n v="0"/>
    <n v="0"/>
    <n v="352.47500000000002"/>
    <n v="197.2802575"/>
    <n v="0"/>
    <n v="0"/>
    <n v="0"/>
    <x v="2"/>
    <n v="0"/>
    <n v="0"/>
    <n v="21"/>
    <n v="0"/>
    <n v="0"/>
    <n v="596.78"/>
    <n v="0"/>
    <m/>
    <n v="622.21351227415789"/>
    <m/>
    <n v="0"/>
    <n v="117732.91207085"/>
    <n v="0"/>
    <n v="0"/>
    <n v="122750.44192142528"/>
    <n v="0"/>
  </r>
  <r>
    <s v="Regular"/>
    <x v="0"/>
    <x v="2"/>
    <x v="3"/>
    <x v="1"/>
    <x v="1"/>
    <x v="0"/>
    <x v="1"/>
    <x v="4"/>
    <n v="0"/>
    <n v="0"/>
    <n v="395.25299999999999"/>
    <n v="221.2231041"/>
    <n v="0"/>
    <n v="0"/>
    <n v="0"/>
    <x v="2"/>
    <n v="0"/>
    <n v="0"/>
    <n v="21"/>
    <n v="0"/>
    <n v="0"/>
    <n v="596.78"/>
    <n v="0"/>
    <m/>
    <n v="622.21351227415789"/>
    <m/>
    <n v="0"/>
    <n v="132021.524064798"/>
    <n v="0"/>
    <n v="0"/>
    <n v="137648.00459825265"/>
    <n v="0"/>
  </r>
  <r>
    <s v="Regular"/>
    <x v="0"/>
    <x v="2"/>
    <x v="3"/>
    <x v="1"/>
    <x v="1"/>
    <x v="0"/>
    <x v="1"/>
    <x v="5"/>
    <n v="0"/>
    <n v="0"/>
    <n v="383.084"/>
    <n v="214.41211480000001"/>
    <n v="0"/>
    <n v="0"/>
    <n v="0"/>
    <x v="2"/>
    <n v="0"/>
    <n v="0"/>
    <n v="21"/>
    <n v="0"/>
    <n v="0"/>
    <n v="596.78"/>
    <n v="0"/>
    <m/>
    <n v="622.21351227415789"/>
    <m/>
    <n v="0"/>
    <n v="127956.861870344"/>
    <n v="0"/>
    <n v="0"/>
    <n v="133410.11502383795"/>
    <n v="0"/>
  </r>
  <r>
    <s v="Regular"/>
    <x v="0"/>
    <x v="2"/>
    <x v="3"/>
    <x v="1"/>
    <x v="1"/>
    <x v="0"/>
    <x v="1"/>
    <x v="6"/>
    <n v="0"/>
    <n v="0"/>
    <n v="410.00799999999998"/>
    <n v="229.48147760000001"/>
    <n v="0"/>
    <n v="0"/>
    <n v="0"/>
    <x v="2"/>
    <n v="0"/>
    <n v="0"/>
    <n v="21"/>
    <n v="0"/>
    <n v="0"/>
    <n v="596.78"/>
    <n v="0"/>
    <m/>
    <n v="622.21351227415789"/>
    <m/>
    <n v="0"/>
    <n v="136949.956202128"/>
    <n v="0"/>
    <n v="0"/>
    <n v="142786.47617935948"/>
    <n v="0"/>
  </r>
  <r>
    <s v="Regular"/>
    <x v="0"/>
    <x v="2"/>
    <x v="3"/>
    <x v="1"/>
    <x v="1"/>
    <x v="0"/>
    <x v="1"/>
    <x v="7"/>
    <n v="0"/>
    <n v="0"/>
    <n v="428.41199999999998"/>
    <n v="239.7821964"/>
    <n v="0"/>
    <n v="0"/>
    <n v="0"/>
    <x v="2"/>
    <n v="0"/>
    <n v="0"/>
    <n v="21"/>
    <n v="0"/>
    <n v="0"/>
    <n v="596.78"/>
    <n v="0"/>
    <m/>
    <n v="622.21351227415789"/>
    <m/>
    <n v="0"/>
    <n v="143097.219167592"/>
    <n v="0"/>
    <n v="0"/>
    <n v="149195.72260285594"/>
    <n v="0"/>
  </r>
  <r>
    <s v="Regular"/>
    <x v="0"/>
    <x v="2"/>
    <x v="3"/>
    <x v="1"/>
    <x v="1"/>
    <x v="0"/>
    <x v="1"/>
    <x v="8"/>
    <n v="0"/>
    <n v="0"/>
    <n v="492.738"/>
    <n v="275.78545860000003"/>
    <n v="0"/>
    <n v="0"/>
    <n v="0"/>
    <x v="2"/>
    <n v="0"/>
    <n v="0"/>
    <n v="21"/>
    <n v="0"/>
    <n v="0"/>
    <n v="596.78"/>
    <n v="0"/>
    <m/>
    <n v="622.21351227415789"/>
    <m/>
    <n v="0"/>
    <n v="164583.24598330801"/>
    <n v="0"/>
    <n v="0"/>
    <n v="171597.43882964537"/>
    <n v="0"/>
  </r>
  <r>
    <s v="Regular"/>
    <x v="0"/>
    <x v="2"/>
    <x v="3"/>
    <x v="1"/>
    <x v="1"/>
    <x v="0"/>
    <x v="1"/>
    <x v="9"/>
    <n v="0"/>
    <n v="0"/>
    <n v="423.49700000000001"/>
    <n v="237.03127090000001"/>
    <n v="0"/>
    <n v="0"/>
    <n v="0"/>
    <x v="2"/>
    <n v="0"/>
    <n v="0"/>
    <n v="21"/>
    <n v="0"/>
    <n v="0"/>
    <n v="596.78"/>
    <n v="0"/>
    <m/>
    <n v="622.21351227415789"/>
    <m/>
    <n v="0"/>
    <n v="141455.52184770201"/>
    <n v="0"/>
    <n v="0"/>
    <n v="147484.0595854964"/>
    <n v="0"/>
  </r>
  <r>
    <s v="Regular"/>
    <x v="0"/>
    <x v="2"/>
    <x v="3"/>
    <x v="1"/>
    <x v="1"/>
    <x v="0"/>
    <x v="1"/>
    <x v="10"/>
    <n v="0"/>
    <n v="0"/>
    <n v="495.89800000000002"/>
    <n v="277.5541106"/>
    <n v="0"/>
    <n v="0"/>
    <n v="0"/>
    <x v="2"/>
    <n v="0"/>
    <n v="0"/>
    <n v="21"/>
    <n v="0"/>
    <n v="0"/>
    <n v="596.78"/>
    <n v="0"/>
    <m/>
    <n v="622.21351227415789"/>
    <m/>
    <n v="0"/>
    <n v="165638.742123868"/>
    <n v="0"/>
    <n v="0"/>
    <n v="172697.91800255608"/>
    <n v="0"/>
  </r>
  <r>
    <s v="PROJETADO"/>
    <x v="0"/>
    <x v="2"/>
    <x v="3"/>
    <x v="1"/>
    <x v="1"/>
    <x v="0"/>
    <x v="1"/>
    <x v="11"/>
    <n v="0"/>
    <n v="0"/>
    <n v="495.89800000000002"/>
    <n v="277.5541106"/>
    <n v="0"/>
    <n v="0"/>
    <n v="0"/>
    <x v="2"/>
    <n v="0"/>
    <n v="0"/>
    <n v="21"/>
    <n v="0"/>
    <n v="0"/>
    <n v="596.78"/>
    <n v="0"/>
    <m/>
    <n v="622.21351227415789"/>
    <m/>
    <n v="0"/>
    <n v="165638.742123868"/>
    <n v="0"/>
    <n v="0"/>
    <n v="172697.91800255608"/>
    <n v="0"/>
  </r>
  <r>
    <s v="Regular"/>
    <x v="0"/>
    <x v="2"/>
    <x v="3"/>
    <x v="1"/>
    <x v="0"/>
    <x v="0"/>
    <x v="0"/>
    <x v="0"/>
    <n v="0"/>
    <n v="0"/>
    <n v="953.23400000000004"/>
    <n v="953.23400000000004"/>
    <n v="953.23400000000004"/>
    <n v="953.23400000000004"/>
    <n v="0"/>
    <x v="0"/>
    <n v="0"/>
    <n v="0"/>
    <n v="17"/>
    <n v="78"/>
    <n v="0"/>
    <n v="71.260000000000005"/>
    <n v="297.31"/>
    <m/>
    <n v="93.077207753495102"/>
    <n v="234.85968807843457"/>
    <n v="0"/>
    <n v="67927.454840000006"/>
    <n v="283406.00054000004"/>
    <n v="0"/>
    <n v="88724.359055695153"/>
    <n v="223876.2399057585"/>
  </r>
  <r>
    <s v="Sistema de Compensação"/>
    <x v="0"/>
    <x v="2"/>
    <x v="3"/>
    <x v="1"/>
    <x v="0"/>
    <x v="0"/>
    <x v="0"/>
    <x v="0"/>
    <n v="0"/>
    <n v="0"/>
    <n v="86.888999999999996"/>
    <n v="86.888999999999996"/>
    <n v="86.888999999999996"/>
    <n v="86.888999999999996"/>
    <n v="0"/>
    <x v="0"/>
    <n v="0"/>
    <n v="0"/>
    <n v="17"/>
    <n v="78"/>
    <n v="0"/>
    <n v="71.260000000000005"/>
    <n v="297.31"/>
    <m/>
    <n v="93.077207753495102"/>
    <n v="234.85968807843457"/>
    <n v="0"/>
    <n v="6191.7101400000001"/>
    <n v="25832.96859"/>
    <n v="0"/>
    <n v="8087.3855044934353"/>
    <n v="20406.723437447101"/>
  </r>
  <r>
    <s v="Regular"/>
    <x v="0"/>
    <x v="2"/>
    <x v="3"/>
    <x v="1"/>
    <x v="0"/>
    <x v="0"/>
    <x v="0"/>
    <x v="1"/>
    <n v="0"/>
    <n v="0"/>
    <n v="806.63900000000001"/>
    <n v="806.63900000000001"/>
    <n v="806.63900000000001"/>
    <n v="806.63900000000001"/>
    <n v="0"/>
    <x v="0"/>
    <n v="0"/>
    <n v="0"/>
    <n v="17"/>
    <n v="78"/>
    <n v="0"/>
    <n v="71.260000000000005"/>
    <n v="297.31"/>
    <m/>
    <n v="93.077207753495102"/>
    <n v="234.85968807843457"/>
    <n v="0"/>
    <n v="57481.095140000005"/>
    <n v="239821.84109"/>
    <n v="0"/>
    <n v="75079.705785071536"/>
    <n v="189446.98393190038"/>
  </r>
  <r>
    <s v="Sistema de Compensação"/>
    <x v="0"/>
    <x v="2"/>
    <x v="3"/>
    <x v="1"/>
    <x v="0"/>
    <x v="0"/>
    <x v="0"/>
    <x v="1"/>
    <n v="0"/>
    <n v="0"/>
    <n v="78.623000000000005"/>
    <n v="78.623000000000005"/>
    <n v="78.623000000000005"/>
    <n v="78.623000000000005"/>
    <n v="0"/>
    <x v="0"/>
    <n v="0"/>
    <n v="0"/>
    <n v="17"/>
    <n v="78"/>
    <n v="0"/>
    <n v="71.260000000000005"/>
    <n v="297.31"/>
    <m/>
    <n v="93.077207753495102"/>
    <n v="234.85968807843457"/>
    <n v="0"/>
    <n v="5602.6749800000007"/>
    <n v="23375.404130000003"/>
    <n v="0"/>
    <n v="7318.0093052030461"/>
    <n v="18465.373255790764"/>
  </r>
  <r>
    <s v="Regular"/>
    <x v="0"/>
    <x v="2"/>
    <x v="3"/>
    <x v="1"/>
    <x v="0"/>
    <x v="0"/>
    <x v="0"/>
    <x v="2"/>
    <n v="0"/>
    <n v="0"/>
    <n v="779.10400000000004"/>
    <n v="779.10400000000004"/>
    <n v="779.10400000000004"/>
    <n v="779.10400000000004"/>
    <n v="0"/>
    <x v="0"/>
    <n v="0"/>
    <n v="0"/>
    <n v="17"/>
    <n v="78"/>
    <n v="0"/>
    <n v="71.260000000000005"/>
    <n v="297.31"/>
    <m/>
    <n v="93.077207753495102"/>
    <n v="234.85968807843457"/>
    <n v="0"/>
    <n v="55518.951040000007"/>
    <n v="231635.41024000003"/>
    <n v="0"/>
    <n v="72516.824869579053"/>
    <n v="182980.12242066069"/>
  </r>
  <r>
    <s v="Sistema de Compensação"/>
    <x v="0"/>
    <x v="2"/>
    <x v="3"/>
    <x v="1"/>
    <x v="0"/>
    <x v="0"/>
    <x v="0"/>
    <x v="2"/>
    <n v="0"/>
    <n v="0"/>
    <n v="67.760999999999996"/>
    <n v="67.760999999999996"/>
    <n v="67.760999999999996"/>
    <n v="67.760999999999996"/>
    <n v="0"/>
    <x v="0"/>
    <n v="0"/>
    <n v="0"/>
    <n v="17"/>
    <n v="78"/>
    <n v="0"/>
    <n v="71.260000000000005"/>
    <n v="297.31"/>
    <m/>
    <n v="93.077207753495102"/>
    <n v="234.85968807843457"/>
    <n v="0"/>
    <n v="4828.6488600000002"/>
    <n v="20146.02291"/>
    <n v="0"/>
    <n v="6307.0046745845812"/>
    <n v="15914.327323882804"/>
  </r>
  <r>
    <s v="Regular"/>
    <x v="0"/>
    <x v="2"/>
    <x v="3"/>
    <x v="1"/>
    <x v="0"/>
    <x v="0"/>
    <x v="0"/>
    <x v="3"/>
    <n v="0"/>
    <n v="0"/>
    <n v="797.78599999999994"/>
    <n v="797.78599999999994"/>
    <n v="797.78599999999994"/>
    <n v="797.78599999999994"/>
    <n v="0"/>
    <x v="0"/>
    <n v="0"/>
    <n v="0"/>
    <n v="17"/>
    <n v="78"/>
    <n v="0"/>
    <n v="71.260000000000005"/>
    <n v="297.31"/>
    <m/>
    <n v="93.077207753495102"/>
    <n v="234.85968807843457"/>
    <n v="0"/>
    <n v="56850.230360000001"/>
    <n v="237189.75566"/>
    <n v="0"/>
    <n v="74255.693264829839"/>
    <n v="187367.77111334199"/>
  </r>
  <r>
    <s v="Sistema de Compensação"/>
    <x v="0"/>
    <x v="2"/>
    <x v="3"/>
    <x v="1"/>
    <x v="0"/>
    <x v="0"/>
    <x v="0"/>
    <x v="3"/>
    <n v="0"/>
    <n v="0"/>
    <n v="34.271000000000001"/>
    <n v="34.271000000000001"/>
    <n v="34.271000000000001"/>
    <n v="34.271000000000001"/>
    <n v="0"/>
    <x v="0"/>
    <n v="0"/>
    <n v="0"/>
    <n v="17"/>
    <n v="78"/>
    <n v="0"/>
    <n v="71.260000000000005"/>
    <n v="297.31"/>
    <m/>
    <n v="93.077207753495102"/>
    <n v="234.85968807843457"/>
    <n v="0"/>
    <n v="2442.15146"/>
    <n v="10189.111010000001"/>
    <n v="0"/>
    <n v="3189.8489869200307"/>
    <n v="8048.8763701360313"/>
  </r>
  <r>
    <s v="Regular"/>
    <x v="0"/>
    <x v="2"/>
    <x v="3"/>
    <x v="1"/>
    <x v="0"/>
    <x v="0"/>
    <x v="0"/>
    <x v="4"/>
    <n v="0"/>
    <n v="0"/>
    <n v="666.92700000000002"/>
    <n v="666.92700000000002"/>
    <n v="666.92700000000002"/>
    <n v="666.92700000000002"/>
    <n v="0"/>
    <x v="0"/>
    <n v="0"/>
    <n v="0"/>
    <n v="17"/>
    <n v="78"/>
    <n v="0"/>
    <n v="71.260000000000005"/>
    <n v="297.31"/>
    <m/>
    <n v="93.077207753495102"/>
    <n v="234.85968807843457"/>
    <n v="0"/>
    <n v="47525.218020000008"/>
    <n v="198284.06637000002"/>
    <n v="0"/>
    <n v="62075.702935415233"/>
    <n v="156634.26719108614"/>
  </r>
  <r>
    <s v="Sistema de Compensação"/>
    <x v="0"/>
    <x v="2"/>
    <x v="3"/>
    <x v="1"/>
    <x v="0"/>
    <x v="0"/>
    <x v="0"/>
    <x v="4"/>
    <n v="0"/>
    <n v="0"/>
    <n v="48.011000000000003"/>
    <n v="48.011000000000003"/>
    <n v="48.011000000000003"/>
    <n v="48.011000000000003"/>
    <n v="0"/>
    <x v="0"/>
    <n v="0"/>
    <n v="0"/>
    <n v="17"/>
    <n v="78"/>
    <n v="0"/>
    <n v="71.260000000000005"/>
    <n v="297.31"/>
    <m/>
    <n v="93.077207753495102"/>
    <n v="234.85968807843457"/>
    <n v="0"/>
    <n v="3421.2638600000005"/>
    <n v="14274.15041"/>
    <n v="0"/>
    <n v="4468.7298214530538"/>
    <n v="11275.848484333723"/>
  </r>
  <r>
    <s v="Regular"/>
    <x v="0"/>
    <x v="2"/>
    <x v="3"/>
    <x v="1"/>
    <x v="0"/>
    <x v="0"/>
    <x v="0"/>
    <x v="5"/>
    <n v="0"/>
    <n v="0"/>
    <n v="649.78300000000002"/>
    <n v="649.78300000000002"/>
    <n v="649.78300000000002"/>
    <n v="649.78300000000002"/>
    <n v="0"/>
    <x v="0"/>
    <n v="0"/>
    <n v="0"/>
    <n v="17"/>
    <n v="78"/>
    <n v="0"/>
    <n v="71.260000000000005"/>
    <n v="297.31"/>
    <m/>
    <n v="93.077207753495102"/>
    <n v="234.85968807843457"/>
    <n v="0"/>
    <n v="46303.536580000007"/>
    <n v="193186.98373000001"/>
    <n v="0"/>
    <n v="60479.987285689313"/>
    <n v="152607.83269866946"/>
  </r>
  <r>
    <s v="Sistema de Compensação"/>
    <x v="0"/>
    <x v="2"/>
    <x v="3"/>
    <x v="1"/>
    <x v="0"/>
    <x v="0"/>
    <x v="0"/>
    <x v="5"/>
    <n v="0"/>
    <n v="0"/>
    <n v="44.158999999999999"/>
    <n v="44.158999999999999"/>
    <n v="44.158999999999999"/>
    <n v="44.158999999999999"/>
    <n v="0"/>
    <x v="0"/>
    <n v="0"/>
    <n v="0"/>
    <n v="17"/>
    <n v="78"/>
    <n v="0"/>
    <n v="71.260000000000005"/>
    <n v="297.31"/>
    <m/>
    <n v="93.077207753495102"/>
    <n v="234.85968807843457"/>
    <n v="0"/>
    <n v="3146.77034"/>
    <n v="13128.91229"/>
    <n v="0"/>
    <n v="4110.1964171865902"/>
    <n v="10371.168965855592"/>
  </r>
  <r>
    <s v="Regular"/>
    <x v="0"/>
    <x v="2"/>
    <x v="3"/>
    <x v="1"/>
    <x v="0"/>
    <x v="0"/>
    <x v="0"/>
    <x v="6"/>
    <n v="0"/>
    <n v="0"/>
    <n v="573.60400000000004"/>
    <n v="573.60400000000004"/>
    <n v="573.60400000000004"/>
    <n v="573.60400000000004"/>
    <n v="0"/>
    <x v="0"/>
    <n v="0"/>
    <n v="0"/>
    <n v="17"/>
    <n v="78"/>
    <n v="0"/>
    <n v="71.260000000000005"/>
    <n v="297.31"/>
    <m/>
    <n v="93.077207753495102"/>
    <n v="234.85968807843457"/>
    <n v="0"/>
    <n v="40875.021040000007"/>
    <n v="170538.20524000001"/>
    <n v="0"/>
    <n v="53389.458676235809"/>
    <n v="134716.45652054239"/>
  </r>
  <r>
    <s v="Sistema de Compensação"/>
    <x v="0"/>
    <x v="2"/>
    <x v="3"/>
    <x v="1"/>
    <x v="0"/>
    <x v="0"/>
    <x v="0"/>
    <x v="6"/>
    <n v="0"/>
    <n v="0"/>
    <n v="52.064"/>
    <n v="52.064"/>
    <n v="52.064"/>
    <n v="52.064"/>
    <n v="0"/>
    <x v="0"/>
    <n v="0"/>
    <n v="0"/>
    <n v="17"/>
    <n v="78"/>
    <n v="0"/>
    <n v="71.260000000000005"/>
    <n v="297.31"/>
    <m/>
    <n v="93.077207753495102"/>
    <n v="234.85968807843457"/>
    <n v="0"/>
    <n v="3710.0806400000001"/>
    <n v="15479.14784"/>
    <n v="0"/>
    <n v="4845.971744477969"/>
    <n v="12227.734800115617"/>
  </r>
  <r>
    <s v="Regular"/>
    <x v="0"/>
    <x v="2"/>
    <x v="3"/>
    <x v="1"/>
    <x v="0"/>
    <x v="0"/>
    <x v="0"/>
    <x v="7"/>
    <n v="0"/>
    <n v="0"/>
    <n v="334.14800000000002"/>
    <n v="334.14800000000002"/>
    <n v="334.14800000000002"/>
    <n v="334.14800000000002"/>
    <n v="0"/>
    <x v="0"/>
    <n v="0"/>
    <n v="0"/>
    <n v="17"/>
    <n v="78"/>
    <n v="0"/>
    <n v="71.260000000000005"/>
    <n v="297.31"/>
    <m/>
    <n v="93.077207753495102"/>
    <n v="234.85968807843457"/>
    <n v="0"/>
    <n v="23811.386480000005"/>
    <n v="99345.541880000004"/>
    <n v="0"/>
    <n v="31101.562816414884"/>
    <n v="78477.895052032763"/>
  </r>
  <r>
    <s v="Sistema de Compensação"/>
    <x v="0"/>
    <x v="2"/>
    <x v="3"/>
    <x v="1"/>
    <x v="0"/>
    <x v="0"/>
    <x v="0"/>
    <x v="7"/>
    <n v="0"/>
    <n v="0"/>
    <n v="84.363"/>
    <n v="84.363"/>
    <n v="84.363"/>
    <n v="84.363"/>
    <n v="0"/>
    <x v="0"/>
    <n v="0"/>
    <n v="0"/>
    <n v="17"/>
    <n v="78"/>
    <n v="0"/>
    <n v="71.260000000000005"/>
    <n v="297.31"/>
    <m/>
    <n v="93.077207753495102"/>
    <n v="234.85968807843457"/>
    <n v="0"/>
    <n v="6011.7073800000007"/>
    <n v="25081.963530000001"/>
    <n v="0"/>
    <n v="7852.2724777081075"/>
    <n v="19813.467865360977"/>
  </r>
  <r>
    <s v="Regular"/>
    <x v="0"/>
    <x v="2"/>
    <x v="3"/>
    <x v="1"/>
    <x v="0"/>
    <x v="0"/>
    <x v="0"/>
    <x v="8"/>
    <n v="0"/>
    <n v="0"/>
    <n v="376.52600000000001"/>
    <n v="376.52600000000001"/>
    <n v="376.52600000000001"/>
    <n v="376.52600000000001"/>
    <n v="0"/>
    <x v="0"/>
    <n v="0"/>
    <n v="0"/>
    <n v="17"/>
    <n v="78"/>
    <n v="0"/>
    <n v="71.260000000000005"/>
    <n v="297.31"/>
    <m/>
    <n v="93.077207753495102"/>
    <n v="234.85968807843457"/>
    <n v="0"/>
    <n v="26831.242760000001"/>
    <n v="111944.94506"/>
    <n v="0"/>
    <n v="35045.988726592499"/>
    <n v="88430.778913420654"/>
  </r>
  <r>
    <s v="Sistema de Compensação"/>
    <x v="0"/>
    <x v="2"/>
    <x v="3"/>
    <x v="1"/>
    <x v="0"/>
    <x v="0"/>
    <x v="0"/>
    <x v="8"/>
    <n v="0"/>
    <n v="0"/>
    <n v="136.93700000000001"/>
    <n v="136.93700000000001"/>
    <n v="136.93700000000001"/>
    <n v="136.93700000000001"/>
    <n v="0"/>
    <x v="0"/>
    <n v="0"/>
    <n v="0"/>
    <n v="17"/>
    <n v="78"/>
    <n v="0"/>
    <n v="71.260000000000005"/>
    <n v="297.31"/>
    <m/>
    <n v="93.077207753495102"/>
    <n v="234.85968807843457"/>
    <n v="0"/>
    <n v="9758.1306200000017"/>
    <n v="40712.73947"/>
    <n v="0"/>
    <n v="12745.713598140361"/>
    <n v="32160.981106396597"/>
  </r>
  <r>
    <s v="Regular"/>
    <x v="0"/>
    <x v="2"/>
    <x v="3"/>
    <x v="1"/>
    <x v="0"/>
    <x v="0"/>
    <x v="0"/>
    <x v="9"/>
    <n v="0"/>
    <n v="0"/>
    <n v="311.97199999999998"/>
    <n v="311.97199999999998"/>
    <n v="311.97199999999998"/>
    <n v="311.97199999999998"/>
    <n v="0"/>
    <x v="0"/>
    <n v="0"/>
    <n v="0"/>
    <n v="17"/>
    <n v="78"/>
    <n v="0"/>
    <n v="71.260000000000005"/>
    <n v="297.31"/>
    <m/>
    <n v="93.077207753495102"/>
    <n v="234.85968807843457"/>
    <n v="0"/>
    <n v="22231.12472"/>
    <n v="92752.395319999996"/>
    <n v="0"/>
    <n v="29037.482657273373"/>
    <n v="73269.646609205389"/>
  </r>
  <r>
    <s v="Sistema de Compensação"/>
    <x v="0"/>
    <x v="2"/>
    <x v="3"/>
    <x v="1"/>
    <x v="0"/>
    <x v="0"/>
    <x v="0"/>
    <x v="9"/>
    <n v="0"/>
    <n v="0"/>
    <n v="86.587999999999994"/>
    <n v="86.587999999999994"/>
    <n v="86.587999999999994"/>
    <n v="86.587999999999994"/>
    <n v="0"/>
    <x v="0"/>
    <n v="0"/>
    <n v="0"/>
    <n v="17"/>
    <n v="78"/>
    <n v="0"/>
    <n v="71.260000000000005"/>
    <n v="297.31"/>
    <m/>
    <n v="93.077207753495102"/>
    <n v="234.85968807843457"/>
    <n v="0"/>
    <n v="6170.2608799999998"/>
    <n v="25743.478279999999"/>
    <n v="0"/>
    <n v="8059.3692649596333"/>
    <n v="20336.030671335491"/>
  </r>
  <r>
    <s v="Regular"/>
    <x v="0"/>
    <x v="2"/>
    <x v="3"/>
    <x v="1"/>
    <x v="0"/>
    <x v="0"/>
    <x v="0"/>
    <x v="10"/>
    <n v="0"/>
    <n v="0"/>
    <n v="344.964"/>
    <n v="344.964"/>
    <n v="344.964"/>
    <n v="344.964"/>
    <n v="0"/>
    <x v="0"/>
    <n v="0"/>
    <n v="0"/>
    <n v="17"/>
    <n v="78"/>
    <n v="0"/>
    <n v="71.260000000000005"/>
    <n v="297.31"/>
    <m/>
    <n v="93.077207753495102"/>
    <n v="234.85968807843457"/>
    <n v="0"/>
    <n v="24582.13464"/>
    <n v="102561.24684000001"/>
    <n v="0"/>
    <n v="32108.285895476685"/>
    <n v="81018.137438289108"/>
  </r>
  <r>
    <s v="Sistema de Compensação"/>
    <x v="0"/>
    <x v="2"/>
    <x v="3"/>
    <x v="1"/>
    <x v="0"/>
    <x v="0"/>
    <x v="0"/>
    <x v="10"/>
    <n v="0"/>
    <n v="0"/>
    <n v="121.572"/>
    <n v="121.572"/>
    <n v="121.572"/>
    <n v="121.572"/>
    <n v="0"/>
    <x v="0"/>
    <n v="0"/>
    <n v="0"/>
    <n v="17"/>
    <n v="78"/>
    <n v="0"/>
    <n v="71.260000000000005"/>
    <n v="297.31"/>
    <m/>
    <n v="93.077207753495102"/>
    <n v="234.85968807843457"/>
    <n v="0"/>
    <n v="8663.2207200000012"/>
    <n v="36144.571320000003"/>
    <n v="0"/>
    <n v="11315.582301007908"/>
    <n v="28552.361999071447"/>
  </r>
  <r>
    <s v="PROJETADO"/>
    <x v="0"/>
    <x v="2"/>
    <x v="3"/>
    <x v="1"/>
    <x v="0"/>
    <x v="0"/>
    <x v="0"/>
    <x v="11"/>
    <n v="0"/>
    <n v="0"/>
    <n v="344.964"/>
    <n v="344.964"/>
    <n v="344.964"/>
    <n v="344.964"/>
    <n v="0"/>
    <x v="0"/>
    <n v="0"/>
    <n v="0"/>
    <n v="17"/>
    <n v="78"/>
    <n v="0"/>
    <n v="71.260000000000005"/>
    <n v="297.31"/>
    <m/>
    <n v="93.077207753495102"/>
    <n v="234.85968807843457"/>
    <n v="0"/>
    <n v="24582.13464"/>
    <n v="102561.24684000001"/>
    <n v="0"/>
    <n v="32108.285895476685"/>
    <n v="81018.137438289108"/>
  </r>
  <r>
    <s v="PROJETADO"/>
    <x v="0"/>
    <x v="2"/>
    <x v="3"/>
    <x v="1"/>
    <x v="0"/>
    <x v="0"/>
    <x v="0"/>
    <x v="11"/>
    <n v="0"/>
    <n v="0"/>
    <n v="121.572"/>
    <n v="121.572"/>
    <n v="121.572"/>
    <n v="121.572"/>
    <n v="0"/>
    <x v="0"/>
    <n v="0"/>
    <n v="0"/>
    <n v="17"/>
    <n v="78"/>
    <n v="0"/>
    <n v="71.260000000000005"/>
    <n v="297.31"/>
    <m/>
    <n v="93.077207753495102"/>
    <n v="234.85968807843457"/>
    <n v="0"/>
    <n v="8663.2207200000012"/>
    <n v="36144.571320000003"/>
    <n v="0"/>
    <n v="11315.582301007908"/>
    <n v="28552.361999071447"/>
  </r>
  <r>
    <s v="Regular"/>
    <x v="0"/>
    <x v="2"/>
    <x v="3"/>
    <x v="1"/>
    <x v="0"/>
    <x v="0"/>
    <x v="2"/>
    <x v="0"/>
    <n v="4762"/>
    <n v="4762"/>
    <n v="0"/>
    <n v="0"/>
    <n v="0"/>
    <n v="0"/>
    <n v="28"/>
    <x v="0"/>
    <n v="0"/>
    <n v="19"/>
    <n v="0"/>
    <n v="0"/>
    <n v="16.29"/>
    <n v="0"/>
    <n v="0"/>
    <n v="21.112041496375397"/>
    <m/>
    <m/>
    <n v="77572.98"/>
    <n v="0"/>
    <n v="0"/>
    <n v="100535.54160573964"/>
    <n v="0"/>
    <n v="0"/>
  </r>
  <r>
    <s v="Sistema de Compensação"/>
    <x v="0"/>
    <x v="2"/>
    <x v="3"/>
    <x v="1"/>
    <x v="0"/>
    <x v="0"/>
    <x v="2"/>
    <x v="0"/>
    <n v="847"/>
    <n v="847"/>
    <n v="0"/>
    <n v="0"/>
    <n v="0"/>
    <n v="0"/>
    <n v="7"/>
    <x v="0"/>
    <n v="0"/>
    <n v="19"/>
    <n v="0"/>
    <n v="0"/>
    <n v="16.29"/>
    <n v="0"/>
    <n v="0"/>
    <n v="21.112041496375397"/>
    <m/>
    <m/>
    <n v="13797.63"/>
    <n v="0"/>
    <n v="0"/>
    <n v="17881.899147429962"/>
    <n v="0"/>
    <n v="0"/>
  </r>
  <r>
    <s v="Regular"/>
    <x v="0"/>
    <x v="2"/>
    <x v="3"/>
    <x v="1"/>
    <x v="0"/>
    <x v="0"/>
    <x v="2"/>
    <x v="1"/>
    <n v="4340"/>
    <n v="4340"/>
    <n v="0"/>
    <n v="0"/>
    <n v="0"/>
    <n v="0"/>
    <n v="27"/>
    <x v="0"/>
    <n v="0"/>
    <n v="19"/>
    <n v="0"/>
    <n v="0"/>
    <n v="16.29"/>
    <n v="0"/>
    <n v="0"/>
    <n v="21.112041496375397"/>
    <m/>
    <m/>
    <n v="70698.599999999991"/>
    <n v="0"/>
    <n v="0"/>
    <n v="91626.260094269222"/>
    <n v="0"/>
    <n v="0"/>
  </r>
  <r>
    <s v="Sistema de Compensação"/>
    <x v="0"/>
    <x v="2"/>
    <x v="3"/>
    <x v="1"/>
    <x v="0"/>
    <x v="0"/>
    <x v="2"/>
    <x v="1"/>
    <n v="824"/>
    <n v="824"/>
    <n v="0"/>
    <n v="0"/>
    <n v="0"/>
    <n v="0"/>
    <n v="7"/>
    <x v="0"/>
    <n v="0"/>
    <n v="19"/>
    <n v="0"/>
    <n v="0"/>
    <n v="16.29"/>
    <n v="0"/>
    <n v="0"/>
    <n v="21.112041496375397"/>
    <m/>
    <m/>
    <n v="13422.96"/>
    <n v="0"/>
    <n v="0"/>
    <n v="17396.322193013326"/>
    <n v="0"/>
    <n v="0"/>
  </r>
  <r>
    <s v="Regular"/>
    <x v="0"/>
    <x v="2"/>
    <x v="3"/>
    <x v="1"/>
    <x v="0"/>
    <x v="0"/>
    <x v="2"/>
    <x v="2"/>
    <n v="4325"/>
    <n v="4325"/>
    <n v="0"/>
    <n v="0"/>
    <n v="0"/>
    <n v="0"/>
    <n v="27"/>
    <x v="0"/>
    <n v="0"/>
    <n v="19"/>
    <n v="0"/>
    <n v="0"/>
    <n v="16.29"/>
    <n v="0"/>
    <n v="0"/>
    <n v="21.112041496375397"/>
    <m/>
    <m/>
    <n v="70454.25"/>
    <n v="0"/>
    <n v="0"/>
    <n v="91309.579471823599"/>
    <n v="0"/>
    <n v="0"/>
  </r>
  <r>
    <s v="Sistema de Compensação"/>
    <x v="0"/>
    <x v="2"/>
    <x v="3"/>
    <x v="1"/>
    <x v="0"/>
    <x v="0"/>
    <x v="2"/>
    <x v="2"/>
    <n v="844"/>
    <n v="844"/>
    <n v="0"/>
    <n v="0"/>
    <n v="0"/>
    <n v="0"/>
    <n v="7"/>
    <x v="0"/>
    <n v="0"/>
    <n v="19"/>
    <n v="0"/>
    <n v="0"/>
    <n v="16.29"/>
    <n v="0"/>
    <n v="0"/>
    <n v="21.112041496375397"/>
    <m/>
    <m/>
    <n v="13748.759999999998"/>
    <n v="0"/>
    <n v="0"/>
    <n v="17818.563022940834"/>
    <n v="0"/>
    <n v="0"/>
  </r>
  <r>
    <s v="Regular"/>
    <x v="0"/>
    <x v="2"/>
    <x v="3"/>
    <x v="1"/>
    <x v="0"/>
    <x v="0"/>
    <x v="2"/>
    <x v="3"/>
    <n v="4335"/>
    <n v="4335"/>
    <n v="0"/>
    <n v="0"/>
    <n v="0"/>
    <n v="0"/>
    <n v="27"/>
    <x v="0"/>
    <n v="0"/>
    <n v="19"/>
    <n v="0"/>
    <n v="0"/>
    <n v="16.29"/>
    <n v="0"/>
    <n v="0"/>
    <n v="21.112041496375397"/>
    <m/>
    <m/>
    <n v="70617.149999999994"/>
    <n v="0"/>
    <n v="0"/>
    <n v="91520.699886787348"/>
    <n v="0"/>
    <n v="0"/>
  </r>
  <r>
    <s v="Sistema de Compensação"/>
    <x v="0"/>
    <x v="2"/>
    <x v="3"/>
    <x v="1"/>
    <x v="0"/>
    <x v="0"/>
    <x v="2"/>
    <x v="3"/>
    <n v="822"/>
    <n v="822"/>
    <n v="0"/>
    <n v="0"/>
    <n v="0"/>
    <n v="0"/>
    <n v="7"/>
    <x v="0"/>
    <n v="0"/>
    <n v="19"/>
    <n v="0"/>
    <n v="0"/>
    <n v="16.29"/>
    <n v="0"/>
    <n v="0"/>
    <n v="21.112041496375397"/>
    <m/>
    <m/>
    <n v="13390.38"/>
    <n v="0"/>
    <n v="0"/>
    <n v="17354.098110020575"/>
    <n v="0"/>
    <n v="0"/>
  </r>
  <r>
    <s v="Regular"/>
    <x v="0"/>
    <x v="2"/>
    <x v="3"/>
    <x v="1"/>
    <x v="0"/>
    <x v="0"/>
    <x v="2"/>
    <x v="4"/>
    <n v="3855"/>
    <n v="3855"/>
    <n v="0"/>
    <n v="0"/>
    <n v="0"/>
    <n v="0"/>
    <n v="25"/>
    <x v="0"/>
    <n v="0"/>
    <n v="19"/>
    <n v="0"/>
    <n v="0"/>
    <n v="16.29"/>
    <n v="0"/>
    <n v="0"/>
    <n v="21.112041496375397"/>
    <m/>
    <m/>
    <n v="62797.95"/>
    <n v="0"/>
    <n v="0"/>
    <n v="81386.91996852716"/>
    <n v="0"/>
    <n v="0"/>
  </r>
  <r>
    <s v="Sistema de Compensação"/>
    <x v="0"/>
    <x v="2"/>
    <x v="3"/>
    <x v="1"/>
    <x v="0"/>
    <x v="0"/>
    <x v="2"/>
    <x v="4"/>
    <n v="1074"/>
    <n v="1074"/>
    <n v="0"/>
    <n v="0"/>
    <n v="0"/>
    <n v="0"/>
    <n v="8"/>
    <x v="0"/>
    <n v="0"/>
    <n v="19"/>
    <n v="0"/>
    <n v="0"/>
    <n v="16.29"/>
    <n v="0"/>
    <n v="0"/>
    <n v="21.112041496375397"/>
    <m/>
    <m/>
    <n v="17495.46"/>
    <n v="0"/>
    <n v="0"/>
    <n v="22674.332567107176"/>
    <n v="0"/>
    <n v="0"/>
  </r>
  <r>
    <s v="Regular"/>
    <x v="0"/>
    <x v="2"/>
    <x v="3"/>
    <x v="1"/>
    <x v="0"/>
    <x v="0"/>
    <x v="2"/>
    <x v="5"/>
    <n v="3815"/>
    <n v="3815"/>
    <n v="0"/>
    <n v="0"/>
    <n v="0"/>
    <n v="0"/>
    <n v="24"/>
    <x v="0"/>
    <n v="0"/>
    <n v="19"/>
    <n v="0"/>
    <n v="0"/>
    <n v="16.29"/>
    <n v="0"/>
    <n v="0"/>
    <n v="21.112041496375397"/>
    <m/>
    <m/>
    <n v="62146.35"/>
    <n v="0"/>
    <n v="0"/>
    <n v="80542.438308672135"/>
    <n v="0"/>
    <n v="0"/>
  </r>
  <r>
    <s v="Sistema de Compensação"/>
    <x v="0"/>
    <x v="2"/>
    <x v="3"/>
    <x v="1"/>
    <x v="0"/>
    <x v="0"/>
    <x v="2"/>
    <x v="5"/>
    <n v="1199"/>
    <n v="1199"/>
    <n v="0"/>
    <n v="0"/>
    <n v="0"/>
    <n v="0"/>
    <n v="9"/>
    <x v="0"/>
    <n v="0"/>
    <n v="19"/>
    <n v="0"/>
    <n v="0"/>
    <n v="16.29"/>
    <n v="0"/>
    <n v="0"/>
    <n v="21.112041496375397"/>
    <m/>
    <m/>
    <n v="19531.71"/>
    <n v="0"/>
    <n v="0"/>
    <n v="25313.337754154101"/>
    <n v="0"/>
    <n v="0"/>
  </r>
  <r>
    <s v="Regular"/>
    <x v="0"/>
    <x v="2"/>
    <x v="3"/>
    <x v="1"/>
    <x v="0"/>
    <x v="0"/>
    <x v="2"/>
    <x v="6"/>
    <n v="3690"/>
    <n v="3690"/>
    <n v="0"/>
    <n v="0"/>
    <n v="0"/>
    <n v="0"/>
    <n v="24"/>
    <x v="0"/>
    <n v="0"/>
    <n v="19"/>
    <n v="0"/>
    <n v="0"/>
    <n v="16.29"/>
    <n v="0"/>
    <n v="0"/>
    <n v="21.112041496375397"/>
    <m/>
    <m/>
    <n v="60110.1"/>
    <n v="0"/>
    <n v="0"/>
    <n v="77903.433121625218"/>
    <n v="0"/>
    <n v="0"/>
  </r>
  <r>
    <s v="Sistema de Compensação"/>
    <x v="0"/>
    <x v="2"/>
    <x v="3"/>
    <x v="1"/>
    <x v="0"/>
    <x v="0"/>
    <x v="2"/>
    <x v="6"/>
    <n v="1139"/>
    <n v="1139"/>
    <n v="0"/>
    <n v="0"/>
    <n v="0"/>
    <n v="0"/>
    <n v="9"/>
    <x v="0"/>
    <n v="0"/>
    <n v="19"/>
    <n v="0"/>
    <n v="0"/>
    <n v="16.29"/>
    <n v="0"/>
    <n v="0"/>
    <n v="21.112041496375397"/>
    <m/>
    <m/>
    <n v="18554.309999999998"/>
    <n v="0"/>
    <n v="0"/>
    <n v="24046.615264371576"/>
    <n v="0"/>
    <n v="0"/>
  </r>
  <r>
    <s v="Regular"/>
    <x v="0"/>
    <x v="2"/>
    <x v="3"/>
    <x v="1"/>
    <x v="0"/>
    <x v="0"/>
    <x v="2"/>
    <x v="7"/>
    <n v="2915"/>
    <n v="2915"/>
    <n v="0"/>
    <n v="0"/>
    <n v="0"/>
    <n v="0"/>
    <n v="23"/>
    <x v="0"/>
    <n v="0"/>
    <n v="19"/>
    <n v="0"/>
    <n v="0"/>
    <n v="16.29"/>
    <n v="0"/>
    <n v="0"/>
    <n v="21.112041496375397"/>
    <m/>
    <m/>
    <n v="47485.35"/>
    <n v="0"/>
    <n v="0"/>
    <n v="61541.60096193428"/>
    <n v="0"/>
    <n v="0"/>
  </r>
  <r>
    <s v="Sistema de Compensação"/>
    <x v="0"/>
    <x v="2"/>
    <x v="3"/>
    <x v="1"/>
    <x v="0"/>
    <x v="0"/>
    <x v="2"/>
    <x v="7"/>
    <n v="1169"/>
    <n v="1169"/>
    <n v="0"/>
    <n v="0"/>
    <n v="0"/>
    <n v="0"/>
    <n v="9"/>
    <x v="0"/>
    <n v="0"/>
    <n v="19"/>
    <n v="0"/>
    <n v="0"/>
    <n v="16.29"/>
    <n v="0"/>
    <n v="0"/>
    <n v="21.112041496375397"/>
    <m/>
    <m/>
    <n v="19043.009999999998"/>
    <n v="0"/>
    <n v="0"/>
    <n v="24679.97650926284"/>
    <n v="0"/>
    <n v="0"/>
  </r>
  <r>
    <s v="Regular"/>
    <x v="0"/>
    <x v="2"/>
    <x v="3"/>
    <x v="1"/>
    <x v="0"/>
    <x v="0"/>
    <x v="2"/>
    <x v="8"/>
    <n v="2821"/>
    <n v="2821"/>
    <n v="0"/>
    <n v="0"/>
    <n v="0"/>
    <n v="0"/>
    <n v="23"/>
    <x v="0"/>
    <n v="0"/>
    <n v="19"/>
    <n v="0"/>
    <n v="0"/>
    <n v="16.29"/>
    <n v="0"/>
    <n v="0"/>
    <n v="21.112041496375397"/>
    <m/>
    <m/>
    <n v="45954.09"/>
    <n v="0"/>
    <n v="0"/>
    <n v="59557.069061274997"/>
    <n v="0"/>
    <n v="0"/>
  </r>
  <r>
    <s v="Sistema de Compensação"/>
    <x v="0"/>
    <x v="2"/>
    <x v="3"/>
    <x v="1"/>
    <x v="0"/>
    <x v="0"/>
    <x v="2"/>
    <x v="8"/>
    <n v="1283"/>
    <n v="1283"/>
    <n v="0"/>
    <n v="0"/>
    <n v="0"/>
    <n v="0"/>
    <n v="10"/>
    <x v="0"/>
    <n v="0"/>
    <n v="19"/>
    <n v="0"/>
    <n v="0"/>
    <n v="16.29"/>
    <n v="0"/>
    <n v="0"/>
    <n v="21.112041496375397"/>
    <m/>
    <m/>
    <n v="20900.07"/>
    <n v="0"/>
    <n v="0"/>
    <n v="27086.749239849636"/>
    <n v="0"/>
    <n v="0"/>
  </r>
  <r>
    <s v="Regular"/>
    <x v="0"/>
    <x v="2"/>
    <x v="3"/>
    <x v="1"/>
    <x v="0"/>
    <x v="0"/>
    <x v="2"/>
    <x v="9"/>
    <n v="3132"/>
    <n v="3132"/>
    <n v="0"/>
    <n v="0"/>
    <n v="0"/>
    <n v="0"/>
    <n v="23"/>
    <x v="0"/>
    <n v="0"/>
    <n v="19"/>
    <n v="0"/>
    <n v="0"/>
    <n v="16.29"/>
    <n v="0"/>
    <n v="0"/>
    <n v="21.112041496375397"/>
    <m/>
    <m/>
    <n v="51020.28"/>
    <n v="0"/>
    <n v="0"/>
    <n v="66122.913966647742"/>
    <n v="0"/>
    <n v="0"/>
  </r>
  <r>
    <s v="Sistema de Compensação"/>
    <x v="0"/>
    <x v="2"/>
    <x v="3"/>
    <x v="1"/>
    <x v="0"/>
    <x v="0"/>
    <x v="2"/>
    <x v="9"/>
    <n v="1318"/>
    <n v="1318"/>
    <n v="0"/>
    <n v="0"/>
    <n v="0"/>
    <n v="0"/>
    <n v="10"/>
    <x v="0"/>
    <n v="0"/>
    <n v="19"/>
    <n v="0"/>
    <n v="0"/>
    <n v="16.29"/>
    <n v="0"/>
    <n v="0"/>
    <n v="21.112041496375397"/>
    <m/>
    <m/>
    <n v="21470.219999999998"/>
    <n v="0"/>
    <n v="0"/>
    <n v="27825.670692222775"/>
    <n v="0"/>
    <n v="0"/>
  </r>
  <r>
    <s v="Regular"/>
    <x v="0"/>
    <x v="2"/>
    <x v="3"/>
    <x v="1"/>
    <x v="0"/>
    <x v="0"/>
    <x v="2"/>
    <x v="10"/>
    <n v="3043"/>
    <n v="3043"/>
    <n v="0"/>
    <n v="0"/>
    <n v="0"/>
    <n v="0"/>
    <n v="22"/>
    <x v="0"/>
    <n v="0"/>
    <n v="19"/>
    <n v="0"/>
    <n v="0"/>
    <n v="16.29"/>
    <n v="0"/>
    <n v="0"/>
    <n v="21.112041496375397"/>
    <m/>
    <m/>
    <n v="49570.469999999994"/>
    <n v="0"/>
    <n v="0"/>
    <n v="64243.942273470333"/>
    <n v="0"/>
    <n v="0"/>
  </r>
  <r>
    <s v="Sistema de Compensação"/>
    <x v="0"/>
    <x v="2"/>
    <x v="3"/>
    <x v="1"/>
    <x v="0"/>
    <x v="0"/>
    <x v="2"/>
    <x v="10"/>
    <n v="1372"/>
    <n v="1372"/>
    <n v="0"/>
    <n v="0"/>
    <n v="0"/>
    <n v="0"/>
    <n v="11"/>
    <x v="0"/>
    <n v="0"/>
    <n v="19"/>
    <n v="0"/>
    <n v="0"/>
    <n v="16.29"/>
    <n v="0"/>
    <n v="0"/>
    <n v="21.112041496375397"/>
    <m/>
    <m/>
    <n v="22349.879999999997"/>
    <n v="0"/>
    <n v="0"/>
    <n v="28965.720933027045"/>
    <n v="0"/>
    <n v="0"/>
  </r>
  <r>
    <s v="PROJETADO"/>
    <x v="0"/>
    <x v="2"/>
    <x v="3"/>
    <x v="1"/>
    <x v="0"/>
    <x v="0"/>
    <x v="2"/>
    <x v="11"/>
    <n v="3043"/>
    <n v="3043"/>
    <n v="0"/>
    <n v="0"/>
    <n v="0"/>
    <n v="0"/>
    <n v="22"/>
    <x v="0"/>
    <n v="0"/>
    <n v="19"/>
    <n v="0"/>
    <n v="0"/>
    <n v="16.29"/>
    <n v="0"/>
    <n v="0"/>
    <n v="21.112041496375397"/>
    <m/>
    <m/>
    <n v="49570.469999999994"/>
    <n v="0"/>
    <n v="0"/>
    <n v="64243.942273470333"/>
    <n v="0"/>
    <n v="0"/>
  </r>
  <r>
    <s v="PROJETADO"/>
    <x v="0"/>
    <x v="2"/>
    <x v="3"/>
    <x v="1"/>
    <x v="0"/>
    <x v="0"/>
    <x v="2"/>
    <x v="11"/>
    <n v="1372"/>
    <n v="1372"/>
    <n v="0"/>
    <n v="0"/>
    <n v="0"/>
    <n v="0"/>
    <n v="11"/>
    <x v="0"/>
    <n v="0"/>
    <n v="19"/>
    <n v="0"/>
    <n v="0"/>
    <n v="16.29"/>
    <n v="0"/>
    <n v="0"/>
    <n v="21.112041496375397"/>
    <m/>
    <m/>
    <n v="22349.879999999997"/>
    <n v="0"/>
    <n v="0"/>
    <n v="28965.720933027045"/>
    <n v="0"/>
    <n v="0"/>
  </r>
  <r>
    <s v="Regular"/>
    <x v="0"/>
    <x v="2"/>
    <x v="3"/>
    <x v="1"/>
    <x v="0"/>
    <x v="0"/>
    <x v="1"/>
    <x v="0"/>
    <n v="0"/>
    <n v="0"/>
    <n v="71.120999999999995"/>
    <n v="71.120999999999995"/>
    <n v="71.120999999999995"/>
    <n v="71.120999999999995"/>
    <n v="0"/>
    <x v="0"/>
    <n v="0"/>
    <n v="0"/>
    <n v="21"/>
    <n v="66"/>
    <n v="0"/>
    <n v="596.78"/>
    <n v="503.82"/>
    <m/>
    <n v="622.21351227415789"/>
    <n v="397.1970744485763"/>
    <n v="0"/>
    <n v="42443.590379999994"/>
    <n v="35832.182219999995"/>
    <n v="0"/>
    <n v="44252.447206450379"/>
    <n v="28249.053131857192"/>
  </r>
  <r>
    <s v="Sistema de Compensação"/>
    <x v="0"/>
    <x v="2"/>
    <x v="3"/>
    <x v="1"/>
    <x v="0"/>
    <x v="0"/>
    <x v="1"/>
    <x v="0"/>
    <n v="0"/>
    <n v="0"/>
    <n v="9.6219999999999999"/>
    <n v="9.6219999999999999"/>
    <n v="9.6219999999999999"/>
    <n v="9.6219999999999999"/>
    <n v="0"/>
    <x v="0"/>
    <n v="0"/>
    <n v="0"/>
    <n v="21"/>
    <n v="66"/>
    <n v="0"/>
    <n v="596.78"/>
    <n v="503.82"/>
    <m/>
    <n v="622.21351227415789"/>
    <n v="397.1970744485763"/>
    <n v="0"/>
    <n v="5742.2171599999992"/>
    <n v="4847.7560400000002"/>
    <n v="0"/>
    <n v="5986.9384151019476"/>
    <n v="3821.830250344201"/>
  </r>
  <r>
    <s v="Regular"/>
    <x v="0"/>
    <x v="2"/>
    <x v="3"/>
    <x v="1"/>
    <x v="0"/>
    <x v="0"/>
    <x v="1"/>
    <x v="1"/>
    <n v="0"/>
    <n v="0"/>
    <n v="65.450999999999993"/>
    <n v="65.450999999999993"/>
    <n v="65.450999999999993"/>
    <n v="65.450999999999993"/>
    <n v="0"/>
    <x v="0"/>
    <n v="0"/>
    <n v="0"/>
    <n v="21"/>
    <n v="66"/>
    <n v="0"/>
    <n v="596.78"/>
    <n v="503.82"/>
    <m/>
    <n v="622.21351227415789"/>
    <n v="397.1970744485763"/>
    <n v="0"/>
    <n v="39059.847779999996"/>
    <n v="32975.522819999998"/>
    <n v="0"/>
    <n v="40724.496591855903"/>
    <n v="25996.945719733765"/>
  </r>
  <r>
    <s v="Sistema de Compensação"/>
    <x v="0"/>
    <x v="2"/>
    <x v="3"/>
    <x v="1"/>
    <x v="0"/>
    <x v="0"/>
    <x v="1"/>
    <x v="1"/>
    <n v="0"/>
    <n v="0"/>
    <n v="6.7549999999999999"/>
    <n v="6.7549999999999999"/>
    <n v="6.7549999999999999"/>
    <n v="6.7549999999999999"/>
    <n v="0"/>
    <x v="0"/>
    <n v="0"/>
    <n v="0"/>
    <n v="21"/>
    <n v="66"/>
    <n v="0"/>
    <n v="596.78"/>
    <n v="503.82"/>
    <m/>
    <n v="622.21351227415789"/>
    <n v="397.1970744485763"/>
    <n v="0"/>
    <n v="4031.2488999999996"/>
    <n v="3403.3040999999998"/>
    <n v="0"/>
    <n v="4203.0522754119365"/>
    <n v="2683.0662379001328"/>
  </r>
  <r>
    <s v="Regular"/>
    <x v="0"/>
    <x v="2"/>
    <x v="3"/>
    <x v="1"/>
    <x v="0"/>
    <x v="0"/>
    <x v="1"/>
    <x v="2"/>
    <n v="0"/>
    <n v="0"/>
    <n v="65.378"/>
    <n v="65.378"/>
    <n v="65.378"/>
    <n v="65.378"/>
    <n v="0"/>
    <x v="0"/>
    <n v="0"/>
    <n v="0"/>
    <n v="21"/>
    <n v="66"/>
    <n v="0"/>
    <n v="596.78"/>
    <n v="503.82"/>
    <m/>
    <n v="622.21351227415789"/>
    <n v="397.1970744485763"/>
    <n v="0"/>
    <n v="39016.28284"/>
    <n v="32938.74396"/>
    <n v="0"/>
    <n v="40679.075005459898"/>
    <n v="25967.950333299021"/>
  </r>
  <r>
    <s v="Sistema de Compensação"/>
    <x v="0"/>
    <x v="2"/>
    <x v="3"/>
    <x v="1"/>
    <x v="0"/>
    <x v="0"/>
    <x v="1"/>
    <x v="2"/>
    <n v="0"/>
    <n v="0"/>
    <n v="4.8810000000000002"/>
    <n v="4.8810000000000002"/>
    <n v="4.8810000000000002"/>
    <n v="4.8810000000000002"/>
    <n v="0"/>
    <x v="0"/>
    <n v="0"/>
    <n v="0"/>
    <n v="21"/>
    <n v="66"/>
    <n v="0"/>
    <n v="596.78"/>
    <n v="503.82"/>
    <m/>
    <n v="622.21351227415789"/>
    <n v="397.1970744485763"/>
    <n v="0"/>
    <n v="2912.8831799999998"/>
    <n v="2459.1454200000003"/>
    <n v="0"/>
    <n v="3037.0241534101647"/>
    <n v="1938.718920383501"/>
  </r>
  <r>
    <s v="Regular"/>
    <x v="0"/>
    <x v="2"/>
    <x v="3"/>
    <x v="1"/>
    <x v="0"/>
    <x v="0"/>
    <x v="1"/>
    <x v="3"/>
    <n v="0"/>
    <n v="0"/>
    <n v="65.012"/>
    <n v="65.012"/>
    <n v="65.012"/>
    <n v="65.012"/>
    <n v="0"/>
    <x v="0"/>
    <n v="0"/>
    <n v="0"/>
    <n v="21"/>
    <n v="66"/>
    <n v="0"/>
    <n v="596.78"/>
    <n v="503.82"/>
    <m/>
    <n v="622.21351227415789"/>
    <n v="397.1970744485763"/>
    <n v="0"/>
    <n v="38797.861359999995"/>
    <n v="32754.345839999998"/>
    <n v="0"/>
    <n v="40451.344859967554"/>
    <n v="25822.576204050842"/>
  </r>
  <r>
    <s v="Sistema de Compensação"/>
    <x v="0"/>
    <x v="2"/>
    <x v="3"/>
    <x v="1"/>
    <x v="0"/>
    <x v="0"/>
    <x v="1"/>
    <x v="3"/>
    <n v="0"/>
    <n v="0"/>
    <n v="2.9849999999999999"/>
    <n v="2.9849999999999999"/>
    <n v="2.9849999999999999"/>
    <n v="2.9849999999999999"/>
    <n v="0"/>
    <x v="0"/>
    <n v="0"/>
    <n v="0"/>
    <n v="21"/>
    <n v="66"/>
    <n v="0"/>
    <n v="596.78"/>
    <n v="503.82"/>
    <m/>
    <n v="622.21351227415789"/>
    <n v="397.1970744485763"/>
    <n v="0"/>
    <n v="1781.3882999999998"/>
    <n v="1503.9026999999999"/>
    <n v="0"/>
    <n v="1857.3073341383613"/>
    <n v="1185.6332672290002"/>
  </r>
  <r>
    <s v="Regular"/>
    <x v="0"/>
    <x v="2"/>
    <x v="3"/>
    <x v="1"/>
    <x v="0"/>
    <x v="0"/>
    <x v="1"/>
    <x v="4"/>
    <n v="0"/>
    <n v="0"/>
    <n v="48.618000000000002"/>
    <n v="48.618000000000002"/>
    <n v="48.618000000000002"/>
    <n v="48.618000000000002"/>
    <n v="0"/>
    <x v="0"/>
    <n v="0"/>
    <n v="0"/>
    <n v="21"/>
    <n v="66"/>
    <n v="0"/>
    <n v="596.78"/>
    <n v="503.82"/>
    <m/>
    <n v="622.21351227415789"/>
    <n v="397.1970744485763"/>
    <n v="0"/>
    <n v="29014.250039999999"/>
    <n v="24494.72076"/>
    <n v="0"/>
    <n v="30250.776539745009"/>
    <n v="19310.927365540883"/>
  </r>
  <r>
    <s v="Sistema de Compensação"/>
    <x v="0"/>
    <x v="2"/>
    <x v="3"/>
    <x v="1"/>
    <x v="0"/>
    <x v="0"/>
    <x v="1"/>
    <x v="4"/>
    <n v="0"/>
    <n v="0"/>
    <n v="5.08"/>
    <n v="5.08"/>
    <n v="5.08"/>
    <n v="5.08"/>
    <n v="0"/>
    <x v="0"/>
    <n v="0"/>
    <n v="0"/>
    <n v="21"/>
    <n v="66"/>
    <n v="0"/>
    <n v="596.78"/>
    <n v="503.82"/>
    <m/>
    <n v="622.21351227415789"/>
    <n v="397.1970744485763"/>
    <n v="0"/>
    <n v="3031.6423999999997"/>
    <n v="2559.4056"/>
    <n v="0"/>
    <n v="3160.8446423527221"/>
    <n v="2017.7611381987676"/>
  </r>
  <r>
    <s v="Regular"/>
    <x v="0"/>
    <x v="2"/>
    <x v="3"/>
    <x v="1"/>
    <x v="0"/>
    <x v="0"/>
    <x v="1"/>
    <x v="5"/>
    <n v="0"/>
    <n v="0"/>
    <n v="46.613999999999997"/>
    <n v="46.613999999999997"/>
    <n v="46.613999999999997"/>
    <n v="46.613999999999997"/>
    <n v="0"/>
    <x v="0"/>
    <n v="0"/>
    <n v="0"/>
    <n v="21"/>
    <n v="66"/>
    <n v="0"/>
    <n v="596.78"/>
    <n v="503.82"/>
    <m/>
    <n v="622.21351227415789"/>
    <n v="397.1970744485763"/>
    <n v="0"/>
    <n v="27818.302919999998"/>
    <n v="23485.065479999997"/>
    <n v="0"/>
    <n v="29003.860661147595"/>
    <n v="18514.944428345934"/>
  </r>
  <r>
    <s v="Sistema de Compensação"/>
    <x v="0"/>
    <x v="2"/>
    <x v="3"/>
    <x v="1"/>
    <x v="0"/>
    <x v="0"/>
    <x v="1"/>
    <x v="5"/>
    <n v="0"/>
    <n v="0"/>
    <n v="3.5489999999999999"/>
    <n v="3.5489999999999999"/>
    <n v="3.5489999999999999"/>
    <n v="3.5489999999999999"/>
    <n v="0"/>
    <x v="0"/>
    <n v="0"/>
    <n v="0"/>
    <n v="21"/>
    <n v="66"/>
    <n v="0"/>
    <n v="596.78"/>
    <n v="503.82"/>
    <m/>
    <n v="622.21351227415789"/>
    <n v="397.1970744485763"/>
    <n v="0"/>
    <n v="2117.9722199999997"/>
    <n v="1788.05718"/>
    <n v="0"/>
    <n v="2208.2357550609863"/>
    <n v="1409.6524172179973"/>
  </r>
  <r>
    <s v="Regular"/>
    <x v="0"/>
    <x v="2"/>
    <x v="3"/>
    <x v="1"/>
    <x v="0"/>
    <x v="0"/>
    <x v="1"/>
    <x v="6"/>
    <n v="0"/>
    <n v="0"/>
    <n v="42.738999999999997"/>
    <n v="42.738999999999997"/>
    <n v="42.738999999999997"/>
    <n v="42.738999999999997"/>
    <n v="0"/>
    <x v="0"/>
    <n v="0"/>
    <n v="0"/>
    <n v="21"/>
    <n v="66"/>
    <n v="0"/>
    <n v="596.78"/>
    <n v="503.82"/>
    <m/>
    <n v="622.21351227415789"/>
    <n v="397.1970744485763"/>
    <n v="0"/>
    <n v="25505.780419999996"/>
    <n v="21532.76298"/>
    <n v="0"/>
    <n v="26592.783301085234"/>
    <n v="16975.805764857701"/>
  </r>
  <r>
    <s v="Sistema de Compensação"/>
    <x v="0"/>
    <x v="2"/>
    <x v="3"/>
    <x v="1"/>
    <x v="0"/>
    <x v="0"/>
    <x v="1"/>
    <x v="6"/>
    <n v="0"/>
    <n v="0"/>
    <n v="6.5970000000000004"/>
    <n v="6.5970000000000004"/>
    <n v="6.5970000000000004"/>
    <n v="6.5970000000000004"/>
    <n v="0"/>
    <x v="0"/>
    <n v="0"/>
    <n v="0"/>
    <n v="21"/>
    <n v="66"/>
    <n v="0"/>
    <n v="596.78"/>
    <n v="503.82"/>
    <m/>
    <n v="622.21351227415789"/>
    <n v="397.1970744485763"/>
    <n v="0"/>
    <n v="3936.95766"/>
    <n v="3323.7005400000003"/>
    <n v="0"/>
    <n v="4104.74254047262"/>
    <n v="2620.3091001372582"/>
  </r>
  <r>
    <s v="Regular"/>
    <x v="0"/>
    <x v="2"/>
    <x v="3"/>
    <x v="1"/>
    <x v="0"/>
    <x v="0"/>
    <x v="1"/>
    <x v="7"/>
    <n v="0"/>
    <n v="0"/>
    <n v="21.945"/>
    <n v="21.945"/>
    <n v="21.945"/>
    <n v="21.945"/>
    <n v="0"/>
    <x v="0"/>
    <n v="0"/>
    <n v="0"/>
    <n v="21"/>
    <n v="66"/>
    <n v="0"/>
    <n v="596.78"/>
    <n v="503.82"/>
    <m/>
    <n v="622.21351227415789"/>
    <n v="397.1970744485763"/>
    <n v="0"/>
    <n v="13096.337099999999"/>
    <n v="11056.329900000001"/>
    <n v="0"/>
    <n v="13654.475526856395"/>
    <n v="8716.4897987740078"/>
  </r>
  <r>
    <s v="Sistema de Compensação"/>
    <x v="0"/>
    <x v="2"/>
    <x v="3"/>
    <x v="1"/>
    <x v="0"/>
    <x v="0"/>
    <x v="1"/>
    <x v="7"/>
    <n v="0"/>
    <n v="0"/>
    <n v="5.7320000000000002"/>
    <n v="5.7320000000000002"/>
    <n v="5.7320000000000002"/>
    <n v="5.7320000000000002"/>
    <n v="0"/>
    <x v="0"/>
    <n v="0"/>
    <n v="0"/>
    <n v="21"/>
    <n v="66"/>
    <n v="0"/>
    <n v="596.78"/>
    <n v="503.82"/>
    <m/>
    <n v="622.21351227415789"/>
    <n v="397.1970744485763"/>
    <n v="0"/>
    <n v="3420.74296"/>
    <n v="2887.89624"/>
    <n v="0"/>
    <n v="3566.527852355473"/>
    <n v="2276.7336307392393"/>
  </r>
  <r>
    <s v="Regular"/>
    <x v="0"/>
    <x v="2"/>
    <x v="3"/>
    <x v="1"/>
    <x v="0"/>
    <x v="0"/>
    <x v="1"/>
    <x v="8"/>
    <n v="0"/>
    <n v="0"/>
    <n v="26.539000000000001"/>
    <n v="26.539000000000001"/>
    <n v="26.539000000000001"/>
    <n v="26.539000000000001"/>
    <n v="0"/>
    <x v="0"/>
    <n v="0"/>
    <n v="0"/>
    <n v="21"/>
    <n v="66"/>
    <n v="0"/>
    <n v="596.78"/>
    <n v="503.82"/>
    <m/>
    <n v="622.21351227415789"/>
    <n v="397.1970744485763"/>
    <n v="0"/>
    <n v="15837.94442"/>
    <n v="13370.878980000001"/>
    <n v="0"/>
    <n v="16512.924402243876"/>
    <n v="10541.213158790768"/>
  </r>
  <r>
    <s v="Sistema de Compensação"/>
    <x v="0"/>
    <x v="2"/>
    <x v="3"/>
    <x v="1"/>
    <x v="0"/>
    <x v="0"/>
    <x v="1"/>
    <x v="8"/>
    <n v="0"/>
    <n v="0"/>
    <n v="12.698"/>
    <n v="12.698"/>
    <n v="12.698"/>
    <n v="12.698"/>
    <n v="0"/>
    <x v="0"/>
    <n v="0"/>
    <n v="0"/>
    <n v="21"/>
    <n v="66"/>
    <n v="0"/>
    <n v="596.78"/>
    <n v="503.82"/>
    <m/>
    <n v="622.21351227415789"/>
    <n v="397.1970744485763"/>
    <n v="0"/>
    <n v="7577.9124400000001"/>
    <n v="6397.5063600000003"/>
    <n v="0"/>
    <n v="7900.8671788572574"/>
    <n v="5043.6084513480218"/>
  </r>
  <r>
    <s v="Regular"/>
    <x v="0"/>
    <x v="2"/>
    <x v="3"/>
    <x v="1"/>
    <x v="0"/>
    <x v="0"/>
    <x v="1"/>
    <x v="9"/>
    <n v="0"/>
    <n v="0"/>
    <n v="19.462"/>
    <n v="19.462"/>
    <n v="19.462"/>
    <n v="19.462"/>
    <n v="0"/>
    <x v="0"/>
    <n v="0"/>
    <n v="0"/>
    <n v="21"/>
    <n v="66"/>
    <n v="0"/>
    <n v="596.78"/>
    <n v="503.82"/>
    <m/>
    <n v="622.21351227415789"/>
    <n v="397.1970744485763"/>
    <n v="0"/>
    <n v="11614.532359999999"/>
    <n v="9805.3448399999997"/>
    <n v="0"/>
    <n v="12109.519375879661"/>
    <n v="7730.249462918192"/>
  </r>
  <r>
    <s v="Sistema de Compensação"/>
    <x v="0"/>
    <x v="2"/>
    <x v="3"/>
    <x v="1"/>
    <x v="0"/>
    <x v="0"/>
    <x v="1"/>
    <x v="9"/>
    <n v="0"/>
    <n v="0"/>
    <n v="5.8639999999999999"/>
    <n v="5.8639999999999999"/>
    <n v="5.8639999999999999"/>
    <n v="5.8639999999999999"/>
    <n v="0"/>
    <x v="0"/>
    <n v="0"/>
    <n v="0"/>
    <n v="21"/>
    <n v="66"/>
    <n v="0"/>
    <n v="596.78"/>
    <n v="503.82"/>
    <m/>
    <n v="622.21351227415789"/>
    <n v="397.1970744485763"/>
    <n v="0"/>
    <n v="3499.5179199999998"/>
    <n v="2954.4004799999998"/>
    <n v="0"/>
    <n v="3648.6600359756617"/>
    <n v="2329.1636445664512"/>
  </r>
  <r>
    <s v="Regular"/>
    <x v="0"/>
    <x v="2"/>
    <x v="3"/>
    <x v="1"/>
    <x v="0"/>
    <x v="0"/>
    <x v="1"/>
    <x v="10"/>
    <n v="0"/>
    <n v="0"/>
    <n v="21.788"/>
    <n v="21.788"/>
    <n v="21.788"/>
    <n v="21.788"/>
    <n v="0"/>
    <x v="0"/>
    <n v="0"/>
    <n v="0"/>
    <n v="21"/>
    <n v="66"/>
    <n v="0"/>
    <n v="596.78"/>
    <n v="503.82"/>
    <m/>
    <n v="622.21351227415789"/>
    <n v="397.1970744485763"/>
    <n v="0"/>
    <n v="13002.64264"/>
    <n v="10977.230159999999"/>
    <n v="0"/>
    <n v="13556.788005429353"/>
    <n v="8654.1298580855801"/>
  </r>
  <r>
    <s v="Sistema de Compensação"/>
    <x v="0"/>
    <x v="2"/>
    <x v="3"/>
    <x v="1"/>
    <x v="0"/>
    <x v="0"/>
    <x v="1"/>
    <x v="10"/>
    <n v="0"/>
    <n v="0"/>
    <n v="10.202"/>
    <n v="10.202"/>
    <n v="10.202"/>
    <n v="10.202"/>
    <n v="0"/>
    <x v="0"/>
    <n v="0"/>
    <n v="0"/>
    <n v="21"/>
    <n v="66"/>
    <n v="0"/>
    <n v="596.78"/>
    <n v="503.82"/>
    <m/>
    <n v="622.21351227415789"/>
    <n v="397.1970744485763"/>
    <n v="0"/>
    <n v="6088.3495599999997"/>
    <n v="5139.9716399999998"/>
    <n v="0"/>
    <n v="6347.8222522209589"/>
    <n v="4052.2045535243756"/>
  </r>
  <r>
    <s v="PROJETADO"/>
    <x v="0"/>
    <x v="2"/>
    <x v="3"/>
    <x v="1"/>
    <x v="0"/>
    <x v="0"/>
    <x v="1"/>
    <x v="11"/>
    <n v="0"/>
    <n v="0"/>
    <n v="21.788"/>
    <n v="21.788"/>
    <n v="21.788"/>
    <n v="21.788"/>
    <n v="0"/>
    <x v="0"/>
    <n v="0"/>
    <n v="0"/>
    <n v="21"/>
    <n v="66"/>
    <n v="0"/>
    <n v="596.78"/>
    <n v="503.82"/>
    <m/>
    <n v="622.21351227415789"/>
    <n v="397.1970744485763"/>
    <n v="0"/>
    <n v="13002.64264"/>
    <n v="10977.230159999999"/>
    <n v="0"/>
    <n v="13556.788005429353"/>
    <n v="8654.1298580855801"/>
  </r>
  <r>
    <s v="PROJETADO"/>
    <x v="0"/>
    <x v="2"/>
    <x v="3"/>
    <x v="1"/>
    <x v="0"/>
    <x v="0"/>
    <x v="1"/>
    <x v="11"/>
    <n v="0"/>
    <n v="0"/>
    <n v="10.202"/>
    <n v="10.202"/>
    <n v="10.202"/>
    <n v="10.202"/>
    <n v="0"/>
    <x v="0"/>
    <n v="0"/>
    <n v="0"/>
    <n v="21"/>
    <n v="66"/>
    <n v="0"/>
    <n v="596.78"/>
    <n v="503.82"/>
    <m/>
    <n v="622.21351227415789"/>
    <n v="397.1970744485763"/>
    <n v="0"/>
    <n v="6088.3495599999997"/>
    <n v="5139.9716399999998"/>
    <n v="0"/>
    <n v="6347.8222522209589"/>
    <n v="4052.2045535243756"/>
  </r>
  <r>
    <s v="Regular"/>
    <x v="0"/>
    <x v="2"/>
    <x v="4"/>
    <x v="1"/>
    <x v="0"/>
    <x v="0"/>
    <x v="0"/>
    <x v="0"/>
    <n v="0"/>
    <n v="0"/>
    <n v="42.008000000000003"/>
    <n v="42.008000000000003"/>
    <n v="42.008000000000003"/>
    <n v="42.008000000000003"/>
    <n v="0"/>
    <x v="0"/>
    <n v="0"/>
    <n v="0"/>
    <n v="17"/>
    <n v="78"/>
    <n v="0"/>
    <n v="71.260000000000005"/>
    <n v="297.31"/>
    <m/>
    <n v="93.077207753495102"/>
    <n v="234.85968807843457"/>
    <n v="0"/>
    <n v="2993.4900800000005"/>
    <n v="12489.398480000002"/>
    <n v="0"/>
    <n v="3909.9873433088223"/>
    <n v="9865.9857767988797"/>
  </r>
  <r>
    <s v="Regular"/>
    <x v="0"/>
    <x v="2"/>
    <x v="4"/>
    <x v="1"/>
    <x v="0"/>
    <x v="0"/>
    <x v="0"/>
    <x v="1"/>
    <n v="0"/>
    <n v="0"/>
    <n v="36.357999999999997"/>
    <n v="36.357999999999997"/>
    <n v="36.357999999999997"/>
    <n v="36.357999999999997"/>
    <n v="0"/>
    <x v="0"/>
    <n v="0"/>
    <n v="0"/>
    <n v="17"/>
    <n v="78"/>
    <n v="0"/>
    <n v="71.260000000000005"/>
    <n v="297.31"/>
    <m/>
    <n v="93.077207753495102"/>
    <n v="234.85968807843457"/>
    <n v="0"/>
    <n v="2590.8710799999999"/>
    <n v="10809.596979999998"/>
    <n v="0"/>
    <n v="3384.1011195015744"/>
    <n v="8539.0285391557227"/>
  </r>
  <r>
    <s v="Regular"/>
    <x v="0"/>
    <x v="2"/>
    <x v="4"/>
    <x v="1"/>
    <x v="0"/>
    <x v="0"/>
    <x v="0"/>
    <x v="2"/>
    <n v="0"/>
    <n v="0"/>
    <n v="29.413"/>
    <n v="29.413"/>
    <n v="29.413"/>
    <n v="29.413"/>
    <n v="0"/>
    <x v="0"/>
    <n v="0"/>
    <n v="0"/>
    <n v="17"/>
    <n v="78"/>
    <n v="0"/>
    <n v="71.260000000000005"/>
    <n v="297.31"/>
    <m/>
    <n v="93.077207753495102"/>
    <n v="234.85968807843457"/>
    <n v="0"/>
    <n v="2095.9703800000002"/>
    <n v="8744.7790299999997"/>
    <n v="0"/>
    <n v="2737.6799116535512"/>
    <n v="6907.9280054509964"/>
  </r>
  <r>
    <s v="Regular"/>
    <x v="0"/>
    <x v="2"/>
    <x v="4"/>
    <x v="1"/>
    <x v="0"/>
    <x v="0"/>
    <x v="0"/>
    <x v="3"/>
    <n v="0"/>
    <n v="0"/>
    <n v="30.995999999999999"/>
    <n v="30.995999999999999"/>
    <n v="30.995999999999999"/>
    <n v="30.995999999999999"/>
    <n v="0"/>
    <x v="0"/>
    <n v="0"/>
    <n v="0"/>
    <n v="17"/>
    <n v="78"/>
    <n v="0"/>
    <n v="71.260000000000005"/>
    <n v="297.31"/>
    <m/>
    <n v="93.077207753495102"/>
    <n v="234.85968807843457"/>
    <n v="0"/>
    <n v="2208.7749600000002"/>
    <n v="9215.4207599999991"/>
    <n v="0"/>
    <n v="2885.0211315273341"/>
    <n v="7279.7108916791576"/>
  </r>
  <r>
    <s v="Regular"/>
    <x v="0"/>
    <x v="2"/>
    <x v="4"/>
    <x v="1"/>
    <x v="0"/>
    <x v="0"/>
    <x v="0"/>
    <x v="4"/>
    <n v="0"/>
    <n v="0"/>
    <n v="44.531999999999996"/>
    <n v="44.531999999999996"/>
    <n v="44.531999999999996"/>
    <n v="44.531999999999996"/>
    <n v="0"/>
    <x v="0"/>
    <n v="0"/>
    <n v="0"/>
    <n v="17"/>
    <n v="78"/>
    <n v="0"/>
    <n v="71.260000000000005"/>
    <n v="297.31"/>
    <m/>
    <n v="93.077207753495102"/>
    <n v="234.85968807843457"/>
    <n v="0"/>
    <n v="3173.35032"/>
    <n v="13239.808919999999"/>
    <n v="0"/>
    <n v="4144.9142156786438"/>
    <n v="10458.771629508847"/>
  </r>
  <r>
    <s v="Regular"/>
    <x v="0"/>
    <x v="2"/>
    <x v="4"/>
    <x v="1"/>
    <x v="0"/>
    <x v="0"/>
    <x v="0"/>
    <x v="5"/>
    <n v="0"/>
    <n v="0"/>
    <n v="64.831000000000003"/>
    <n v="64.831000000000003"/>
    <n v="64.831000000000003"/>
    <n v="64.831000000000003"/>
    <n v="0"/>
    <x v="0"/>
    <n v="0"/>
    <n v="0"/>
    <n v="17"/>
    <n v="78"/>
    <n v="0"/>
    <n v="71.260000000000005"/>
    <n v="297.31"/>
    <m/>
    <n v="93.077207753495102"/>
    <n v="234.85968807843457"/>
    <n v="0"/>
    <n v="4619.8570600000003"/>
    <n v="19274.904610000001"/>
    <n v="0"/>
    <n v="6034.2884558668411"/>
    <n v="15226.188437812993"/>
  </r>
  <r>
    <s v="Regular"/>
    <x v="0"/>
    <x v="2"/>
    <x v="4"/>
    <x v="1"/>
    <x v="0"/>
    <x v="0"/>
    <x v="0"/>
    <x v="6"/>
    <n v="0"/>
    <n v="0"/>
    <n v="64.921000000000006"/>
    <n v="64.921000000000006"/>
    <n v="64.921000000000006"/>
    <n v="64.921000000000006"/>
    <n v="0"/>
    <x v="0"/>
    <n v="0"/>
    <n v="0"/>
    <n v="17"/>
    <n v="78"/>
    <n v="0"/>
    <n v="71.260000000000005"/>
    <n v="297.31"/>
    <m/>
    <n v="93.077207753495102"/>
    <n v="234.85968807843457"/>
    <n v="0"/>
    <n v="4626.2704600000006"/>
    <n v="19301.662510000002"/>
    <n v="0"/>
    <n v="6042.6654045646565"/>
    <n v="15247.325809740052"/>
  </r>
  <r>
    <s v="Regular"/>
    <x v="0"/>
    <x v="2"/>
    <x v="4"/>
    <x v="1"/>
    <x v="0"/>
    <x v="0"/>
    <x v="0"/>
    <x v="7"/>
    <n v="0"/>
    <n v="0"/>
    <n v="68.201999999999998"/>
    <n v="68.201999999999998"/>
    <n v="68.201999999999998"/>
    <n v="68.201999999999998"/>
    <n v="0"/>
    <x v="0"/>
    <n v="0"/>
    <n v="0"/>
    <n v="17"/>
    <n v="78"/>
    <n v="0"/>
    <n v="71.260000000000005"/>
    <n v="297.31"/>
    <m/>
    <n v="93.077207753495102"/>
    <n v="234.85968807843457"/>
    <n v="0"/>
    <n v="4860.0745200000001"/>
    <n v="20277.136620000001"/>
    <n v="0"/>
    <n v="6348.0517232038728"/>
    <n v="16017.900446325395"/>
  </r>
  <r>
    <s v="Regular"/>
    <x v="0"/>
    <x v="2"/>
    <x v="4"/>
    <x v="1"/>
    <x v="0"/>
    <x v="0"/>
    <x v="0"/>
    <x v="8"/>
    <n v="0"/>
    <n v="0"/>
    <n v="71.442999999999998"/>
    <n v="71.442999999999998"/>
    <n v="71.442999999999998"/>
    <n v="71.442999999999998"/>
    <n v="0"/>
    <x v="0"/>
    <n v="0"/>
    <n v="0"/>
    <n v="17"/>
    <n v="78"/>
    <n v="0"/>
    <n v="71.260000000000005"/>
    <n v="297.31"/>
    <m/>
    <n v="93.077207753495102"/>
    <n v="234.85968807843457"/>
    <n v="0"/>
    <n v="5091.0281800000002"/>
    <n v="21240.71833"/>
    <n v="0"/>
    <n v="6649.7149535329499"/>
    <n v="16779.080695387602"/>
  </r>
  <r>
    <s v="Regular"/>
    <x v="0"/>
    <x v="2"/>
    <x v="4"/>
    <x v="1"/>
    <x v="0"/>
    <x v="0"/>
    <x v="0"/>
    <x v="9"/>
    <n v="0"/>
    <n v="0"/>
    <n v="46.636000000000003"/>
    <n v="46.636000000000003"/>
    <n v="46.636000000000003"/>
    <n v="46.636000000000003"/>
    <n v="0"/>
    <x v="0"/>
    <n v="0"/>
    <n v="0"/>
    <n v="17"/>
    <n v="78"/>
    <n v="0"/>
    <n v="71.260000000000005"/>
    <n v="297.31"/>
    <m/>
    <n v="93.077207753495102"/>
    <n v="234.85968807843457"/>
    <n v="0"/>
    <n v="3323.2813600000004"/>
    <n v="13865.349160000002"/>
    <n v="0"/>
    <n v="4340.7486607919982"/>
    <n v="10952.916413225876"/>
  </r>
  <r>
    <s v="Regular"/>
    <x v="0"/>
    <x v="2"/>
    <x v="4"/>
    <x v="1"/>
    <x v="0"/>
    <x v="0"/>
    <x v="0"/>
    <x v="10"/>
    <n v="0"/>
    <n v="0"/>
    <n v="61.941000000000003"/>
    <n v="61.941000000000003"/>
    <n v="61.941000000000003"/>
    <n v="61.941000000000003"/>
    <n v="0"/>
    <x v="0"/>
    <n v="0"/>
    <n v="0"/>
    <n v="17"/>
    <n v="78"/>
    <n v="0"/>
    <n v="71.260000000000005"/>
    <n v="297.31"/>
    <m/>
    <n v="93.077207753495102"/>
    <n v="234.85968807843457"/>
    <n v="0"/>
    <n v="4413.9156600000006"/>
    <n v="18415.67871"/>
    <n v="0"/>
    <n v="5765.2953254592403"/>
    <n v="14547.443939266317"/>
  </r>
  <r>
    <s v="PROJETADO"/>
    <x v="0"/>
    <x v="2"/>
    <x v="4"/>
    <x v="1"/>
    <x v="0"/>
    <x v="0"/>
    <x v="0"/>
    <x v="11"/>
    <n v="0"/>
    <n v="0"/>
    <n v="61.941000000000003"/>
    <n v="61.941000000000003"/>
    <n v="61.941000000000003"/>
    <n v="61.941000000000003"/>
    <n v="0"/>
    <x v="0"/>
    <n v="0"/>
    <n v="0"/>
    <n v="17"/>
    <n v="78"/>
    <n v="0"/>
    <n v="71.260000000000005"/>
    <n v="297.31"/>
    <m/>
    <n v="93.077207753495102"/>
    <n v="234.85968807843457"/>
    <n v="0"/>
    <n v="4413.9156600000006"/>
    <n v="18415.67871"/>
    <n v="0"/>
    <n v="5765.2953254592403"/>
    <n v="14547.443939266317"/>
  </r>
  <r>
    <s v="Regular"/>
    <x v="0"/>
    <x v="2"/>
    <x v="4"/>
    <x v="1"/>
    <x v="0"/>
    <x v="0"/>
    <x v="2"/>
    <x v="0"/>
    <n v="485"/>
    <n v="485"/>
    <n v="0"/>
    <n v="0"/>
    <n v="0"/>
    <n v="0"/>
    <n v="8"/>
    <x v="0"/>
    <n v="0"/>
    <n v="19"/>
    <n v="0"/>
    <n v="0"/>
    <n v="16.29"/>
    <n v="0"/>
    <n v="0"/>
    <n v="21.112041496375397"/>
    <m/>
    <m/>
    <n v="7900.65"/>
    <n v="0"/>
    <n v="0"/>
    <n v="10239.340125742068"/>
    <n v="0"/>
    <n v="0"/>
  </r>
  <r>
    <s v="Regular"/>
    <x v="0"/>
    <x v="2"/>
    <x v="4"/>
    <x v="1"/>
    <x v="0"/>
    <x v="0"/>
    <x v="2"/>
    <x v="1"/>
    <n v="485"/>
    <n v="485"/>
    <n v="0"/>
    <n v="0"/>
    <n v="0"/>
    <n v="0"/>
    <n v="8"/>
    <x v="0"/>
    <n v="0"/>
    <n v="19"/>
    <n v="0"/>
    <n v="0"/>
    <n v="16.29"/>
    <n v="0"/>
    <n v="0"/>
    <n v="21.112041496375397"/>
    <m/>
    <m/>
    <n v="7900.65"/>
    <n v="0"/>
    <n v="0"/>
    <n v="10239.340125742068"/>
    <n v="0"/>
    <n v="0"/>
  </r>
  <r>
    <s v="Regular"/>
    <x v="0"/>
    <x v="2"/>
    <x v="4"/>
    <x v="1"/>
    <x v="0"/>
    <x v="0"/>
    <x v="2"/>
    <x v="2"/>
    <n v="485"/>
    <n v="485"/>
    <n v="0"/>
    <n v="0"/>
    <n v="0"/>
    <n v="0"/>
    <n v="8"/>
    <x v="0"/>
    <n v="0"/>
    <n v="19"/>
    <n v="0"/>
    <n v="0"/>
    <n v="16.29"/>
    <n v="0"/>
    <n v="0"/>
    <n v="21.112041496375397"/>
    <m/>
    <m/>
    <n v="7900.65"/>
    <n v="0"/>
    <n v="0"/>
    <n v="10239.340125742068"/>
    <n v="0"/>
    <n v="0"/>
  </r>
  <r>
    <s v="Regular"/>
    <x v="0"/>
    <x v="2"/>
    <x v="4"/>
    <x v="1"/>
    <x v="0"/>
    <x v="0"/>
    <x v="2"/>
    <x v="3"/>
    <n v="485"/>
    <n v="485"/>
    <n v="0"/>
    <n v="0"/>
    <n v="0"/>
    <n v="0"/>
    <n v="8"/>
    <x v="0"/>
    <n v="0"/>
    <n v="19"/>
    <n v="0"/>
    <n v="0"/>
    <n v="16.29"/>
    <n v="0"/>
    <n v="0"/>
    <n v="21.112041496375397"/>
    <m/>
    <m/>
    <n v="7900.65"/>
    <n v="0"/>
    <n v="0"/>
    <n v="10239.340125742068"/>
    <n v="0"/>
    <n v="0"/>
  </r>
  <r>
    <s v="Regular"/>
    <x v="0"/>
    <x v="2"/>
    <x v="4"/>
    <x v="1"/>
    <x v="0"/>
    <x v="0"/>
    <x v="2"/>
    <x v="4"/>
    <n v="485"/>
    <n v="485"/>
    <n v="0"/>
    <n v="0"/>
    <n v="0"/>
    <n v="0"/>
    <n v="8"/>
    <x v="0"/>
    <n v="0"/>
    <n v="19"/>
    <n v="0"/>
    <n v="0"/>
    <n v="16.29"/>
    <n v="0"/>
    <n v="0"/>
    <n v="21.112041496375397"/>
    <m/>
    <m/>
    <n v="7900.65"/>
    <n v="0"/>
    <n v="0"/>
    <n v="10239.340125742068"/>
    <n v="0"/>
    <n v="0"/>
  </r>
  <r>
    <s v="Regular"/>
    <x v="0"/>
    <x v="2"/>
    <x v="4"/>
    <x v="1"/>
    <x v="0"/>
    <x v="0"/>
    <x v="2"/>
    <x v="5"/>
    <n v="610"/>
    <n v="610"/>
    <n v="0"/>
    <n v="0"/>
    <n v="0"/>
    <n v="0"/>
    <n v="9"/>
    <x v="0"/>
    <n v="0"/>
    <n v="19"/>
    <n v="0"/>
    <n v="0"/>
    <n v="16.29"/>
    <n v="0"/>
    <n v="0"/>
    <n v="21.112041496375397"/>
    <m/>
    <m/>
    <n v="9936.9"/>
    <n v="0"/>
    <n v="0"/>
    <n v="12878.345312788992"/>
    <n v="0"/>
    <n v="0"/>
  </r>
  <r>
    <s v="Regular"/>
    <x v="0"/>
    <x v="2"/>
    <x v="4"/>
    <x v="1"/>
    <x v="0"/>
    <x v="0"/>
    <x v="2"/>
    <x v="6"/>
    <n v="611"/>
    <n v="611"/>
    <n v="0"/>
    <n v="0"/>
    <n v="0"/>
    <n v="0"/>
    <n v="9"/>
    <x v="0"/>
    <n v="0"/>
    <n v="19"/>
    <n v="0"/>
    <n v="0"/>
    <n v="16.29"/>
    <n v="0"/>
    <n v="0"/>
    <n v="21.112041496375397"/>
    <m/>
    <m/>
    <n v="9953.1899999999987"/>
    <n v="0"/>
    <n v="0"/>
    <n v="12899.457354285369"/>
    <n v="0"/>
    <n v="0"/>
  </r>
  <r>
    <s v="Regular"/>
    <x v="0"/>
    <x v="2"/>
    <x v="4"/>
    <x v="1"/>
    <x v="0"/>
    <x v="0"/>
    <x v="2"/>
    <x v="7"/>
    <n v="647"/>
    <n v="647"/>
    <n v="0"/>
    <n v="0"/>
    <n v="0"/>
    <n v="0"/>
    <n v="9"/>
    <x v="0"/>
    <n v="0"/>
    <n v="19"/>
    <n v="0"/>
    <n v="0"/>
    <n v="16.29"/>
    <n v="0"/>
    <n v="0"/>
    <n v="21.112041496375397"/>
    <m/>
    <m/>
    <n v="10539.63"/>
    <n v="0"/>
    <n v="0"/>
    <n v="13659.490848154883"/>
    <n v="0"/>
    <n v="0"/>
  </r>
  <r>
    <s v="Regular"/>
    <x v="0"/>
    <x v="2"/>
    <x v="4"/>
    <x v="1"/>
    <x v="0"/>
    <x v="0"/>
    <x v="2"/>
    <x v="8"/>
    <n v="680"/>
    <n v="680"/>
    <n v="0"/>
    <n v="0"/>
    <n v="0"/>
    <n v="0"/>
    <n v="9"/>
    <x v="0"/>
    <n v="0"/>
    <n v="19"/>
    <n v="0"/>
    <n v="0"/>
    <n v="16.29"/>
    <n v="0"/>
    <n v="0"/>
    <n v="21.112041496375397"/>
    <m/>
    <m/>
    <n v="11077.199999999999"/>
    <n v="0"/>
    <n v="0"/>
    <n v="14356.188217535269"/>
    <n v="0"/>
    <n v="0"/>
  </r>
  <r>
    <s v="Regular"/>
    <x v="0"/>
    <x v="2"/>
    <x v="4"/>
    <x v="1"/>
    <x v="0"/>
    <x v="0"/>
    <x v="2"/>
    <x v="9"/>
    <n v="605"/>
    <n v="605"/>
    <n v="0"/>
    <n v="0"/>
    <n v="0"/>
    <n v="0"/>
    <n v="9"/>
    <x v="0"/>
    <n v="0"/>
    <n v="19"/>
    <n v="0"/>
    <n v="0"/>
    <n v="16.29"/>
    <n v="0"/>
    <n v="0"/>
    <n v="21.112041496375397"/>
    <m/>
    <m/>
    <n v="9855.4499999999989"/>
    <n v="0"/>
    <n v="0"/>
    <n v="12772.785105307115"/>
    <n v="0"/>
    <n v="0"/>
  </r>
  <r>
    <s v="Regular"/>
    <x v="0"/>
    <x v="2"/>
    <x v="4"/>
    <x v="1"/>
    <x v="0"/>
    <x v="0"/>
    <x v="2"/>
    <x v="10"/>
    <n v="605"/>
    <n v="605"/>
    <n v="0"/>
    <n v="0"/>
    <n v="0"/>
    <n v="0"/>
    <n v="9"/>
    <x v="0"/>
    <n v="0"/>
    <n v="19"/>
    <n v="0"/>
    <n v="0"/>
    <n v="16.29"/>
    <n v="0"/>
    <n v="0"/>
    <n v="21.112041496375397"/>
    <m/>
    <m/>
    <n v="9855.4499999999989"/>
    <n v="0"/>
    <n v="0"/>
    <n v="12772.785105307115"/>
    <n v="0"/>
    <n v="0"/>
  </r>
  <r>
    <s v="PROJETADO"/>
    <x v="0"/>
    <x v="2"/>
    <x v="4"/>
    <x v="1"/>
    <x v="0"/>
    <x v="0"/>
    <x v="2"/>
    <x v="11"/>
    <n v="605"/>
    <n v="605"/>
    <n v="0"/>
    <n v="0"/>
    <n v="0"/>
    <n v="0"/>
    <n v="9"/>
    <x v="0"/>
    <n v="0"/>
    <n v="19"/>
    <n v="0"/>
    <n v="0"/>
    <n v="16.29"/>
    <n v="0"/>
    <n v="0"/>
    <n v="21.112041496375397"/>
    <m/>
    <m/>
    <n v="9855.4499999999989"/>
    <n v="0"/>
    <n v="0"/>
    <n v="12772.785105307115"/>
    <n v="0"/>
    <n v="0"/>
  </r>
  <r>
    <s v="Regular"/>
    <x v="0"/>
    <x v="2"/>
    <x v="4"/>
    <x v="1"/>
    <x v="0"/>
    <x v="0"/>
    <x v="1"/>
    <x v="0"/>
    <n v="0"/>
    <n v="0"/>
    <n v="2.4729999999999999"/>
    <n v="2.4729999999999999"/>
    <n v="2.4729999999999999"/>
    <n v="2.4729999999999999"/>
    <n v="0"/>
    <x v="0"/>
    <n v="0"/>
    <n v="0"/>
    <n v="21"/>
    <n v="66"/>
    <n v="0"/>
    <n v="596.78"/>
    <n v="503.82"/>
    <m/>
    <n v="622.21351227415789"/>
    <n v="397.1970744485763"/>
    <n v="0"/>
    <n v="1475.8369399999999"/>
    <n v="1245.94686"/>
    <n v="0"/>
    <n v="1538.7340158539923"/>
    <n v="982.2683651113291"/>
  </r>
  <r>
    <s v="Regular"/>
    <x v="0"/>
    <x v="2"/>
    <x v="4"/>
    <x v="1"/>
    <x v="0"/>
    <x v="0"/>
    <x v="1"/>
    <x v="1"/>
    <n v="0"/>
    <n v="0"/>
    <n v="2.4609999999999999"/>
    <n v="2.4609999999999999"/>
    <n v="2.4609999999999999"/>
    <n v="2.4609999999999999"/>
    <n v="0"/>
    <x v="0"/>
    <n v="0"/>
    <n v="0"/>
    <n v="21"/>
    <n v="66"/>
    <n v="0"/>
    <n v="596.78"/>
    <n v="503.82"/>
    <m/>
    <n v="622.21351227415789"/>
    <n v="397.1970744485763"/>
    <n v="0"/>
    <n v="1468.6755799999999"/>
    <n v="1239.90102"/>
    <n v="0"/>
    <n v="1531.2674537067026"/>
    <n v="977.50200021794626"/>
  </r>
  <r>
    <s v="Regular"/>
    <x v="0"/>
    <x v="2"/>
    <x v="4"/>
    <x v="1"/>
    <x v="0"/>
    <x v="0"/>
    <x v="1"/>
    <x v="2"/>
    <n v="0"/>
    <n v="0"/>
    <n v="2.4380000000000002"/>
    <n v="2.4380000000000002"/>
    <n v="2.4380000000000002"/>
    <n v="2.4380000000000002"/>
    <n v="0"/>
    <x v="0"/>
    <n v="0"/>
    <n v="0"/>
    <n v="21"/>
    <n v="66"/>
    <n v="0"/>
    <n v="596.78"/>
    <n v="503.82"/>
    <m/>
    <n v="622.21351227415789"/>
    <n v="397.1970744485763"/>
    <n v="0"/>
    <n v="1454.94964"/>
    <n v="1228.3131600000002"/>
    <n v="0"/>
    <n v="1516.9565429243971"/>
    <n v="968.36646750562909"/>
  </r>
  <r>
    <s v="Regular"/>
    <x v="0"/>
    <x v="2"/>
    <x v="4"/>
    <x v="1"/>
    <x v="0"/>
    <x v="0"/>
    <x v="1"/>
    <x v="3"/>
    <n v="0"/>
    <n v="0"/>
    <n v="2.3929999999999998"/>
    <n v="2.3929999999999998"/>
    <n v="2.3929999999999998"/>
    <n v="2.3929999999999998"/>
    <n v="0"/>
    <x v="0"/>
    <n v="0"/>
    <n v="0"/>
    <n v="21"/>
    <n v="66"/>
    <n v="0"/>
    <n v="596.78"/>
    <n v="503.82"/>
    <m/>
    <n v="622.21351227415789"/>
    <n v="397.1970744485763"/>
    <n v="0"/>
    <n v="1428.0945399999998"/>
    <n v="1205.6412599999999"/>
    <n v="0"/>
    <n v="1488.9569348720597"/>
    <n v="950.49259915544303"/>
  </r>
  <r>
    <s v="Regular"/>
    <x v="0"/>
    <x v="2"/>
    <x v="4"/>
    <x v="1"/>
    <x v="0"/>
    <x v="0"/>
    <x v="1"/>
    <x v="4"/>
    <n v="0"/>
    <n v="0"/>
    <n v="3.4860000000000002"/>
    <n v="3.4860000000000002"/>
    <n v="3.4860000000000002"/>
    <n v="3.4860000000000002"/>
    <n v="0"/>
    <x v="0"/>
    <n v="0"/>
    <n v="0"/>
    <n v="21"/>
    <n v="66"/>
    <n v="0"/>
    <n v="596.78"/>
    <n v="503.82"/>
    <m/>
    <n v="622.21351227415789"/>
    <n v="397.1970744485763"/>
    <n v="0"/>
    <n v="2080.3750800000003"/>
    <n v="1756.3165200000001"/>
    <n v="0"/>
    <n v="2169.0363037877146"/>
    <n v="1384.629001527737"/>
  </r>
  <r>
    <s v="Regular"/>
    <x v="0"/>
    <x v="2"/>
    <x v="4"/>
    <x v="1"/>
    <x v="0"/>
    <x v="0"/>
    <x v="1"/>
    <x v="5"/>
    <n v="0"/>
    <n v="0"/>
    <n v="4.6760000000000002"/>
    <n v="4.6760000000000002"/>
    <n v="4.6760000000000002"/>
    <n v="4.6760000000000002"/>
    <n v="0"/>
    <x v="0"/>
    <n v="0"/>
    <n v="0"/>
    <n v="21"/>
    <n v="66"/>
    <n v="0"/>
    <n v="596.78"/>
    <n v="503.82"/>
    <m/>
    <n v="622.21351227415789"/>
    <n v="397.1970744485763"/>
    <n v="0"/>
    <n v="2790.5432799999999"/>
    <n v="2355.8623200000002"/>
    <n v="0"/>
    <n v="2909.4703833939625"/>
    <n v="1857.2935201215428"/>
  </r>
  <r>
    <s v="Regular"/>
    <x v="0"/>
    <x v="2"/>
    <x v="4"/>
    <x v="1"/>
    <x v="0"/>
    <x v="0"/>
    <x v="1"/>
    <x v="6"/>
    <n v="0"/>
    <n v="0"/>
    <n v="4.0830000000000002"/>
    <n v="4.0830000000000002"/>
    <n v="4.0830000000000002"/>
    <n v="4.0830000000000002"/>
    <n v="0"/>
    <x v="0"/>
    <n v="0"/>
    <n v="0"/>
    <n v="21"/>
    <n v="66"/>
    <n v="0"/>
    <n v="596.78"/>
    <n v="503.82"/>
    <m/>
    <n v="622.21351227415789"/>
    <n v="397.1970744485763"/>
    <n v="0"/>
    <n v="2436.65274"/>
    <n v="2057.0970600000001"/>
    <n v="0"/>
    <n v="2540.4977706153868"/>
    <n v="1621.755654973537"/>
  </r>
  <r>
    <s v="Regular"/>
    <x v="0"/>
    <x v="2"/>
    <x v="4"/>
    <x v="1"/>
    <x v="0"/>
    <x v="0"/>
    <x v="1"/>
    <x v="7"/>
    <n v="0"/>
    <n v="0"/>
    <n v="5.4509999999999996"/>
    <n v="5.4509999999999996"/>
    <n v="5.4509999999999996"/>
    <n v="5.4509999999999996"/>
    <n v="0"/>
    <x v="0"/>
    <n v="0"/>
    <n v="0"/>
    <n v="21"/>
    <n v="66"/>
    <n v="0"/>
    <n v="596.78"/>
    <n v="503.82"/>
    <m/>
    <n v="622.21351227415789"/>
    <n v="397.1970744485763"/>
    <n v="0"/>
    <n v="3253.0477799999994"/>
    <n v="2746.3228199999999"/>
    <n v="0"/>
    <n v="3391.6858554064343"/>
    <n v="2165.1212528191891"/>
  </r>
  <r>
    <s v="Regular"/>
    <x v="0"/>
    <x v="2"/>
    <x v="4"/>
    <x v="1"/>
    <x v="0"/>
    <x v="0"/>
    <x v="1"/>
    <x v="8"/>
    <n v="0"/>
    <n v="0"/>
    <n v="8.0389999999999997"/>
    <n v="8.0389999999999997"/>
    <n v="8.0389999999999997"/>
    <n v="8.0389999999999997"/>
    <n v="0"/>
    <x v="0"/>
    <n v="0"/>
    <n v="0"/>
    <n v="21"/>
    <n v="66"/>
    <n v="0"/>
    <n v="596.78"/>
    <n v="503.82"/>
    <m/>
    <n v="622.21351227415789"/>
    <n v="397.1970744485763"/>
    <n v="0"/>
    <n v="4797.5144199999995"/>
    <n v="4050.2089799999999"/>
    <n v="0"/>
    <n v="5001.9744251719549"/>
    <n v="3193.0672814921049"/>
  </r>
  <r>
    <s v="Regular"/>
    <x v="0"/>
    <x v="2"/>
    <x v="4"/>
    <x v="1"/>
    <x v="0"/>
    <x v="0"/>
    <x v="1"/>
    <x v="9"/>
    <n v="0"/>
    <n v="0"/>
    <n v="5.1769999999999996"/>
    <n v="5.1769999999999996"/>
    <n v="5.1769999999999996"/>
    <n v="5.1769999999999996"/>
    <n v="0"/>
    <x v="0"/>
    <n v="0"/>
    <n v="0"/>
    <n v="21"/>
    <n v="66"/>
    <n v="0"/>
    <n v="596.78"/>
    <n v="503.82"/>
    <m/>
    <n v="622.21351227415789"/>
    <n v="397.1970744485763"/>
    <n v="0"/>
    <n v="3089.5300599999996"/>
    <n v="2608.2761399999999"/>
    <n v="0"/>
    <n v="3221.1993530433151"/>
    <n v="2056.2892544202796"/>
  </r>
  <r>
    <s v="Regular"/>
    <x v="0"/>
    <x v="2"/>
    <x v="4"/>
    <x v="1"/>
    <x v="0"/>
    <x v="0"/>
    <x v="1"/>
    <x v="10"/>
    <n v="0"/>
    <n v="0"/>
    <n v="6.2240000000000002"/>
    <n v="6.2240000000000002"/>
    <n v="6.2240000000000002"/>
    <n v="6.2240000000000002"/>
    <n v="0"/>
    <x v="0"/>
    <n v="0"/>
    <n v="0"/>
    <n v="21"/>
    <n v="66"/>
    <n v="0"/>
    <n v="596.78"/>
    <n v="503.82"/>
    <m/>
    <n v="622.21351227415789"/>
    <n v="397.1970744485763"/>
    <n v="0"/>
    <n v="3714.3587200000002"/>
    <n v="3135.7756800000002"/>
    <n v="0"/>
    <n v="3872.6569003943587"/>
    <n v="2472.1545913679388"/>
  </r>
  <r>
    <s v="PROJETADO"/>
    <x v="0"/>
    <x v="2"/>
    <x v="4"/>
    <x v="1"/>
    <x v="0"/>
    <x v="0"/>
    <x v="1"/>
    <x v="11"/>
    <n v="0"/>
    <n v="0"/>
    <n v="6.2240000000000002"/>
    <n v="6.2240000000000002"/>
    <n v="6.2240000000000002"/>
    <n v="6.2240000000000002"/>
    <n v="0"/>
    <x v="0"/>
    <n v="0"/>
    <n v="0"/>
    <n v="21"/>
    <n v="66"/>
    <n v="0"/>
    <n v="596.78"/>
    <n v="503.82"/>
    <m/>
    <n v="622.21351227415789"/>
    <n v="397.1970744485763"/>
    <n v="0"/>
    <n v="3714.3587200000002"/>
    <n v="3135.7756800000002"/>
    <n v="0"/>
    <n v="3872.6569003943587"/>
    <n v="2472.1545913679388"/>
  </r>
  <r>
    <s v="Regular"/>
    <x v="0"/>
    <x v="2"/>
    <x v="5"/>
    <x v="2"/>
    <x v="2"/>
    <x v="0"/>
    <x v="0"/>
    <x v="0"/>
    <n v="0"/>
    <n v="0"/>
    <n v="0.152"/>
    <n v="4.5600000000000002E-2"/>
    <n v="0.152"/>
    <n v="4.5600000000000002E-2"/>
    <n v="0"/>
    <x v="0"/>
    <n v="0"/>
    <n v="0"/>
    <n v="17"/>
    <n v="78"/>
    <n v="0"/>
    <n v="71.260000000000005"/>
    <n v="297.31"/>
    <m/>
    <n v="93.077207753495102"/>
    <n v="234.85968807843457"/>
    <n v="0"/>
    <n v="3.2494560000000003"/>
    <n v="13.557336000000001"/>
    <n v="0"/>
    <n v="4.2443206735593773"/>
    <n v="10.709601776376617"/>
  </r>
  <r>
    <s v="Regular"/>
    <x v="0"/>
    <x v="2"/>
    <x v="5"/>
    <x v="2"/>
    <x v="2"/>
    <x v="0"/>
    <x v="0"/>
    <x v="1"/>
    <n v="0"/>
    <n v="0"/>
    <n v="0.182"/>
    <n v="5.4600000000000003E-2"/>
    <n v="0.182"/>
    <n v="5.4600000000000003E-2"/>
    <n v="0"/>
    <x v="0"/>
    <n v="0"/>
    <n v="0"/>
    <n v="17"/>
    <n v="78"/>
    <n v="0"/>
    <n v="71.260000000000005"/>
    <n v="297.31"/>
    <m/>
    <n v="93.077207753495102"/>
    <n v="234.85968807843457"/>
    <n v="0"/>
    <n v="3.8907960000000004"/>
    <n v="16.233126000000002"/>
    <n v="0"/>
    <n v="5.0820155433408329"/>
    <n v="12.823338969082528"/>
  </r>
  <r>
    <s v="Regular"/>
    <x v="0"/>
    <x v="2"/>
    <x v="5"/>
    <x v="2"/>
    <x v="2"/>
    <x v="0"/>
    <x v="0"/>
    <x v="2"/>
    <n v="0"/>
    <n v="0"/>
    <n v="0.06"/>
    <n v="1.7999999999999999E-2"/>
    <n v="0.06"/>
    <n v="1.7999999999999999E-2"/>
    <n v="0"/>
    <x v="0"/>
    <n v="0"/>
    <n v="0"/>
    <n v="17"/>
    <n v="78"/>
    <n v="0"/>
    <n v="71.260000000000005"/>
    <n v="297.31"/>
    <m/>
    <n v="93.077207753495102"/>
    <n v="234.85968807843457"/>
    <n v="0"/>
    <n v="1.28268"/>
    <n v="5.3515799999999993"/>
    <n v="0"/>
    <n v="1.6753897395629118"/>
    <n v="4.2274743854118224"/>
  </r>
  <r>
    <s v="Regular"/>
    <x v="0"/>
    <x v="2"/>
    <x v="5"/>
    <x v="2"/>
    <x v="2"/>
    <x v="0"/>
    <x v="0"/>
    <x v="3"/>
    <n v="0"/>
    <n v="0"/>
    <n v="7.3"/>
    <n v="2.19"/>
    <n v="7.3"/>
    <n v="2.19"/>
    <n v="0"/>
    <x v="0"/>
    <n v="0"/>
    <n v="0"/>
    <n v="17"/>
    <n v="78"/>
    <n v="0"/>
    <n v="71.260000000000005"/>
    <n v="297.31"/>
    <m/>
    <n v="93.077207753495102"/>
    <n v="234.85968807843457"/>
    <n v="0"/>
    <n v="156.05940000000001"/>
    <n v="651.10889999999995"/>
    <n v="0"/>
    <n v="203.83908498015427"/>
    <n v="514.34271689177172"/>
  </r>
  <r>
    <s v="Regular"/>
    <x v="0"/>
    <x v="2"/>
    <x v="5"/>
    <x v="2"/>
    <x v="2"/>
    <x v="0"/>
    <x v="0"/>
    <x v="4"/>
    <n v="0"/>
    <n v="0"/>
    <n v="28.536999999999999"/>
    <n v="8.5610999999999997"/>
    <n v="28.536999999999999"/>
    <n v="8.5610999999999997"/>
    <n v="0"/>
    <x v="0"/>
    <n v="0"/>
    <n v="0"/>
    <n v="17"/>
    <n v="78"/>
    <n v="0"/>
    <n v="71.260000000000005"/>
    <n v="297.31"/>
    <m/>
    <n v="93.077207753495102"/>
    <n v="234.85968807843457"/>
    <n v="0"/>
    <n v="610.063986"/>
    <n v="2545.3006409999998"/>
    <n v="0"/>
    <n v="796.84328329844686"/>
    <n v="2010.6572756082862"/>
  </r>
  <r>
    <s v="Regular"/>
    <x v="0"/>
    <x v="2"/>
    <x v="5"/>
    <x v="2"/>
    <x v="2"/>
    <x v="0"/>
    <x v="0"/>
    <x v="5"/>
    <n v="0"/>
    <n v="0"/>
    <n v="63.548999999999999"/>
    <n v="19.064699999999998"/>
    <n v="63.548999999999999"/>
    <n v="19.064699999999998"/>
    <n v="0"/>
    <x v="0"/>
    <n v="0"/>
    <n v="0"/>
    <n v="17"/>
    <n v="78"/>
    <n v="0"/>
    <n v="71.260000000000005"/>
    <n v="297.31"/>
    <m/>
    <n v="93.077207753495102"/>
    <n v="234.85968807843457"/>
    <n v="0"/>
    <n v="1358.550522"/>
    <n v="5668.1259569999993"/>
    <n v="0"/>
    <n v="1774.489042658058"/>
    <n v="4477.5294953089315"/>
  </r>
  <r>
    <s v="Regular"/>
    <x v="0"/>
    <x v="2"/>
    <x v="5"/>
    <x v="2"/>
    <x v="2"/>
    <x v="0"/>
    <x v="0"/>
    <x v="6"/>
    <n v="0"/>
    <n v="0"/>
    <n v="37.036999999999999"/>
    <n v="11.1111"/>
    <n v="37.036999999999999"/>
    <n v="11.1111"/>
    <n v="0"/>
    <x v="0"/>
    <n v="0"/>
    <n v="0"/>
    <n v="17"/>
    <n v="78"/>
    <n v="0"/>
    <n v="71.260000000000005"/>
    <n v="297.31"/>
    <m/>
    <n v="93.077207753495102"/>
    <n v="234.85968807843457"/>
    <n v="0"/>
    <n v="791.77698600000008"/>
    <n v="3303.4411410000002"/>
    <n v="0"/>
    <n v="1034.1901630698594"/>
    <n v="2609.5494802082944"/>
  </r>
  <r>
    <s v="Regular"/>
    <x v="0"/>
    <x v="2"/>
    <x v="5"/>
    <x v="2"/>
    <x v="2"/>
    <x v="0"/>
    <x v="0"/>
    <x v="7"/>
    <n v="0"/>
    <n v="0"/>
    <n v="32.451999999999998"/>
    <n v="9.7355999999999998"/>
    <n v="32.451999999999998"/>
    <n v="9.7355999999999998"/>
    <n v="0"/>
    <x v="0"/>
    <n v="0"/>
    <n v="0"/>
    <n v="17"/>
    <n v="78"/>
    <n v="0"/>
    <n v="71.260000000000005"/>
    <n v="297.31"/>
    <m/>
    <n v="93.077207753495102"/>
    <n v="234.85968807843457"/>
    <n v="0"/>
    <n v="693.75885600000004"/>
    <n v="2894.4912359999998"/>
    <n v="0"/>
    <n v="906.16246380492692"/>
    <n v="2286.4999792564076"/>
  </r>
  <r>
    <s v="Regular"/>
    <x v="0"/>
    <x v="2"/>
    <x v="5"/>
    <x v="2"/>
    <x v="2"/>
    <x v="0"/>
    <x v="0"/>
    <x v="8"/>
    <n v="0"/>
    <n v="0"/>
    <n v="0.38200000000000001"/>
    <n v="0.11459999999999999"/>
    <n v="0.38200000000000001"/>
    <n v="0.11459999999999999"/>
    <n v="0"/>
    <x v="0"/>
    <n v="0"/>
    <n v="0"/>
    <n v="17"/>
    <n v="78"/>
    <n v="0"/>
    <n v="71.260000000000005"/>
    <n v="297.31"/>
    <m/>
    <n v="93.077207753495102"/>
    <n v="234.85968807843457"/>
    <n v="0"/>
    <n v="8.1663960000000007"/>
    <n v="34.071725999999998"/>
    <n v="0"/>
    <n v="10.666648008550538"/>
    <n v="26.914920253788601"/>
  </r>
  <r>
    <s v="Regular"/>
    <x v="0"/>
    <x v="2"/>
    <x v="5"/>
    <x v="2"/>
    <x v="2"/>
    <x v="0"/>
    <x v="0"/>
    <x v="9"/>
    <n v="0"/>
    <n v="0"/>
    <n v="1.601"/>
    <n v="0.4803"/>
    <n v="1.601"/>
    <n v="0.4803"/>
    <n v="0"/>
    <x v="0"/>
    <n v="0"/>
    <n v="0"/>
    <n v="17"/>
    <n v="78"/>
    <n v="0"/>
    <n v="71.260000000000005"/>
    <n v="297.31"/>
    <m/>
    <n v="93.077207753495102"/>
    <n v="234.85968807843457"/>
    <n v="0"/>
    <n v="34.226178000000004"/>
    <n v="142.79799299999999"/>
    <n v="0"/>
    <n v="44.704982884003698"/>
    <n v="112.80310818407213"/>
  </r>
  <r>
    <s v="Regular"/>
    <x v="0"/>
    <x v="2"/>
    <x v="5"/>
    <x v="2"/>
    <x v="2"/>
    <x v="0"/>
    <x v="0"/>
    <x v="10"/>
    <n v="0"/>
    <n v="0"/>
    <n v="1.696"/>
    <n v="0.50880000000000003"/>
    <n v="1.696"/>
    <n v="0.50880000000000003"/>
    <n v="0"/>
    <x v="0"/>
    <n v="0"/>
    <n v="0"/>
    <n v="17"/>
    <n v="78"/>
    <n v="0"/>
    <n v="71.260000000000005"/>
    <n v="297.31"/>
    <m/>
    <n v="93.077207753495102"/>
    <n v="234.85968807843457"/>
    <n v="0"/>
    <n v="36.257088000000003"/>
    <n v="151.27132800000001"/>
    <n v="0"/>
    <n v="47.357683304978309"/>
    <n v="119.49660929430752"/>
  </r>
  <r>
    <s v="PROJETADO"/>
    <x v="0"/>
    <x v="2"/>
    <x v="5"/>
    <x v="2"/>
    <x v="2"/>
    <x v="0"/>
    <x v="0"/>
    <x v="11"/>
    <n v="0"/>
    <n v="0"/>
    <n v="1.696"/>
    <n v="0.50880000000000003"/>
    <n v="1.696"/>
    <n v="0.50880000000000003"/>
    <n v="0"/>
    <x v="0"/>
    <n v="0"/>
    <n v="0"/>
    <n v="17"/>
    <n v="78"/>
    <n v="0"/>
    <n v="71.260000000000005"/>
    <n v="297.31"/>
    <m/>
    <n v="93.077207753495102"/>
    <n v="234.85968807843457"/>
    <n v="0"/>
    <n v="36.257088000000003"/>
    <n v="151.27132800000001"/>
    <n v="0"/>
    <n v="47.357683304978309"/>
    <n v="119.49660929430752"/>
  </r>
  <r>
    <s v="Regular"/>
    <x v="0"/>
    <x v="2"/>
    <x v="5"/>
    <x v="2"/>
    <x v="0"/>
    <x v="0"/>
    <x v="0"/>
    <x v="0"/>
    <n v="0"/>
    <n v="0"/>
    <n v="4.133"/>
    <n v="4.133"/>
    <n v="4.133"/>
    <n v="4.133"/>
    <n v="0"/>
    <x v="0"/>
    <n v="0"/>
    <n v="0"/>
    <n v="17"/>
    <n v="78"/>
    <n v="0"/>
    <n v="68.409599999999998"/>
    <n v="285.41759999999999"/>
    <m/>
    <n v="91.215663598425195"/>
    <n v="230.16249431686589"/>
    <n v="0"/>
    <n v="282.7368768"/>
    <n v="1179.6309408"/>
    <n v="0"/>
    <n v="376.99433765229134"/>
    <n v="951.2615890116067"/>
  </r>
  <r>
    <s v="Regular"/>
    <x v="0"/>
    <x v="2"/>
    <x v="5"/>
    <x v="2"/>
    <x v="0"/>
    <x v="0"/>
    <x v="0"/>
    <x v="1"/>
    <n v="0"/>
    <n v="0"/>
    <n v="1.1839999999999999"/>
    <n v="1.1839999999999999"/>
    <n v="1.1839999999999999"/>
    <n v="1.1839999999999999"/>
    <n v="0"/>
    <x v="0"/>
    <n v="0"/>
    <n v="0"/>
    <n v="17"/>
    <n v="78"/>
    <n v="0"/>
    <n v="68.409599999999998"/>
    <n v="285.41759999999999"/>
    <m/>
    <n v="91.215663598425195"/>
    <n v="230.16249431686589"/>
    <n v="0"/>
    <n v="80.996966399999991"/>
    <n v="337.93443839999998"/>
    <n v="0"/>
    <n v="107.99934570053543"/>
    <n v="272.51239327116917"/>
  </r>
  <r>
    <s v="Regular"/>
    <x v="0"/>
    <x v="2"/>
    <x v="5"/>
    <x v="2"/>
    <x v="0"/>
    <x v="0"/>
    <x v="0"/>
    <x v="2"/>
    <n v="0"/>
    <n v="0"/>
    <n v="5.3810000000000002"/>
    <n v="5.3810000000000002"/>
    <n v="5.3810000000000002"/>
    <n v="5.3810000000000002"/>
    <n v="0"/>
    <x v="0"/>
    <n v="0"/>
    <n v="0"/>
    <n v="17"/>
    <n v="78"/>
    <n v="0"/>
    <n v="68.409599999999998"/>
    <n v="285.41759999999999"/>
    <m/>
    <n v="91.215663598425195"/>
    <n v="230.16249431686589"/>
    <n v="0"/>
    <n v="368.11205760000001"/>
    <n v="1535.8321056"/>
    <n v="0"/>
    <n v="490.831485823126"/>
    <n v="1238.5043819190555"/>
  </r>
  <r>
    <s v="Regular"/>
    <x v="0"/>
    <x v="2"/>
    <x v="5"/>
    <x v="2"/>
    <x v="0"/>
    <x v="0"/>
    <x v="0"/>
    <x v="3"/>
    <n v="0"/>
    <n v="0"/>
    <n v="6.93"/>
    <n v="6.93"/>
    <n v="6.93"/>
    <n v="6.93"/>
    <n v="0"/>
    <x v="0"/>
    <n v="0"/>
    <n v="0"/>
    <n v="17"/>
    <n v="78"/>
    <n v="0"/>
    <n v="68.409599999999998"/>
    <n v="285.41759999999999"/>
    <m/>
    <n v="91.215663598425195"/>
    <n v="230.16249431686589"/>
    <n v="0"/>
    <n v="474.07852799999995"/>
    <n v="1977.9439679999998"/>
    <n v="0"/>
    <n v="632.12454873708657"/>
    <n v="1595.0260856158804"/>
  </r>
  <r>
    <s v="Regular"/>
    <x v="0"/>
    <x v="2"/>
    <x v="5"/>
    <x v="2"/>
    <x v="0"/>
    <x v="0"/>
    <x v="0"/>
    <x v="4"/>
    <n v="0"/>
    <n v="0"/>
    <n v="35.174999999999997"/>
    <n v="35.174999999999997"/>
    <n v="35.174999999999997"/>
    <n v="35.174999999999997"/>
    <n v="0"/>
    <x v="0"/>
    <n v="0"/>
    <n v="0"/>
    <n v="17"/>
    <n v="78"/>
    <n v="0"/>
    <n v="68.409599999999998"/>
    <n v="285.41759999999999"/>
    <m/>
    <n v="91.215663598425195"/>
    <n v="230.16249431686589"/>
    <n v="0"/>
    <n v="2406.3076799999999"/>
    <n v="10039.564079999998"/>
    <n v="0"/>
    <n v="3208.510967074606"/>
    <n v="8095.9657375957568"/>
  </r>
  <r>
    <s v="Regular"/>
    <x v="0"/>
    <x v="2"/>
    <x v="5"/>
    <x v="2"/>
    <x v="0"/>
    <x v="0"/>
    <x v="0"/>
    <x v="5"/>
    <n v="0"/>
    <n v="0"/>
    <n v="59.996000000000002"/>
    <n v="59.996000000000002"/>
    <n v="59.996000000000002"/>
    <n v="59.996000000000002"/>
    <n v="0"/>
    <x v="0"/>
    <n v="0"/>
    <n v="0"/>
    <n v="17"/>
    <n v="78"/>
    <n v="0"/>
    <n v="68.409599999999998"/>
    <n v="285.41759999999999"/>
    <m/>
    <n v="91.215663598425195"/>
    <n v="230.16249431686589"/>
    <n v="0"/>
    <n v="4104.3023616"/>
    <n v="17123.9143296"/>
    <n v="0"/>
    <n v="5472.5749532511181"/>
    <n v="13808.829009034687"/>
  </r>
  <r>
    <s v="Regular"/>
    <x v="0"/>
    <x v="2"/>
    <x v="5"/>
    <x v="2"/>
    <x v="0"/>
    <x v="0"/>
    <x v="0"/>
    <x v="6"/>
    <n v="0"/>
    <n v="0"/>
    <n v="56.631"/>
    <n v="56.631"/>
    <n v="56.631"/>
    <n v="56.631"/>
    <n v="0"/>
    <x v="0"/>
    <n v="0"/>
    <n v="0"/>
    <n v="17"/>
    <n v="78"/>
    <n v="0"/>
    <n v="68.409599999999998"/>
    <n v="285.41759999999999"/>
    <m/>
    <n v="91.215663598425195"/>
    <n v="230.16249431686589"/>
    <n v="0"/>
    <n v="3874.1040576"/>
    <n v="16163.4841056"/>
    <n v="0"/>
    <n v="5165.6342452424169"/>
    <n v="13034.332215658433"/>
  </r>
  <r>
    <s v="Regular"/>
    <x v="0"/>
    <x v="2"/>
    <x v="5"/>
    <x v="2"/>
    <x v="0"/>
    <x v="0"/>
    <x v="0"/>
    <x v="7"/>
    <n v="0"/>
    <n v="0"/>
    <n v="30.75"/>
    <n v="30.75"/>
    <n v="30.75"/>
    <n v="30.75"/>
    <n v="0"/>
    <x v="0"/>
    <n v="0"/>
    <n v="0"/>
    <n v="17"/>
    <n v="78"/>
    <n v="0"/>
    <n v="68.409599999999998"/>
    <n v="285.41759999999999"/>
    <m/>
    <n v="91.215663598425195"/>
    <n v="230.16249431686589"/>
    <n v="0"/>
    <n v="2103.5951999999997"/>
    <n v="8776.5911999999989"/>
    <n v="0"/>
    <n v="2804.8816556515749"/>
    <n v="7077.496700243626"/>
  </r>
  <r>
    <s v="Regular"/>
    <x v="0"/>
    <x v="2"/>
    <x v="5"/>
    <x v="2"/>
    <x v="0"/>
    <x v="0"/>
    <x v="0"/>
    <x v="8"/>
    <n v="0"/>
    <n v="0"/>
    <n v="0.42399999999999999"/>
    <n v="0.42399999999999999"/>
    <n v="0.42399999999999999"/>
    <n v="0.42399999999999999"/>
    <n v="0"/>
    <x v="0"/>
    <n v="0"/>
    <n v="0"/>
    <n v="17"/>
    <n v="78"/>
    <n v="0"/>
    <n v="68.409599999999998"/>
    <n v="285.41759999999999"/>
    <m/>
    <n v="91.215663598425195"/>
    <n v="230.16249431686589"/>
    <n v="0"/>
    <n v="29.0056704"/>
    <n v="121.0170624"/>
    <n v="0"/>
    <n v="38.675441365732283"/>
    <n v="97.588897590351138"/>
  </r>
  <r>
    <s v="Regular"/>
    <x v="0"/>
    <x v="2"/>
    <x v="5"/>
    <x v="2"/>
    <x v="0"/>
    <x v="0"/>
    <x v="0"/>
    <x v="9"/>
    <n v="0"/>
    <n v="0"/>
    <n v="2.1419999999999999"/>
    <n v="2.1419999999999999"/>
    <n v="2.1419999999999999"/>
    <n v="2.1419999999999999"/>
    <n v="0"/>
    <x v="0"/>
    <n v="0"/>
    <n v="0"/>
    <n v="17"/>
    <n v="78"/>
    <n v="0"/>
    <n v="68.409599999999998"/>
    <n v="285.41759999999999"/>
    <m/>
    <n v="91.215663598425195"/>
    <n v="230.16249431686589"/>
    <n v="0"/>
    <n v="146.5333632"/>
    <n v="611.36449919999995"/>
    <n v="0"/>
    <n v="195.38395142782676"/>
    <n v="493.0080628267267"/>
  </r>
  <r>
    <s v="Regular"/>
    <x v="0"/>
    <x v="2"/>
    <x v="5"/>
    <x v="2"/>
    <x v="0"/>
    <x v="0"/>
    <x v="0"/>
    <x v="10"/>
    <n v="0"/>
    <n v="0"/>
    <n v="3.1789999999999998"/>
    <n v="3.1789999999999998"/>
    <n v="3.1789999999999998"/>
    <n v="3.1789999999999998"/>
    <n v="0"/>
    <x v="0"/>
    <n v="0"/>
    <n v="0"/>
    <n v="17"/>
    <n v="78"/>
    <n v="0"/>
    <n v="68.409599999999998"/>
    <n v="285.41759999999999"/>
    <m/>
    <n v="91.215663598425195"/>
    <n v="230.16249431686589"/>
    <n v="0"/>
    <n v="217.47411839999998"/>
    <n v="907.34255039999994"/>
    <n v="0"/>
    <n v="289.97459457939368"/>
    <n v="731.68656943331666"/>
  </r>
  <r>
    <s v="PROJETADO"/>
    <x v="0"/>
    <x v="2"/>
    <x v="5"/>
    <x v="2"/>
    <x v="0"/>
    <x v="0"/>
    <x v="0"/>
    <x v="11"/>
    <n v="0"/>
    <n v="0"/>
    <n v="3.1789999999999998"/>
    <n v="3.1789999999999998"/>
    <n v="3.1789999999999998"/>
    <n v="3.1789999999999998"/>
    <n v="0"/>
    <x v="0"/>
    <n v="0"/>
    <n v="0"/>
    <n v="17"/>
    <n v="78"/>
    <n v="0"/>
    <n v="68.409599999999998"/>
    <n v="285.41759999999999"/>
    <m/>
    <n v="91.215663598425195"/>
    <n v="230.16249431686589"/>
    <n v="0"/>
    <n v="217.47411839999998"/>
    <n v="907.34255039999994"/>
    <n v="0"/>
    <n v="289.97459457939368"/>
    <n v="731.68656943331666"/>
  </r>
  <r>
    <s v="Regular"/>
    <x v="0"/>
    <x v="2"/>
    <x v="5"/>
    <x v="2"/>
    <x v="0"/>
    <x v="0"/>
    <x v="2"/>
    <x v="0"/>
    <n v="981"/>
    <n v="981"/>
    <n v="0"/>
    <n v="0"/>
    <n v="0"/>
    <n v="0"/>
    <n v="3"/>
    <x v="0"/>
    <n v="0"/>
    <n v="19"/>
    <n v="0"/>
    <n v="0"/>
    <n v="15.638399999999999"/>
    <n v="0"/>
    <n v="0"/>
    <n v="20.689800666447891"/>
    <m/>
    <m/>
    <n v="15341.270399999999"/>
    <n v="0"/>
    <n v="0"/>
    <n v="20296.694453785381"/>
    <n v="0"/>
    <n v="0"/>
  </r>
  <r>
    <s v="Regular"/>
    <x v="0"/>
    <x v="2"/>
    <x v="5"/>
    <x v="2"/>
    <x v="0"/>
    <x v="0"/>
    <x v="2"/>
    <x v="1"/>
    <n v="175"/>
    <n v="175"/>
    <n v="0"/>
    <n v="0"/>
    <n v="0"/>
    <n v="0"/>
    <n v="3"/>
    <x v="0"/>
    <n v="0"/>
    <n v="19"/>
    <n v="0"/>
    <n v="0"/>
    <n v="15.638399999999999"/>
    <n v="0"/>
    <n v="0"/>
    <n v="20.689800666447891"/>
    <m/>
    <m/>
    <n v="2736.72"/>
    <n v="0"/>
    <n v="0"/>
    <n v="3620.7151166283807"/>
    <n v="0"/>
    <n v="0"/>
  </r>
  <r>
    <s v="Regular"/>
    <x v="0"/>
    <x v="2"/>
    <x v="5"/>
    <x v="2"/>
    <x v="0"/>
    <x v="0"/>
    <x v="2"/>
    <x v="2"/>
    <n v="1001"/>
    <n v="1001"/>
    <n v="0"/>
    <n v="0"/>
    <n v="0"/>
    <n v="0"/>
    <n v="3"/>
    <x v="0"/>
    <n v="0"/>
    <n v="19"/>
    <n v="0"/>
    <n v="0"/>
    <n v="15.638399999999999"/>
    <n v="0"/>
    <n v="0"/>
    <n v="20.689800666447891"/>
    <m/>
    <m/>
    <n v="15654.038399999999"/>
    <n v="0"/>
    <n v="0"/>
    <n v="20710.490467114338"/>
    <n v="0"/>
    <n v="0"/>
  </r>
  <r>
    <s v="Regular"/>
    <x v="0"/>
    <x v="2"/>
    <x v="5"/>
    <x v="2"/>
    <x v="0"/>
    <x v="0"/>
    <x v="2"/>
    <x v="3"/>
    <n v="345"/>
    <n v="345"/>
    <n v="0"/>
    <n v="0"/>
    <n v="0"/>
    <n v="0"/>
    <n v="3"/>
    <x v="0"/>
    <n v="0"/>
    <n v="19"/>
    <n v="0"/>
    <n v="0"/>
    <n v="15.638399999999999"/>
    <n v="0"/>
    <n v="0"/>
    <n v="20.689800666447891"/>
    <m/>
    <m/>
    <n v="5395.2479999999996"/>
    <n v="0"/>
    <n v="0"/>
    <n v="7137.9812299245223"/>
    <n v="0"/>
    <n v="0"/>
  </r>
  <r>
    <s v="Regular"/>
    <x v="0"/>
    <x v="2"/>
    <x v="5"/>
    <x v="2"/>
    <x v="0"/>
    <x v="0"/>
    <x v="2"/>
    <x v="4"/>
    <n v="381"/>
    <n v="381"/>
    <n v="0"/>
    <n v="0"/>
    <n v="0"/>
    <n v="0"/>
    <n v="3"/>
    <x v="0"/>
    <n v="0"/>
    <n v="19"/>
    <n v="0"/>
    <n v="0"/>
    <n v="15.638399999999999"/>
    <n v="0"/>
    <n v="0"/>
    <n v="20.689800666447891"/>
    <m/>
    <m/>
    <n v="5958.2303999999995"/>
    <n v="0"/>
    <n v="0"/>
    <n v="7882.8140539166461"/>
    <n v="0"/>
    <n v="0"/>
  </r>
  <r>
    <s v="Regular"/>
    <x v="0"/>
    <x v="2"/>
    <x v="5"/>
    <x v="2"/>
    <x v="0"/>
    <x v="0"/>
    <x v="2"/>
    <x v="5"/>
    <n v="927"/>
    <n v="927"/>
    <n v="0"/>
    <n v="0"/>
    <n v="0"/>
    <n v="0"/>
    <n v="3"/>
    <x v="0"/>
    <n v="0"/>
    <n v="19"/>
    <n v="0"/>
    <n v="0"/>
    <n v="15.638399999999999"/>
    <n v="0"/>
    <n v="0"/>
    <n v="20.689800666447891"/>
    <m/>
    <m/>
    <n v="14496.796799999998"/>
    <n v="0"/>
    <n v="0"/>
    <n v="19179.445217797194"/>
    <n v="0"/>
    <n v="0"/>
  </r>
  <r>
    <s v="Regular"/>
    <x v="0"/>
    <x v="2"/>
    <x v="5"/>
    <x v="2"/>
    <x v="0"/>
    <x v="0"/>
    <x v="2"/>
    <x v="6"/>
    <n v="635"/>
    <n v="635"/>
    <n v="0"/>
    <n v="0"/>
    <n v="0"/>
    <n v="0"/>
    <n v="3"/>
    <x v="0"/>
    <n v="0"/>
    <n v="19"/>
    <n v="0"/>
    <n v="0"/>
    <n v="15.638399999999999"/>
    <n v="0"/>
    <n v="0"/>
    <n v="20.689800666447891"/>
    <m/>
    <m/>
    <n v="9930.384"/>
    <n v="0"/>
    <n v="0"/>
    <n v="13138.02342319441"/>
    <n v="0"/>
    <n v="0"/>
  </r>
  <r>
    <s v="Regular"/>
    <x v="0"/>
    <x v="2"/>
    <x v="5"/>
    <x v="2"/>
    <x v="0"/>
    <x v="0"/>
    <x v="2"/>
    <x v="7"/>
    <n v="589"/>
    <n v="589"/>
    <n v="0"/>
    <n v="0"/>
    <n v="0"/>
    <n v="0"/>
    <n v="3"/>
    <x v="0"/>
    <n v="0"/>
    <n v="19"/>
    <n v="0"/>
    <n v="0"/>
    <n v="15.638399999999999"/>
    <n v="0"/>
    <n v="0"/>
    <n v="20.689800666447891"/>
    <m/>
    <m/>
    <n v="9211.0175999999992"/>
    <n v="0"/>
    <n v="0"/>
    <n v="12186.292592537808"/>
    <n v="0"/>
    <n v="0"/>
  </r>
  <r>
    <s v="Regular"/>
    <x v="0"/>
    <x v="2"/>
    <x v="5"/>
    <x v="2"/>
    <x v="0"/>
    <x v="0"/>
    <x v="2"/>
    <x v="8"/>
    <n v="102"/>
    <n v="102"/>
    <n v="0"/>
    <n v="0"/>
    <n v="0"/>
    <n v="0"/>
    <n v="3"/>
    <x v="0"/>
    <n v="0"/>
    <n v="19"/>
    <n v="0"/>
    <n v="0"/>
    <n v="15.638399999999999"/>
    <n v="0"/>
    <n v="0"/>
    <n v="20.689800666447891"/>
    <m/>
    <m/>
    <n v="1595.1167999999998"/>
    <n v="0"/>
    <n v="0"/>
    <n v="2110.3596679776847"/>
    <n v="0"/>
    <n v="0"/>
  </r>
  <r>
    <s v="Regular"/>
    <x v="0"/>
    <x v="2"/>
    <x v="5"/>
    <x v="2"/>
    <x v="0"/>
    <x v="0"/>
    <x v="2"/>
    <x v="9"/>
    <n v="172"/>
    <n v="172"/>
    <n v="0"/>
    <n v="0"/>
    <n v="0"/>
    <n v="0"/>
    <n v="3"/>
    <x v="0"/>
    <n v="0"/>
    <n v="19"/>
    <n v="0"/>
    <n v="0"/>
    <n v="15.638399999999999"/>
    <n v="0"/>
    <n v="0"/>
    <n v="20.689800666447891"/>
    <m/>
    <m/>
    <n v="2689.8047999999999"/>
    <n v="0"/>
    <n v="0"/>
    <n v="3558.6457146290372"/>
    <n v="0"/>
    <n v="0"/>
  </r>
  <r>
    <s v="Regular"/>
    <x v="0"/>
    <x v="2"/>
    <x v="5"/>
    <x v="2"/>
    <x v="0"/>
    <x v="0"/>
    <x v="2"/>
    <x v="10"/>
    <n v="177"/>
    <n v="177"/>
    <n v="0"/>
    <n v="0"/>
    <n v="0"/>
    <n v="0"/>
    <n v="3"/>
    <x v="0"/>
    <n v="0"/>
    <n v="19"/>
    <n v="0"/>
    <n v="0"/>
    <n v="15.638399999999999"/>
    <n v="0"/>
    <n v="0"/>
    <n v="20.689800666447891"/>
    <m/>
    <m/>
    <n v="2767.9967999999999"/>
    <n v="0"/>
    <n v="0"/>
    <n v="3662.0947179612767"/>
    <n v="0"/>
    <n v="0"/>
  </r>
  <r>
    <s v="PROJETADO"/>
    <x v="0"/>
    <x v="2"/>
    <x v="5"/>
    <x v="2"/>
    <x v="0"/>
    <x v="0"/>
    <x v="2"/>
    <x v="11"/>
    <n v="177"/>
    <n v="177"/>
    <n v="0"/>
    <n v="0"/>
    <n v="0"/>
    <n v="0"/>
    <n v="3"/>
    <x v="0"/>
    <n v="0"/>
    <n v="19"/>
    <n v="0"/>
    <n v="0"/>
    <n v="15.638399999999999"/>
    <n v="0"/>
    <n v="0"/>
    <n v="20.689800666447891"/>
    <m/>
    <m/>
    <n v="2767.9967999999999"/>
    <n v="0"/>
    <n v="0"/>
    <n v="3662.0947179612767"/>
    <n v="0"/>
    <n v="0"/>
  </r>
  <r>
    <s v="Regular"/>
    <x v="0"/>
    <x v="2"/>
    <x v="5"/>
    <x v="2"/>
    <x v="0"/>
    <x v="0"/>
    <x v="1"/>
    <x v="0"/>
    <n v="0"/>
    <n v="0"/>
    <n v="5.0999999999999997E-2"/>
    <n v="5.0999999999999997E-2"/>
    <n v="5.0999999999999997E-2"/>
    <n v="5.0999999999999997E-2"/>
    <n v="0"/>
    <x v="0"/>
    <n v="0"/>
    <n v="0"/>
    <n v="21"/>
    <n v="66"/>
    <n v="0"/>
    <n v="572.90879999999993"/>
    <n v="483.66719999999998"/>
    <m/>
    <n v="609.76924202867474"/>
    <n v="389.25313295960478"/>
    <n v="0"/>
    <n v="29.218348799999994"/>
    <n v="24.667027199999996"/>
    <n v="0"/>
    <n v="31.098231343462409"/>
    <n v="19.851909780939842"/>
  </r>
  <r>
    <s v="Regular"/>
    <x v="0"/>
    <x v="2"/>
    <x v="5"/>
    <x v="2"/>
    <x v="0"/>
    <x v="0"/>
    <x v="1"/>
    <x v="1"/>
    <n v="0"/>
    <n v="0"/>
    <n v="5.0999999999999997E-2"/>
    <n v="5.0999999999999997E-2"/>
    <n v="5.0999999999999997E-2"/>
    <n v="5.0999999999999997E-2"/>
    <n v="0"/>
    <x v="0"/>
    <n v="0"/>
    <n v="0"/>
    <n v="21"/>
    <n v="66"/>
    <n v="0"/>
    <n v="572.90879999999993"/>
    <n v="483.66719999999998"/>
    <m/>
    <n v="609.76924202867474"/>
    <n v="389.25313295960478"/>
    <n v="0"/>
    <n v="29.218348799999994"/>
    <n v="24.667027199999996"/>
    <n v="0"/>
    <n v="31.098231343462409"/>
    <n v="19.851909780939842"/>
  </r>
  <r>
    <s v="Regular"/>
    <x v="0"/>
    <x v="2"/>
    <x v="5"/>
    <x v="2"/>
    <x v="0"/>
    <x v="0"/>
    <x v="1"/>
    <x v="2"/>
    <n v="0"/>
    <n v="0"/>
    <n v="5.1999999999999998E-2"/>
    <n v="5.1999999999999998E-2"/>
    <n v="5.1999999999999998E-2"/>
    <n v="5.1999999999999998E-2"/>
    <n v="0"/>
    <x v="0"/>
    <n v="0"/>
    <n v="0"/>
    <n v="21"/>
    <n v="66"/>
    <n v="0"/>
    <n v="572.90879999999993"/>
    <n v="483.66719999999998"/>
    <m/>
    <n v="609.76924202867474"/>
    <n v="389.25313295960478"/>
    <n v="0"/>
    <n v="29.791257599999994"/>
    <n v="25.150694399999999"/>
    <n v="0"/>
    <n v="31.708000585491085"/>
    <n v="20.241162913899448"/>
  </r>
  <r>
    <s v="Regular"/>
    <x v="0"/>
    <x v="2"/>
    <x v="5"/>
    <x v="2"/>
    <x v="0"/>
    <x v="0"/>
    <x v="1"/>
    <x v="3"/>
    <n v="0"/>
    <n v="0"/>
    <n v="7.2999999999999995E-2"/>
    <n v="7.2999999999999995E-2"/>
    <n v="7.2999999999999995E-2"/>
    <n v="7.2999999999999995E-2"/>
    <n v="0"/>
    <x v="0"/>
    <n v="0"/>
    <n v="0"/>
    <n v="21"/>
    <n v="66"/>
    <n v="0"/>
    <n v="572.90879999999993"/>
    <n v="483.66719999999998"/>
    <m/>
    <n v="609.76924202867474"/>
    <n v="389.25313295960478"/>
    <n v="0"/>
    <n v="41.822342399999989"/>
    <n v="35.307705599999998"/>
    <n v="0"/>
    <n v="44.51315466809325"/>
    <n v="28.415478706051147"/>
  </r>
  <r>
    <s v="Regular"/>
    <x v="0"/>
    <x v="2"/>
    <x v="5"/>
    <x v="2"/>
    <x v="0"/>
    <x v="0"/>
    <x v="1"/>
    <x v="4"/>
    <n v="0"/>
    <n v="0"/>
    <n v="3.5999999999999997E-2"/>
    <n v="3.5999999999999997E-2"/>
    <n v="3.5999999999999997E-2"/>
    <n v="3.5999999999999997E-2"/>
    <n v="0"/>
    <x v="0"/>
    <n v="0"/>
    <n v="0"/>
    <n v="21"/>
    <n v="66"/>
    <n v="0"/>
    <n v="572.90879999999993"/>
    <n v="483.66719999999998"/>
    <m/>
    <n v="609.76924202867474"/>
    <n v="389.25313295960478"/>
    <n v="0"/>
    <n v="20.624716799999995"/>
    <n v="17.4120192"/>
    <n v="0"/>
    <n v="21.951692713032291"/>
    <n v="14.01311278654577"/>
  </r>
  <r>
    <s v="Regular"/>
    <x v="0"/>
    <x v="2"/>
    <x v="5"/>
    <x v="2"/>
    <x v="0"/>
    <x v="0"/>
    <x v="1"/>
    <x v="5"/>
    <n v="0"/>
    <n v="0"/>
    <n v="6.9000000000000006E-2"/>
    <n v="6.9000000000000006E-2"/>
    <n v="6.9000000000000006E-2"/>
    <n v="6.9000000000000006E-2"/>
    <n v="0"/>
    <x v="0"/>
    <n v="0"/>
    <n v="0"/>
    <n v="21"/>
    <n v="66"/>
    <n v="0"/>
    <n v="572.90879999999993"/>
    <n v="483.66719999999998"/>
    <m/>
    <n v="609.76924202867474"/>
    <n v="389.25313295960478"/>
    <n v="0"/>
    <n v="39.530707199999995"/>
    <n v="33.373036800000001"/>
    <n v="0"/>
    <n v="42.07407769997856"/>
    <n v="26.858466174212733"/>
  </r>
  <r>
    <s v="Regular"/>
    <x v="0"/>
    <x v="2"/>
    <x v="5"/>
    <x v="2"/>
    <x v="0"/>
    <x v="0"/>
    <x v="1"/>
    <x v="6"/>
    <n v="0"/>
    <n v="0"/>
    <n v="0.153"/>
    <n v="0.153"/>
    <n v="0.153"/>
    <n v="0.153"/>
    <n v="0"/>
    <x v="0"/>
    <n v="0"/>
    <n v="0"/>
    <n v="21"/>
    <n v="66"/>
    <n v="0"/>
    <n v="572.90879999999993"/>
    <n v="483.66719999999998"/>
    <m/>
    <n v="609.76924202867474"/>
    <n v="389.25313295960478"/>
    <n v="0"/>
    <n v="87.655046399999989"/>
    <n v="74.001081599999992"/>
    <n v="0"/>
    <n v="93.294694030387234"/>
    <n v="59.555729342819532"/>
  </r>
  <r>
    <s v="Regular"/>
    <x v="0"/>
    <x v="2"/>
    <x v="5"/>
    <x v="2"/>
    <x v="0"/>
    <x v="0"/>
    <x v="1"/>
    <x v="7"/>
    <n v="0"/>
    <n v="0"/>
    <n v="0.125"/>
    <n v="0.125"/>
    <n v="0.125"/>
    <n v="0.125"/>
    <n v="0"/>
    <x v="0"/>
    <n v="0"/>
    <n v="0"/>
    <n v="21"/>
    <n v="66"/>
    <n v="0"/>
    <n v="572.90879999999993"/>
    <n v="483.66719999999998"/>
    <m/>
    <n v="609.76924202867474"/>
    <n v="389.25313295960478"/>
    <n v="0"/>
    <n v="71.613599999999991"/>
    <n v="60.458399999999997"/>
    <n v="0"/>
    <n v="76.221155253584342"/>
    <n v="48.656641619950598"/>
  </r>
  <r>
    <s v="Regular"/>
    <x v="0"/>
    <x v="2"/>
    <x v="5"/>
    <x v="2"/>
    <x v="0"/>
    <x v="0"/>
    <x v="1"/>
    <x v="8"/>
    <n v="0"/>
    <n v="0"/>
    <n v="6.8000000000000005E-2"/>
    <n v="6.8000000000000005E-2"/>
    <n v="6.8000000000000005E-2"/>
    <n v="6.8000000000000005E-2"/>
    <n v="0"/>
    <x v="0"/>
    <n v="0"/>
    <n v="0"/>
    <n v="21"/>
    <n v="66"/>
    <n v="0"/>
    <n v="572.90879999999993"/>
    <n v="483.66719999999998"/>
    <m/>
    <n v="609.76924202867474"/>
    <n v="389.25313295960478"/>
    <n v="0"/>
    <n v="38.957798399999994"/>
    <n v="32.889369600000002"/>
    <n v="0"/>
    <n v="41.464308457949883"/>
    <n v="26.469213041253127"/>
  </r>
  <r>
    <s v="Regular"/>
    <x v="0"/>
    <x v="2"/>
    <x v="5"/>
    <x v="2"/>
    <x v="0"/>
    <x v="0"/>
    <x v="1"/>
    <x v="9"/>
    <n v="0"/>
    <n v="0"/>
    <n v="9.5000000000000001E-2"/>
    <n v="9.5000000000000001E-2"/>
    <n v="9.5000000000000001E-2"/>
    <n v="9.5000000000000001E-2"/>
    <n v="0"/>
    <x v="0"/>
    <n v="0"/>
    <n v="0"/>
    <n v="21"/>
    <n v="66"/>
    <n v="0"/>
    <n v="572.90879999999993"/>
    <n v="483.66719999999998"/>
    <m/>
    <n v="609.76924202867474"/>
    <n v="389.25313295960478"/>
    <n v="0"/>
    <n v="54.426335999999992"/>
    <n v="45.948383999999997"/>
    <n v="0"/>
    <n v="57.928077992724099"/>
    <n v="36.979047631162452"/>
  </r>
  <r>
    <s v="Regular"/>
    <x v="0"/>
    <x v="2"/>
    <x v="5"/>
    <x v="2"/>
    <x v="0"/>
    <x v="0"/>
    <x v="1"/>
    <x v="10"/>
    <n v="0"/>
    <n v="0"/>
    <n v="0.111"/>
    <n v="0.111"/>
    <n v="0.111"/>
    <n v="0.111"/>
    <n v="0"/>
    <x v="0"/>
    <n v="0"/>
    <n v="0"/>
    <n v="21"/>
    <n v="66"/>
    <n v="0"/>
    <n v="572.90879999999993"/>
    <n v="483.66719999999998"/>
    <m/>
    <n v="609.76924202867474"/>
    <n v="389.25313295960478"/>
    <n v="0"/>
    <n v="63.592876799999992"/>
    <n v="53.6870592"/>
    <n v="0"/>
    <n v="67.684385865182904"/>
    <n v="43.207097758516134"/>
  </r>
  <r>
    <s v="PROJETADO"/>
    <x v="0"/>
    <x v="2"/>
    <x v="5"/>
    <x v="2"/>
    <x v="0"/>
    <x v="0"/>
    <x v="1"/>
    <x v="11"/>
    <n v="0"/>
    <n v="0"/>
    <n v="0.111"/>
    <n v="0.111"/>
    <n v="0.111"/>
    <n v="0.111"/>
    <n v="0"/>
    <x v="0"/>
    <n v="0"/>
    <n v="0"/>
    <n v="21"/>
    <n v="66"/>
    <n v="0"/>
    <n v="572.90879999999993"/>
    <n v="483.66719999999998"/>
    <m/>
    <n v="609.76924202867474"/>
    <n v="389.25313295960478"/>
    <n v="0"/>
    <n v="63.592876799999992"/>
    <n v="53.6870592"/>
    <n v="0"/>
    <n v="67.684385865182904"/>
    <n v="43.207097758516134"/>
  </r>
  <r>
    <s v="Regular"/>
    <x v="0"/>
    <x v="2"/>
    <x v="5"/>
    <x v="1"/>
    <x v="0"/>
    <x v="0"/>
    <x v="0"/>
    <x v="0"/>
    <n v="0"/>
    <n v="0"/>
    <n v="82.04"/>
    <n v="82.04"/>
    <n v="82.04"/>
    <n v="82.04"/>
    <n v="0"/>
    <x v="0"/>
    <n v="0"/>
    <n v="0"/>
    <n v="17"/>
    <n v="78"/>
    <n v="0"/>
    <n v="68.409599999999998"/>
    <n v="285.41759999999999"/>
    <m/>
    <n v="91.215663598425195"/>
    <n v="230.16249431686589"/>
    <n v="0"/>
    <n v="5612.3235840000007"/>
    <n v="23415.659904"/>
    <n v="0"/>
    <n v="7483.3330416148037"/>
    <n v="18882.53103375568"/>
  </r>
  <r>
    <s v="Regular"/>
    <x v="0"/>
    <x v="2"/>
    <x v="5"/>
    <x v="1"/>
    <x v="0"/>
    <x v="0"/>
    <x v="0"/>
    <x v="1"/>
    <n v="0"/>
    <n v="0"/>
    <n v="76.536000000000001"/>
    <n v="76.536000000000001"/>
    <n v="76.536000000000001"/>
    <n v="76.536000000000001"/>
    <n v="0"/>
    <x v="0"/>
    <n v="0"/>
    <n v="0"/>
    <n v="17"/>
    <n v="78"/>
    <n v="0"/>
    <n v="68.409599999999998"/>
    <n v="285.41759999999999"/>
    <m/>
    <n v="91.215663598425195"/>
    <n v="230.16249431686589"/>
    <n v="0"/>
    <n v="5235.7971455999996"/>
    <n v="21844.7214336"/>
    <n v="0"/>
    <n v="6981.2820291690705"/>
    <n v="17615.716665035648"/>
  </r>
  <r>
    <s v="Regular"/>
    <x v="0"/>
    <x v="2"/>
    <x v="5"/>
    <x v="1"/>
    <x v="0"/>
    <x v="0"/>
    <x v="0"/>
    <x v="2"/>
    <n v="0"/>
    <n v="0"/>
    <n v="74.075999999999993"/>
    <n v="74.075999999999993"/>
    <n v="74.075999999999993"/>
    <n v="74.075999999999993"/>
    <n v="0"/>
    <x v="0"/>
    <n v="0"/>
    <n v="0"/>
    <n v="17"/>
    <n v="78"/>
    <n v="0"/>
    <n v="68.409599999999998"/>
    <n v="285.41759999999999"/>
    <m/>
    <n v="91.215663598425195"/>
    <n v="230.16249431686589"/>
    <n v="0"/>
    <n v="5067.509529599999"/>
    <n v="21142.594137599997"/>
    <n v="0"/>
    <n v="6756.8914967169439"/>
    <n v="17049.516929016158"/>
  </r>
  <r>
    <s v="Regular"/>
    <x v="0"/>
    <x v="2"/>
    <x v="5"/>
    <x v="1"/>
    <x v="0"/>
    <x v="0"/>
    <x v="0"/>
    <x v="3"/>
    <n v="0"/>
    <n v="0"/>
    <n v="79.597999999999999"/>
    <n v="79.597999999999999"/>
    <n v="79.597999999999999"/>
    <n v="79.597999999999999"/>
    <n v="0"/>
    <x v="0"/>
    <n v="0"/>
    <n v="0"/>
    <n v="17"/>
    <n v="78"/>
    <n v="0"/>
    <n v="68.409599999999998"/>
    <n v="285.41759999999999"/>
    <m/>
    <n v="91.215663598425195"/>
    <n v="230.16249431686589"/>
    <n v="0"/>
    <n v="5445.2673408000001"/>
    <n v="22718.670124799999"/>
    <n v="0"/>
    <n v="7260.5843911074489"/>
    <n v="18320.474222633889"/>
  </r>
  <r>
    <s v="Regular"/>
    <x v="0"/>
    <x v="2"/>
    <x v="5"/>
    <x v="1"/>
    <x v="0"/>
    <x v="0"/>
    <x v="0"/>
    <x v="4"/>
    <n v="0"/>
    <n v="0"/>
    <n v="105.44"/>
    <n v="105.44"/>
    <n v="105.44"/>
    <n v="105.44"/>
    <n v="0"/>
    <x v="0"/>
    <n v="0"/>
    <n v="0"/>
    <n v="17"/>
    <n v="78"/>
    <n v="0"/>
    <n v="68.409599999999998"/>
    <n v="285.41759999999999"/>
    <m/>
    <n v="91.215663598425195"/>
    <n v="230.16249431686589"/>
    <n v="0"/>
    <n v="7213.1082239999996"/>
    <n v="30094.431743999998"/>
    <n v="0"/>
    <n v="9617.7795698179525"/>
    <n v="24268.333400770338"/>
  </r>
  <r>
    <s v="Regular"/>
    <x v="0"/>
    <x v="2"/>
    <x v="5"/>
    <x v="1"/>
    <x v="0"/>
    <x v="0"/>
    <x v="0"/>
    <x v="5"/>
    <n v="0"/>
    <n v="0"/>
    <n v="85.52"/>
    <n v="85.52"/>
    <n v="85.52"/>
    <n v="85.52"/>
    <n v="0"/>
    <x v="0"/>
    <n v="0"/>
    <n v="0"/>
    <n v="17"/>
    <n v="78"/>
    <n v="0"/>
    <n v="68.409599999999998"/>
    <n v="285.41759999999999"/>
    <m/>
    <n v="91.215663598425195"/>
    <n v="230.16249431686589"/>
    <n v="0"/>
    <n v="5850.3889919999992"/>
    <n v="24408.913151999997"/>
    <n v="0"/>
    <n v="7800.7635509373222"/>
    <n v="19683.496513978371"/>
  </r>
  <r>
    <s v="Regular"/>
    <x v="0"/>
    <x v="2"/>
    <x v="5"/>
    <x v="1"/>
    <x v="0"/>
    <x v="0"/>
    <x v="0"/>
    <x v="6"/>
    <n v="0"/>
    <n v="0"/>
    <n v="110.642"/>
    <n v="110.642"/>
    <n v="110.642"/>
    <n v="110.642"/>
    <n v="0"/>
    <x v="0"/>
    <n v="0"/>
    <n v="0"/>
    <n v="17"/>
    <n v="78"/>
    <n v="0"/>
    <n v="68.409599999999998"/>
    <n v="285.41759999999999"/>
    <m/>
    <n v="91.215663598425195"/>
    <n v="230.16249431686589"/>
    <n v="0"/>
    <n v="7568.9749631999994"/>
    <n v="31579.174099199998"/>
    <n v="0"/>
    <n v="10092.28345185696"/>
    <n v="25465.638696206675"/>
  </r>
  <r>
    <s v="Regular"/>
    <x v="0"/>
    <x v="2"/>
    <x v="5"/>
    <x v="1"/>
    <x v="0"/>
    <x v="0"/>
    <x v="0"/>
    <x v="7"/>
    <n v="0"/>
    <n v="0"/>
    <n v="104.31"/>
    <n v="104.31"/>
    <n v="104.31"/>
    <n v="104.31"/>
    <n v="0"/>
    <x v="0"/>
    <n v="0"/>
    <n v="0"/>
    <n v="17"/>
    <n v="78"/>
    <n v="0"/>
    <n v="68.409599999999998"/>
    <n v="285.41759999999999"/>
    <m/>
    <n v="91.215663598425195"/>
    <n v="230.16249431686589"/>
    <n v="0"/>
    <n v="7135.8053760000003"/>
    <n v="29771.909855999998"/>
    <n v="0"/>
    <n v="9514.7058699517329"/>
    <n v="24008.249782192281"/>
  </r>
  <r>
    <s v="Regular"/>
    <x v="0"/>
    <x v="2"/>
    <x v="5"/>
    <x v="1"/>
    <x v="0"/>
    <x v="0"/>
    <x v="0"/>
    <x v="8"/>
    <n v="0"/>
    <n v="0"/>
    <n v="115.179"/>
    <n v="115.179"/>
    <n v="115.179"/>
    <n v="115.179"/>
    <n v="0"/>
    <x v="0"/>
    <n v="0"/>
    <n v="0"/>
    <n v="17"/>
    <n v="78"/>
    <n v="0"/>
    <n v="68.409599999999998"/>
    <n v="285.41759999999999"/>
    <m/>
    <n v="91.215663598425195"/>
    <n v="230.16249431686589"/>
    <n v="0"/>
    <n v="7879.3493183999999"/>
    <n v="32874.1137504"/>
    <n v="0"/>
    <n v="10506.128917603015"/>
    <n v="26509.885932922298"/>
  </r>
  <r>
    <s v="Regular"/>
    <x v="0"/>
    <x v="2"/>
    <x v="5"/>
    <x v="1"/>
    <x v="0"/>
    <x v="0"/>
    <x v="0"/>
    <x v="9"/>
    <n v="0"/>
    <n v="0"/>
    <n v="144.667"/>
    <n v="144.667"/>
    <n v="144.667"/>
    <n v="144.667"/>
    <n v="0"/>
    <x v="0"/>
    <n v="0"/>
    <n v="0"/>
    <n v="17"/>
    <n v="78"/>
    <n v="0"/>
    <n v="68.409599999999998"/>
    <n v="285.41759999999999"/>
    <m/>
    <n v="91.215663598425195"/>
    <n v="230.16249431686589"/>
    <n v="0"/>
    <n v="9896.6116031999991"/>
    <n v="41290.507939199997"/>
    <n v="0"/>
    <n v="13195.896405793377"/>
    <n v="33296.917565338037"/>
  </r>
  <r>
    <s v="Regular"/>
    <x v="0"/>
    <x v="2"/>
    <x v="5"/>
    <x v="1"/>
    <x v="0"/>
    <x v="0"/>
    <x v="0"/>
    <x v="10"/>
    <n v="0"/>
    <n v="0"/>
    <n v="117.187"/>
    <n v="117.187"/>
    <n v="117.187"/>
    <n v="117.187"/>
    <n v="0"/>
    <x v="0"/>
    <n v="0"/>
    <n v="0"/>
    <n v="17"/>
    <n v="78"/>
    <n v="0"/>
    <n v="68.409599999999998"/>
    <n v="285.41759999999999"/>
    <m/>
    <n v="91.215663598425195"/>
    <n v="230.16249431686589"/>
    <n v="0"/>
    <n v="8016.7157951999998"/>
    <n v="33447.232291200002"/>
    <n v="0"/>
    <n v="10689.289970108654"/>
    <n v="26972.052221510563"/>
  </r>
  <r>
    <s v="PROJETADO"/>
    <x v="0"/>
    <x v="2"/>
    <x v="5"/>
    <x v="1"/>
    <x v="0"/>
    <x v="0"/>
    <x v="0"/>
    <x v="11"/>
    <n v="0"/>
    <n v="0"/>
    <n v="117.187"/>
    <n v="117.187"/>
    <n v="117.187"/>
    <n v="117.187"/>
    <n v="0"/>
    <x v="0"/>
    <n v="0"/>
    <n v="0"/>
    <n v="17"/>
    <n v="78"/>
    <n v="0"/>
    <n v="68.409599999999998"/>
    <n v="285.41759999999999"/>
    <m/>
    <n v="91.215663598425195"/>
    <n v="230.16249431686589"/>
    <n v="0"/>
    <n v="8016.7157951999998"/>
    <n v="33447.232291200002"/>
    <n v="0"/>
    <n v="10689.289970108654"/>
    <n v="26972.052221510563"/>
  </r>
  <r>
    <s v="Regular"/>
    <x v="0"/>
    <x v="2"/>
    <x v="5"/>
    <x v="1"/>
    <x v="0"/>
    <x v="0"/>
    <x v="2"/>
    <x v="0"/>
    <n v="518"/>
    <n v="518"/>
    <n v="0"/>
    <n v="0"/>
    <n v="0"/>
    <n v="0"/>
    <n v="5"/>
    <x v="0"/>
    <n v="0"/>
    <n v="19"/>
    <n v="0"/>
    <n v="0"/>
    <n v="15.638399999999999"/>
    <n v="0"/>
    <n v="0"/>
    <n v="20.689800666447891"/>
    <m/>
    <m/>
    <n v="8100.6911999999993"/>
    <n v="0"/>
    <n v="0"/>
    <n v="10717.316745220007"/>
    <n v="0"/>
    <n v="0"/>
  </r>
  <r>
    <s v="Regular"/>
    <x v="0"/>
    <x v="2"/>
    <x v="5"/>
    <x v="1"/>
    <x v="0"/>
    <x v="0"/>
    <x v="2"/>
    <x v="1"/>
    <n v="380"/>
    <n v="380"/>
    <n v="0"/>
    <n v="0"/>
    <n v="0"/>
    <n v="0"/>
    <n v="5"/>
    <x v="0"/>
    <n v="0"/>
    <n v="19"/>
    <n v="0"/>
    <n v="0"/>
    <n v="15.638399999999999"/>
    <n v="0"/>
    <n v="0"/>
    <n v="20.689800666447891"/>
    <m/>
    <m/>
    <n v="5942.5919999999996"/>
    <n v="0"/>
    <n v="0"/>
    <n v="7862.1242532501983"/>
    <n v="0"/>
    <n v="0"/>
  </r>
  <r>
    <s v="Regular"/>
    <x v="0"/>
    <x v="2"/>
    <x v="5"/>
    <x v="1"/>
    <x v="0"/>
    <x v="0"/>
    <x v="2"/>
    <x v="2"/>
    <n v="321"/>
    <n v="321"/>
    <n v="0"/>
    <n v="0"/>
    <n v="0"/>
    <n v="0"/>
    <n v="5"/>
    <x v="0"/>
    <n v="0"/>
    <n v="19"/>
    <n v="0"/>
    <n v="0"/>
    <n v="15.638399999999999"/>
    <n v="0"/>
    <n v="0"/>
    <n v="20.689800666447891"/>
    <m/>
    <m/>
    <n v="5019.9263999999994"/>
    <n v="0"/>
    <n v="0"/>
    <n v="6641.426013929773"/>
    <n v="0"/>
    <n v="0"/>
  </r>
  <r>
    <s v="Regular"/>
    <x v="0"/>
    <x v="2"/>
    <x v="5"/>
    <x v="1"/>
    <x v="0"/>
    <x v="0"/>
    <x v="2"/>
    <x v="3"/>
    <n v="450"/>
    <n v="450"/>
    <n v="0"/>
    <n v="0"/>
    <n v="0"/>
    <n v="0"/>
    <n v="5"/>
    <x v="0"/>
    <n v="0"/>
    <n v="19"/>
    <n v="0"/>
    <n v="0"/>
    <n v="15.638399999999999"/>
    <n v="0"/>
    <n v="0"/>
    <n v="20.689800666447891"/>
    <m/>
    <m/>
    <n v="7037.28"/>
    <n v="0"/>
    <n v="0"/>
    <n v="9310.4102999015504"/>
    <n v="0"/>
    <n v="0"/>
  </r>
  <r>
    <s v="Regular"/>
    <x v="0"/>
    <x v="2"/>
    <x v="5"/>
    <x v="1"/>
    <x v="0"/>
    <x v="0"/>
    <x v="2"/>
    <x v="4"/>
    <n v="537"/>
    <n v="537"/>
    <n v="0"/>
    <n v="0"/>
    <n v="0"/>
    <n v="0"/>
    <n v="5"/>
    <x v="0"/>
    <n v="0"/>
    <n v="19"/>
    <n v="0"/>
    <n v="0"/>
    <n v="15.638399999999999"/>
    <n v="0"/>
    <n v="0"/>
    <n v="20.689800666447891"/>
    <m/>
    <m/>
    <n v="8397.8207999999995"/>
    <n v="0"/>
    <n v="0"/>
    <n v="11110.422957882518"/>
    <n v="0"/>
    <n v="0"/>
  </r>
  <r>
    <s v="Regular"/>
    <x v="0"/>
    <x v="2"/>
    <x v="5"/>
    <x v="1"/>
    <x v="0"/>
    <x v="0"/>
    <x v="2"/>
    <x v="5"/>
    <n v="404"/>
    <n v="404"/>
    <n v="0"/>
    <n v="0"/>
    <n v="0"/>
    <n v="0"/>
    <n v="5"/>
    <x v="0"/>
    <n v="0"/>
    <n v="19"/>
    <n v="0"/>
    <n v="0"/>
    <n v="15.638399999999999"/>
    <n v="0"/>
    <n v="0"/>
    <n v="20.689800666447891"/>
    <m/>
    <m/>
    <n v="6317.9135999999999"/>
    <n v="0"/>
    <n v="0"/>
    <n v="8358.6794692449475"/>
    <n v="0"/>
    <n v="0"/>
  </r>
  <r>
    <s v="Regular"/>
    <x v="0"/>
    <x v="2"/>
    <x v="5"/>
    <x v="1"/>
    <x v="0"/>
    <x v="0"/>
    <x v="2"/>
    <x v="6"/>
    <n v="525"/>
    <n v="525"/>
    <n v="0"/>
    <n v="0"/>
    <n v="0"/>
    <n v="0"/>
    <n v="5"/>
    <x v="0"/>
    <n v="0"/>
    <n v="19"/>
    <n v="0"/>
    <n v="0"/>
    <n v="15.638399999999999"/>
    <n v="0"/>
    <n v="0"/>
    <n v="20.689800666447891"/>
    <m/>
    <m/>
    <n v="8210.16"/>
    <n v="0"/>
    <n v="0"/>
    <n v="10862.145349885142"/>
    <n v="0"/>
    <n v="0"/>
  </r>
  <r>
    <s v="Regular"/>
    <x v="0"/>
    <x v="2"/>
    <x v="5"/>
    <x v="1"/>
    <x v="0"/>
    <x v="0"/>
    <x v="2"/>
    <x v="7"/>
    <n v="595"/>
    <n v="595"/>
    <n v="0"/>
    <n v="0"/>
    <n v="0"/>
    <n v="0"/>
    <n v="5"/>
    <x v="0"/>
    <n v="0"/>
    <n v="19"/>
    <n v="0"/>
    <n v="0"/>
    <n v="15.638399999999999"/>
    <n v="0"/>
    <n v="0"/>
    <n v="20.689800666447891"/>
    <m/>
    <m/>
    <n v="9304.848"/>
    <n v="0"/>
    <n v="0"/>
    <n v="12310.431396536495"/>
    <n v="0"/>
    <n v="0"/>
  </r>
  <r>
    <s v="Regular"/>
    <x v="0"/>
    <x v="2"/>
    <x v="5"/>
    <x v="1"/>
    <x v="0"/>
    <x v="0"/>
    <x v="2"/>
    <x v="8"/>
    <n v="737"/>
    <n v="737"/>
    <n v="0"/>
    <n v="0"/>
    <n v="0"/>
    <n v="0"/>
    <n v="5"/>
    <x v="0"/>
    <n v="0"/>
    <n v="19"/>
    <n v="0"/>
    <n v="0"/>
    <n v="15.638399999999999"/>
    <n v="0"/>
    <n v="0"/>
    <n v="20.689800666447891"/>
    <m/>
    <m/>
    <n v="11525.5008"/>
    <n v="0"/>
    <n v="0"/>
    <n v="15248.383091172096"/>
    <n v="0"/>
    <n v="0"/>
  </r>
  <r>
    <s v="Regular"/>
    <x v="0"/>
    <x v="2"/>
    <x v="5"/>
    <x v="1"/>
    <x v="0"/>
    <x v="0"/>
    <x v="2"/>
    <x v="9"/>
    <n v="810"/>
    <n v="810"/>
    <n v="0"/>
    <n v="0"/>
    <n v="0"/>
    <n v="0"/>
    <n v="5"/>
    <x v="0"/>
    <n v="0"/>
    <n v="19"/>
    <n v="0"/>
    <n v="0"/>
    <n v="15.638399999999999"/>
    <n v="0"/>
    <n v="0"/>
    <n v="20.689800666447891"/>
    <m/>
    <m/>
    <n v="12667.103999999999"/>
    <n v="0"/>
    <n v="0"/>
    <n v="16758.738539822793"/>
    <n v="0"/>
    <n v="0"/>
  </r>
  <r>
    <s v="Regular"/>
    <x v="0"/>
    <x v="2"/>
    <x v="5"/>
    <x v="1"/>
    <x v="0"/>
    <x v="0"/>
    <x v="2"/>
    <x v="10"/>
    <n v="773"/>
    <n v="773"/>
    <n v="0"/>
    <n v="0"/>
    <n v="0"/>
    <n v="0"/>
    <n v="5"/>
    <x v="0"/>
    <n v="0"/>
    <n v="19"/>
    <n v="0"/>
    <n v="0"/>
    <n v="15.638399999999999"/>
    <n v="0"/>
    <n v="0"/>
    <n v="20.689800666447891"/>
    <m/>
    <m/>
    <n v="12088.483199999999"/>
    <n v="0"/>
    <n v="0"/>
    <n v="15993.215915164219"/>
    <n v="0"/>
    <n v="0"/>
  </r>
  <r>
    <s v="PROJETADO"/>
    <x v="0"/>
    <x v="2"/>
    <x v="5"/>
    <x v="1"/>
    <x v="0"/>
    <x v="0"/>
    <x v="2"/>
    <x v="11"/>
    <n v="773"/>
    <n v="773"/>
    <n v="0"/>
    <n v="0"/>
    <n v="0"/>
    <n v="0"/>
    <n v="5"/>
    <x v="0"/>
    <n v="0"/>
    <n v="19"/>
    <n v="0"/>
    <n v="0"/>
    <n v="15.638399999999999"/>
    <n v="0"/>
    <n v="0"/>
    <n v="20.689800666447891"/>
    <m/>
    <m/>
    <n v="12088.483199999999"/>
    <n v="0"/>
    <n v="0"/>
    <n v="15993.215915164219"/>
    <n v="0"/>
    <n v="0"/>
  </r>
  <r>
    <s v="Regular"/>
    <x v="0"/>
    <x v="2"/>
    <x v="5"/>
    <x v="1"/>
    <x v="0"/>
    <x v="0"/>
    <x v="1"/>
    <x v="0"/>
    <n v="0"/>
    <n v="0"/>
    <n v="3.0960000000000001"/>
    <n v="3.0960000000000001"/>
    <n v="3.0960000000000001"/>
    <n v="3.0960000000000001"/>
    <n v="0"/>
    <x v="0"/>
    <n v="0"/>
    <n v="0"/>
    <n v="21"/>
    <n v="66"/>
    <n v="0"/>
    <n v="572.90879999999993"/>
    <n v="483.66719999999998"/>
    <m/>
    <n v="609.76924202867474"/>
    <n v="389.25313295960478"/>
    <n v="0"/>
    <n v="1773.7256447999998"/>
    <n v="1497.4336512"/>
    <n v="0"/>
    <n v="1887.845573320777"/>
    <n v="1205.1276996429365"/>
  </r>
  <r>
    <s v="Regular"/>
    <x v="0"/>
    <x v="2"/>
    <x v="5"/>
    <x v="1"/>
    <x v="0"/>
    <x v="0"/>
    <x v="1"/>
    <x v="1"/>
    <n v="0"/>
    <n v="0"/>
    <n v="3.1389999999999998"/>
    <n v="3.1389999999999998"/>
    <n v="3.1389999999999998"/>
    <n v="3.1389999999999998"/>
    <n v="0"/>
    <x v="0"/>
    <n v="0"/>
    <n v="0"/>
    <n v="21"/>
    <n v="66"/>
    <n v="0"/>
    <n v="572.90879999999993"/>
    <n v="483.66719999999998"/>
    <m/>
    <n v="609.76924202867474"/>
    <n v="389.25313295960478"/>
    <n v="0"/>
    <n v="1798.3607231999997"/>
    <n v="1518.2313407999998"/>
    <n v="0"/>
    <n v="1914.0656507280098"/>
    <n v="1221.8655843601994"/>
  </r>
  <r>
    <s v="Regular"/>
    <x v="0"/>
    <x v="2"/>
    <x v="5"/>
    <x v="1"/>
    <x v="0"/>
    <x v="0"/>
    <x v="1"/>
    <x v="2"/>
    <n v="0"/>
    <n v="0"/>
    <n v="3.145"/>
    <n v="3.145"/>
    <n v="3.145"/>
    <n v="3.145"/>
    <n v="0"/>
    <x v="0"/>
    <n v="0"/>
    <n v="0"/>
    <n v="21"/>
    <n v="66"/>
    <n v="0"/>
    <n v="572.90879999999993"/>
    <n v="483.66719999999998"/>
    <m/>
    <n v="609.76924202867474"/>
    <n v="389.25313295960478"/>
    <n v="0"/>
    <n v="1801.7981759999998"/>
    <n v="1521.1333439999999"/>
    <n v="0"/>
    <n v="1917.724266180182"/>
    <n v="1224.201103157957"/>
  </r>
  <r>
    <s v="Regular"/>
    <x v="0"/>
    <x v="2"/>
    <x v="5"/>
    <x v="1"/>
    <x v="0"/>
    <x v="0"/>
    <x v="1"/>
    <x v="3"/>
    <n v="0"/>
    <n v="0"/>
    <n v="7.8280000000000003"/>
    <n v="7.8280000000000003"/>
    <n v="7.8280000000000003"/>
    <n v="7.8280000000000003"/>
    <n v="0"/>
    <x v="0"/>
    <n v="0"/>
    <n v="0"/>
    <n v="21"/>
    <n v="66"/>
    <n v="0"/>
    <n v="572.90879999999993"/>
    <n v="483.66719999999998"/>
    <m/>
    <n v="609.76924202867474"/>
    <n v="389.25313295960478"/>
    <n v="0"/>
    <n v="4484.7300863999999"/>
    <n v="3786.1468415999998"/>
    <n v="0"/>
    <n v="4773.2736266004658"/>
    <n v="3047.0735248077863"/>
  </r>
  <r>
    <s v="Regular"/>
    <x v="0"/>
    <x v="2"/>
    <x v="5"/>
    <x v="1"/>
    <x v="0"/>
    <x v="0"/>
    <x v="1"/>
    <x v="4"/>
    <n v="0"/>
    <n v="0"/>
    <n v="9.3659999999999997"/>
    <n v="9.3659999999999997"/>
    <n v="9.3659999999999997"/>
    <n v="9.3659999999999997"/>
    <n v="0"/>
    <x v="0"/>
    <n v="0"/>
    <n v="0"/>
    <n v="21"/>
    <n v="66"/>
    <n v="0"/>
    <n v="572.90879999999993"/>
    <n v="483.66719999999998"/>
    <m/>
    <n v="609.76924202867474"/>
    <n v="389.25313295960478"/>
    <n v="0"/>
    <n v="5365.8638207999993"/>
    <n v="4530.0269951999999"/>
    <n v="0"/>
    <n v="5711.0987208405677"/>
    <n v="3645.7448432996584"/>
  </r>
  <r>
    <s v="Regular"/>
    <x v="0"/>
    <x v="2"/>
    <x v="5"/>
    <x v="1"/>
    <x v="0"/>
    <x v="0"/>
    <x v="1"/>
    <x v="5"/>
    <n v="0"/>
    <n v="0"/>
    <n v="3.806"/>
    <n v="3.806"/>
    <n v="3.806"/>
    <n v="3.806"/>
    <n v="0"/>
    <x v="0"/>
    <n v="0"/>
    <n v="0"/>
    <n v="21"/>
    <n v="66"/>
    <n v="0"/>
    <n v="572.90879999999993"/>
    <n v="483.66719999999998"/>
    <m/>
    <n v="609.76924202867474"/>
    <n v="389.25313295960478"/>
    <n v="0"/>
    <n v="2180.4908927999995"/>
    <n v="1840.8373632"/>
    <n v="0"/>
    <n v="2320.7817351611361"/>
    <n v="1481.4974240442559"/>
  </r>
  <r>
    <s v="Regular"/>
    <x v="0"/>
    <x v="2"/>
    <x v="5"/>
    <x v="1"/>
    <x v="0"/>
    <x v="0"/>
    <x v="1"/>
    <x v="6"/>
    <n v="0"/>
    <n v="0"/>
    <n v="6.9459999999999997"/>
    <n v="6.9459999999999997"/>
    <n v="6.9459999999999997"/>
    <n v="6.9459999999999997"/>
    <n v="0"/>
    <x v="0"/>
    <n v="0"/>
    <n v="0"/>
    <n v="21"/>
    <n v="66"/>
    <n v="0"/>
    <n v="572.90879999999993"/>
    <n v="483.66719999999998"/>
    <m/>
    <n v="609.76924202867474"/>
    <n v="389.25313295960478"/>
    <n v="0"/>
    <n v="3979.4245247999993"/>
    <n v="3359.5523711999999"/>
    <n v="0"/>
    <n v="4235.4571551311747"/>
    <n v="2703.7522615374146"/>
  </r>
  <r>
    <s v="Regular"/>
    <x v="0"/>
    <x v="2"/>
    <x v="5"/>
    <x v="1"/>
    <x v="0"/>
    <x v="0"/>
    <x v="1"/>
    <x v="7"/>
    <n v="0"/>
    <n v="0"/>
    <n v="7.7380000000000004"/>
    <n v="7.7380000000000004"/>
    <n v="7.7380000000000004"/>
    <n v="7.7380000000000004"/>
    <n v="0"/>
    <x v="0"/>
    <n v="0"/>
    <n v="0"/>
    <n v="21"/>
    <n v="66"/>
    <n v="0"/>
    <n v="572.90879999999993"/>
    <n v="483.66719999999998"/>
    <m/>
    <n v="609.76924202867474"/>
    <n v="389.25313295960478"/>
    <n v="0"/>
    <n v="4433.1682943999995"/>
    <n v="3742.6167936000002"/>
    <n v="0"/>
    <n v="4718.3943948178858"/>
    <n v="3012.0407428414219"/>
  </r>
  <r>
    <s v="Regular"/>
    <x v="0"/>
    <x v="2"/>
    <x v="5"/>
    <x v="1"/>
    <x v="0"/>
    <x v="0"/>
    <x v="1"/>
    <x v="8"/>
    <n v="0"/>
    <n v="0"/>
    <n v="12.128"/>
    <n v="12.128"/>
    <n v="12.128"/>
    <n v="12.128"/>
    <n v="0"/>
    <x v="0"/>
    <n v="0"/>
    <n v="0"/>
    <n v="21"/>
    <n v="66"/>
    <n v="0"/>
    <n v="572.90879999999993"/>
    <n v="483.66719999999998"/>
    <m/>
    <n v="609.76924202867474"/>
    <n v="389.25313295960478"/>
    <n v="0"/>
    <n v="6948.2379263999992"/>
    <n v="5865.9158016000001"/>
    <n v="0"/>
    <n v="7395.281367323767"/>
    <n v="4720.8619965340868"/>
  </r>
  <r>
    <s v="Regular"/>
    <x v="0"/>
    <x v="2"/>
    <x v="5"/>
    <x v="1"/>
    <x v="0"/>
    <x v="0"/>
    <x v="1"/>
    <x v="9"/>
    <n v="0"/>
    <n v="0"/>
    <n v="13.789"/>
    <n v="13.789"/>
    <n v="13.789"/>
    <n v="13.789"/>
    <n v="0"/>
    <x v="0"/>
    <n v="0"/>
    <n v="0"/>
    <n v="21"/>
    <n v="66"/>
    <n v="0"/>
    <n v="572.90879999999993"/>
    <n v="483.66719999999998"/>
    <m/>
    <n v="609.76924202867474"/>
    <n v="389.25313295960478"/>
    <n v="0"/>
    <n v="7899.8394431999986"/>
    <n v="6669.2870207999995"/>
    <n v="0"/>
    <n v="8408.1080783333964"/>
    <n v="5367.4114503799901"/>
  </r>
  <r>
    <s v="Regular"/>
    <x v="0"/>
    <x v="2"/>
    <x v="5"/>
    <x v="1"/>
    <x v="0"/>
    <x v="0"/>
    <x v="1"/>
    <x v="10"/>
    <n v="0"/>
    <n v="0"/>
    <n v="8.1319999999999997"/>
    <n v="8.1319999999999997"/>
    <n v="8.1319999999999997"/>
    <n v="8.1319999999999997"/>
    <n v="0"/>
    <x v="0"/>
    <n v="0"/>
    <n v="0"/>
    <n v="21"/>
    <n v="66"/>
    <n v="0"/>
    <n v="572.90879999999993"/>
    <n v="483.66719999999998"/>
    <m/>
    <n v="609.76924202867474"/>
    <n v="389.25313295960478"/>
    <n v="0"/>
    <n v="4658.8943615999997"/>
    <n v="3933.1816703999998"/>
    <n v="0"/>
    <n v="4958.6434761771825"/>
    <n v="3165.406477227506"/>
  </r>
  <r>
    <s v="PROJETADO"/>
    <x v="0"/>
    <x v="2"/>
    <x v="5"/>
    <x v="1"/>
    <x v="0"/>
    <x v="0"/>
    <x v="1"/>
    <x v="11"/>
    <n v="0"/>
    <n v="0"/>
    <n v="8.1319999999999997"/>
    <n v="8.1319999999999997"/>
    <n v="8.1319999999999997"/>
    <n v="8.1319999999999997"/>
    <n v="0"/>
    <x v="0"/>
    <n v="0"/>
    <n v="0"/>
    <n v="21"/>
    <n v="66"/>
    <n v="0"/>
    <n v="572.90879999999993"/>
    <n v="483.66719999999998"/>
    <m/>
    <n v="609.76924202867474"/>
    <n v="389.25313295960478"/>
    <n v="0"/>
    <n v="4658.8943615999997"/>
    <n v="3933.1816703999998"/>
    <n v="0"/>
    <n v="4958.6434761771825"/>
    <n v="3165.406477227506"/>
  </r>
  <r>
    <s v="Regular"/>
    <x v="1"/>
    <x v="3"/>
    <x v="6"/>
    <x v="3"/>
    <x v="0"/>
    <x v="0"/>
    <x v="0"/>
    <x v="0"/>
    <n v="0"/>
    <n v="0"/>
    <n v="2.1110000000000002"/>
    <n v="2.1110000000000002"/>
    <n v="2.1110000000000002"/>
    <n v="2.1110000000000002"/>
    <n v="0"/>
    <x v="0"/>
    <n v="0"/>
    <n v="0"/>
    <n v="2"/>
    <n v="37"/>
    <n v="0"/>
    <n v="155.24"/>
    <n v="297.31"/>
    <m/>
    <n v="183.13179064327591"/>
    <n v="234.85968807843457"/>
    <n v="0"/>
    <n v="327.71164000000005"/>
    <n v="627.62141000000008"/>
    <n v="0"/>
    <n v="386.59121004795549"/>
    <n v="495.78880153357545"/>
  </r>
  <r>
    <s v="Regular"/>
    <x v="1"/>
    <x v="3"/>
    <x v="6"/>
    <x v="3"/>
    <x v="0"/>
    <x v="0"/>
    <x v="0"/>
    <x v="1"/>
    <n v="0"/>
    <n v="0"/>
    <n v="1.8939999999999999"/>
    <n v="1.8939999999999999"/>
    <n v="1.8939999999999999"/>
    <n v="1.8939999999999999"/>
    <n v="0"/>
    <x v="0"/>
    <n v="0"/>
    <n v="0"/>
    <n v="2"/>
    <n v="37"/>
    <n v="0"/>
    <n v="155.24"/>
    <n v="297.31"/>
    <m/>
    <n v="183.13179064327591"/>
    <n v="234.85968807843457"/>
    <n v="0"/>
    <n v="294.02456000000001"/>
    <n v="563.10514000000001"/>
    <n v="0"/>
    <n v="346.85161147836453"/>
    <n v="444.82424922055503"/>
  </r>
  <r>
    <s v="Regular"/>
    <x v="1"/>
    <x v="3"/>
    <x v="6"/>
    <x v="3"/>
    <x v="0"/>
    <x v="0"/>
    <x v="0"/>
    <x v="2"/>
    <n v="0"/>
    <n v="0"/>
    <n v="1.3680000000000001"/>
    <n v="1.3680000000000001"/>
    <n v="1.3680000000000001"/>
    <n v="1.3680000000000001"/>
    <n v="0"/>
    <x v="0"/>
    <n v="0"/>
    <n v="0"/>
    <n v="2"/>
    <n v="37"/>
    <n v="0"/>
    <n v="155.24"/>
    <n v="297.31"/>
    <m/>
    <n v="183.13179064327591"/>
    <n v="234.85968807843457"/>
    <n v="0"/>
    <n v="212.36832000000004"/>
    <n v="406.72008000000005"/>
    <n v="0"/>
    <n v="250.52428960000145"/>
    <n v="321.28805329129852"/>
  </r>
  <r>
    <s v="Regular"/>
    <x v="1"/>
    <x v="3"/>
    <x v="6"/>
    <x v="3"/>
    <x v="0"/>
    <x v="0"/>
    <x v="0"/>
    <x v="3"/>
    <n v="0"/>
    <n v="0"/>
    <n v="1.0580000000000001"/>
    <n v="1.0580000000000001"/>
    <n v="1.0580000000000001"/>
    <n v="1.0580000000000001"/>
    <n v="0"/>
    <x v="0"/>
    <n v="0"/>
    <n v="0"/>
    <n v="2"/>
    <n v="37"/>
    <n v="0"/>
    <n v="155.24"/>
    <n v="297.31"/>
    <m/>
    <n v="183.13179064327591"/>
    <n v="234.85968807843457"/>
    <n v="0"/>
    <n v="164.24392000000003"/>
    <n v="314.55398000000002"/>
    <n v="0"/>
    <n v="193.75343450058591"/>
    <n v="248.48154998698379"/>
  </r>
  <r>
    <s v="Regular"/>
    <x v="1"/>
    <x v="3"/>
    <x v="6"/>
    <x v="3"/>
    <x v="0"/>
    <x v="0"/>
    <x v="0"/>
    <x v="4"/>
    <n v="0"/>
    <n v="0"/>
    <n v="1.204"/>
    <n v="1.204"/>
    <n v="1.204"/>
    <n v="1.204"/>
    <n v="0"/>
    <x v="0"/>
    <n v="0"/>
    <n v="0"/>
    <n v="2"/>
    <n v="37"/>
    <n v="0"/>
    <n v="155.24"/>
    <n v="297.31"/>
    <m/>
    <n v="183.13179064327591"/>
    <n v="234.85968807843457"/>
    <n v="0"/>
    <n v="186.90896000000001"/>
    <n v="357.96123999999998"/>
    <n v="0"/>
    <n v="220.4906759345042"/>
    <n v="282.77106444643522"/>
  </r>
  <r>
    <s v="Regular"/>
    <x v="1"/>
    <x v="3"/>
    <x v="6"/>
    <x v="3"/>
    <x v="0"/>
    <x v="0"/>
    <x v="0"/>
    <x v="5"/>
    <n v="0"/>
    <n v="0"/>
    <n v="1.3480000000000001"/>
    <n v="1.3480000000000001"/>
    <n v="1.3480000000000001"/>
    <n v="1.3480000000000001"/>
    <n v="0"/>
    <x v="0"/>
    <n v="0"/>
    <n v="0"/>
    <n v="2"/>
    <n v="37"/>
    <n v="0"/>
    <n v="155.24"/>
    <n v="297.31"/>
    <m/>
    <n v="183.13179064327591"/>
    <n v="234.85968807843457"/>
    <n v="0"/>
    <n v="209.26352000000003"/>
    <n v="400.77388000000002"/>
    <n v="0"/>
    <n v="246.86165378713594"/>
    <n v="316.59085952972981"/>
  </r>
  <r>
    <s v="Regular"/>
    <x v="1"/>
    <x v="3"/>
    <x v="6"/>
    <x v="3"/>
    <x v="0"/>
    <x v="0"/>
    <x v="0"/>
    <x v="6"/>
    <n v="0"/>
    <n v="0"/>
    <n v="1.6739999999999999"/>
    <n v="1.6739999999999999"/>
    <n v="1.6739999999999999"/>
    <n v="1.6739999999999999"/>
    <n v="0"/>
    <x v="0"/>
    <n v="0"/>
    <n v="0"/>
    <n v="2"/>
    <n v="37"/>
    <n v="0"/>
    <n v="155.24"/>
    <n v="297.31"/>
    <m/>
    <n v="183.13179064327591"/>
    <n v="234.85968807843457"/>
    <n v="0"/>
    <n v="259.87175999999999"/>
    <n v="497.69693999999998"/>
    <n v="0"/>
    <n v="306.56261753684385"/>
    <n v="393.15511784329948"/>
  </r>
  <r>
    <s v="Regular"/>
    <x v="1"/>
    <x v="3"/>
    <x v="6"/>
    <x v="3"/>
    <x v="0"/>
    <x v="0"/>
    <x v="0"/>
    <x v="7"/>
    <n v="0"/>
    <n v="0"/>
    <n v="1.49"/>
    <n v="1.49"/>
    <n v="1.49"/>
    <n v="1.49"/>
    <n v="0"/>
    <x v="0"/>
    <n v="0"/>
    <n v="0"/>
    <n v="2"/>
    <n v="37"/>
    <n v="0"/>
    <n v="155.24"/>
    <n v="297.31"/>
    <m/>
    <n v="183.13179064327591"/>
    <n v="234.85968807843457"/>
    <n v="0"/>
    <n v="231.30760000000001"/>
    <n v="442.99189999999999"/>
    <n v="0"/>
    <n v="272.8663680584811"/>
    <n v="349.94093523686752"/>
  </r>
  <r>
    <s v="Regular"/>
    <x v="1"/>
    <x v="3"/>
    <x v="6"/>
    <x v="3"/>
    <x v="0"/>
    <x v="0"/>
    <x v="0"/>
    <x v="8"/>
    <n v="0"/>
    <n v="0"/>
    <n v="1.5249999999999999"/>
    <n v="1.5249999999999999"/>
    <n v="1.5249999999999999"/>
    <n v="1.5249999999999999"/>
    <n v="0"/>
    <x v="0"/>
    <n v="0"/>
    <n v="0"/>
    <n v="2"/>
    <n v="37"/>
    <n v="0"/>
    <n v="155.24"/>
    <n v="297.31"/>
    <m/>
    <n v="183.13179064327591"/>
    <n v="234.85968807843457"/>
    <n v="0"/>
    <n v="236.74100000000001"/>
    <n v="453.39774999999997"/>
    <n v="0"/>
    <n v="279.27598073099574"/>
    <n v="358.16102431961269"/>
  </r>
  <r>
    <s v="Regular"/>
    <x v="1"/>
    <x v="3"/>
    <x v="6"/>
    <x v="3"/>
    <x v="0"/>
    <x v="0"/>
    <x v="0"/>
    <x v="9"/>
    <n v="0"/>
    <n v="0"/>
    <n v="0.93600000000000005"/>
    <n v="0.93600000000000005"/>
    <n v="0.93600000000000005"/>
    <n v="0.93600000000000005"/>
    <n v="0"/>
    <x v="0"/>
    <n v="0"/>
    <n v="0"/>
    <n v="2"/>
    <n v="37"/>
    <n v="0"/>
    <n v="155.24"/>
    <n v="297.31"/>
    <m/>
    <n v="183.13179064327591"/>
    <n v="234.85968807843457"/>
    <n v="0"/>
    <n v="145.30464000000001"/>
    <n v="278.28216000000003"/>
    <n v="0"/>
    <n v="171.41135604210626"/>
    <n v="219.82866804141477"/>
  </r>
  <r>
    <s v="Regular"/>
    <x v="1"/>
    <x v="3"/>
    <x v="6"/>
    <x v="3"/>
    <x v="0"/>
    <x v="0"/>
    <x v="0"/>
    <x v="10"/>
    <n v="0"/>
    <n v="0"/>
    <n v="1.093"/>
    <n v="1.093"/>
    <n v="1.093"/>
    <n v="1.093"/>
    <n v="0"/>
    <x v="0"/>
    <n v="0"/>
    <n v="0"/>
    <n v="2"/>
    <n v="37"/>
    <n v="0"/>
    <n v="155.24"/>
    <n v="297.31"/>
    <m/>
    <n v="183.13179064327591"/>
    <n v="234.85968807843457"/>
    <n v="0"/>
    <n v="169.67732000000001"/>
    <n v="324.95983000000001"/>
    <n v="0"/>
    <n v="200.16304717310055"/>
    <n v="256.70163906972897"/>
  </r>
  <r>
    <s v="PROJETADO"/>
    <x v="1"/>
    <x v="3"/>
    <x v="6"/>
    <x v="3"/>
    <x v="0"/>
    <x v="0"/>
    <x v="0"/>
    <x v="11"/>
    <n v="0"/>
    <n v="0"/>
    <n v="1.093"/>
    <n v="1.093"/>
    <n v="1.093"/>
    <n v="1.093"/>
    <n v="0"/>
    <x v="0"/>
    <n v="0"/>
    <n v="0"/>
    <n v="2"/>
    <n v="37"/>
    <n v="0"/>
    <n v="155.24"/>
    <n v="297.31"/>
    <m/>
    <n v="183.13179064327591"/>
    <n v="234.85968807843457"/>
    <n v="0"/>
    <n v="169.67732000000001"/>
    <n v="324.95983000000001"/>
    <n v="0"/>
    <n v="200.16304717310055"/>
    <n v="256.70163906972897"/>
  </r>
  <r>
    <s v="Regular"/>
    <x v="1"/>
    <x v="3"/>
    <x v="6"/>
    <x v="3"/>
    <x v="0"/>
    <x v="0"/>
    <x v="3"/>
    <x v="0"/>
    <n v="0"/>
    <n v="0"/>
    <n v="0.192"/>
    <n v="0.192"/>
    <n v="0.192"/>
    <n v="0.192"/>
    <n v="0"/>
    <x v="0"/>
    <n v="0"/>
    <n v="0"/>
    <n v="9"/>
    <n v="46"/>
    <n v="0"/>
    <n v="493.16"/>
    <n v="297.31"/>
    <m/>
    <n v="434.18828897007614"/>
    <n v="234.85968807843457"/>
    <n v="0"/>
    <n v="94.686720000000008"/>
    <n v="57.08352"/>
    <n v="0"/>
    <n v="83.364151482254627"/>
    <n v="45.093060111059437"/>
  </r>
  <r>
    <s v="Regular"/>
    <x v="1"/>
    <x v="3"/>
    <x v="6"/>
    <x v="3"/>
    <x v="0"/>
    <x v="0"/>
    <x v="3"/>
    <x v="1"/>
    <n v="0"/>
    <n v="0"/>
    <n v="0.184"/>
    <n v="0.184"/>
    <n v="0.184"/>
    <n v="0.184"/>
    <n v="0"/>
    <x v="0"/>
    <n v="0"/>
    <n v="0"/>
    <n v="9"/>
    <n v="46"/>
    <n v="0"/>
    <n v="493.16"/>
    <n v="297.31"/>
    <m/>
    <n v="434.18828897007614"/>
    <n v="234.85968807843457"/>
    <n v="0"/>
    <n v="90.741439999999997"/>
    <n v="54.705039999999997"/>
    <n v="0"/>
    <n v="79.890645170494011"/>
    <n v="43.214182606431962"/>
  </r>
  <r>
    <s v="Regular"/>
    <x v="1"/>
    <x v="3"/>
    <x v="6"/>
    <x v="3"/>
    <x v="0"/>
    <x v="0"/>
    <x v="3"/>
    <x v="2"/>
    <n v="0"/>
    <n v="0"/>
    <n v="0.123"/>
    <n v="0.123"/>
    <n v="0.123"/>
    <n v="0.123"/>
    <n v="0"/>
    <x v="0"/>
    <n v="0"/>
    <n v="0"/>
    <n v="9"/>
    <n v="46"/>
    <n v="0"/>
    <n v="493.16"/>
    <n v="297.31"/>
    <m/>
    <n v="434.18828897007614"/>
    <n v="234.85968807843457"/>
    <n v="0"/>
    <n v="60.658680000000004"/>
    <n v="36.569130000000001"/>
    <n v="0"/>
    <n v="53.405159543319364"/>
    <n v="28.887741633647451"/>
  </r>
  <r>
    <s v="Regular"/>
    <x v="1"/>
    <x v="3"/>
    <x v="6"/>
    <x v="3"/>
    <x v="0"/>
    <x v="0"/>
    <x v="3"/>
    <x v="3"/>
    <n v="0"/>
    <n v="0"/>
    <n v="0.105"/>
    <n v="0.105"/>
    <n v="0.105"/>
    <n v="0.105"/>
    <n v="0"/>
    <x v="0"/>
    <n v="0"/>
    <n v="0"/>
    <n v="9"/>
    <n v="46"/>
    <n v="0"/>
    <n v="493.16"/>
    <n v="297.31"/>
    <m/>
    <n v="434.18828897007614"/>
    <n v="234.85968807843457"/>
    <n v="0"/>
    <n v="51.781800000000004"/>
    <n v="31.217549999999999"/>
    <n v="0"/>
    <n v="45.589770341857992"/>
    <n v="24.66026724823563"/>
  </r>
  <r>
    <s v="Regular"/>
    <x v="1"/>
    <x v="3"/>
    <x v="6"/>
    <x v="3"/>
    <x v="0"/>
    <x v="0"/>
    <x v="3"/>
    <x v="4"/>
    <n v="0"/>
    <n v="0"/>
    <n v="9.7000000000000003E-2"/>
    <n v="9.7000000000000003E-2"/>
    <n v="9.7000000000000003E-2"/>
    <n v="9.7000000000000003E-2"/>
    <n v="0"/>
    <x v="0"/>
    <n v="0"/>
    <n v="0"/>
    <n v="9"/>
    <n v="46"/>
    <n v="0"/>
    <n v="493.16"/>
    <n v="297.31"/>
    <m/>
    <n v="434.18828897007614"/>
    <n v="234.85968807843457"/>
    <n v="0"/>
    <n v="47.836520000000007"/>
    <n v="28.83907"/>
    <n v="0"/>
    <n v="42.116264030097391"/>
    <n v="22.781389743608155"/>
  </r>
  <r>
    <s v="Regular"/>
    <x v="1"/>
    <x v="3"/>
    <x v="6"/>
    <x v="3"/>
    <x v="0"/>
    <x v="0"/>
    <x v="3"/>
    <x v="5"/>
    <n v="0"/>
    <n v="0"/>
    <n v="0.108"/>
    <n v="0.108"/>
    <n v="0.108"/>
    <n v="0.108"/>
    <n v="0"/>
    <x v="0"/>
    <n v="0"/>
    <n v="0"/>
    <n v="9"/>
    <n v="46"/>
    <n v="0"/>
    <n v="493.16"/>
    <n v="297.31"/>
    <m/>
    <n v="434.18828897007614"/>
    <n v="234.85968807843457"/>
    <n v="0"/>
    <n v="53.261279999999999"/>
    <n v="32.109479999999998"/>
    <n v="0"/>
    <n v="46.892335208768223"/>
    <n v="25.364846312470934"/>
  </r>
  <r>
    <s v="Regular"/>
    <x v="1"/>
    <x v="3"/>
    <x v="6"/>
    <x v="3"/>
    <x v="0"/>
    <x v="0"/>
    <x v="3"/>
    <x v="6"/>
    <n v="0"/>
    <n v="0"/>
    <n v="0.16300000000000001"/>
    <n v="0.16300000000000001"/>
    <n v="0.16300000000000001"/>
    <n v="0.16300000000000001"/>
    <n v="0"/>
    <x v="0"/>
    <n v="0"/>
    <n v="0"/>
    <n v="9"/>
    <n v="46"/>
    <n v="0"/>
    <n v="493.16"/>
    <n v="297.31"/>
    <m/>
    <n v="434.18828897007614"/>
    <n v="234.85968807843457"/>
    <n v="0"/>
    <n v="80.385080000000002"/>
    <n v="48.461530000000003"/>
    <n v="0"/>
    <n v="70.772691102122408"/>
    <n v="38.282129156784833"/>
  </r>
  <r>
    <s v="Regular"/>
    <x v="1"/>
    <x v="3"/>
    <x v="6"/>
    <x v="3"/>
    <x v="0"/>
    <x v="0"/>
    <x v="3"/>
    <x v="7"/>
    <n v="0"/>
    <n v="0"/>
    <n v="0.13200000000000001"/>
    <n v="0.13200000000000001"/>
    <n v="0.13200000000000001"/>
    <n v="0.13200000000000001"/>
    <n v="0"/>
    <x v="0"/>
    <n v="0"/>
    <n v="0"/>
    <n v="9"/>
    <n v="46"/>
    <n v="0"/>
    <n v="493.16"/>
    <n v="297.31"/>
    <m/>
    <n v="434.18828897007614"/>
    <n v="234.85968807843457"/>
    <n v="0"/>
    <n v="65.097120000000004"/>
    <n v="39.24492"/>
    <n v="0"/>
    <n v="57.312854144050057"/>
    <n v="31.001478826353367"/>
  </r>
  <r>
    <s v="Regular"/>
    <x v="1"/>
    <x v="3"/>
    <x v="6"/>
    <x v="3"/>
    <x v="0"/>
    <x v="0"/>
    <x v="3"/>
    <x v="8"/>
    <n v="0"/>
    <n v="0"/>
    <n v="0.14899999999999999"/>
    <n v="0.14899999999999999"/>
    <n v="0.14899999999999999"/>
    <n v="0.14899999999999999"/>
    <n v="0"/>
    <x v="0"/>
    <n v="0"/>
    <n v="0"/>
    <n v="9"/>
    <n v="46"/>
    <n v="0"/>
    <n v="493.16"/>
    <n v="297.31"/>
    <m/>
    <n v="434.18828897007614"/>
    <n v="234.85968807843457"/>
    <n v="0"/>
    <n v="73.480840000000001"/>
    <n v="44.299189999999996"/>
    <n v="0"/>
    <n v="64.694055056541345"/>
    <n v="34.99409352368675"/>
  </r>
  <r>
    <s v="Regular"/>
    <x v="1"/>
    <x v="3"/>
    <x v="6"/>
    <x v="3"/>
    <x v="0"/>
    <x v="0"/>
    <x v="3"/>
    <x v="9"/>
    <n v="0"/>
    <n v="0"/>
    <n v="8.4000000000000005E-2"/>
    <n v="8.4000000000000005E-2"/>
    <n v="8.4000000000000005E-2"/>
    <n v="8.4000000000000005E-2"/>
    <n v="0"/>
    <x v="0"/>
    <n v="0"/>
    <n v="0"/>
    <n v="9"/>
    <n v="46"/>
    <n v="0"/>
    <n v="493.16"/>
    <n v="297.31"/>
    <m/>
    <n v="434.18828897007614"/>
    <n v="234.85968807843457"/>
    <n v="0"/>
    <n v="41.425440000000002"/>
    <n v="24.974040000000002"/>
    <n v="0"/>
    <n v="36.471816273486397"/>
    <n v="19.728213798588506"/>
  </r>
  <r>
    <s v="Regular"/>
    <x v="1"/>
    <x v="3"/>
    <x v="6"/>
    <x v="3"/>
    <x v="0"/>
    <x v="0"/>
    <x v="3"/>
    <x v="10"/>
    <n v="0"/>
    <n v="0"/>
    <n v="0.32500000000000001"/>
    <n v="0.32500000000000001"/>
    <n v="0.32500000000000001"/>
    <n v="0.32500000000000001"/>
    <n v="0"/>
    <x v="0"/>
    <n v="0"/>
    <n v="0"/>
    <n v="9"/>
    <n v="46"/>
    <n v="0"/>
    <n v="493.16"/>
    <n v="297.31"/>
    <m/>
    <n v="434.18828897007614"/>
    <n v="234.85968807843457"/>
    <n v="0"/>
    <n v="160.27700000000002"/>
    <n v="96.625750000000011"/>
    <n v="0"/>
    <n v="141.11119391527475"/>
    <n v="76.329398625491237"/>
  </r>
  <r>
    <s v="PROJETADO"/>
    <x v="1"/>
    <x v="3"/>
    <x v="6"/>
    <x v="3"/>
    <x v="0"/>
    <x v="0"/>
    <x v="3"/>
    <x v="11"/>
    <n v="0"/>
    <n v="0"/>
    <n v="0.32500000000000001"/>
    <n v="0.32500000000000001"/>
    <n v="0.32500000000000001"/>
    <n v="0.32500000000000001"/>
    <n v="0"/>
    <x v="0"/>
    <n v="0"/>
    <n v="0"/>
    <n v="9"/>
    <n v="46"/>
    <n v="0"/>
    <n v="493.16"/>
    <n v="297.31"/>
    <m/>
    <n v="434.18828897007614"/>
    <n v="234.85968807843457"/>
    <n v="0"/>
    <n v="160.27700000000002"/>
    <n v="96.625750000000011"/>
    <n v="0"/>
    <n v="141.11119391527475"/>
    <n v="76.329398625491237"/>
  </r>
  <r>
    <s v="Regular"/>
    <x v="1"/>
    <x v="3"/>
    <x v="6"/>
    <x v="3"/>
    <x v="0"/>
    <x v="0"/>
    <x v="1"/>
    <x v="0"/>
    <n v="0"/>
    <n v="0"/>
    <n v="0.32800000000000001"/>
    <n v="0.32800000000000001"/>
    <n v="0.32800000000000001"/>
    <n v="0.32800000000000001"/>
    <n v="0"/>
    <x v="0"/>
    <n v="0"/>
    <n v="0"/>
    <n v="15"/>
    <n v="69"/>
    <n v="0"/>
    <n v="874.51"/>
    <n v="503.82"/>
    <m/>
    <n v="748.00889769609114"/>
    <n v="397.1970744485763"/>
    <n v="0"/>
    <n v="286.83928000000003"/>
    <n v="165.25296"/>
    <n v="0"/>
    <n v="245.34691844431791"/>
    <n v="130.28064041913302"/>
  </r>
  <r>
    <s v="Regular"/>
    <x v="1"/>
    <x v="3"/>
    <x v="6"/>
    <x v="3"/>
    <x v="0"/>
    <x v="0"/>
    <x v="1"/>
    <x v="1"/>
    <n v="0"/>
    <n v="0"/>
    <n v="0.30399999999999999"/>
    <n v="0.30399999999999999"/>
    <n v="0.30399999999999999"/>
    <n v="0.30399999999999999"/>
    <n v="0"/>
    <x v="0"/>
    <n v="0"/>
    <n v="0"/>
    <n v="15"/>
    <n v="69"/>
    <n v="0"/>
    <n v="874.51"/>
    <n v="503.82"/>
    <m/>
    <n v="748.00889769609114"/>
    <n v="397.1970744485763"/>
    <n v="0"/>
    <n v="265.85104000000001"/>
    <n v="153.16128"/>
    <n v="0"/>
    <n v="227.3947048996117"/>
    <n v="120.74791063236719"/>
  </r>
  <r>
    <s v="Regular"/>
    <x v="1"/>
    <x v="3"/>
    <x v="6"/>
    <x v="3"/>
    <x v="0"/>
    <x v="0"/>
    <x v="1"/>
    <x v="2"/>
    <n v="0"/>
    <n v="0"/>
    <n v="0.223"/>
    <n v="0.223"/>
    <n v="0.223"/>
    <n v="0.223"/>
    <n v="0"/>
    <x v="0"/>
    <n v="0"/>
    <n v="0"/>
    <n v="15"/>
    <n v="69"/>
    <n v="0"/>
    <n v="874.51"/>
    <n v="503.82"/>
    <m/>
    <n v="748.00889769609114"/>
    <n v="397.1970744485763"/>
    <n v="0"/>
    <n v="195.01572999999999"/>
    <n v="112.35186"/>
    <n v="0"/>
    <n v="166.80598418622833"/>
    <n v="88.574947602032523"/>
  </r>
  <r>
    <s v="Regular"/>
    <x v="1"/>
    <x v="3"/>
    <x v="6"/>
    <x v="3"/>
    <x v="0"/>
    <x v="0"/>
    <x v="1"/>
    <x v="3"/>
    <n v="0"/>
    <n v="0"/>
    <n v="0.192"/>
    <n v="0.192"/>
    <n v="0.192"/>
    <n v="0.192"/>
    <n v="0"/>
    <x v="0"/>
    <n v="0"/>
    <n v="0"/>
    <n v="15"/>
    <n v="69"/>
    <n v="0"/>
    <n v="874.51"/>
    <n v="503.82"/>
    <m/>
    <n v="748.00889769609114"/>
    <n v="397.1970744485763"/>
    <n v="0"/>
    <n v="167.90592000000001"/>
    <n v="96.733440000000002"/>
    <n v="0"/>
    <n v="143.61770835764949"/>
    <n v="76.261838294126647"/>
  </r>
  <r>
    <s v="Regular"/>
    <x v="1"/>
    <x v="3"/>
    <x v="6"/>
    <x v="3"/>
    <x v="0"/>
    <x v="0"/>
    <x v="1"/>
    <x v="4"/>
    <n v="0"/>
    <n v="0"/>
    <n v="0.2"/>
    <n v="0.2"/>
    <n v="0.2"/>
    <n v="0.2"/>
    <n v="0"/>
    <x v="0"/>
    <n v="0"/>
    <n v="0"/>
    <n v="15"/>
    <n v="69"/>
    <n v="0"/>
    <n v="874.51"/>
    <n v="503.82"/>
    <m/>
    <n v="748.00889769609114"/>
    <n v="397.1970744485763"/>
    <n v="0"/>
    <n v="174.90200000000002"/>
    <n v="100.76400000000001"/>
    <n v="0"/>
    <n v="149.60177953921823"/>
    <n v="79.439414889715266"/>
  </r>
  <r>
    <s v="Regular"/>
    <x v="1"/>
    <x v="3"/>
    <x v="6"/>
    <x v="3"/>
    <x v="0"/>
    <x v="0"/>
    <x v="1"/>
    <x v="5"/>
    <n v="0"/>
    <n v="0"/>
    <n v="0.187"/>
    <n v="0.187"/>
    <n v="0.187"/>
    <n v="0.187"/>
    <n v="0"/>
    <x v="0"/>
    <n v="0"/>
    <n v="0"/>
    <n v="15"/>
    <n v="69"/>
    <n v="0"/>
    <n v="874.51"/>
    <n v="503.82"/>
    <m/>
    <n v="748.00889769609114"/>
    <n v="397.1970744485763"/>
    <n v="0"/>
    <n v="163.53336999999999"/>
    <n v="94.214339999999993"/>
    <n v="0"/>
    <n v="139.87766386916906"/>
    <n v="74.275852921883768"/>
  </r>
  <r>
    <s v="Regular"/>
    <x v="1"/>
    <x v="3"/>
    <x v="6"/>
    <x v="3"/>
    <x v="0"/>
    <x v="0"/>
    <x v="1"/>
    <x v="6"/>
    <n v="0"/>
    <n v="0"/>
    <n v="0.252"/>
    <n v="0.252"/>
    <n v="0.252"/>
    <n v="0.252"/>
    <n v="0"/>
    <x v="0"/>
    <n v="0"/>
    <n v="0"/>
    <n v="15"/>
    <n v="69"/>
    <n v="0"/>
    <n v="874.51"/>
    <n v="503.82"/>
    <m/>
    <n v="748.00889769609114"/>
    <n v="397.1970744485763"/>
    <n v="0"/>
    <n v="220.37652"/>
    <n v="126.96263999999999"/>
    <n v="0"/>
    <n v="188.49824221941498"/>
    <n v="100.09366276104123"/>
  </r>
  <r>
    <s v="Regular"/>
    <x v="1"/>
    <x v="3"/>
    <x v="6"/>
    <x v="3"/>
    <x v="0"/>
    <x v="0"/>
    <x v="1"/>
    <x v="7"/>
    <n v="0"/>
    <n v="0"/>
    <n v="0.20300000000000001"/>
    <n v="0.20300000000000001"/>
    <n v="0.20300000000000001"/>
    <n v="0.20300000000000001"/>
    <n v="0"/>
    <x v="0"/>
    <n v="0"/>
    <n v="0"/>
    <n v="15"/>
    <n v="69"/>
    <n v="0"/>
    <n v="874.51"/>
    <n v="503.82"/>
    <m/>
    <n v="748.00889769609114"/>
    <n v="397.1970744485763"/>
    <n v="0"/>
    <n v="177.52553"/>
    <n v="102.27546000000001"/>
    <n v="0"/>
    <n v="151.8458062323065"/>
    <n v="80.631006113060991"/>
  </r>
  <r>
    <s v="Regular"/>
    <x v="1"/>
    <x v="3"/>
    <x v="6"/>
    <x v="3"/>
    <x v="0"/>
    <x v="0"/>
    <x v="1"/>
    <x v="8"/>
    <n v="0"/>
    <n v="0"/>
    <n v="0.24299999999999999"/>
    <n v="0.24299999999999999"/>
    <n v="0.24299999999999999"/>
    <n v="0.24299999999999999"/>
    <n v="0"/>
    <x v="0"/>
    <n v="0"/>
    <n v="0"/>
    <n v="15"/>
    <n v="69"/>
    <n v="0"/>
    <n v="874.51"/>
    <n v="503.82"/>
    <m/>
    <n v="748.00889769609114"/>
    <n v="397.1970744485763"/>
    <n v="0"/>
    <n v="212.50593000000001"/>
    <n v="122.42825999999999"/>
    <n v="0"/>
    <n v="181.76616214015013"/>
    <n v="96.518889091004041"/>
  </r>
  <r>
    <s v="Regular"/>
    <x v="1"/>
    <x v="3"/>
    <x v="6"/>
    <x v="3"/>
    <x v="0"/>
    <x v="0"/>
    <x v="1"/>
    <x v="9"/>
    <n v="0"/>
    <n v="0"/>
    <n v="0.184"/>
    <n v="0.184"/>
    <n v="0.184"/>
    <n v="0.184"/>
    <n v="0"/>
    <x v="0"/>
    <n v="0"/>
    <n v="0"/>
    <n v="15"/>
    <n v="69"/>
    <n v="0"/>
    <n v="874.51"/>
    <n v="503.82"/>
    <m/>
    <n v="748.00889769609114"/>
    <n v="397.1970744485763"/>
    <n v="0"/>
    <n v="160.90984"/>
    <n v="92.702879999999993"/>
    <n v="0"/>
    <n v="137.63363717608075"/>
    <n v="73.084261698538043"/>
  </r>
  <r>
    <s v="Regular"/>
    <x v="1"/>
    <x v="3"/>
    <x v="6"/>
    <x v="3"/>
    <x v="0"/>
    <x v="0"/>
    <x v="1"/>
    <x v="10"/>
    <n v="0"/>
    <n v="0"/>
    <n v="0.221"/>
    <n v="0.221"/>
    <n v="0.221"/>
    <n v="0.221"/>
    <n v="0"/>
    <x v="0"/>
    <n v="0"/>
    <n v="0"/>
    <n v="15"/>
    <n v="69"/>
    <n v="0"/>
    <n v="874.51"/>
    <n v="503.82"/>
    <m/>
    <n v="748.00889769609114"/>
    <n v="397.1970744485763"/>
    <n v="0"/>
    <n v="193.26670999999999"/>
    <n v="111.34421999999999"/>
    <n v="0"/>
    <n v="165.30996639083614"/>
    <n v="87.780553453135369"/>
  </r>
  <r>
    <s v="PROJETADO"/>
    <x v="1"/>
    <x v="3"/>
    <x v="6"/>
    <x v="3"/>
    <x v="0"/>
    <x v="0"/>
    <x v="1"/>
    <x v="11"/>
    <n v="0"/>
    <n v="0"/>
    <n v="0.221"/>
    <n v="0.221"/>
    <n v="0.221"/>
    <n v="0.221"/>
    <n v="0"/>
    <x v="0"/>
    <n v="0"/>
    <n v="0"/>
    <n v="15"/>
    <n v="69"/>
    <n v="0"/>
    <n v="874.51"/>
    <n v="503.82"/>
    <m/>
    <n v="748.00889769609114"/>
    <n v="397.1970744485763"/>
    <n v="0"/>
    <n v="193.26670999999999"/>
    <n v="111.34421999999999"/>
    <n v="0"/>
    <n v="165.30996639083614"/>
    <n v="87.780553453135369"/>
  </r>
  <r>
    <s v="Regular"/>
    <x v="1"/>
    <x v="4"/>
    <x v="6"/>
    <x v="3"/>
    <x v="0"/>
    <x v="0"/>
    <x v="2"/>
    <x v="0"/>
    <n v="0"/>
    <n v="0"/>
    <n v="3154.2910000000002"/>
    <n v="3154.2910000000002"/>
    <n v="3154.2910000000002"/>
    <n v="3154.2910000000002"/>
    <n v="16524"/>
    <x v="0"/>
    <n v="0"/>
    <n v="0"/>
    <n v="12"/>
    <n v="48"/>
    <n v="0"/>
    <n v="326.98"/>
    <n v="314.52"/>
    <m/>
    <n v="310.56190909872737"/>
    <n v="248.38780360927973"/>
    <n v="0"/>
    <n v="1031390.0711800001"/>
    <n v="992087.60531999997"/>
    <n v="0"/>
    <n v="979602.63481293386"/>
    <n v="783487.41343451862"/>
  </r>
  <r>
    <s v="Sistema de Compensação"/>
    <x v="1"/>
    <x v="4"/>
    <x v="6"/>
    <x v="3"/>
    <x v="0"/>
    <x v="0"/>
    <x v="2"/>
    <x v="0"/>
    <n v="0"/>
    <n v="0"/>
    <n v="46.767000000000003"/>
    <n v="46.767000000000003"/>
    <n v="46.767000000000003"/>
    <n v="46.767000000000003"/>
    <n v="332"/>
    <x v="0"/>
    <n v="0"/>
    <n v="0"/>
    <n v="12"/>
    <n v="48"/>
    <n v="0"/>
    <n v="326.98"/>
    <n v="314.52"/>
    <m/>
    <n v="310.56190909872737"/>
    <n v="248.38780360927973"/>
    <n v="0"/>
    <n v="15291.873660000001"/>
    <n v="14709.15684"/>
    <n v="0"/>
    <n v="14524.048802820183"/>
    <n v="11616.352411395186"/>
  </r>
  <r>
    <s v="Regular"/>
    <x v="1"/>
    <x v="4"/>
    <x v="6"/>
    <x v="3"/>
    <x v="0"/>
    <x v="0"/>
    <x v="2"/>
    <x v="1"/>
    <n v="0"/>
    <n v="0"/>
    <n v="3090.5439999999999"/>
    <n v="3090.5439999999999"/>
    <n v="3090.5439999999999"/>
    <n v="3090.5439999999999"/>
    <n v="16536"/>
    <x v="0"/>
    <n v="0"/>
    <n v="0"/>
    <n v="12"/>
    <n v="48"/>
    <n v="0"/>
    <n v="326.98"/>
    <n v="314.52"/>
    <m/>
    <n v="310.56190909872737"/>
    <n v="248.38780360927973"/>
    <n v="0"/>
    <n v="1010546.07712"/>
    <n v="972037.89887999988"/>
    <n v="0"/>
    <n v="959805.24479361728"/>
    <n v="767653.43611783779"/>
  </r>
  <r>
    <s v="Refaturamento - Regular"/>
    <x v="1"/>
    <x v="4"/>
    <x v="6"/>
    <x v="3"/>
    <x v="0"/>
    <x v="0"/>
    <x v="2"/>
    <x v="1"/>
    <n v="0"/>
    <n v="0"/>
    <n v="-0.13800000000000001"/>
    <n v="-0.13800000000000001"/>
    <n v="-0.13800000000000001"/>
    <n v="-0.13800000000000001"/>
    <n v="0"/>
    <x v="0"/>
    <n v="0"/>
    <n v="0"/>
    <n v="12"/>
    <n v="48"/>
    <n v="0"/>
    <n v="326.98"/>
    <n v="314.52"/>
    <m/>
    <n v="310.56190909872737"/>
    <n v="248.38780360927973"/>
    <n v="0"/>
    <n v="-45.12324000000001"/>
    <n v="-43.403759999999998"/>
    <n v="0"/>
    <n v="-42.857543455624381"/>
    <n v="-34.277516898080606"/>
  </r>
  <r>
    <s v="Sistema de Compensação"/>
    <x v="1"/>
    <x v="4"/>
    <x v="6"/>
    <x v="3"/>
    <x v="0"/>
    <x v="0"/>
    <x v="2"/>
    <x v="1"/>
    <n v="0"/>
    <n v="0"/>
    <n v="43.393000000000001"/>
    <n v="43.393000000000001"/>
    <n v="43.393000000000001"/>
    <n v="43.393000000000001"/>
    <n v="350"/>
    <x v="0"/>
    <n v="0"/>
    <n v="0"/>
    <n v="12"/>
    <n v="48"/>
    <n v="0"/>
    <n v="326.98"/>
    <n v="314.52"/>
    <m/>
    <n v="310.56190909872737"/>
    <n v="248.38780360927973"/>
    <n v="0"/>
    <n v="14188.64314"/>
    <n v="13647.966359999999"/>
    <n v="0"/>
    <n v="13476.212921521077"/>
    <n v="10778.291962017476"/>
  </r>
  <r>
    <s v="Regular"/>
    <x v="1"/>
    <x v="4"/>
    <x v="6"/>
    <x v="3"/>
    <x v="0"/>
    <x v="0"/>
    <x v="2"/>
    <x v="2"/>
    <n v="0"/>
    <n v="0"/>
    <n v="2833.5360000000001"/>
    <n v="2833.5360000000001"/>
    <n v="2833.5360000000001"/>
    <n v="2833.5360000000001"/>
    <n v="16515"/>
    <x v="0"/>
    <n v="0"/>
    <n v="0"/>
    <n v="12"/>
    <n v="48"/>
    <n v="0"/>
    <n v="326.98"/>
    <n v="314.52"/>
    <m/>
    <n v="310.56190909872737"/>
    <n v="248.38780360927973"/>
    <n v="0"/>
    <n v="926509.60128000006"/>
    <n v="891203.74271999998"/>
    <n v="0"/>
    <n v="879988.34965997154"/>
    <n v="703815.78348782402"/>
  </r>
  <r>
    <s v="Refaturamento - Regular"/>
    <x v="1"/>
    <x v="4"/>
    <x v="6"/>
    <x v="3"/>
    <x v="0"/>
    <x v="0"/>
    <x v="2"/>
    <x v="2"/>
    <n v="0"/>
    <n v="0"/>
    <n v="-0.77"/>
    <n v="-0.77"/>
    <n v="-0.77"/>
    <n v="-0.77"/>
    <n v="0"/>
    <x v="0"/>
    <n v="0"/>
    <n v="0"/>
    <n v="12"/>
    <n v="48"/>
    <n v="0"/>
    <n v="326.98"/>
    <n v="314.52"/>
    <m/>
    <n v="310.56190909872737"/>
    <n v="248.38780360927973"/>
    <n v="0"/>
    <n v="-251.77460000000002"/>
    <n v="-242.18039999999999"/>
    <n v="0"/>
    <n v="-239.13267000602008"/>
    <n v="-191.25860877914539"/>
  </r>
  <r>
    <s v="Sistema de Compensação"/>
    <x v="1"/>
    <x v="4"/>
    <x v="6"/>
    <x v="3"/>
    <x v="0"/>
    <x v="0"/>
    <x v="2"/>
    <x v="2"/>
    <n v="0"/>
    <n v="0"/>
    <n v="40.738999999999997"/>
    <n v="40.738999999999997"/>
    <n v="40.738999999999997"/>
    <n v="40.738999999999997"/>
    <n v="372"/>
    <x v="0"/>
    <n v="0"/>
    <n v="0"/>
    <n v="12"/>
    <n v="48"/>
    <n v="0"/>
    <n v="326.98"/>
    <n v="314.52"/>
    <m/>
    <n v="310.56190909872737"/>
    <n v="248.38780360927973"/>
    <n v="0"/>
    <n v="13320.83822"/>
    <n v="12813.230279999998"/>
    <n v="0"/>
    <n v="12651.981614773053"/>
    <n v="10119.070731238446"/>
  </r>
  <r>
    <s v="Regular"/>
    <x v="1"/>
    <x v="4"/>
    <x v="6"/>
    <x v="3"/>
    <x v="0"/>
    <x v="0"/>
    <x v="2"/>
    <x v="3"/>
    <n v="0"/>
    <n v="0"/>
    <n v="2772.837"/>
    <n v="2772.837"/>
    <n v="2772.837"/>
    <n v="2772.837"/>
    <n v="16503"/>
    <x v="0"/>
    <n v="0"/>
    <n v="0"/>
    <n v="12"/>
    <n v="48"/>
    <n v="0"/>
    <n v="326.98"/>
    <n v="314.52"/>
    <m/>
    <n v="310.56190909872737"/>
    <n v="248.38780360927973"/>
    <n v="0"/>
    <n v="906662.24226000009"/>
    <n v="872112.69323999994"/>
    <n v="0"/>
    <n v="861137.55233958794"/>
    <n v="688738.89219654433"/>
  </r>
  <r>
    <s v="Refaturamento - Regular"/>
    <x v="1"/>
    <x v="4"/>
    <x v="6"/>
    <x v="3"/>
    <x v="0"/>
    <x v="0"/>
    <x v="2"/>
    <x v="3"/>
    <n v="0"/>
    <n v="0"/>
    <n v="-1.353"/>
    <n v="-1.353"/>
    <n v="-1.353"/>
    <n v="-1.353"/>
    <n v="0"/>
    <x v="0"/>
    <n v="0"/>
    <n v="0"/>
    <n v="12"/>
    <n v="48"/>
    <n v="0"/>
    <n v="326.98"/>
    <n v="314.52"/>
    <m/>
    <n v="310.56190909872737"/>
    <n v="248.38780360927973"/>
    <n v="0"/>
    <n v="-442.40394000000003"/>
    <n v="-425.54555999999997"/>
    <n v="0"/>
    <n v="-420.19026301057812"/>
    <n v="-336.06869828335545"/>
  </r>
  <r>
    <s v="Sistema de Compensação"/>
    <x v="1"/>
    <x v="4"/>
    <x v="6"/>
    <x v="3"/>
    <x v="0"/>
    <x v="0"/>
    <x v="2"/>
    <x v="3"/>
    <n v="0"/>
    <n v="0"/>
    <n v="38.133000000000003"/>
    <n v="38.133000000000003"/>
    <n v="38.133000000000003"/>
    <n v="38.133000000000003"/>
    <n v="396"/>
    <x v="0"/>
    <n v="0"/>
    <n v="0"/>
    <n v="12"/>
    <n v="48"/>
    <n v="0"/>
    <n v="326.98"/>
    <n v="314.52"/>
    <m/>
    <n v="310.56190909872737"/>
    <n v="248.38780360927973"/>
    <n v="0"/>
    <n v="12468.728340000001"/>
    <n v="11993.59116"/>
    <n v="0"/>
    <n v="11842.657279661771"/>
    <n v="9471.7721150326652"/>
  </r>
  <r>
    <s v="Regular"/>
    <x v="1"/>
    <x v="4"/>
    <x v="6"/>
    <x v="3"/>
    <x v="0"/>
    <x v="0"/>
    <x v="2"/>
    <x v="4"/>
    <n v="0"/>
    <n v="0"/>
    <n v="3114.3560000000002"/>
    <n v="3114.3560000000002"/>
    <n v="3114.3560000000002"/>
    <n v="3114.3560000000002"/>
    <n v="16484"/>
    <x v="0"/>
    <n v="0"/>
    <n v="0"/>
    <n v="12"/>
    <n v="48"/>
    <n v="0"/>
    <n v="326.98"/>
    <n v="314.52"/>
    <m/>
    <n v="310.56190909872737"/>
    <n v="248.38780360927973"/>
    <n v="0"/>
    <n v="1018332.1248800001"/>
    <n v="979527.24912000005"/>
    <n v="0"/>
    <n v="967200.34497307625"/>
    <n v="773568.04649738199"/>
  </r>
  <r>
    <s v="Refaturamento - Regular"/>
    <x v="1"/>
    <x v="4"/>
    <x v="6"/>
    <x v="3"/>
    <x v="0"/>
    <x v="0"/>
    <x v="2"/>
    <x v="4"/>
    <n v="0"/>
    <n v="0"/>
    <n v="-1.1379999999999999"/>
    <n v="-1.1379999999999999"/>
    <n v="-1.1379999999999999"/>
    <n v="-1.1379999999999999"/>
    <n v="0"/>
    <x v="0"/>
    <n v="0"/>
    <n v="0"/>
    <n v="12"/>
    <n v="48"/>
    <n v="0"/>
    <n v="326.98"/>
    <n v="314.52"/>
    <m/>
    <n v="310.56190909872737"/>
    <n v="248.38780360927973"/>
    <n v="0"/>
    <n v="-372.10323999999997"/>
    <n v="-357.92375999999996"/>
    <n v="0"/>
    <n v="-353.41945255435172"/>
    <n v="-282.66532050736032"/>
  </r>
  <r>
    <s v="Sistema de Compensação"/>
    <x v="1"/>
    <x v="4"/>
    <x v="6"/>
    <x v="3"/>
    <x v="0"/>
    <x v="0"/>
    <x v="2"/>
    <x v="4"/>
    <n v="0"/>
    <n v="0"/>
    <n v="45.253999999999998"/>
    <n v="45.253999999999998"/>
    <n v="45.253999999999998"/>
    <n v="45.253999999999998"/>
    <n v="430"/>
    <x v="0"/>
    <n v="0"/>
    <n v="0"/>
    <n v="12"/>
    <n v="48"/>
    <n v="0"/>
    <n v="326.98"/>
    <n v="314.52"/>
    <m/>
    <n v="310.56190909872737"/>
    <n v="248.38780360927973"/>
    <n v="0"/>
    <n v="14797.15292"/>
    <n v="14233.288079999998"/>
    <n v="0"/>
    <n v="14054.168634353808"/>
    <n v="11240.541664534345"/>
  </r>
  <r>
    <s v="Regular"/>
    <x v="1"/>
    <x v="4"/>
    <x v="6"/>
    <x v="3"/>
    <x v="0"/>
    <x v="0"/>
    <x v="2"/>
    <x v="5"/>
    <n v="0"/>
    <n v="0"/>
    <n v="3332.3330000000001"/>
    <n v="3332.3330000000001"/>
    <n v="3332.3330000000001"/>
    <n v="3332.3330000000001"/>
    <n v="16485"/>
    <x v="0"/>
    <n v="0"/>
    <n v="0"/>
    <n v="12"/>
    <n v="48"/>
    <n v="0"/>
    <n v="326.98"/>
    <n v="314.52"/>
    <m/>
    <n v="310.56190909872737"/>
    <n v="248.38780360927973"/>
    <n v="0"/>
    <n v="1089606.24434"/>
    <n v="1048085.3751599999"/>
    <n v="0"/>
    <n v="1034895.6982326895"/>
    <n v="827710.87476472196"/>
  </r>
  <r>
    <s v="Refaturamento - Regular"/>
    <x v="1"/>
    <x v="4"/>
    <x v="6"/>
    <x v="3"/>
    <x v="0"/>
    <x v="0"/>
    <x v="2"/>
    <x v="5"/>
    <n v="0"/>
    <n v="0"/>
    <n v="-0.97699999999999998"/>
    <n v="-0.97699999999999998"/>
    <n v="-0.97699999999999998"/>
    <n v="-0.97699999999999998"/>
    <n v="0"/>
    <x v="0"/>
    <n v="0"/>
    <n v="0"/>
    <n v="12"/>
    <n v="48"/>
    <n v="0"/>
    <n v="326.98"/>
    <n v="314.52"/>
    <m/>
    <n v="310.56190909872737"/>
    <n v="248.38780360927973"/>
    <n v="0"/>
    <n v="-319.45946000000004"/>
    <n v="-307.28603999999996"/>
    <n v="0"/>
    <n v="-303.41898518945663"/>
    <n v="-242.67488412626628"/>
  </r>
  <r>
    <s v="Sistema de Compensação"/>
    <x v="1"/>
    <x v="4"/>
    <x v="6"/>
    <x v="3"/>
    <x v="0"/>
    <x v="0"/>
    <x v="2"/>
    <x v="5"/>
    <n v="0"/>
    <n v="0"/>
    <n v="50.527000000000001"/>
    <n v="50.527000000000001"/>
    <n v="50.527000000000001"/>
    <n v="50.527000000000001"/>
    <n v="459"/>
    <x v="0"/>
    <n v="0"/>
    <n v="0"/>
    <n v="12"/>
    <n v="48"/>
    <n v="0"/>
    <n v="326.98"/>
    <n v="314.52"/>
    <m/>
    <n v="310.56190909872737"/>
    <n v="248.38780360927973"/>
    <n v="0"/>
    <n v="16521.318460000002"/>
    <n v="15891.752039999999"/>
    <n v="0"/>
    <n v="15691.761581031398"/>
    <n v="12550.290552966077"/>
  </r>
  <r>
    <s v="Regular"/>
    <x v="1"/>
    <x v="4"/>
    <x v="6"/>
    <x v="3"/>
    <x v="0"/>
    <x v="0"/>
    <x v="2"/>
    <x v="6"/>
    <n v="0"/>
    <n v="0"/>
    <n v="3819.6080000000002"/>
    <n v="3819.6080000000002"/>
    <n v="3819.6080000000002"/>
    <n v="3819.6080000000002"/>
    <n v="16283"/>
    <x v="0"/>
    <n v="0"/>
    <n v="0"/>
    <n v="12"/>
    <n v="48"/>
    <n v="0"/>
    <n v="326.98"/>
    <n v="314.52"/>
    <m/>
    <n v="310.56190909872737"/>
    <n v="248.38780360927973"/>
    <n v="0"/>
    <n v="1248935.4238400001"/>
    <n v="1201343.1081600001"/>
    <n v="0"/>
    <n v="1186224.7524887719"/>
    <n v="948744.04176843376"/>
  </r>
  <r>
    <s v="Sistema de Compensação"/>
    <x v="1"/>
    <x v="4"/>
    <x v="6"/>
    <x v="3"/>
    <x v="0"/>
    <x v="0"/>
    <x v="2"/>
    <x v="6"/>
    <n v="0"/>
    <n v="0"/>
    <n v="71.531999999999996"/>
    <n v="71.531999999999996"/>
    <n v="71.531999999999996"/>
    <n v="71.531999999999996"/>
    <n v="500"/>
    <x v="0"/>
    <n v="0"/>
    <n v="0"/>
    <n v="12"/>
    <n v="48"/>
    <n v="0"/>
    <n v="326.98"/>
    <n v="314.52"/>
    <m/>
    <n v="310.56190909872737"/>
    <n v="248.38780360927973"/>
    <n v="0"/>
    <n v="23389.533360000001"/>
    <n v="22498.244639999997"/>
    <n v="0"/>
    <n v="22215.114481650166"/>
    <n v="17767.676367778997"/>
  </r>
  <r>
    <s v="Regular"/>
    <x v="1"/>
    <x v="4"/>
    <x v="6"/>
    <x v="3"/>
    <x v="0"/>
    <x v="0"/>
    <x v="2"/>
    <x v="7"/>
    <n v="0"/>
    <n v="0"/>
    <n v="3373.0909999999999"/>
    <n v="3373.0909999999999"/>
    <n v="3373.0909999999999"/>
    <n v="3373.0909999999999"/>
    <n v="16224"/>
    <x v="0"/>
    <n v="0"/>
    <n v="0"/>
    <n v="12"/>
    <n v="48"/>
    <n v="0"/>
    <n v="326.98"/>
    <n v="314.52"/>
    <m/>
    <n v="310.56190909872737"/>
    <n v="248.38780360927973"/>
    <n v="0"/>
    <n v="1102933.2951800001"/>
    <n v="1060904.5813199999"/>
    <n v="0"/>
    <n v="1047553.5805237354"/>
    <n v="837834.66486422892"/>
  </r>
  <r>
    <s v="Sistema de Compensação"/>
    <x v="1"/>
    <x v="4"/>
    <x v="6"/>
    <x v="3"/>
    <x v="0"/>
    <x v="0"/>
    <x v="2"/>
    <x v="7"/>
    <n v="0"/>
    <n v="0"/>
    <n v="53.48"/>
    <n v="53.48"/>
    <n v="53.48"/>
    <n v="53.48"/>
    <n v="531"/>
    <x v="0"/>
    <n v="0"/>
    <n v="0"/>
    <n v="12"/>
    <n v="48"/>
    <n v="0"/>
    <n v="326.98"/>
    <n v="314.52"/>
    <m/>
    <n v="310.56190909872737"/>
    <n v="248.38780360927973"/>
    <n v="0"/>
    <n v="17486.8904"/>
    <n v="16820.529599999998"/>
    <n v="0"/>
    <n v="16608.85089859994"/>
    <n v="13283.779737024279"/>
  </r>
  <r>
    <s v="Regular"/>
    <x v="1"/>
    <x v="4"/>
    <x v="6"/>
    <x v="3"/>
    <x v="0"/>
    <x v="0"/>
    <x v="2"/>
    <x v="8"/>
    <n v="0"/>
    <n v="0"/>
    <n v="3530.7310000000002"/>
    <n v="3530.7310000000002"/>
    <n v="3530.7310000000002"/>
    <n v="3530.7310000000002"/>
    <n v="16199"/>
    <x v="0"/>
    <n v="0"/>
    <n v="0"/>
    <n v="12"/>
    <n v="48"/>
    <n v="0"/>
    <n v="326.98"/>
    <n v="314.52"/>
    <m/>
    <n v="310.56190909872737"/>
    <n v="248.38780360927973"/>
    <n v="0"/>
    <n v="1154478.4223800001"/>
    <n v="1110485.5141199999"/>
    <n v="0"/>
    <n v="1096510.5598740589"/>
    <n v="876990.51822519593"/>
  </r>
  <r>
    <s v="Refaturamento - Regular"/>
    <x v="1"/>
    <x v="4"/>
    <x v="6"/>
    <x v="3"/>
    <x v="0"/>
    <x v="0"/>
    <x v="2"/>
    <x v="8"/>
    <n v="0"/>
    <n v="0"/>
    <n v="-2.8250000000000002"/>
    <n v="-2.8250000000000002"/>
    <n v="-2.8250000000000002"/>
    <n v="-2.8250000000000002"/>
    <n v="0"/>
    <x v="0"/>
    <n v="0"/>
    <n v="0"/>
    <n v="12"/>
    <n v="48"/>
    <n v="0"/>
    <n v="326.98"/>
    <n v="314.52"/>
    <m/>
    <n v="310.56190909872737"/>
    <n v="248.38780360927973"/>
    <n v="0"/>
    <n v="-923.71850000000006"/>
    <n v="-888.51900000000001"/>
    <n v="0"/>
    <n v="-877.33739320390487"/>
    <n v="-701.69554519621533"/>
  </r>
  <r>
    <s v="Sistema de Compensação"/>
    <x v="1"/>
    <x v="4"/>
    <x v="6"/>
    <x v="3"/>
    <x v="0"/>
    <x v="0"/>
    <x v="2"/>
    <x v="8"/>
    <n v="0"/>
    <n v="0"/>
    <n v="66.89"/>
    <n v="66.89"/>
    <n v="66.89"/>
    <n v="66.89"/>
    <n v="577"/>
    <x v="0"/>
    <n v="0"/>
    <n v="0"/>
    <n v="12"/>
    <n v="48"/>
    <n v="0"/>
    <n v="326.98"/>
    <n v="314.52"/>
    <m/>
    <n v="310.56190909872737"/>
    <n v="248.38780360927973"/>
    <n v="0"/>
    <n v="21871.692200000001"/>
    <n v="21038.2428"/>
    <n v="0"/>
    <n v="20773.486099613874"/>
    <n v="16614.660183424719"/>
  </r>
  <r>
    <s v="Regular"/>
    <x v="1"/>
    <x v="4"/>
    <x v="6"/>
    <x v="3"/>
    <x v="0"/>
    <x v="0"/>
    <x v="2"/>
    <x v="9"/>
    <n v="0"/>
    <n v="0"/>
    <n v="2645.02"/>
    <n v="2645.02"/>
    <n v="2645.02"/>
    <n v="2645.02"/>
    <n v="16160"/>
    <x v="0"/>
    <n v="0"/>
    <n v="0"/>
    <n v="12"/>
    <n v="48"/>
    <n v="0"/>
    <n v="326.98"/>
    <n v="314.52"/>
    <m/>
    <n v="310.56190909872737"/>
    <n v="248.38780360927973"/>
    <n v="0"/>
    <n v="864868.63959999999"/>
    <n v="831911.69039999996"/>
    <n v="0"/>
    <n v="821442.46080431587"/>
    <n v="656990.70830261707"/>
  </r>
  <r>
    <s v="Refaturamento - Regular"/>
    <x v="1"/>
    <x v="4"/>
    <x v="6"/>
    <x v="3"/>
    <x v="0"/>
    <x v="0"/>
    <x v="2"/>
    <x v="9"/>
    <n v="0"/>
    <n v="0"/>
    <n v="-0.372"/>
    <n v="-0.372"/>
    <n v="-0.372"/>
    <n v="-0.372"/>
    <n v="0"/>
    <x v="0"/>
    <n v="0"/>
    <n v="0"/>
    <n v="12"/>
    <n v="48"/>
    <n v="0"/>
    <n v="326.98"/>
    <n v="314.52"/>
    <m/>
    <n v="310.56190909872737"/>
    <n v="248.38780360927973"/>
    <n v="0"/>
    <n v="-121.63656"/>
    <n v="-117.00143999999999"/>
    <n v="0"/>
    <n v="-115.52903018472658"/>
    <n v="-92.400262942652063"/>
  </r>
  <r>
    <s v="Sistema de Compensação"/>
    <x v="1"/>
    <x v="4"/>
    <x v="6"/>
    <x v="3"/>
    <x v="0"/>
    <x v="0"/>
    <x v="2"/>
    <x v="9"/>
    <n v="0"/>
    <n v="0"/>
    <n v="55.558"/>
    <n v="55.558"/>
    <n v="55.558"/>
    <n v="55.558"/>
    <n v="629"/>
    <x v="0"/>
    <n v="0"/>
    <n v="0"/>
    <n v="12"/>
    <n v="48"/>
    <n v="0"/>
    <n v="326.98"/>
    <n v="314.52"/>
    <m/>
    <n v="310.56190909872737"/>
    <n v="248.38780360927973"/>
    <n v="0"/>
    <n v="18166.35484"/>
    <n v="17474.102159999999"/>
    <n v="0"/>
    <n v="17254.198545707095"/>
    <n v="13799.929592924364"/>
  </r>
  <r>
    <s v="Regular"/>
    <x v="1"/>
    <x v="4"/>
    <x v="6"/>
    <x v="3"/>
    <x v="0"/>
    <x v="0"/>
    <x v="2"/>
    <x v="10"/>
    <n v="0"/>
    <n v="0"/>
    <n v="2859.8270000000002"/>
    <n v="2859.8270000000002"/>
    <n v="2859.8270000000002"/>
    <n v="2859.8270000000002"/>
    <n v="16126"/>
    <x v="0"/>
    <n v="0"/>
    <n v="0"/>
    <n v="12"/>
    <n v="48"/>
    <n v="0"/>
    <n v="326.98"/>
    <n v="314.52"/>
    <m/>
    <n v="310.56190909872737"/>
    <n v="248.38780360927973"/>
    <n v="0"/>
    <n v="935106.23246000009"/>
    <n v="899472.78804000001"/>
    <n v="0"/>
    <n v="888153.33281208621"/>
    <n v="710346.14723251562"/>
  </r>
  <r>
    <s v="Refaturamento - Regular"/>
    <x v="1"/>
    <x v="4"/>
    <x v="6"/>
    <x v="3"/>
    <x v="0"/>
    <x v="0"/>
    <x v="2"/>
    <x v="10"/>
    <n v="0"/>
    <n v="0"/>
    <n v="-1.6659999999999999"/>
    <n v="-1.6659999999999999"/>
    <n v="-1.6659999999999999"/>
    <n v="-1.6659999999999999"/>
    <n v="0"/>
    <x v="0"/>
    <n v="0"/>
    <n v="0"/>
    <n v="12"/>
    <n v="48"/>
    <n v="0"/>
    <n v="326.98"/>
    <n v="314.52"/>
    <m/>
    <n v="310.56190909872737"/>
    <n v="248.38780360927973"/>
    <n v="0"/>
    <n v="-544.74868000000004"/>
    <n v="-523.99032"/>
    <n v="0"/>
    <n v="-517.39614055847983"/>
    <n v="-413.81408081306"/>
  </r>
  <r>
    <s v="Sistema de Compensação"/>
    <x v="1"/>
    <x v="4"/>
    <x v="6"/>
    <x v="3"/>
    <x v="0"/>
    <x v="0"/>
    <x v="2"/>
    <x v="10"/>
    <n v="0"/>
    <n v="0"/>
    <n v="86.841999999999999"/>
    <n v="86.841999999999999"/>
    <n v="86.841999999999999"/>
    <n v="86.841999999999999"/>
    <n v="720"/>
    <x v="0"/>
    <n v="0"/>
    <n v="0"/>
    <n v="12"/>
    <n v="48"/>
    <n v="0"/>
    <n v="326.98"/>
    <n v="314.52"/>
    <m/>
    <n v="310.56190909872737"/>
    <n v="248.38780360927973"/>
    <n v="0"/>
    <n v="28395.597160000001"/>
    <n v="27313.545839999999"/>
    <n v="0"/>
    <n v="26969.817309951683"/>
    <n v="21570.493641037068"/>
  </r>
  <r>
    <s v="PROJETADO"/>
    <x v="1"/>
    <x v="4"/>
    <x v="6"/>
    <x v="3"/>
    <x v="0"/>
    <x v="0"/>
    <x v="2"/>
    <x v="11"/>
    <n v="0"/>
    <n v="0"/>
    <n v="2859.8270000000002"/>
    <n v="2859.8270000000002"/>
    <n v="2859.8270000000002"/>
    <n v="2859.8270000000002"/>
    <n v="16126"/>
    <x v="0"/>
    <n v="0"/>
    <n v="0"/>
    <n v="12"/>
    <n v="48"/>
    <n v="0"/>
    <n v="326.98"/>
    <n v="314.52"/>
    <m/>
    <n v="310.56190909872737"/>
    <n v="248.38780360927973"/>
    <n v="0"/>
    <n v="935106.23246000009"/>
    <n v="899472.78804000001"/>
    <n v="0"/>
    <n v="888153.33281208621"/>
    <n v="710346.14723251562"/>
  </r>
  <r>
    <s v="PROJETADO"/>
    <x v="1"/>
    <x v="4"/>
    <x v="6"/>
    <x v="3"/>
    <x v="0"/>
    <x v="0"/>
    <x v="2"/>
    <x v="11"/>
    <n v="0"/>
    <n v="0"/>
    <n v="-1.6659999999999999"/>
    <n v="-1.6659999999999999"/>
    <n v="-1.6659999999999999"/>
    <n v="-1.6659999999999999"/>
    <n v="0"/>
    <x v="0"/>
    <n v="0"/>
    <n v="0"/>
    <n v="12"/>
    <n v="48"/>
    <n v="0"/>
    <n v="326.98"/>
    <n v="314.52"/>
    <m/>
    <n v="310.56190909872737"/>
    <n v="248.38780360927973"/>
    <n v="0"/>
    <n v="-544.74868000000004"/>
    <n v="-523.99032"/>
    <n v="0"/>
    <n v="-517.39614055847983"/>
    <n v="-413.81408081306"/>
  </r>
  <r>
    <s v="PROJETADO"/>
    <x v="1"/>
    <x v="4"/>
    <x v="6"/>
    <x v="3"/>
    <x v="0"/>
    <x v="0"/>
    <x v="2"/>
    <x v="11"/>
    <n v="0"/>
    <n v="0"/>
    <n v="86.841999999999999"/>
    <n v="86.841999999999999"/>
    <n v="86.841999999999999"/>
    <n v="86.841999999999999"/>
    <n v="720"/>
    <x v="0"/>
    <n v="0"/>
    <n v="0"/>
    <n v="12"/>
    <n v="48"/>
    <n v="0"/>
    <n v="326.98"/>
    <n v="314.52"/>
    <m/>
    <n v="310.56190909872737"/>
    <n v="248.38780360927973"/>
    <n v="0"/>
    <n v="28395.597160000001"/>
    <n v="27313.545839999999"/>
    <n v="0"/>
    <n v="26969.817309951683"/>
    <n v="21570.493641037068"/>
  </r>
  <r>
    <s v="Regular"/>
    <x v="1"/>
    <x v="4"/>
    <x v="6"/>
    <x v="4"/>
    <x v="0"/>
    <x v="0"/>
    <x v="2"/>
    <x v="0"/>
    <n v="0"/>
    <n v="0"/>
    <n v="18.510000000000002"/>
    <n v="18.510000000000002"/>
    <n v="18.510000000000002"/>
    <n v="18.510000000000002"/>
    <n v="23"/>
    <x v="0"/>
    <n v="0"/>
    <n v="0"/>
    <n v="14"/>
    <n v="52"/>
    <n v="0"/>
    <n v="88.57"/>
    <n v="110.08"/>
    <m/>
    <n v="73.373534858866179"/>
    <n v="86.935731263247902"/>
    <n v="0"/>
    <n v="1639.4307000000001"/>
    <n v="2037.5808000000002"/>
    <n v="0"/>
    <n v="1358.1441302376131"/>
    <n v="1609.1803856827189"/>
  </r>
  <r>
    <s v="Regular"/>
    <x v="1"/>
    <x v="4"/>
    <x v="6"/>
    <x v="4"/>
    <x v="0"/>
    <x v="0"/>
    <x v="2"/>
    <x v="1"/>
    <n v="0"/>
    <n v="0"/>
    <n v="18.72"/>
    <n v="18.72"/>
    <n v="18.72"/>
    <n v="18.72"/>
    <n v="18"/>
    <x v="0"/>
    <n v="0"/>
    <n v="0"/>
    <n v="14"/>
    <n v="52"/>
    <n v="0"/>
    <n v="88.57"/>
    <n v="110.08"/>
    <m/>
    <n v="73.373534858866179"/>
    <n v="86.935731263247902"/>
    <n v="0"/>
    <n v="1658.0303999999999"/>
    <n v="2060.6976"/>
    <n v="0"/>
    <n v="1373.5525725579748"/>
    <n v="1627.4368892480006"/>
  </r>
  <r>
    <s v="Regular"/>
    <x v="1"/>
    <x v="4"/>
    <x v="6"/>
    <x v="4"/>
    <x v="0"/>
    <x v="0"/>
    <x v="2"/>
    <x v="2"/>
    <n v="0"/>
    <n v="0"/>
    <n v="18.93"/>
    <n v="18.93"/>
    <n v="18.93"/>
    <n v="18.93"/>
    <n v="16"/>
    <x v="0"/>
    <n v="0"/>
    <n v="0"/>
    <n v="14"/>
    <n v="52"/>
    <n v="0"/>
    <n v="88.57"/>
    <n v="110.08"/>
    <m/>
    <n v="73.373534858866179"/>
    <n v="86.935731263247902"/>
    <n v="0"/>
    <n v="1676.6300999999999"/>
    <n v="2083.8143999999998"/>
    <n v="0"/>
    <n v="1388.9610148783368"/>
    <n v="1645.6933928132828"/>
  </r>
  <r>
    <s v="Regular"/>
    <x v="1"/>
    <x v="4"/>
    <x v="6"/>
    <x v="4"/>
    <x v="0"/>
    <x v="0"/>
    <x v="2"/>
    <x v="3"/>
    <n v="0"/>
    <n v="0"/>
    <n v="19.02"/>
    <n v="19.02"/>
    <n v="19.02"/>
    <n v="19.02"/>
    <n v="19"/>
    <x v="0"/>
    <n v="0"/>
    <n v="0"/>
    <n v="14"/>
    <n v="52"/>
    <n v="0"/>
    <n v="88.57"/>
    <n v="110.08"/>
    <m/>
    <n v="73.373534858866179"/>
    <n v="86.935731263247902"/>
    <n v="0"/>
    <n v="1684.6013999999998"/>
    <n v="2093.7215999999999"/>
    <n v="0"/>
    <n v="1395.5646330156346"/>
    <n v="1653.5176086269751"/>
  </r>
  <r>
    <s v="Regular"/>
    <x v="1"/>
    <x v="4"/>
    <x v="6"/>
    <x v="4"/>
    <x v="0"/>
    <x v="0"/>
    <x v="2"/>
    <x v="4"/>
    <n v="0"/>
    <n v="0"/>
    <n v="19.14"/>
    <n v="19.14"/>
    <n v="19.14"/>
    <n v="19.14"/>
    <n v="14"/>
    <x v="0"/>
    <n v="0"/>
    <n v="0"/>
    <n v="14"/>
    <n v="52"/>
    <n v="0"/>
    <n v="88.57"/>
    <n v="110.08"/>
    <m/>
    <n v="73.373534858866179"/>
    <n v="86.935731263247902"/>
    <n v="0"/>
    <n v="1695.2297999999998"/>
    <n v="2106.9312"/>
    <n v="0"/>
    <n v="1404.3694571986987"/>
    <n v="1663.949896378565"/>
  </r>
  <r>
    <s v="Regular"/>
    <x v="1"/>
    <x v="4"/>
    <x v="6"/>
    <x v="4"/>
    <x v="0"/>
    <x v="0"/>
    <x v="2"/>
    <x v="5"/>
    <n v="0"/>
    <n v="0"/>
    <n v="19.260000000000002"/>
    <n v="19.260000000000002"/>
    <n v="19.260000000000002"/>
    <n v="19.260000000000002"/>
    <n v="14"/>
    <x v="0"/>
    <n v="0"/>
    <n v="0"/>
    <n v="14"/>
    <n v="52"/>
    <n v="0"/>
    <n v="88.57"/>
    <n v="110.08"/>
    <m/>
    <n v="73.373534858866179"/>
    <n v="86.935731263247902"/>
    <n v="0"/>
    <n v="1705.8581999999999"/>
    <n v="2120.1408000000001"/>
    <n v="0"/>
    <n v="1413.1742813817627"/>
    <n v="1674.3821841301547"/>
  </r>
  <r>
    <s v="Regular"/>
    <x v="1"/>
    <x v="4"/>
    <x v="6"/>
    <x v="4"/>
    <x v="0"/>
    <x v="0"/>
    <x v="2"/>
    <x v="6"/>
    <n v="0"/>
    <n v="0"/>
    <n v="23.800999999999998"/>
    <n v="23.800999999999998"/>
    <n v="23.800999999999998"/>
    <n v="23.800999999999998"/>
    <n v="17"/>
    <x v="0"/>
    <n v="0"/>
    <n v="0"/>
    <n v="14"/>
    <n v="52"/>
    <n v="0"/>
    <n v="88.57"/>
    <n v="110.08"/>
    <m/>
    <n v="73.373534858866179"/>
    <n v="86.935731263247902"/>
    <n v="0"/>
    <n v="2108.0545699999998"/>
    <n v="2620.0140799999999"/>
    <n v="0"/>
    <n v="1746.3635031758738"/>
    <n v="2069.1573397965631"/>
  </r>
  <r>
    <s v="Sistema de Compensação"/>
    <x v="1"/>
    <x v="4"/>
    <x v="6"/>
    <x v="4"/>
    <x v="0"/>
    <x v="0"/>
    <x v="2"/>
    <x v="6"/>
    <n v="0"/>
    <n v="0"/>
    <n v="9.6000000000000002E-2"/>
    <n v="9.6000000000000002E-2"/>
    <n v="9.6000000000000002E-2"/>
    <n v="9.6000000000000002E-2"/>
    <n v="0"/>
    <x v="0"/>
    <n v="0"/>
    <n v="0"/>
    <n v="14"/>
    <n v="52"/>
    <n v="0"/>
    <n v="88.57"/>
    <n v="110.08"/>
    <m/>
    <n v="73.373534858866179"/>
    <n v="86.935731263247902"/>
    <n v="0"/>
    <n v="8.5027200000000001"/>
    <n v="10.567679999999999"/>
    <n v="0"/>
    <n v="7.0438593464511534"/>
    <n v="8.3458302012717986"/>
  </r>
  <r>
    <s v="Regular"/>
    <x v="1"/>
    <x v="4"/>
    <x v="6"/>
    <x v="4"/>
    <x v="0"/>
    <x v="0"/>
    <x v="2"/>
    <x v="7"/>
    <n v="0"/>
    <n v="0"/>
    <n v="24.66"/>
    <n v="24.66"/>
    <n v="24.66"/>
    <n v="24.66"/>
    <n v="19"/>
    <x v="0"/>
    <n v="0"/>
    <n v="0"/>
    <n v="14"/>
    <n v="52"/>
    <n v="0"/>
    <n v="88.57"/>
    <n v="110.08"/>
    <m/>
    <n v="73.373534858866179"/>
    <n v="86.935731263247902"/>
    <n v="0"/>
    <n v="2184.1361999999999"/>
    <n v="2714.5727999999999"/>
    <n v="0"/>
    <n v="1809.39136961964"/>
    <n v="2143.8351329516931"/>
  </r>
  <r>
    <s v="Regular"/>
    <x v="1"/>
    <x v="4"/>
    <x v="6"/>
    <x v="4"/>
    <x v="0"/>
    <x v="0"/>
    <x v="2"/>
    <x v="8"/>
    <n v="0"/>
    <n v="0"/>
    <n v="25.83"/>
    <n v="25.83"/>
    <n v="25.83"/>
    <n v="25.83"/>
    <n v="18"/>
    <x v="0"/>
    <n v="0"/>
    <n v="0"/>
    <n v="14"/>
    <n v="52"/>
    <n v="0"/>
    <n v="88.57"/>
    <n v="110.08"/>
    <m/>
    <n v="73.373534858866179"/>
    <n v="86.935731263247902"/>
    <n v="0"/>
    <n v="2287.7630999999997"/>
    <n v="2843.3663999999999"/>
    <n v="0"/>
    <n v="1895.2384054045133"/>
    <n v="2245.549938529693"/>
  </r>
  <r>
    <s v="Regular"/>
    <x v="1"/>
    <x v="4"/>
    <x v="6"/>
    <x v="4"/>
    <x v="0"/>
    <x v="0"/>
    <x v="2"/>
    <x v="9"/>
    <n v="0"/>
    <n v="0"/>
    <n v="26.37"/>
    <n v="26.37"/>
    <n v="26.37"/>
    <n v="26.37"/>
    <n v="25"/>
    <x v="0"/>
    <n v="0"/>
    <n v="0"/>
    <n v="14"/>
    <n v="52"/>
    <n v="0"/>
    <n v="88.57"/>
    <n v="110.08"/>
    <m/>
    <n v="73.373534858866179"/>
    <n v="86.935731263247902"/>
    <n v="0"/>
    <n v="2335.5908999999997"/>
    <n v="2902.8096"/>
    <n v="0"/>
    <n v="1934.8601142283012"/>
    <n v="2292.4952334118475"/>
  </r>
  <r>
    <s v="Regular"/>
    <x v="1"/>
    <x v="4"/>
    <x v="6"/>
    <x v="4"/>
    <x v="0"/>
    <x v="0"/>
    <x v="2"/>
    <x v="10"/>
    <n v="0"/>
    <n v="0"/>
    <n v="25.265999999999998"/>
    <n v="25.265999999999998"/>
    <n v="25.265999999999998"/>
    <n v="25.265999999999998"/>
    <n v="36"/>
    <x v="0"/>
    <n v="0"/>
    <n v="0"/>
    <n v="14"/>
    <n v="52"/>
    <n v="0"/>
    <n v="88.57"/>
    <n v="110.08"/>
    <m/>
    <n v="73.373534858866179"/>
    <n v="86.935731263247902"/>
    <n v="0"/>
    <n v="2237.8096199999995"/>
    <n v="2781.2812799999997"/>
    <n v="0"/>
    <n v="1853.8557317441127"/>
    <n v="2196.5181860972211"/>
  </r>
  <r>
    <s v="Sistema de Compensação"/>
    <x v="1"/>
    <x v="4"/>
    <x v="6"/>
    <x v="4"/>
    <x v="0"/>
    <x v="0"/>
    <x v="2"/>
    <x v="10"/>
    <n v="0"/>
    <n v="0"/>
    <n v="0.03"/>
    <n v="0.03"/>
    <n v="0.03"/>
    <n v="0.03"/>
    <n v="0"/>
    <x v="0"/>
    <n v="0"/>
    <n v="0"/>
    <n v="14"/>
    <n v="52"/>
    <n v="0"/>
    <n v="88.57"/>
    <n v="110.08"/>
    <m/>
    <n v="73.373534858866179"/>
    <n v="86.935731263247902"/>
    <n v="0"/>
    <n v="2.6570999999999998"/>
    <n v="3.3024"/>
    <n v="0"/>
    <n v="2.2012060457659852"/>
    <n v="2.6080719378974369"/>
  </r>
  <r>
    <s v="PROJETADO"/>
    <x v="1"/>
    <x v="4"/>
    <x v="6"/>
    <x v="4"/>
    <x v="0"/>
    <x v="0"/>
    <x v="2"/>
    <x v="11"/>
    <n v="0"/>
    <n v="0"/>
    <n v="25.265999999999998"/>
    <n v="25.265999999999998"/>
    <n v="25.265999999999998"/>
    <n v="25.265999999999998"/>
    <n v="36"/>
    <x v="0"/>
    <n v="0"/>
    <n v="0"/>
    <n v="14"/>
    <n v="52"/>
    <n v="0"/>
    <n v="88.57"/>
    <n v="110.08"/>
    <m/>
    <n v="73.373534858866179"/>
    <n v="86.935731263247902"/>
    <n v="0"/>
    <n v="2237.8096199999995"/>
    <n v="2781.2812799999997"/>
    <n v="0"/>
    <n v="1853.8557317441127"/>
    <n v="2196.5181860972211"/>
  </r>
  <r>
    <s v="PROJETADO"/>
    <x v="1"/>
    <x v="4"/>
    <x v="6"/>
    <x v="4"/>
    <x v="0"/>
    <x v="0"/>
    <x v="2"/>
    <x v="11"/>
    <n v="0"/>
    <n v="0"/>
    <n v="0.03"/>
    <n v="0.03"/>
    <n v="0.03"/>
    <n v="0.03"/>
    <n v="0"/>
    <x v="0"/>
    <n v="0"/>
    <n v="0"/>
    <n v="14"/>
    <n v="52"/>
    <n v="0"/>
    <n v="88.57"/>
    <n v="110.08"/>
    <m/>
    <n v="73.373534858866179"/>
    <n v="86.935731263247902"/>
    <n v="0"/>
    <n v="2.6570999999999998"/>
    <n v="3.3024"/>
    <n v="0"/>
    <n v="2.2012060457659852"/>
    <n v="2.6080719378974369"/>
  </r>
  <r>
    <s v="Regular"/>
    <x v="1"/>
    <x v="4"/>
    <x v="6"/>
    <x v="5"/>
    <x v="0"/>
    <x v="0"/>
    <x v="2"/>
    <x v="0"/>
    <n v="0"/>
    <n v="0"/>
    <n v="36.993000000000002"/>
    <n v="36.993000000000002"/>
    <n v="36.993000000000002"/>
    <n v="36.993000000000002"/>
    <n v="160"/>
    <x v="0"/>
    <n v="0"/>
    <n v="0"/>
    <n v="6"/>
    <n v="50"/>
    <n v="0"/>
    <n v="151.83000000000001"/>
    <n v="188.71"/>
    <m/>
    <n v="125.78320261519916"/>
    <n v="149.03268216556782"/>
    <n v="0"/>
    <n v="5616.6471900000006"/>
    <n v="6980.9490300000007"/>
    <n v="0"/>
    <n v="4653.0980143440629"/>
    <n v="5513.1660113508506"/>
  </r>
  <r>
    <s v="Regular"/>
    <x v="1"/>
    <x v="4"/>
    <x v="6"/>
    <x v="5"/>
    <x v="0"/>
    <x v="0"/>
    <x v="2"/>
    <x v="1"/>
    <n v="0"/>
    <n v="0"/>
    <n v="38.11"/>
    <n v="38.11"/>
    <n v="38.11"/>
    <n v="38.11"/>
    <n v="158"/>
    <x v="0"/>
    <n v="0"/>
    <n v="0"/>
    <n v="6"/>
    <n v="50"/>
    <n v="0"/>
    <n v="151.83000000000001"/>
    <n v="188.71"/>
    <m/>
    <n v="125.78320261519916"/>
    <n v="149.03268216556782"/>
    <n v="0"/>
    <n v="5786.2413000000006"/>
    <n v="7191.7381000000005"/>
    <n v="0"/>
    <n v="4793.5978516652394"/>
    <n v="5679.6355173297898"/>
  </r>
  <r>
    <s v="Regular"/>
    <x v="1"/>
    <x v="4"/>
    <x v="6"/>
    <x v="5"/>
    <x v="0"/>
    <x v="0"/>
    <x v="2"/>
    <x v="2"/>
    <n v="0"/>
    <n v="0"/>
    <n v="39.01"/>
    <n v="39.01"/>
    <n v="39.01"/>
    <n v="39.01"/>
    <n v="159"/>
    <x v="0"/>
    <n v="0"/>
    <n v="0"/>
    <n v="6"/>
    <n v="50"/>
    <n v="0"/>
    <n v="151.83000000000001"/>
    <n v="188.71"/>
    <m/>
    <n v="125.78320261519916"/>
    <n v="149.03268216556782"/>
    <n v="0"/>
    <n v="5922.8883000000005"/>
    <n v="7361.5770999999995"/>
    <n v="0"/>
    <n v="4906.8027340189192"/>
    <n v="5813.7649312788008"/>
  </r>
  <r>
    <s v="Regular"/>
    <x v="1"/>
    <x v="4"/>
    <x v="6"/>
    <x v="5"/>
    <x v="0"/>
    <x v="0"/>
    <x v="2"/>
    <x v="3"/>
    <n v="0"/>
    <n v="0"/>
    <n v="39.098999999999997"/>
    <n v="39.098999999999997"/>
    <n v="39.098999999999997"/>
    <n v="39.098999999999997"/>
    <n v="172"/>
    <x v="0"/>
    <n v="0"/>
    <n v="0"/>
    <n v="6"/>
    <n v="50"/>
    <n v="0"/>
    <n v="151.83000000000001"/>
    <n v="188.71"/>
    <m/>
    <n v="125.78320261519916"/>
    <n v="149.03268216556782"/>
    <n v="0"/>
    <n v="5936.4011700000001"/>
    <n v="7378.3722899999993"/>
    <n v="0"/>
    <n v="4917.9974390516718"/>
    <n v="5827.0288399915353"/>
  </r>
  <r>
    <s v="Regular"/>
    <x v="1"/>
    <x v="4"/>
    <x v="6"/>
    <x v="5"/>
    <x v="0"/>
    <x v="0"/>
    <x v="2"/>
    <x v="4"/>
    <n v="0"/>
    <n v="0"/>
    <n v="40.432000000000002"/>
    <n v="40.432000000000002"/>
    <n v="40.432000000000002"/>
    <n v="40.432000000000002"/>
    <n v="130"/>
    <x v="0"/>
    <n v="0"/>
    <n v="0"/>
    <n v="6"/>
    <n v="50"/>
    <n v="0"/>
    <n v="151.83000000000001"/>
    <n v="188.71"/>
    <m/>
    <n v="125.78320261519916"/>
    <n v="149.03268216556782"/>
    <n v="0"/>
    <n v="6138.7905600000013"/>
    <n v="7629.9227200000005"/>
    <n v="0"/>
    <n v="5085.6664481377329"/>
    <n v="6025.6894053182386"/>
  </r>
  <r>
    <s v="Regular"/>
    <x v="1"/>
    <x v="4"/>
    <x v="6"/>
    <x v="5"/>
    <x v="0"/>
    <x v="0"/>
    <x v="2"/>
    <x v="5"/>
    <n v="0"/>
    <n v="0"/>
    <n v="40.813000000000002"/>
    <n v="40.813000000000002"/>
    <n v="40.813000000000002"/>
    <n v="40.813000000000002"/>
    <n v="116"/>
    <x v="0"/>
    <n v="0"/>
    <n v="0"/>
    <n v="6"/>
    <n v="50"/>
    <n v="0"/>
    <n v="151.83000000000001"/>
    <n v="188.71"/>
    <m/>
    <n v="125.78320261519916"/>
    <n v="149.03268216556782"/>
    <n v="0"/>
    <n v="6196.6377900000007"/>
    <n v="7701.8212300000005"/>
    <n v="0"/>
    <n v="5133.5898483341234"/>
    <n v="6082.4708572233194"/>
  </r>
  <r>
    <s v="Refaturamento - Regular"/>
    <x v="1"/>
    <x v="4"/>
    <x v="6"/>
    <x v="5"/>
    <x v="0"/>
    <x v="0"/>
    <x v="2"/>
    <x v="5"/>
    <n v="0"/>
    <n v="0"/>
    <n v="7.0000000000000007E-2"/>
    <n v="7.0000000000000007E-2"/>
    <n v="7.0000000000000007E-2"/>
    <n v="7.0000000000000007E-2"/>
    <n v="0"/>
    <x v="0"/>
    <n v="0"/>
    <n v="0"/>
    <n v="6"/>
    <n v="50"/>
    <n v="0"/>
    <n v="151.83000000000001"/>
    <n v="188.71"/>
    <m/>
    <n v="125.78320261519916"/>
    <n v="149.03268216556782"/>
    <n v="0"/>
    <n v="10.628100000000002"/>
    <n v="13.209700000000002"/>
    <n v="0"/>
    <n v="8.8048241830639427"/>
    <n v="10.432287751589749"/>
  </r>
  <r>
    <s v="Regular"/>
    <x v="1"/>
    <x v="4"/>
    <x v="6"/>
    <x v="5"/>
    <x v="0"/>
    <x v="0"/>
    <x v="2"/>
    <x v="6"/>
    <n v="0"/>
    <n v="0"/>
    <n v="51.213999999999999"/>
    <n v="51.213999999999999"/>
    <n v="51.213999999999999"/>
    <n v="51.213999999999999"/>
    <n v="112"/>
    <x v="0"/>
    <n v="0"/>
    <n v="0"/>
    <n v="6"/>
    <n v="50"/>
    <n v="0"/>
    <n v="151.83000000000001"/>
    <n v="188.71"/>
    <m/>
    <n v="125.78320261519916"/>
    <n v="149.03268216556782"/>
    <n v="0"/>
    <n v="7775.8216200000006"/>
    <n v="9664.5939400000007"/>
    <n v="0"/>
    <n v="6441.8609387348097"/>
    <n v="7632.5597844273898"/>
  </r>
  <r>
    <s v="Sistema de Compensação"/>
    <x v="1"/>
    <x v="4"/>
    <x v="6"/>
    <x v="5"/>
    <x v="0"/>
    <x v="0"/>
    <x v="2"/>
    <x v="6"/>
    <n v="0"/>
    <n v="0"/>
    <n v="7.0000000000000007E-2"/>
    <n v="7.0000000000000007E-2"/>
    <n v="7.0000000000000007E-2"/>
    <n v="7.0000000000000007E-2"/>
    <n v="0"/>
    <x v="0"/>
    <n v="0"/>
    <n v="0"/>
    <n v="6"/>
    <n v="50"/>
    <n v="0"/>
    <n v="151.83000000000001"/>
    <n v="188.71"/>
    <m/>
    <n v="125.78320261519916"/>
    <n v="149.03268216556782"/>
    <n v="0"/>
    <n v="10.628100000000002"/>
    <n v="13.209700000000002"/>
    <n v="0"/>
    <n v="8.8048241830639427"/>
    <n v="10.432287751589749"/>
  </r>
  <r>
    <s v="Regular"/>
    <x v="1"/>
    <x v="4"/>
    <x v="6"/>
    <x v="5"/>
    <x v="0"/>
    <x v="0"/>
    <x v="2"/>
    <x v="7"/>
    <n v="0"/>
    <n v="0"/>
    <n v="51.893999999999998"/>
    <n v="51.893999999999998"/>
    <n v="51.893999999999998"/>
    <n v="51.893999999999998"/>
    <n v="159"/>
    <x v="0"/>
    <n v="0"/>
    <n v="0"/>
    <n v="6"/>
    <n v="50"/>
    <n v="0"/>
    <n v="151.83000000000001"/>
    <n v="188.71"/>
    <m/>
    <n v="125.78320261519916"/>
    <n v="149.03268216556782"/>
    <n v="0"/>
    <n v="7879.0660200000002"/>
    <n v="9792.9167400000006"/>
    <n v="0"/>
    <n v="6527.3935165131452"/>
    <n v="7733.9020082999759"/>
  </r>
  <r>
    <s v="Regular"/>
    <x v="1"/>
    <x v="4"/>
    <x v="6"/>
    <x v="5"/>
    <x v="0"/>
    <x v="0"/>
    <x v="2"/>
    <x v="8"/>
    <n v="0"/>
    <n v="0"/>
    <n v="55.418999999999997"/>
    <n v="55.418999999999997"/>
    <n v="55.418999999999997"/>
    <n v="55.418999999999997"/>
    <n v="147"/>
    <x v="0"/>
    <n v="0"/>
    <n v="0"/>
    <n v="6"/>
    <n v="50"/>
    <n v="0"/>
    <n v="151.83000000000001"/>
    <n v="188.71"/>
    <m/>
    <n v="125.78320261519916"/>
    <n v="149.03268216556782"/>
    <n v="0"/>
    <n v="8414.2667700000002"/>
    <n v="10458.119489999999"/>
    <n v="0"/>
    <n v="6970.7793057317222"/>
    <n v="8259.2422129336028"/>
  </r>
  <r>
    <s v="Regular"/>
    <x v="1"/>
    <x v="4"/>
    <x v="6"/>
    <x v="5"/>
    <x v="0"/>
    <x v="0"/>
    <x v="2"/>
    <x v="9"/>
    <n v="0"/>
    <n v="0"/>
    <n v="53.268999999999998"/>
    <n v="53.268999999999998"/>
    <n v="53.268999999999998"/>
    <n v="53.268999999999998"/>
    <n v="244"/>
    <x v="0"/>
    <n v="0"/>
    <n v="0"/>
    <n v="6"/>
    <n v="50"/>
    <n v="0"/>
    <n v="151.83000000000001"/>
    <n v="188.71"/>
    <m/>
    <n v="125.78320261519916"/>
    <n v="149.03268216556782"/>
    <n v="0"/>
    <n v="8087.8322700000008"/>
    <n v="10052.39299"/>
    <n v="0"/>
    <n v="6700.3454201090435"/>
    <n v="7938.8219462776324"/>
  </r>
  <r>
    <s v="Regular"/>
    <x v="1"/>
    <x v="4"/>
    <x v="6"/>
    <x v="5"/>
    <x v="0"/>
    <x v="0"/>
    <x v="2"/>
    <x v="10"/>
    <n v="0"/>
    <n v="0"/>
    <n v="50.225000000000001"/>
    <n v="50.225000000000001"/>
    <n v="50.225000000000001"/>
    <n v="50.225000000000001"/>
    <n v="211"/>
    <x v="0"/>
    <n v="0"/>
    <n v="0"/>
    <n v="6"/>
    <n v="50"/>
    <n v="0"/>
    <n v="151.83000000000001"/>
    <n v="188.71"/>
    <m/>
    <n v="125.78320261519916"/>
    <n v="149.03268216556782"/>
    <n v="0"/>
    <n v="7625.6617500000011"/>
    <n v="9477.95975"/>
    <n v="0"/>
    <n v="6317.4613513483782"/>
    <n v="7485.1664617656443"/>
  </r>
  <r>
    <s v="Sistema de Compensação"/>
    <x v="1"/>
    <x v="4"/>
    <x v="6"/>
    <x v="5"/>
    <x v="0"/>
    <x v="0"/>
    <x v="2"/>
    <x v="10"/>
    <n v="0"/>
    <n v="0"/>
    <n v="7.0000000000000007E-2"/>
    <n v="7.0000000000000007E-2"/>
    <n v="7.0000000000000007E-2"/>
    <n v="7.0000000000000007E-2"/>
    <n v="0"/>
    <x v="0"/>
    <n v="0"/>
    <n v="0"/>
    <n v="6"/>
    <n v="50"/>
    <n v="0"/>
    <n v="151.83000000000001"/>
    <n v="188.71"/>
    <m/>
    <n v="125.78320261519916"/>
    <n v="149.03268216556782"/>
    <n v="0"/>
    <n v="10.628100000000002"/>
    <n v="13.209700000000002"/>
    <n v="0"/>
    <n v="8.8048241830639427"/>
    <n v="10.432287751589749"/>
  </r>
  <r>
    <s v="PROJETADO"/>
    <x v="1"/>
    <x v="4"/>
    <x v="6"/>
    <x v="5"/>
    <x v="0"/>
    <x v="0"/>
    <x v="2"/>
    <x v="11"/>
    <n v="0"/>
    <n v="0"/>
    <n v="50.225000000000001"/>
    <n v="50.225000000000001"/>
    <n v="50.225000000000001"/>
    <n v="50.225000000000001"/>
    <n v="211"/>
    <x v="0"/>
    <n v="0"/>
    <n v="0"/>
    <n v="6"/>
    <n v="50"/>
    <n v="0"/>
    <n v="151.83000000000001"/>
    <n v="188.71"/>
    <m/>
    <n v="125.78320261519916"/>
    <n v="149.03268216556782"/>
    <n v="0"/>
    <n v="7625.6617500000011"/>
    <n v="9477.95975"/>
    <n v="0"/>
    <n v="6317.4613513483782"/>
    <n v="7485.1664617656443"/>
  </r>
  <r>
    <s v="PROJETADO"/>
    <x v="1"/>
    <x v="4"/>
    <x v="6"/>
    <x v="5"/>
    <x v="0"/>
    <x v="0"/>
    <x v="2"/>
    <x v="11"/>
    <n v="0"/>
    <n v="0"/>
    <n v="7.0000000000000007E-2"/>
    <n v="7.0000000000000007E-2"/>
    <n v="7.0000000000000007E-2"/>
    <n v="7.0000000000000007E-2"/>
    <n v="0"/>
    <x v="0"/>
    <n v="0"/>
    <n v="0"/>
    <n v="6"/>
    <n v="50"/>
    <n v="0"/>
    <n v="151.83000000000001"/>
    <n v="188.71"/>
    <m/>
    <n v="125.78320261519916"/>
    <n v="149.03268216556782"/>
    <n v="0"/>
    <n v="10.628100000000002"/>
    <n v="13.209700000000002"/>
    <n v="0"/>
    <n v="8.8048241830639427"/>
    <n v="10.432287751589749"/>
  </r>
  <r>
    <s v="Regular"/>
    <x v="1"/>
    <x v="4"/>
    <x v="6"/>
    <x v="6"/>
    <x v="0"/>
    <x v="0"/>
    <x v="2"/>
    <x v="0"/>
    <n v="0"/>
    <n v="0"/>
    <n v="30.233000000000001"/>
    <n v="30.233000000000001"/>
    <n v="30.233000000000001"/>
    <n v="30.233000000000001"/>
    <n v="328"/>
    <x v="0"/>
    <n v="0"/>
    <n v="0"/>
    <n v="10"/>
    <n v="55"/>
    <n v="0"/>
    <n v="227.74"/>
    <n v="283.07"/>
    <m/>
    <n v="188.67480392279876"/>
    <n v="223.54902324835177"/>
    <n v="0"/>
    <n v="6885.2634200000002"/>
    <n v="8558.0553099999997"/>
    <n v="0"/>
    <n v="5704.2053469979746"/>
    <n v="6758.5576198674189"/>
  </r>
  <r>
    <s v="Regular"/>
    <x v="1"/>
    <x v="4"/>
    <x v="6"/>
    <x v="6"/>
    <x v="0"/>
    <x v="0"/>
    <x v="2"/>
    <x v="1"/>
    <n v="0"/>
    <n v="0"/>
    <n v="32.238"/>
    <n v="32.238"/>
    <n v="32.238"/>
    <n v="32.238"/>
    <n v="335"/>
    <x v="0"/>
    <n v="0"/>
    <n v="0"/>
    <n v="10"/>
    <n v="55"/>
    <n v="0"/>
    <n v="227.74"/>
    <n v="283.07"/>
    <m/>
    <n v="188.67480392279876"/>
    <n v="223.54902324835177"/>
    <n v="0"/>
    <n v="7341.8821200000002"/>
    <n v="9125.6106600000003"/>
    <n v="0"/>
    <n v="6082.4983288631865"/>
    <n v="7206.7734114803643"/>
  </r>
  <r>
    <s v="Regular"/>
    <x v="1"/>
    <x v="4"/>
    <x v="6"/>
    <x v="6"/>
    <x v="0"/>
    <x v="0"/>
    <x v="2"/>
    <x v="2"/>
    <n v="0"/>
    <n v="0"/>
    <n v="31.712"/>
    <n v="31.712"/>
    <n v="31.712"/>
    <n v="31.712"/>
    <n v="351"/>
    <x v="0"/>
    <n v="0"/>
    <n v="0"/>
    <n v="10"/>
    <n v="55"/>
    <n v="0"/>
    <n v="227.74"/>
    <n v="283.07"/>
    <m/>
    <n v="188.67480392279876"/>
    <n v="223.54902324835177"/>
    <n v="0"/>
    <n v="7222.0908800000007"/>
    <n v="8976.7158399999989"/>
    <n v="0"/>
    <n v="5983.2553819997938"/>
    <n v="7089.1866252517311"/>
  </r>
  <r>
    <s v="Regular"/>
    <x v="1"/>
    <x v="4"/>
    <x v="6"/>
    <x v="6"/>
    <x v="0"/>
    <x v="0"/>
    <x v="2"/>
    <x v="3"/>
    <n v="0"/>
    <n v="0"/>
    <n v="29.334"/>
    <n v="29.334"/>
    <n v="29.334"/>
    <n v="29.334"/>
    <n v="354"/>
    <x v="0"/>
    <n v="0"/>
    <n v="0"/>
    <n v="10"/>
    <n v="55"/>
    <n v="0"/>
    <n v="227.74"/>
    <n v="283.07"/>
    <m/>
    <n v="188.67480392279876"/>
    <n v="223.54902324835177"/>
    <n v="0"/>
    <n v="6680.5251600000001"/>
    <n v="8303.5753800000002"/>
    <n v="0"/>
    <n v="5534.5866982713787"/>
    <n v="6557.5870479671512"/>
  </r>
  <r>
    <s v="Regular"/>
    <x v="1"/>
    <x v="4"/>
    <x v="6"/>
    <x v="6"/>
    <x v="0"/>
    <x v="0"/>
    <x v="2"/>
    <x v="4"/>
    <n v="0"/>
    <n v="0"/>
    <n v="36.238999999999997"/>
    <n v="36.238999999999997"/>
    <n v="36.238999999999997"/>
    <n v="36.238999999999997"/>
    <n v="366"/>
    <x v="0"/>
    <n v="0"/>
    <n v="0"/>
    <n v="10"/>
    <n v="55"/>
    <n v="0"/>
    <n v="227.74"/>
    <n v="283.07"/>
    <m/>
    <n v="188.67480392279876"/>
    <n v="223.54902324835177"/>
    <n v="0"/>
    <n v="8253.0698599999996"/>
    <n v="10258.173729999999"/>
    <n v="0"/>
    <n v="6837.3862193583036"/>
    <n v="8101.1930534970197"/>
  </r>
  <r>
    <s v="Regular"/>
    <x v="1"/>
    <x v="4"/>
    <x v="6"/>
    <x v="6"/>
    <x v="0"/>
    <x v="0"/>
    <x v="2"/>
    <x v="5"/>
    <n v="0"/>
    <n v="0"/>
    <n v="38.335999999999999"/>
    <n v="38.335999999999999"/>
    <n v="38.335999999999999"/>
    <n v="38.335999999999999"/>
    <n v="358"/>
    <x v="0"/>
    <n v="0"/>
    <n v="0"/>
    <n v="10"/>
    <n v="55"/>
    <n v="0"/>
    <n v="227.74"/>
    <n v="283.07"/>
    <m/>
    <n v="188.67480392279876"/>
    <n v="223.54902324835177"/>
    <n v="0"/>
    <n v="8730.6406399999996"/>
    <n v="10851.771519999998"/>
    <n v="0"/>
    <n v="7233.0372831844134"/>
    <n v="8569.9753552488128"/>
  </r>
  <r>
    <s v="Refaturamento - Regular"/>
    <x v="1"/>
    <x v="4"/>
    <x v="6"/>
    <x v="6"/>
    <x v="0"/>
    <x v="0"/>
    <x v="2"/>
    <x v="5"/>
    <n v="0"/>
    <n v="0"/>
    <n v="0.08"/>
    <n v="0.08"/>
    <n v="0.08"/>
    <n v="0.08"/>
    <n v="0"/>
    <x v="0"/>
    <n v="0"/>
    <n v="0"/>
    <n v="10"/>
    <n v="55"/>
    <n v="0"/>
    <n v="227.74"/>
    <n v="283.07"/>
    <m/>
    <n v="188.67480392279876"/>
    <n v="223.54902324835177"/>
    <n v="0"/>
    <n v="18.219200000000001"/>
    <n v="22.645599999999998"/>
    <n v="0"/>
    <n v="15.093984313823901"/>
    <n v="17.883921859868142"/>
  </r>
  <r>
    <s v="Regular"/>
    <x v="1"/>
    <x v="4"/>
    <x v="6"/>
    <x v="6"/>
    <x v="0"/>
    <x v="0"/>
    <x v="2"/>
    <x v="6"/>
    <n v="0"/>
    <n v="0"/>
    <n v="52.743000000000002"/>
    <n v="52.743000000000002"/>
    <n v="52.743000000000002"/>
    <n v="52.743000000000002"/>
    <n v="437"/>
    <x v="0"/>
    <n v="0"/>
    <n v="0"/>
    <n v="10"/>
    <n v="55"/>
    <n v="0"/>
    <n v="227.74"/>
    <n v="283.07"/>
    <m/>
    <n v="188.67480392279876"/>
    <n v="223.54902324835177"/>
    <n v="0"/>
    <n v="12011.690820000002"/>
    <n v="14929.961010000001"/>
    <n v="0"/>
    <n v="9951.2751833001748"/>
    <n v="11790.646133187818"/>
  </r>
  <r>
    <s v="Sistema de Compensação"/>
    <x v="1"/>
    <x v="4"/>
    <x v="6"/>
    <x v="6"/>
    <x v="0"/>
    <x v="0"/>
    <x v="2"/>
    <x v="6"/>
    <n v="0"/>
    <n v="0"/>
    <n v="0.12"/>
    <n v="0.12"/>
    <n v="0.12"/>
    <n v="0.12"/>
    <n v="0"/>
    <x v="0"/>
    <n v="0"/>
    <n v="0"/>
    <n v="10"/>
    <n v="55"/>
    <n v="0"/>
    <n v="227.74"/>
    <n v="283.07"/>
    <m/>
    <n v="188.67480392279876"/>
    <n v="223.54902324835177"/>
    <n v="0"/>
    <n v="27.328800000000001"/>
    <n v="33.968399999999995"/>
    <n v="0"/>
    <n v="22.640976470735851"/>
    <n v="26.825882789802211"/>
  </r>
  <r>
    <s v="Regular"/>
    <x v="1"/>
    <x v="4"/>
    <x v="6"/>
    <x v="6"/>
    <x v="0"/>
    <x v="0"/>
    <x v="2"/>
    <x v="7"/>
    <n v="0"/>
    <n v="0"/>
    <n v="46.892000000000003"/>
    <n v="46.892000000000003"/>
    <n v="46.892000000000003"/>
    <n v="46.892000000000003"/>
    <n v="460"/>
    <x v="0"/>
    <n v="0"/>
    <n v="0"/>
    <n v="10"/>
    <n v="55"/>
    <n v="0"/>
    <n v="227.74"/>
    <n v="283.07"/>
    <m/>
    <n v="188.67480392279876"/>
    <n v="223.54902324835177"/>
    <n v="0"/>
    <n v="10679.184080000001"/>
    <n v="13273.718440000001"/>
    <n v="0"/>
    <n v="8847.3389055478801"/>
    <n v="10482.660798161713"/>
  </r>
  <r>
    <s v="Regular"/>
    <x v="1"/>
    <x v="4"/>
    <x v="6"/>
    <x v="6"/>
    <x v="0"/>
    <x v="0"/>
    <x v="2"/>
    <x v="8"/>
    <n v="0"/>
    <n v="0"/>
    <n v="57.16"/>
    <n v="57.16"/>
    <n v="57.16"/>
    <n v="57.16"/>
    <n v="441"/>
    <x v="0"/>
    <n v="0"/>
    <n v="0"/>
    <n v="10"/>
    <n v="55"/>
    <n v="0"/>
    <n v="227.74"/>
    <n v="283.07"/>
    <m/>
    <n v="188.67480392279876"/>
    <n v="223.54902324835177"/>
    <n v="0"/>
    <n v="13017.618399999999"/>
    <n v="16180.281199999999"/>
    <n v="0"/>
    <n v="10784.651792227176"/>
    <n v="12778.062168875787"/>
  </r>
  <r>
    <s v="Regular"/>
    <x v="1"/>
    <x v="4"/>
    <x v="6"/>
    <x v="6"/>
    <x v="0"/>
    <x v="0"/>
    <x v="2"/>
    <x v="9"/>
    <n v="0"/>
    <n v="0"/>
    <n v="41.701999999999998"/>
    <n v="41.701999999999998"/>
    <n v="41.701999999999998"/>
    <n v="41.701999999999998"/>
    <n v="478"/>
    <x v="0"/>
    <n v="0"/>
    <n v="0"/>
    <n v="10"/>
    <n v="55"/>
    <n v="0"/>
    <n v="227.74"/>
    <n v="283.07"/>
    <m/>
    <n v="188.67480392279876"/>
    <n v="223.54902324835177"/>
    <n v="0"/>
    <n v="9497.2134800000003"/>
    <n v="11804.585139999999"/>
    <n v="0"/>
    <n v="7868.1166731885532"/>
    <n v="9322.4413675027645"/>
  </r>
  <r>
    <s v="Regular"/>
    <x v="1"/>
    <x v="4"/>
    <x v="6"/>
    <x v="6"/>
    <x v="0"/>
    <x v="0"/>
    <x v="2"/>
    <x v="10"/>
    <n v="0"/>
    <n v="0"/>
    <n v="41.686999999999998"/>
    <n v="41.686999999999998"/>
    <n v="41.686999999999998"/>
    <n v="41.686999999999998"/>
    <n v="437"/>
    <x v="0"/>
    <n v="0"/>
    <n v="0"/>
    <n v="10"/>
    <n v="55"/>
    <n v="0"/>
    <n v="227.74"/>
    <n v="283.07"/>
    <m/>
    <n v="188.67480392279876"/>
    <n v="223.54902324835177"/>
    <n v="0"/>
    <n v="9493.79738"/>
    <n v="11800.339089999999"/>
    <n v="0"/>
    <n v="7865.2865511297114"/>
    <n v="9319.0881321540401"/>
  </r>
  <r>
    <s v="Sistema de Compensação"/>
    <x v="1"/>
    <x v="4"/>
    <x v="6"/>
    <x v="6"/>
    <x v="0"/>
    <x v="0"/>
    <x v="2"/>
    <x v="10"/>
    <n v="0"/>
    <n v="0"/>
    <n v="0.01"/>
    <n v="0.01"/>
    <n v="0.01"/>
    <n v="0.01"/>
    <n v="1"/>
    <x v="0"/>
    <n v="0"/>
    <n v="0"/>
    <n v="10"/>
    <n v="55"/>
    <n v="0"/>
    <n v="227.74"/>
    <n v="283.07"/>
    <m/>
    <n v="188.67480392279876"/>
    <n v="223.54902324835177"/>
    <n v="0"/>
    <n v="2.2774000000000001"/>
    <n v="2.8306999999999998"/>
    <n v="0"/>
    <n v="1.8867480392279876"/>
    <n v="2.2354902324835177"/>
  </r>
  <r>
    <s v="PROJETADO"/>
    <x v="1"/>
    <x v="4"/>
    <x v="6"/>
    <x v="6"/>
    <x v="0"/>
    <x v="0"/>
    <x v="2"/>
    <x v="11"/>
    <n v="0"/>
    <n v="0"/>
    <n v="41.686999999999998"/>
    <n v="41.686999999999998"/>
    <n v="41.686999999999998"/>
    <n v="41.686999999999998"/>
    <n v="437"/>
    <x v="0"/>
    <n v="0"/>
    <n v="0"/>
    <n v="10"/>
    <n v="55"/>
    <n v="0"/>
    <n v="227.74"/>
    <n v="283.07"/>
    <m/>
    <n v="188.67480392279876"/>
    <n v="223.54902324835177"/>
    <n v="0"/>
    <n v="9493.79738"/>
    <n v="11800.339089999999"/>
    <n v="0"/>
    <n v="7865.2865511297114"/>
    <n v="9319.0881321540401"/>
  </r>
  <r>
    <s v="PROJETADO"/>
    <x v="1"/>
    <x v="4"/>
    <x v="6"/>
    <x v="6"/>
    <x v="0"/>
    <x v="0"/>
    <x v="2"/>
    <x v="11"/>
    <n v="0"/>
    <n v="0"/>
    <n v="0.01"/>
    <n v="0.01"/>
    <n v="0.01"/>
    <n v="0.01"/>
    <n v="1"/>
    <x v="0"/>
    <n v="0"/>
    <n v="0"/>
    <n v="10"/>
    <n v="55"/>
    <n v="0"/>
    <n v="227.74"/>
    <n v="283.07"/>
    <m/>
    <n v="188.67480392279876"/>
    <n v="223.54902324835177"/>
    <n v="0"/>
    <n v="2.2774000000000001"/>
    <n v="2.8306999999999998"/>
    <n v="0"/>
    <n v="1.8867480392279876"/>
    <n v="2.2354902324835177"/>
  </r>
  <r>
    <s v="Regular"/>
    <x v="1"/>
    <x v="4"/>
    <x v="6"/>
    <x v="7"/>
    <x v="0"/>
    <x v="0"/>
    <x v="2"/>
    <x v="0"/>
    <n v="0"/>
    <n v="0"/>
    <n v="7.76"/>
    <n v="7.76"/>
    <n v="7.76"/>
    <n v="7.76"/>
    <n v="106"/>
    <x v="0"/>
    <n v="0"/>
    <n v="0"/>
    <n v="20"/>
    <n v="39"/>
    <n v="0"/>
    <n v="253.04"/>
    <n v="314.52"/>
    <m/>
    <n v="209.63867102533194"/>
    <n v="248.38780360927973"/>
    <n v="0"/>
    <n v="1963.5903999999998"/>
    <n v="2440.6751999999997"/>
    <n v="0"/>
    <n v="1626.7960871565758"/>
    <n v="1927.4893560080106"/>
  </r>
  <r>
    <s v="Regular"/>
    <x v="1"/>
    <x v="4"/>
    <x v="6"/>
    <x v="7"/>
    <x v="0"/>
    <x v="0"/>
    <x v="2"/>
    <x v="1"/>
    <n v="0"/>
    <n v="0"/>
    <n v="7.2859999999999996"/>
    <n v="7.2859999999999996"/>
    <n v="7.2859999999999996"/>
    <n v="7.2859999999999996"/>
    <n v="113"/>
    <x v="0"/>
    <n v="0"/>
    <n v="0"/>
    <n v="20"/>
    <n v="39"/>
    <n v="0"/>
    <n v="253.04"/>
    <n v="314.52"/>
    <m/>
    <n v="209.63867102533194"/>
    <n v="248.38780360927973"/>
    <n v="0"/>
    <n v="1843.6494399999999"/>
    <n v="2291.5927199999996"/>
    <n v="0"/>
    <n v="1527.4273570905684"/>
    <n v="1809.7535370972121"/>
  </r>
  <r>
    <s v="Regular"/>
    <x v="1"/>
    <x v="4"/>
    <x v="6"/>
    <x v="7"/>
    <x v="0"/>
    <x v="0"/>
    <x v="2"/>
    <x v="2"/>
    <n v="0"/>
    <n v="0"/>
    <n v="6.76"/>
    <n v="6.76"/>
    <n v="6.76"/>
    <n v="6.76"/>
    <n v="105"/>
    <x v="0"/>
    <n v="0"/>
    <n v="0"/>
    <n v="20"/>
    <n v="39"/>
    <n v="0"/>
    <n v="253.04"/>
    <n v="314.52"/>
    <m/>
    <n v="209.63867102533194"/>
    <n v="248.38780360927973"/>
    <n v="0"/>
    <n v="1710.5503999999999"/>
    <n v="2126.1551999999997"/>
    <n v="0"/>
    <n v="1417.157416131244"/>
    <n v="1679.101552398731"/>
  </r>
  <r>
    <s v="Regular"/>
    <x v="1"/>
    <x v="4"/>
    <x v="6"/>
    <x v="7"/>
    <x v="0"/>
    <x v="0"/>
    <x v="2"/>
    <x v="3"/>
    <n v="0"/>
    <n v="0"/>
    <n v="5.4669999999999996"/>
    <n v="5.4669999999999996"/>
    <n v="5.4669999999999996"/>
    <n v="5.4669999999999996"/>
    <n v="89"/>
    <x v="0"/>
    <n v="0"/>
    <n v="0"/>
    <n v="20"/>
    <n v="39"/>
    <n v="0"/>
    <n v="253.04"/>
    <n v="314.52"/>
    <m/>
    <n v="209.63867102533194"/>
    <n v="248.38780360927973"/>
    <n v="0"/>
    <n v="1383.3696799999998"/>
    <n v="1719.4808399999997"/>
    <n v="0"/>
    <n v="1146.0946144954896"/>
    <n v="1357.9361223319322"/>
  </r>
  <r>
    <s v="Regular"/>
    <x v="1"/>
    <x v="4"/>
    <x v="6"/>
    <x v="7"/>
    <x v="0"/>
    <x v="0"/>
    <x v="2"/>
    <x v="4"/>
    <n v="0"/>
    <n v="0"/>
    <n v="9.23"/>
    <n v="9.23"/>
    <n v="9.23"/>
    <n v="9.23"/>
    <n v="128"/>
    <x v="0"/>
    <n v="0"/>
    <n v="0"/>
    <n v="20"/>
    <n v="39"/>
    <n v="0"/>
    <n v="253.04"/>
    <n v="314.52"/>
    <m/>
    <n v="209.63867102533194"/>
    <n v="248.38780360927973"/>
    <n v="0"/>
    <n v="2335.5592000000001"/>
    <n v="2903.0196000000001"/>
    <n v="0"/>
    <n v="1934.9649335638139"/>
    <n v="2292.6194273136521"/>
  </r>
  <r>
    <s v="Regular"/>
    <x v="1"/>
    <x v="4"/>
    <x v="6"/>
    <x v="7"/>
    <x v="0"/>
    <x v="0"/>
    <x v="2"/>
    <x v="5"/>
    <n v="0"/>
    <n v="0"/>
    <n v="12.256"/>
    <n v="12.256"/>
    <n v="12.256"/>
    <n v="12.256"/>
    <n v="154"/>
    <x v="0"/>
    <n v="0"/>
    <n v="0"/>
    <n v="20"/>
    <n v="39"/>
    <n v="0"/>
    <n v="253.04"/>
    <n v="314.52"/>
    <m/>
    <n v="209.63867102533194"/>
    <n v="248.38780360927973"/>
    <n v="0"/>
    <n v="3101.2582400000001"/>
    <n v="3854.7571199999998"/>
    <n v="0"/>
    <n v="2569.3315520864685"/>
    <n v="3044.2409210353326"/>
  </r>
  <r>
    <s v="Regular"/>
    <x v="1"/>
    <x v="4"/>
    <x v="6"/>
    <x v="7"/>
    <x v="0"/>
    <x v="0"/>
    <x v="2"/>
    <x v="6"/>
    <n v="0"/>
    <n v="0"/>
    <n v="22.824999999999999"/>
    <n v="22.824999999999999"/>
    <n v="22.824999999999999"/>
    <n v="22.824999999999999"/>
    <n v="226"/>
    <x v="0"/>
    <n v="0"/>
    <n v="0"/>
    <n v="20"/>
    <n v="39"/>
    <n v="0"/>
    <n v="253.04"/>
    <n v="314.52"/>
    <m/>
    <n v="209.63867102533194"/>
    <n v="248.38780360927973"/>
    <n v="0"/>
    <n v="5775.6379999999999"/>
    <n v="7178.918999999999"/>
    <n v="0"/>
    <n v="4785.0026661532011"/>
    <n v="5669.4516173818092"/>
  </r>
  <r>
    <s v="Sistema de Compensação"/>
    <x v="1"/>
    <x v="4"/>
    <x v="6"/>
    <x v="7"/>
    <x v="0"/>
    <x v="0"/>
    <x v="2"/>
    <x v="6"/>
    <n v="0"/>
    <n v="0"/>
    <n v="0.10299999999999999"/>
    <n v="0.10299999999999999"/>
    <n v="0.10299999999999999"/>
    <n v="0.10299999999999999"/>
    <n v="4"/>
    <x v="0"/>
    <n v="0"/>
    <n v="0"/>
    <n v="20"/>
    <n v="39"/>
    <n v="0"/>
    <n v="253.04"/>
    <n v="314.52"/>
    <m/>
    <n v="209.63867102533194"/>
    <n v="248.38780360927973"/>
    <n v="0"/>
    <n v="26.063119999999998"/>
    <n v="32.395559999999996"/>
    <n v="0"/>
    <n v="21.592783115609191"/>
    <n v="25.583943771755809"/>
  </r>
  <r>
    <s v="Regular"/>
    <x v="1"/>
    <x v="4"/>
    <x v="6"/>
    <x v="7"/>
    <x v="0"/>
    <x v="0"/>
    <x v="2"/>
    <x v="7"/>
    <n v="0"/>
    <n v="0"/>
    <n v="16.157"/>
    <n v="16.157"/>
    <n v="16.157"/>
    <n v="16.157"/>
    <n v="184"/>
    <x v="0"/>
    <n v="0"/>
    <n v="0"/>
    <n v="20"/>
    <n v="39"/>
    <n v="0"/>
    <n v="253.04"/>
    <n v="314.52"/>
    <m/>
    <n v="209.63867102533194"/>
    <n v="248.38780360927973"/>
    <n v="0"/>
    <n v="4088.3672799999999"/>
    <n v="5081.6996399999998"/>
    <n v="0"/>
    <n v="3387.1320077562882"/>
    <n v="4013.2017429151324"/>
  </r>
  <r>
    <s v="Regular"/>
    <x v="1"/>
    <x v="4"/>
    <x v="6"/>
    <x v="7"/>
    <x v="0"/>
    <x v="0"/>
    <x v="2"/>
    <x v="8"/>
    <n v="0"/>
    <n v="0"/>
    <n v="24.401"/>
    <n v="24.401"/>
    <n v="24.401"/>
    <n v="24.401"/>
    <n v="255"/>
    <x v="0"/>
    <n v="0"/>
    <n v="0"/>
    <n v="20"/>
    <n v="39"/>
    <n v="0"/>
    <n v="253.04"/>
    <n v="314.52"/>
    <m/>
    <n v="209.63867102533194"/>
    <n v="248.38780360927973"/>
    <n v="0"/>
    <n v="6174.42904"/>
    <n v="7674.6025199999995"/>
    <n v="0"/>
    <n v="5115.3932116891247"/>
    <n v="6060.9107958700342"/>
  </r>
  <r>
    <s v="Regular"/>
    <x v="1"/>
    <x v="4"/>
    <x v="6"/>
    <x v="7"/>
    <x v="0"/>
    <x v="0"/>
    <x v="2"/>
    <x v="9"/>
    <n v="0"/>
    <n v="0"/>
    <n v="10.157999999999999"/>
    <n v="10.157999999999999"/>
    <n v="10.157999999999999"/>
    <n v="10.157999999999999"/>
    <n v="132"/>
    <x v="0"/>
    <n v="0"/>
    <n v="0"/>
    <n v="20"/>
    <n v="39"/>
    <n v="0"/>
    <n v="253.04"/>
    <n v="314.52"/>
    <m/>
    <n v="209.63867102533194"/>
    <n v="248.38780360927973"/>
    <n v="0"/>
    <n v="2570.3803199999998"/>
    <n v="3194.8941599999998"/>
    <n v="0"/>
    <n v="2129.5096202753216"/>
    <n v="2523.1233090630635"/>
  </r>
  <r>
    <s v="Regular"/>
    <x v="1"/>
    <x v="4"/>
    <x v="6"/>
    <x v="7"/>
    <x v="0"/>
    <x v="0"/>
    <x v="2"/>
    <x v="10"/>
    <n v="0"/>
    <n v="0"/>
    <n v="11.754"/>
    <n v="11.754"/>
    <n v="11.754"/>
    <n v="11.754"/>
    <n v="152"/>
    <x v="0"/>
    <n v="0"/>
    <n v="0"/>
    <n v="20"/>
    <n v="39"/>
    <n v="0"/>
    <n v="253.04"/>
    <n v="314.52"/>
    <m/>
    <n v="209.63867102533194"/>
    <n v="248.38780360927973"/>
    <n v="0"/>
    <n v="2974.23216"/>
    <n v="3696.8680799999997"/>
    <n v="0"/>
    <n v="2464.0929392317516"/>
    <n v="2919.5502436234738"/>
  </r>
  <r>
    <s v="PROJETADO"/>
    <x v="1"/>
    <x v="4"/>
    <x v="6"/>
    <x v="7"/>
    <x v="0"/>
    <x v="0"/>
    <x v="2"/>
    <x v="11"/>
    <n v="0"/>
    <n v="0"/>
    <n v="11.754"/>
    <n v="11.754"/>
    <n v="11.754"/>
    <n v="11.754"/>
    <n v="152"/>
    <x v="0"/>
    <n v="0"/>
    <n v="0"/>
    <n v="20"/>
    <n v="39"/>
    <n v="0"/>
    <n v="253.04"/>
    <n v="314.52"/>
    <m/>
    <n v="209.63867102533194"/>
    <n v="248.38780360927973"/>
    <n v="0"/>
    <n v="2974.23216"/>
    <n v="3696.8680799999997"/>
    <n v="0"/>
    <n v="2464.0929392317516"/>
    <n v="2919.5502436234738"/>
  </r>
  <r>
    <s v="Regular"/>
    <x v="2"/>
    <x v="4"/>
    <x v="5"/>
    <x v="2"/>
    <x v="3"/>
    <x v="0"/>
    <x v="2"/>
    <x v="0"/>
    <n v="0"/>
    <n v="0"/>
    <n v="0.1"/>
    <n v="0.1"/>
    <n v="0.1"/>
    <n v="0.1"/>
    <n v="0"/>
    <x v="0"/>
    <n v="0"/>
    <n v="0"/>
    <n v="32"/>
    <n v="56"/>
    <n v="0"/>
    <n v="287.75"/>
    <n v="276.77999999999997"/>
    <m/>
    <n v="291.92819455280369"/>
    <n v="233.48453539272293"/>
    <n v="0"/>
    <n v="28.775000000000002"/>
    <n v="27.677999999999997"/>
    <n v="0"/>
    <n v="29.192819455280372"/>
    <n v="23.348453539272295"/>
  </r>
  <r>
    <s v="Regular"/>
    <x v="2"/>
    <x v="4"/>
    <x v="5"/>
    <x v="2"/>
    <x v="3"/>
    <x v="0"/>
    <x v="2"/>
    <x v="1"/>
    <n v="0"/>
    <n v="0"/>
    <n v="0.1"/>
    <n v="0.1"/>
    <n v="0.1"/>
    <n v="0.1"/>
    <n v="0"/>
    <x v="0"/>
    <n v="0"/>
    <n v="0"/>
    <n v="32"/>
    <n v="56"/>
    <n v="0"/>
    <n v="287.75"/>
    <n v="276.77999999999997"/>
    <m/>
    <n v="291.92819455280369"/>
    <n v="233.48453539272293"/>
    <n v="0"/>
    <n v="28.775000000000002"/>
    <n v="27.677999999999997"/>
    <n v="0"/>
    <n v="29.192819455280372"/>
    <n v="23.348453539272295"/>
  </r>
  <r>
    <s v="Regular"/>
    <x v="2"/>
    <x v="4"/>
    <x v="5"/>
    <x v="2"/>
    <x v="3"/>
    <x v="0"/>
    <x v="2"/>
    <x v="2"/>
    <n v="0"/>
    <n v="0"/>
    <n v="5.8999999999999997E-2"/>
    <n v="5.8999999999999997E-2"/>
    <n v="5.8999999999999997E-2"/>
    <n v="5.8999999999999997E-2"/>
    <n v="0"/>
    <x v="0"/>
    <n v="0"/>
    <n v="0"/>
    <n v="32"/>
    <n v="56"/>
    <n v="0"/>
    <n v="287.75"/>
    <n v="276.77999999999997"/>
    <m/>
    <n v="291.92819455280369"/>
    <n v="233.48453539272293"/>
    <n v="0"/>
    <n v="16.977249999999998"/>
    <n v="16.330019999999998"/>
    <n v="0"/>
    <n v="17.223763478615417"/>
    <n v="13.775587588170652"/>
  </r>
  <r>
    <s v="Regular"/>
    <x v="2"/>
    <x v="4"/>
    <x v="5"/>
    <x v="2"/>
    <x v="3"/>
    <x v="0"/>
    <x v="2"/>
    <x v="3"/>
    <n v="0"/>
    <n v="0"/>
    <n v="5.8999999999999997E-2"/>
    <n v="5.8999999999999997E-2"/>
    <n v="5.8999999999999997E-2"/>
    <n v="5.8999999999999997E-2"/>
    <n v="0"/>
    <x v="0"/>
    <n v="0"/>
    <n v="0"/>
    <n v="32"/>
    <n v="56"/>
    <n v="0"/>
    <n v="287.75"/>
    <n v="276.77999999999997"/>
    <m/>
    <n v="291.92819455280369"/>
    <n v="233.48453539272293"/>
    <n v="0"/>
    <n v="16.977249999999998"/>
    <n v="16.330019999999998"/>
    <n v="0"/>
    <n v="17.223763478615417"/>
    <n v="13.775587588170652"/>
  </r>
  <r>
    <s v="Regular"/>
    <x v="2"/>
    <x v="4"/>
    <x v="5"/>
    <x v="2"/>
    <x v="3"/>
    <x v="0"/>
    <x v="2"/>
    <x v="4"/>
    <n v="0"/>
    <n v="0"/>
    <n v="1.649"/>
    <n v="1.649"/>
    <n v="1.649"/>
    <n v="1.649"/>
    <n v="0"/>
    <x v="0"/>
    <n v="0"/>
    <n v="0"/>
    <n v="32"/>
    <n v="56"/>
    <n v="0"/>
    <n v="287.75"/>
    <n v="276.77999999999997"/>
    <m/>
    <n v="291.92819455280369"/>
    <n v="233.48453539272293"/>
    <n v="0"/>
    <n v="474.49975000000001"/>
    <n v="456.41021999999998"/>
    <n v="0"/>
    <n v="481.38959281757332"/>
    <n v="385.0159988626001"/>
  </r>
  <r>
    <s v="Regular"/>
    <x v="2"/>
    <x v="4"/>
    <x v="5"/>
    <x v="2"/>
    <x v="3"/>
    <x v="0"/>
    <x v="2"/>
    <x v="5"/>
    <n v="0"/>
    <n v="0"/>
    <n v="1.54"/>
    <n v="1.54"/>
    <n v="1.54"/>
    <n v="1.54"/>
    <n v="0"/>
    <x v="0"/>
    <n v="0"/>
    <n v="0"/>
    <n v="32"/>
    <n v="56"/>
    <n v="0"/>
    <n v="287.75"/>
    <n v="276.77999999999997"/>
    <m/>
    <n v="291.92819455280369"/>
    <n v="233.48453539272293"/>
    <n v="0"/>
    <n v="443.13499999999999"/>
    <n v="426.24119999999999"/>
    <n v="0"/>
    <n v="449.5694196113177"/>
    <n v="359.56618450479334"/>
  </r>
  <r>
    <s v="Regular"/>
    <x v="2"/>
    <x v="4"/>
    <x v="5"/>
    <x v="2"/>
    <x v="3"/>
    <x v="0"/>
    <x v="2"/>
    <x v="6"/>
    <n v="0"/>
    <n v="0"/>
    <n v="2.0259999999999998"/>
    <n v="2.0259999999999998"/>
    <n v="2.0259999999999998"/>
    <n v="2.0259999999999998"/>
    <n v="0"/>
    <x v="0"/>
    <n v="0"/>
    <n v="0"/>
    <n v="32"/>
    <n v="56"/>
    <n v="0"/>
    <n v="287.75"/>
    <n v="276.77999999999997"/>
    <m/>
    <n v="291.92819455280369"/>
    <n v="233.48453539272293"/>
    <n v="0"/>
    <n v="582.98149999999998"/>
    <n v="560.75627999999983"/>
    <n v="0"/>
    <n v="591.44652216398026"/>
    <n v="473.0396687056566"/>
  </r>
  <r>
    <s v="Regular"/>
    <x v="2"/>
    <x v="4"/>
    <x v="5"/>
    <x v="2"/>
    <x v="3"/>
    <x v="0"/>
    <x v="2"/>
    <x v="7"/>
    <n v="0"/>
    <n v="0"/>
    <n v="0.251"/>
    <n v="0.251"/>
    <n v="0.251"/>
    <n v="0.251"/>
    <n v="0"/>
    <x v="0"/>
    <n v="0"/>
    <n v="0"/>
    <n v="32"/>
    <n v="56"/>
    <n v="0"/>
    <n v="287.75"/>
    <n v="276.77999999999997"/>
    <m/>
    <n v="291.92819455280369"/>
    <n v="233.48453539272293"/>
    <n v="0"/>
    <n v="72.225250000000003"/>
    <n v="69.471779999999995"/>
    <n v="0"/>
    <n v="73.273976832753732"/>
    <n v="58.60461838357346"/>
  </r>
  <r>
    <s v="Regular"/>
    <x v="2"/>
    <x v="4"/>
    <x v="5"/>
    <x v="2"/>
    <x v="3"/>
    <x v="0"/>
    <x v="2"/>
    <x v="8"/>
    <n v="0"/>
    <n v="0"/>
    <n v="0.1"/>
    <n v="0.1"/>
    <n v="0.1"/>
    <n v="0.1"/>
    <n v="0"/>
    <x v="0"/>
    <n v="0"/>
    <n v="0"/>
    <n v="32"/>
    <n v="56"/>
    <n v="0"/>
    <n v="287.75"/>
    <n v="276.77999999999997"/>
    <m/>
    <n v="291.92819455280369"/>
    <n v="233.48453539272293"/>
    <n v="0"/>
    <n v="28.775000000000002"/>
    <n v="27.677999999999997"/>
    <n v="0"/>
    <n v="29.192819455280372"/>
    <n v="23.348453539272295"/>
  </r>
  <r>
    <s v="Regular"/>
    <x v="2"/>
    <x v="4"/>
    <x v="5"/>
    <x v="2"/>
    <x v="3"/>
    <x v="0"/>
    <x v="2"/>
    <x v="9"/>
    <n v="0"/>
    <n v="0"/>
    <n v="0.1"/>
    <n v="0.1"/>
    <n v="0.1"/>
    <n v="0.1"/>
    <n v="0"/>
    <x v="0"/>
    <n v="0"/>
    <n v="0"/>
    <n v="32"/>
    <n v="56"/>
    <n v="0"/>
    <n v="287.75"/>
    <n v="276.77999999999997"/>
    <m/>
    <n v="291.92819455280369"/>
    <n v="233.48453539272293"/>
    <n v="0"/>
    <n v="28.775000000000002"/>
    <n v="27.677999999999997"/>
    <n v="0"/>
    <n v="29.192819455280372"/>
    <n v="23.348453539272295"/>
  </r>
  <r>
    <s v="Regular"/>
    <x v="2"/>
    <x v="4"/>
    <x v="5"/>
    <x v="2"/>
    <x v="3"/>
    <x v="0"/>
    <x v="2"/>
    <x v="10"/>
    <n v="0"/>
    <n v="0"/>
    <n v="5.8999999999999997E-2"/>
    <n v="5.8999999999999997E-2"/>
    <n v="5.8999999999999997E-2"/>
    <n v="5.8999999999999997E-2"/>
    <n v="0"/>
    <x v="0"/>
    <n v="0"/>
    <n v="0"/>
    <n v="32"/>
    <n v="56"/>
    <n v="0"/>
    <n v="287.75"/>
    <n v="276.77999999999997"/>
    <m/>
    <n v="291.92819455280369"/>
    <n v="233.48453539272293"/>
    <n v="0"/>
    <n v="16.977249999999998"/>
    <n v="16.330019999999998"/>
    <n v="0"/>
    <n v="17.223763478615417"/>
    <n v="13.775587588170652"/>
  </r>
  <r>
    <s v="PROJETADO"/>
    <x v="2"/>
    <x v="4"/>
    <x v="5"/>
    <x v="2"/>
    <x v="3"/>
    <x v="0"/>
    <x v="2"/>
    <x v="11"/>
    <n v="0"/>
    <n v="0"/>
    <n v="5.8999999999999997E-2"/>
    <n v="5.8999999999999997E-2"/>
    <n v="5.8999999999999997E-2"/>
    <n v="5.8999999999999997E-2"/>
    <n v="0"/>
    <x v="0"/>
    <n v="0"/>
    <n v="0"/>
    <n v="32"/>
    <n v="56"/>
    <n v="0"/>
    <n v="287.75"/>
    <n v="276.77999999999997"/>
    <m/>
    <n v="291.92819455280369"/>
    <n v="233.48453539272293"/>
    <n v="0"/>
    <n v="16.977249999999998"/>
    <n v="16.330019999999998"/>
    <n v="0"/>
    <n v="17.223763478615417"/>
    <n v="13.775587588170652"/>
  </r>
  <r>
    <s v="Regular"/>
    <x v="2"/>
    <x v="4"/>
    <x v="5"/>
    <x v="2"/>
    <x v="2"/>
    <x v="0"/>
    <x v="2"/>
    <x v="2"/>
    <n v="0"/>
    <n v="0"/>
    <n v="4.1000000000000002E-2"/>
    <n v="1.6400000000000001E-2"/>
    <n v="4.1000000000000002E-2"/>
    <n v="1.6400000000000001E-2"/>
    <n v="0"/>
    <x v="0"/>
    <n v="0"/>
    <n v="0"/>
    <n v="32"/>
    <n v="56"/>
    <n v="0"/>
    <n v="287.75"/>
    <n v="276.77999999999997"/>
    <m/>
    <n v="291.92819455280369"/>
    <n v="233.48453539272293"/>
    <n v="0"/>
    <n v="4.7191000000000001"/>
    <n v="4.5391919999999999"/>
    <n v="0"/>
    <n v="4.7876223906659812"/>
    <n v="3.8291463804406565"/>
  </r>
  <r>
    <s v="Regular"/>
    <x v="2"/>
    <x v="4"/>
    <x v="5"/>
    <x v="2"/>
    <x v="2"/>
    <x v="0"/>
    <x v="2"/>
    <x v="3"/>
    <n v="0"/>
    <n v="0"/>
    <n v="4.1000000000000002E-2"/>
    <n v="1.6400000000000001E-2"/>
    <n v="4.1000000000000002E-2"/>
    <n v="1.6400000000000001E-2"/>
    <n v="0"/>
    <x v="0"/>
    <n v="0"/>
    <n v="0"/>
    <n v="32"/>
    <n v="56"/>
    <n v="0"/>
    <n v="287.75"/>
    <n v="276.77999999999997"/>
    <m/>
    <n v="291.92819455280369"/>
    <n v="233.48453539272293"/>
    <n v="0"/>
    <n v="4.7191000000000001"/>
    <n v="4.5391919999999999"/>
    <n v="0"/>
    <n v="4.7876223906659812"/>
    <n v="3.8291463804406565"/>
  </r>
  <r>
    <s v="Regular"/>
    <x v="2"/>
    <x v="4"/>
    <x v="5"/>
    <x v="2"/>
    <x v="2"/>
    <x v="0"/>
    <x v="2"/>
    <x v="4"/>
    <n v="0"/>
    <n v="0"/>
    <n v="1.1890000000000001"/>
    <n v="0.47560000000000002"/>
    <n v="1.1890000000000001"/>
    <n v="0.47560000000000002"/>
    <n v="0"/>
    <x v="0"/>
    <n v="0"/>
    <n v="0"/>
    <n v="32"/>
    <n v="56"/>
    <n v="0"/>
    <n v="287.75"/>
    <n v="276.77999999999997"/>
    <m/>
    <n v="291.92819455280369"/>
    <n v="233.48453539272293"/>
    <n v="0"/>
    <n v="136.85390000000001"/>
    <n v="131.63656799999998"/>
    <n v="0"/>
    <n v="138.84104932931345"/>
    <n v="111.04524503277904"/>
  </r>
  <r>
    <s v="Regular"/>
    <x v="2"/>
    <x v="4"/>
    <x v="5"/>
    <x v="2"/>
    <x v="2"/>
    <x v="0"/>
    <x v="2"/>
    <x v="5"/>
    <n v="0"/>
    <n v="0"/>
    <n v="1.8859999999999999"/>
    <n v="0.75439999999999996"/>
    <n v="1.8859999999999999"/>
    <n v="0.75439999999999996"/>
    <n v="0"/>
    <x v="0"/>
    <n v="0"/>
    <n v="0"/>
    <n v="32"/>
    <n v="56"/>
    <n v="0"/>
    <n v="287.75"/>
    <n v="276.77999999999997"/>
    <m/>
    <n v="291.92819455280369"/>
    <n v="233.48453539272293"/>
    <n v="0"/>
    <n v="217.07859999999999"/>
    <n v="208.80283199999997"/>
    <n v="0"/>
    <n v="220.23062997063508"/>
    <n v="176.14073350027016"/>
  </r>
  <r>
    <s v="Regular"/>
    <x v="2"/>
    <x v="4"/>
    <x v="5"/>
    <x v="2"/>
    <x v="2"/>
    <x v="0"/>
    <x v="2"/>
    <x v="6"/>
    <n v="0"/>
    <n v="0"/>
    <n v="1.927"/>
    <n v="0.77080000000000004"/>
    <n v="1.927"/>
    <n v="0.77080000000000004"/>
    <n v="0"/>
    <x v="0"/>
    <n v="0"/>
    <n v="0"/>
    <n v="32"/>
    <n v="56"/>
    <n v="0"/>
    <n v="287.75"/>
    <n v="276.77999999999997"/>
    <m/>
    <n v="291.92819455280369"/>
    <n v="233.48453539272293"/>
    <n v="0"/>
    <n v="221.79770000000002"/>
    <n v="213.34202399999998"/>
    <n v="0"/>
    <n v="225.01825236130111"/>
    <n v="179.96987988071083"/>
  </r>
  <r>
    <s v="Regular"/>
    <x v="2"/>
    <x v="4"/>
    <x v="5"/>
    <x v="2"/>
    <x v="2"/>
    <x v="0"/>
    <x v="2"/>
    <x v="10"/>
    <n v="0"/>
    <n v="0"/>
    <n v="4.1000000000000002E-2"/>
    <n v="1.6400000000000001E-2"/>
    <n v="4.1000000000000002E-2"/>
    <n v="1.6400000000000001E-2"/>
    <n v="0"/>
    <x v="0"/>
    <n v="0"/>
    <n v="0"/>
    <n v="32"/>
    <n v="56"/>
    <n v="0"/>
    <n v="287.75"/>
    <n v="276.77999999999997"/>
    <m/>
    <n v="291.92819455280369"/>
    <n v="233.48453539272293"/>
    <n v="0"/>
    <n v="4.7191000000000001"/>
    <n v="4.5391919999999999"/>
    <n v="0"/>
    <n v="4.7876223906659812"/>
    <n v="3.8291463804406565"/>
  </r>
  <r>
    <s v="PROJETADO"/>
    <x v="2"/>
    <x v="4"/>
    <x v="5"/>
    <x v="2"/>
    <x v="2"/>
    <x v="0"/>
    <x v="2"/>
    <x v="11"/>
    <n v="0"/>
    <n v="0"/>
    <n v="4.1000000000000002E-2"/>
    <n v="1.6400000000000001E-2"/>
    <n v="4.1000000000000002E-2"/>
    <n v="1.6400000000000001E-2"/>
    <n v="0"/>
    <x v="0"/>
    <n v="0"/>
    <n v="0"/>
    <n v="32"/>
    <n v="56"/>
    <n v="0"/>
    <n v="287.75"/>
    <n v="276.77999999999997"/>
    <m/>
    <n v="291.92819455280369"/>
    <n v="233.48453539272293"/>
    <n v="0"/>
    <n v="4.7191000000000001"/>
    <n v="4.5391919999999999"/>
    <n v="0"/>
    <n v="4.7876223906659812"/>
    <n v="3.8291463804406565"/>
  </r>
  <r>
    <s v="Regular"/>
    <x v="2"/>
    <x v="4"/>
    <x v="5"/>
    <x v="1"/>
    <x v="0"/>
    <x v="0"/>
    <x v="2"/>
    <x v="0"/>
    <n v="0"/>
    <n v="0"/>
    <n v="131.71799999999999"/>
    <n v="131.71799999999999"/>
    <n v="131.71799999999999"/>
    <n v="131.71799999999999"/>
    <n v="208"/>
    <x v="0"/>
    <n v="0"/>
    <n v="0"/>
    <n v="32"/>
    <n v="56"/>
    <n v="0"/>
    <n v="287.75"/>
    <n v="276.77999999999997"/>
    <m/>
    <n v="291.92819455280369"/>
    <n v="233.48453539272293"/>
    <n v="0"/>
    <n v="37901.854499999994"/>
    <n v="36456.908039999995"/>
    <n v="0"/>
    <n v="38452.197930106195"/>
    <n v="30754.116032858677"/>
  </r>
  <r>
    <s v="Regular"/>
    <x v="2"/>
    <x v="4"/>
    <x v="5"/>
    <x v="1"/>
    <x v="0"/>
    <x v="0"/>
    <x v="2"/>
    <x v="1"/>
    <n v="0"/>
    <n v="0"/>
    <n v="123.667"/>
    <n v="123.667"/>
    <n v="123.667"/>
    <n v="123.667"/>
    <n v="207"/>
    <x v="0"/>
    <n v="0"/>
    <n v="0"/>
    <n v="32"/>
    <n v="56"/>
    <n v="0"/>
    <n v="287.75"/>
    <n v="276.77999999999997"/>
    <m/>
    <n v="291.92819455280369"/>
    <n v="233.48453539272293"/>
    <n v="0"/>
    <n v="35585.179250000001"/>
    <n v="34228.552259999997"/>
    <n v="0"/>
    <n v="36101.884035761577"/>
    <n v="28874.332038411867"/>
  </r>
  <r>
    <s v="Regular"/>
    <x v="2"/>
    <x v="4"/>
    <x v="5"/>
    <x v="1"/>
    <x v="0"/>
    <x v="0"/>
    <x v="2"/>
    <x v="2"/>
    <n v="0"/>
    <n v="0"/>
    <n v="134.45599999999999"/>
    <n v="134.45599999999999"/>
    <n v="134.45599999999999"/>
    <n v="134.45599999999999"/>
    <n v="207"/>
    <x v="0"/>
    <n v="0"/>
    <n v="0"/>
    <n v="32"/>
    <n v="56"/>
    <n v="0"/>
    <n v="287.75"/>
    <n v="276.77999999999997"/>
    <m/>
    <n v="291.92819455280369"/>
    <n v="233.48453539272293"/>
    <n v="0"/>
    <n v="38689.714"/>
    <n v="37214.73167999999"/>
    <n v="0"/>
    <n v="39251.497326791767"/>
    <n v="31393.396690763951"/>
  </r>
  <r>
    <s v="Regular"/>
    <x v="2"/>
    <x v="4"/>
    <x v="5"/>
    <x v="1"/>
    <x v="0"/>
    <x v="0"/>
    <x v="2"/>
    <x v="3"/>
    <n v="0"/>
    <n v="0"/>
    <n v="126.17400000000001"/>
    <n v="126.17400000000001"/>
    <n v="126.17400000000001"/>
    <n v="126.17400000000001"/>
    <n v="207"/>
    <x v="0"/>
    <n v="0"/>
    <n v="0"/>
    <n v="32"/>
    <n v="56"/>
    <n v="0"/>
    <n v="287.75"/>
    <n v="276.77999999999997"/>
    <m/>
    <n v="291.92819455280369"/>
    <n v="233.48453539272293"/>
    <n v="0"/>
    <n v="36306.568500000001"/>
    <n v="34922.439719999995"/>
    <n v="0"/>
    <n v="36833.748019505452"/>
    <n v="29459.677768641424"/>
  </r>
  <r>
    <s v="Sistema de Compensação"/>
    <x v="2"/>
    <x v="4"/>
    <x v="5"/>
    <x v="1"/>
    <x v="0"/>
    <x v="0"/>
    <x v="2"/>
    <x v="3"/>
    <n v="0"/>
    <n v="0"/>
    <n v="0.05"/>
    <n v="0.05"/>
    <n v="0.05"/>
    <n v="0.05"/>
    <n v="1"/>
    <x v="0"/>
    <n v="0"/>
    <n v="0"/>
    <n v="32"/>
    <n v="56"/>
    <n v="0"/>
    <n v="287.75"/>
    <n v="276.77999999999997"/>
    <m/>
    <n v="291.92819455280369"/>
    <n v="233.48453539272293"/>
    <n v="0"/>
    <n v="14.387500000000001"/>
    <n v="13.838999999999999"/>
    <n v="0"/>
    <n v="14.596409727640186"/>
    <n v="11.674226769636148"/>
  </r>
  <r>
    <s v="Regular"/>
    <x v="2"/>
    <x v="4"/>
    <x v="5"/>
    <x v="1"/>
    <x v="0"/>
    <x v="0"/>
    <x v="2"/>
    <x v="4"/>
    <n v="0"/>
    <n v="0"/>
    <n v="154.369"/>
    <n v="154.369"/>
    <n v="154.369"/>
    <n v="154.369"/>
    <n v="205"/>
    <x v="0"/>
    <n v="0"/>
    <n v="0"/>
    <n v="32"/>
    <n v="56"/>
    <n v="0"/>
    <n v="287.75"/>
    <n v="276.77999999999997"/>
    <m/>
    <n v="291.92819455280369"/>
    <n v="233.48453539272293"/>
    <n v="0"/>
    <n v="44419.679750000003"/>
    <n v="42726.251819999998"/>
    <n v="0"/>
    <n v="45064.663464921752"/>
    <n v="36042.774244039247"/>
  </r>
  <r>
    <s v="Sistema de Compensação"/>
    <x v="2"/>
    <x v="4"/>
    <x v="5"/>
    <x v="1"/>
    <x v="0"/>
    <x v="0"/>
    <x v="2"/>
    <x v="4"/>
    <n v="0"/>
    <n v="0"/>
    <n v="0.21"/>
    <n v="0.21"/>
    <n v="0.21"/>
    <n v="0.21"/>
    <n v="2"/>
    <x v="0"/>
    <n v="0"/>
    <n v="0"/>
    <n v="32"/>
    <n v="56"/>
    <n v="0"/>
    <n v="287.75"/>
    <n v="276.77999999999997"/>
    <m/>
    <n v="291.92819455280369"/>
    <n v="233.48453539272293"/>
    <n v="0"/>
    <n v="60.427499999999995"/>
    <n v="58.123799999999989"/>
    <n v="0"/>
    <n v="61.304920856088771"/>
    <n v="49.031752432471812"/>
  </r>
  <r>
    <s v="Regular"/>
    <x v="2"/>
    <x v="4"/>
    <x v="5"/>
    <x v="1"/>
    <x v="0"/>
    <x v="0"/>
    <x v="2"/>
    <x v="5"/>
    <n v="0"/>
    <n v="0"/>
    <n v="143.977"/>
    <n v="143.977"/>
    <n v="143.977"/>
    <n v="143.977"/>
    <n v="203"/>
    <x v="0"/>
    <n v="0"/>
    <n v="0"/>
    <n v="32"/>
    <n v="56"/>
    <n v="0"/>
    <n v="287.75"/>
    <n v="276.77999999999997"/>
    <m/>
    <n v="291.92819455280369"/>
    <n v="233.48453539272293"/>
    <n v="0"/>
    <n v="41429.38175"/>
    <n v="39849.954059999996"/>
    <n v="0"/>
    <n v="42030.945667129017"/>
    <n v="33616.402952238073"/>
  </r>
  <r>
    <s v="Refaturamento - Regular"/>
    <x v="2"/>
    <x v="4"/>
    <x v="5"/>
    <x v="1"/>
    <x v="0"/>
    <x v="0"/>
    <x v="2"/>
    <x v="5"/>
    <n v="0"/>
    <n v="0"/>
    <n v="-1.627"/>
    <n v="-1.627"/>
    <n v="-1.627"/>
    <n v="-1.627"/>
    <n v="0"/>
    <x v="0"/>
    <n v="0"/>
    <n v="0"/>
    <n v="32"/>
    <n v="56"/>
    <n v="0"/>
    <n v="287.75"/>
    <n v="276.77999999999997"/>
    <m/>
    <n v="291.92819455280369"/>
    <n v="233.48453539272293"/>
    <n v="0"/>
    <n v="-468.16924999999998"/>
    <n v="-450.32105999999993"/>
    <n v="0"/>
    <n v="-474.96717253741161"/>
    <n v="-379.87933908396019"/>
  </r>
  <r>
    <s v="Sistema de Compensação"/>
    <x v="2"/>
    <x v="4"/>
    <x v="5"/>
    <x v="1"/>
    <x v="0"/>
    <x v="0"/>
    <x v="2"/>
    <x v="5"/>
    <n v="0"/>
    <n v="0"/>
    <n v="0.41699999999999998"/>
    <n v="0.41699999999999998"/>
    <n v="0.41699999999999998"/>
    <n v="0.41699999999999998"/>
    <n v="4"/>
    <x v="0"/>
    <n v="0"/>
    <n v="0"/>
    <n v="32"/>
    <n v="56"/>
    <n v="0"/>
    <n v="287.75"/>
    <n v="276.77999999999997"/>
    <m/>
    <n v="291.92819455280369"/>
    <n v="233.48453539272293"/>
    <n v="0"/>
    <n v="119.99175"/>
    <n v="115.41725999999998"/>
    <n v="0"/>
    <n v="121.73405712851913"/>
    <n v="97.363051258765452"/>
  </r>
  <r>
    <s v="Regular"/>
    <x v="2"/>
    <x v="4"/>
    <x v="5"/>
    <x v="1"/>
    <x v="0"/>
    <x v="0"/>
    <x v="2"/>
    <x v="6"/>
    <n v="0"/>
    <n v="0"/>
    <n v="155.065"/>
    <n v="155.065"/>
    <n v="155.065"/>
    <n v="155.065"/>
    <n v="202"/>
    <x v="0"/>
    <n v="0"/>
    <n v="0"/>
    <n v="32"/>
    <n v="56"/>
    <n v="0"/>
    <n v="287.75"/>
    <n v="276.77999999999997"/>
    <m/>
    <n v="291.92819455280369"/>
    <n v="233.48453539272293"/>
    <n v="0"/>
    <n v="44619.953750000001"/>
    <n v="42918.890699999996"/>
    <n v="0"/>
    <n v="45267.845488330502"/>
    <n v="36205.27948067258"/>
  </r>
  <r>
    <s v="Sistema de Compensação"/>
    <x v="2"/>
    <x v="4"/>
    <x v="5"/>
    <x v="1"/>
    <x v="0"/>
    <x v="0"/>
    <x v="2"/>
    <x v="6"/>
    <n v="0"/>
    <n v="0"/>
    <n v="0.52400000000000002"/>
    <n v="0.52400000000000002"/>
    <n v="0.52400000000000002"/>
    <n v="0.52400000000000002"/>
    <n v="5"/>
    <x v="0"/>
    <n v="0"/>
    <n v="0"/>
    <n v="32"/>
    <n v="56"/>
    <n v="0"/>
    <n v="287.75"/>
    <n v="276.77999999999997"/>
    <m/>
    <n v="291.92819455280369"/>
    <n v="233.48453539272293"/>
    <n v="0"/>
    <n v="150.78100000000001"/>
    <n v="145.03271999999998"/>
    <n v="0"/>
    <n v="152.97037394566914"/>
    <n v="122.34589654578681"/>
  </r>
  <r>
    <s v="Regular"/>
    <x v="2"/>
    <x v="4"/>
    <x v="5"/>
    <x v="1"/>
    <x v="0"/>
    <x v="0"/>
    <x v="2"/>
    <x v="7"/>
    <n v="0"/>
    <n v="0"/>
    <n v="154.22800000000001"/>
    <n v="154.22800000000001"/>
    <n v="154.22800000000001"/>
    <n v="154.22800000000001"/>
    <n v="203"/>
    <x v="0"/>
    <n v="0"/>
    <n v="0"/>
    <n v="32"/>
    <n v="56"/>
    <n v="0"/>
    <n v="287.75"/>
    <n v="276.77999999999997"/>
    <m/>
    <n v="291.92819455280369"/>
    <n v="233.48453539272293"/>
    <n v="0"/>
    <n v="44379.107000000004"/>
    <n v="42687.225839999999"/>
    <n v="0"/>
    <n v="45023.50158948981"/>
    <n v="36009.852924548875"/>
  </r>
  <r>
    <s v="Sistema de Compensação"/>
    <x v="2"/>
    <x v="4"/>
    <x v="5"/>
    <x v="1"/>
    <x v="0"/>
    <x v="0"/>
    <x v="2"/>
    <x v="7"/>
    <n v="0"/>
    <n v="0"/>
    <n v="0.70199999999999996"/>
    <n v="0.70199999999999996"/>
    <n v="0.70199999999999996"/>
    <n v="0.70199999999999996"/>
    <n v="5"/>
    <x v="0"/>
    <n v="0"/>
    <n v="0"/>
    <n v="32"/>
    <n v="56"/>
    <n v="0"/>
    <n v="287.75"/>
    <n v="276.77999999999997"/>
    <m/>
    <n v="291.92819455280369"/>
    <n v="233.48453539272293"/>
    <n v="0"/>
    <n v="202.00049999999999"/>
    <n v="194.29955999999996"/>
    <n v="0"/>
    <n v="204.93359257606818"/>
    <n v="163.9061438456915"/>
  </r>
  <r>
    <s v="Regular"/>
    <x v="2"/>
    <x v="4"/>
    <x v="5"/>
    <x v="1"/>
    <x v="0"/>
    <x v="0"/>
    <x v="2"/>
    <x v="8"/>
    <n v="0"/>
    <n v="0"/>
    <n v="136.06200000000001"/>
    <n v="136.06200000000001"/>
    <n v="136.06200000000001"/>
    <n v="136.06200000000001"/>
    <n v="203"/>
    <x v="0"/>
    <n v="0"/>
    <n v="0"/>
    <n v="32"/>
    <n v="56"/>
    <n v="0"/>
    <n v="287.75"/>
    <n v="276.77999999999997"/>
    <m/>
    <n v="291.92819455280369"/>
    <n v="233.48453539272293"/>
    <n v="0"/>
    <n v="39151.840500000006"/>
    <n v="37659.240359999996"/>
    <n v="0"/>
    <n v="39720.334007243582"/>
    <n v="31768.37285460467"/>
  </r>
  <r>
    <s v="Refaturamento - Regular"/>
    <x v="2"/>
    <x v="4"/>
    <x v="5"/>
    <x v="1"/>
    <x v="0"/>
    <x v="0"/>
    <x v="2"/>
    <x v="8"/>
    <n v="0"/>
    <n v="0"/>
    <n v="0.16"/>
    <n v="0.16"/>
    <n v="0.16"/>
    <n v="0.16"/>
    <n v="0"/>
    <x v="0"/>
    <n v="0"/>
    <n v="0"/>
    <n v="32"/>
    <n v="56"/>
    <n v="0"/>
    <n v="287.75"/>
    <n v="276.77999999999997"/>
    <m/>
    <n v="291.92819455280369"/>
    <n v="233.48453539272293"/>
    <n v="0"/>
    <n v="46.04"/>
    <n v="44.284799999999997"/>
    <n v="0"/>
    <n v="46.708511128448592"/>
    <n v="37.35752566283567"/>
  </r>
  <r>
    <s v="Sistema de Compensação"/>
    <x v="2"/>
    <x v="4"/>
    <x v="5"/>
    <x v="1"/>
    <x v="0"/>
    <x v="0"/>
    <x v="2"/>
    <x v="8"/>
    <n v="0"/>
    <n v="0"/>
    <n v="0.46899999999999997"/>
    <n v="0.46899999999999997"/>
    <n v="0.46899999999999997"/>
    <n v="0.46899999999999997"/>
    <n v="5"/>
    <x v="0"/>
    <n v="0"/>
    <n v="0"/>
    <n v="32"/>
    <n v="56"/>
    <n v="0"/>
    <n v="287.75"/>
    <n v="276.77999999999997"/>
    <m/>
    <n v="291.92819455280369"/>
    <n v="233.48453539272293"/>
    <n v="0"/>
    <n v="134.95474999999999"/>
    <n v="129.80981999999997"/>
    <n v="0"/>
    <n v="136.91432324526491"/>
    <n v="109.50424709918705"/>
  </r>
  <r>
    <s v="Regular"/>
    <x v="2"/>
    <x v="4"/>
    <x v="5"/>
    <x v="1"/>
    <x v="0"/>
    <x v="0"/>
    <x v="2"/>
    <x v="9"/>
    <n v="0"/>
    <n v="0"/>
    <n v="149.77799999999999"/>
    <n v="149.77799999999999"/>
    <n v="149.77799999999999"/>
    <n v="149.77799999999999"/>
    <n v="203"/>
    <x v="0"/>
    <n v="0"/>
    <n v="0"/>
    <n v="32"/>
    <n v="56"/>
    <n v="0"/>
    <n v="287.75"/>
    <n v="276.77999999999997"/>
    <m/>
    <n v="291.92819455280369"/>
    <n v="233.48453539272293"/>
    <n v="0"/>
    <n v="43098.619500000001"/>
    <n v="41455.554839999997"/>
    <n v="0"/>
    <n v="43724.42112372983"/>
    <n v="34970.846742051253"/>
  </r>
  <r>
    <s v="Sistema de Compensação"/>
    <x v="2"/>
    <x v="4"/>
    <x v="5"/>
    <x v="1"/>
    <x v="0"/>
    <x v="0"/>
    <x v="2"/>
    <x v="9"/>
    <n v="0"/>
    <n v="0"/>
    <n v="1.0640000000000001"/>
    <n v="1.0640000000000001"/>
    <n v="1.0640000000000001"/>
    <n v="1.0640000000000001"/>
    <n v="5"/>
    <x v="0"/>
    <n v="0"/>
    <n v="0"/>
    <n v="32"/>
    <n v="56"/>
    <n v="0"/>
    <n v="287.75"/>
    <n v="276.77999999999997"/>
    <m/>
    <n v="291.92819455280369"/>
    <n v="233.48453539272293"/>
    <n v="0"/>
    <n v="306.166"/>
    <n v="294.49392"/>
    <n v="0"/>
    <n v="310.61159900418312"/>
    <n v="248.42754565785722"/>
  </r>
  <r>
    <s v="Regular"/>
    <x v="2"/>
    <x v="4"/>
    <x v="5"/>
    <x v="1"/>
    <x v="0"/>
    <x v="0"/>
    <x v="2"/>
    <x v="10"/>
    <n v="0"/>
    <n v="0"/>
    <n v="129.52199999999999"/>
    <n v="129.52199999999999"/>
    <n v="129.52199999999999"/>
    <n v="129.52199999999999"/>
    <n v="202"/>
    <x v="0"/>
    <n v="0"/>
    <n v="0"/>
    <n v="32"/>
    <n v="56"/>
    <n v="0"/>
    <n v="287.75"/>
    <n v="276.77999999999997"/>
    <m/>
    <n v="291.92819455280369"/>
    <n v="233.48453539272293"/>
    <n v="0"/>
    <n v="37269.955499999996"/>
    <n v="35849.099159999991"/>
    <n v="0"/>
    <n v="37811.123614868236"/>
    <n v="30241.383993136256"/>
  </r>
  <r>
    <s v="Sistema de Compensação"/>
    <x v="2"/>
    <x v="4"/>
    <x v="5"/>
    <x v="1"/>
    <x v="0"/>
    <x v="0"/>
    <x v="2"/>
    <x v="10"/>
    <n v="0"/>
    <n v="0"/>
    <n v="6.4989999999999997"/>
    <n v="6.4989999999999997"/>
    <n v="6.4989999999999997"/>
    <n v="6.4989999999999997"/>
    <n v="6"/>
    <x v="0"/>
    <n v="0"/>
    <n v="0"/>
    <n v="32"/>
    <n v="56"/>
    <n v="0"/>
    <n v="287.75"/>
    <n v="276.77999999999997"/>
    <m/>
    <n v="291.92819455280369"/>
    <n v="233.48453539272293"/>
    <n v="0"/>
    <n v="1870.0872499999998"/>
    <n v="1798.7932199999998"/>
    <n v="0"/>
    <n v="1897.2413363986711"/>
    <n v="1517.4159955173063"/>
  </r>
  <r>
    <s v="PROJETADO"/>
    <x v="2"/>
    <x v="4"/>
    <x v="5"/>
    <x v="1"/>
    <x v="0"/>
    <x v="0"/>
    <x v="2"/>
    <x v="11"/>
    <n v="0"/>
    <n v="0"/>
    <n v="129.52199999999999"/>
    <n v="129.52199999999999"/>
    <n v="129.52199999999999"/>
    <n v="129.52199999999999"/>
    <n v="202"/>
    <x v="0"/>
    <n v="0"/>
    <n v="0"/>
    <n v="32"/>
    <n v="56"/>
    <n v="0"/>
    <n v="287.75"/>
    <n v="276.77999999999997"/>
    <m/>
    <n v="291.92819455280369"/>
    <n v="233.48453539272293"/>
    <n v="0"/>
    <n v="37269.955499999996"/>
    <n v="35849.099159999991"/>
    <n v="0"/>
    <n v="37811.123614868236"/>
    <n v="30241.383993136256"/>
  </r>
  <r>
    <s v="PROJETADO"/>
    <x v="2"/>
    <x v="4"/>
    <x v="5"/>
    <x v="1"/>
    <x v="0"/>
    <x v="0"/>
    <x v="2"/>
    <x v="11"/>
    <n v="0"/>
    <n v="0"/>
    <n v="6.4989999999999997"/>
    <n v="6.4989999999999997"/>
    <n v="6.4989999999999997"/>
    <n v="6.4989999999999997"/>
    <n v="6"/>
    <x v="0"/>
    <n v="0"/>
    <n v="0"/>
    <n v="32"/>
    <n v="56"/>
    <n v="0"/>
    <n v="287.75"/>
    <n v="276.77999999999997"/>
    <m/>
    <n v="291.92819455280369"/>
    <n v="233.48453539272293"/>
    <n v="0"/>
    <n v="1870.0872499999998"/>
    <n v="1798.7932199999998"/>
    <n v="0"/>
    <n v="1897.2413363986711"/>
    <n v="1517.4159955173063"/>
  </r>
  <r>
    <s v="Regular"/>
    <x v="3"/>
    <x v="3"/>
    <x v="4"/>
    <x v="1"/>
    <x v="0"/>
    <x v="0"/>
    <x v="0"/>
    <x v="9"/>
    <n v="0"/>
    <n v="0"/>
    <n v="1.9950000000000001"/>
    <n v="1.9950000000000001"/>
    <n v="1.9950000000000001"/>
    <n v="1.9950000000000001"/>
    <n v="0"/>
    <x v="0"/>
    <n v="0"/>
    <n v="0"/>
    <n v="27"/>
    <n v="75"/>
    <n v="0"/>
    <n v="289.85000000000002"/>
    <n v="297.31"/>
    <m/>
    <n v="261.11122328572247"/>
    <n v="234.85968807843457"/>
    <n v="0"/>
    <n v="578.25075000000004"/>
    <n v="593.13345000000004"/>
    <n v="0"/>
    <n v="520.91689045501641"/>
    <n v="468.54507771647701"/>
  </r>
  <r>
    <s v="Regular"/>
    <x v="3"/>
    <x v="3"/>
    <x v="4"/>
    <x v="1"/>
    <x v="0"/>
    <x v="0"/>
    <x v="0"/>
    <x v="10"/>
    <n v="0"/>
    <n v="0"/>
    <n v="2.1360000000000001"/>
    <n v="2.1360000000000001"/>
    <n v="2.1360000000000001"/>
    <n v="2.1360000000000001"/>
    <n v="0"/>
    <x v="0"/>
    <n v="0"/>
    <n v="0"/>
    <n v="27"/>
    <n v="75"/>
    <n v="0"/>
    <n v="289.85000000000002"/>
    <n v="297.31"/>
    <m/>
    <n v="261.11122328572247"/>
    <n v="234.85968807843457"/>
    <n v="0"/>
    <n v="619.1196000000001"/>
    <n v="635.05416000000002"/>
    <n v="0"/>
    <n v="557.73357293830327"/>
    <n v="501.6602937355363"/>
  </r>
  <r>
    <s v="PROJETADO"/>
    <x v="3"/>
    <x v="3"/>
    <x v="4"/>
    <x v="1"/>
    <x v="0"/>
    <x v="0"/>
    <x v="0"/>
    <x v="11"/>
    <n v="0"/>
    <n v="0"/>
    <n v="2.1360000000000001"/>
    <n v="2.1360000000000001"/>
    <n v="2.1360000000000001"/>
    <n v="2.1360000000000001"/>
    <n v="0"/>
    <x v="0"/>
    <n v="0"/>
    <n v="0"/>
    <n v="27"/>
    <n v="75"/>
    <n v="0"/>
    <n v="289.85000000000002"/>
    <n v="297.31"/>
    <m/>
    <n v="261.11122328572247"/>
    <n v="234.85968807843457"/>
    <n v="0"/>
    <n v="619.1196000000001"/>
    <n v="635.05416000000002"/>
    <n v="0"/>
    <n v="557.73357293830327"/>
    <n v="501.6602937355363"/>
  </r>
  <r>
    <s v="Regular"/>
    <x v="3"/>
    <x v="3"/>
    <x v="4"/>
    <x v="1"/>
    <x v="0"/>
    <x v="0"/>
    <x v="3"/>
    <x v="9"/>
    <n v="0"/>
    <n v="0"/>
    <n v="0.155"/>
    <n v="0.155"/>
    <n v="0.155"/>
    <n v="0.155"/>
    <n v="0"/>
    <x v="0"/>
    <n v="0"/>
    <n v="0"/>
    <n v="33"/>
    <n v="79"/>
    <n v="0"/>
    <n v="484.8"/>
    <n v="297.31"/>
    <m/>
    <n v="261.11122328572247"/>
    <n v="234.85968807843457"/>
    <n v="0"/>
    <n v="75.144000000000005"/>
    <n v="46.08305"/>
    <n v="0"/>
    <n v="40.47223960928698"/>
    <n v="36.403251652157358"/>
  </r>
  <r>
    <s v="Regular"/>
    <x v="3"/>
    <x v="3"/>
    <x v="4"/>
    <x v="1"/>
    <x v="0"/>
    <x v="0"/>
    <x v="3"/>
    <x v="10"/>
    <n v="0"/>
    <n v="0"/>
    <n v="0.16500000000000001"/>
    <n v="0.16500000000000001"/>
    <n v="0.16500000000000001"/>
    <n v="0.16500000000000001"/>
    <n v="0"/>
    <x v="0"/>
    <n v="0"/>
    <n v="0"/>
    <n v="33"/>
    <n v="79"/>
    <n v="0"/>
    <n v="484.8"/>
    <n v="297.31"/>
    <m/>
    <n v="261.11122328572247"/>
    <n v="234.85968807843457"/>
    <n v="0"/>
    <n v="79.992000000000004"/>
    <n v="49.056150000000002"/>
    <n v="0"/>
    <n v="43.083351842144211"/>
    <n v="38.751848532941708"/>
  </r>
  <r>
    <s v="PROJETADO"/>
    <x v="3"/>
    <x v="3"/>
    <x v="4"/>
    <x v="1"/>
    <x v="0"/>
    <x v="0"/>
    <x v="3"/>
    <x v="11"/>
    <n v="0"/>
    <n v="0"/>
    <n v="0.16500000000000001"/>
    <n v="0.16500000000000001"/>
    <n v="0.16500000000000001"/>
    <n v="0.16500000000000001"/>
    <n v="0"/>
    <x v="0"/>
    <n v="0"/>
    <n v="0"/>
    <n v="33"/>
    <n v="79"/>
    <n v="0"/>
    <n v="484.8"/>
    <n v="297.31"/>
    <m/>
    <n v="261.11122328572247"/>
    <n v="234.85968807843457"/>
    <n v="0"/>
    <n v="79.992000000000004"/>
    <n v="49.056150000000002"/>
    <n v="0"/>
    <n v="43.083351842144211"/>
    <n v="38.751848532941708"/>
  </r>
  <r>
    <s v="Regular"/>
    <x v="3"/>
    <x v="3"/>
    <x v="4"/>
    <x v="1"/>
    <x v="0"/>
    <x v="0"/>
    <x v="1"/>
    <x v="9"/>
    <n v="0"/>
    <n v="0"/>
    <n v="0.89200000000000002"/>
    <n v="0.89200000000000002"/>
    <n v="0.89200000000000002"/>
    <n v="0.89200000000000002"/>
    <n v="0"/>
    <x v="0"/>
    <n v="0"/>
    <n v="0"/>
    <n v="29"/>
    <n v="67"/>
    <n v="0"/>
    <n v="543.29"/>
    <n v="503.82"/>
    <m/>
    <n v="824.08652209229831"/>
    <n v="397.1970744485763"/>
    <n v="0"/>
    <n v="484.61467999999996"/>
    <n v="449.40744000000001"/>
    <n v="0"/>
    <n v="735.08517770633011"/>
    <n v="354.29979040813009"/>
  </r>
  <r>
    <s v="Regular"/>
    <x v="3"/>
    <x v="3"/>
    <x v="4"/>
    <x v="1"/>
    <x v="0"/>
    <x v="0"/>
    <x v="1"/>
    <x v="10"/>
    <n v="0"/>
    <n v="0"/>
    <n v="0.111"/>
    <n v="0.111"/>
    <n v="0.111"/>
    <n v="0.111"/>
    <n v="0"/>
    <x v="0"/>
    <n v="0"/>
    <n v="0"/>
    <n v="29"/>
    <n v="67"/>
    <n v="0"/>
    <n v="543.29"/>
    <n v="503.82"/>
    <m/>
    <n v="824.08652209229831"/>
    <n v="397.1970744485763"/>
    <n v="0"/>
    <n v="60.305189999999996"/>
    <n v="55.924019999999999"/>
    <n v="0"/>
    <n v="91.473603952245114"/>
    <n v="44.088875263791969"/>
  </r>
  <r>
    <s v="PROJETADO"/>
    <x v="3"/>
    <x v="3"/>
    <x v="4"/>
    <x v="1"/>
    <x v="0"/>
    <x v="0"/>
    <x v="1"/>
    <x v="11"/>
    <n v="0"/>
    <n v="0"/>
    <n v="0.111"/>
    <n v="0.111"/>
    <n v="0.111"/>
    <n v="0.111"/>
    <n v="0"/>
    <x v="0"/>
    <n v="0"/>
    <n v="0"/>
    <n v="29"/>
    <n v="67"/>
    <n v="0"/>
    <n v="543.29"/>
    <n v="503.82"/>
    <m/>
    <n v="824.08652209229831"/>
    <n v="397.1970744485763"/>
    <n v="0"/>
    <n v="60.305189999999996"/>
    <n v="55.924019999999999"/>
    <n v="0"/>
    <n v="91.473603952245114"/>
    <n v="44.088875263791969"/>
  </r>
  <r>
    <s v="Regular"/>
    <x v="3"/>
    <x v="4"/>
    <x v="2"/>
    <x v="1"/>
    <x v="0"/>
    <x v="0"/>
    <x v="2"/>
    <x v="0"/>
    <n v="0"/>
    <n v="0"/>
    <n v="529.94399999999996"/>
    <n v="529.94399999999996"/>
    <n v="529.94399999999996"/>
    <n v="529.94399999999996"/>
    <n v="1187"/>
    <x v="0"/>
    <n v="0"/>
    <n v="0"/>
    <n v="68"/>
    <n v="76"/>
    <n v="0"/>
    <n v="326.98"/>
    <n v="314.52"/>
    <m/>
    <n v="310.56190909872737"/>
    <n v="248.38780360927973"/>
    <n v="0"/>
    <n v="173281.08911999999"/>
    <n v="166677.98687999998"/>
    <n v="0"/>
    <n v="164580.42035541596"/>
    <n v="131631.62619591612"/>
  </r>
  <r>
    <s v="Refaturamento - Regular"/>
    <x v="3"/>
    <x v="4"/>
    <x v="2"/>
    <x v="1"/>
    <x v="0"/>
    <x v="0"/>
    <x v="2"/>
    <x v="0"/>
    <n v="0"/>
    <n v="0"/>
    <n v="0.16800000000000001"/>
    <n v="0.16800000000000001"/>
    <n v="0.16800000000000001"/>
    <n v="0.16800000000000001"/>
    <n v="0"/>
    <x v="0"/>
    <n v="0"/>
    <n v="0"/>
    <n v="68"/>
    <n v="76"/>
    <n v="0"/>
    <n v="326.98"/>
    <n v="314.52"/>
    <m/>
    <n v="310.56190909872737"/>
    <n v="248.38780360927973"/>
    <n v="0"/>
    <n v="54.932640000000006"/>
    <n v="52.839359999999999"/>
    <n v="0"/>
    <n v="52.1744007285862"/>
    <n v="41.729151006358997"/>
  </r>
  <r>
    <s v="Sistema de Compensação"/>
    <x v="3"/>
    <x v="4"/>
    <x v="2"/>
    <x v="1"/>
    <x v="0"/>
    <x v="0"/>
    <x v="2"/>
    <x v="0"/>
    <n v="0"/>
    <n v="0"/>
    <n v="51.959000000000003"/>
    <n v="51.959000000000003"/>
    <n v="51.959000000000003"/>
    <n v="51.959000000000003"/>
    <n v="76"/>
    <x v="0"/>
    <n v="0"/>
    <n v="0"/>
    <n v="68"/>
    <n v="76"/>
    <n v="0"/>
    <n v="326.98"/>
    <n v="314.52"/>
    <m/>
    <n v="310.56190909872737"/>
    <n v="248.38780360927973"/>
    <n v="0"/>
    <n v="16989.553820000001"/>
    <n v="16342.144679999999"/>
    <n v="0"/>
    <n v="16136.486234860777"/>
    <n v="12905.981887734566"/>
  </r>
  <r>
    <s v="Regular"/>
    <x v="3"/>
    <x v="4"/>
    <x v="2"/>
    <x v="1"/>
    <x v="0"/>
    <x v="0"/>
    <x v="2"/>
    <x v="1"/>
    <n v="0"/>
    <n v="0"/>
    <n v="559.39099999999996"/>
    <n v="559.39099999999996"/>
    <n v="559.39099999999996"/>
    <n v="559.39099999999996"/>
    <n v="1187"/>
    <x v="0"/>
    <n v="0"/>
    <n v="0"/>
    <n v="68"/>
    <n v="76"/>
    <n v="0"/>
    <n v="326.98"/>
    <n v="314.52"/>
    <m/>
    <n v="310.56190909872737"/>
    <n v="248.38780360927973"/>
    <n v="0"/>
    <n v="182909.66918"/>
    <n v="175939.65731999997"/>
    <n v="0"/>
    <n v="173725.5368926462"/>
    <n v="138945.90184879859"/>
  </r>
  <r>
    <s v="Sistema de Compensação"/>
    <x v="3"/>
    <x v="4"/>
    <x v="2"/>
    <x v="1"/>
    <x v="0"/>
    <x v="0"/>
    <x v="2"/>
    <x v="1"/>
    <n v="0"/>
    <n v="0"/>
    <n v="47.07"/>
    <n v="47.07"/>
    <n v="47.07"/>
    <n v="47.07"/>
    <n v="77"/>
    <x v="0"/>
    <n v="0"/>
    <n v="0"/>
    <n v="68"/>
    <n v="76"/>
    <n v="0"/>
    <n v="326.98"/>
    <n v="314.52"/>
    <m/>
    <n v="310.56190909872737"/>
    <n v="248.38780360927973"/>
    <n v="0"/>
    <n v="15390.948600000002"/>
    <n v="14804.456399999999"/>
    <n v="0"/>
    <n v="14618.149061277098"/>
    <n v="11691.613915888796"/>
  </r>
  <r>
    <s v="Regular"/>
    <x v="3"/>
    <x v="4"/>
    <x v="2"/>
    <x v="1"/>
    <x v="0"/>
    <x v="0"/>
    <x v="2"/>
    <x v="2"/>
    <n v="0"/>
    <n v="0"/>
    <n v="524.26499999999999"/>
    <n v="524.26499999999999"/>
    <n v="524.26499999999999"/>
    <n v="524.26499999999999"/>
    <n v="1192"/>
    <x v="0"/>
    <n v="0"/>
    <n v="0"/>
    <n v="68"/>
    <n v="76"/>
    <n v="0"/>
    <n v="326.98"/>
    <n v="314.52"/>
    <m/>
    <n v="310.56190909872737"/>
    <n v="248.38780360927973"/>
    <n v="0"/>
    <n v="171424.1697"/>
    <n v="164891.8278"/>
    <n v="0"/>
    <n v="162816.73927364431"/>
    <n v="130221.03185921903"/>
  </r>
  <r>
    <s v="Sistema de Compensação"/>
    <x v="3"/>
    <x v="4"/>
    <x v="2"/>
    <x v="1"/>
    <x v="0"/>
    <x v="0"/>
    <x v="2"/>
    <x v="2"/>
    <n v="0"/>
    <n v="0"/>
    <n v="43.085999999999999"/>
    <n v="43.085999999999999"/>
    <n v="43.085999999999999"/>
    <n v="43.085999999999999"/>
    <n v="79"/>
    <x v="0"/>
    <n v="0"/>
    <n v="0"/>
    <n v="68"/>
    <n v="76"/>
    <n v="0"/>
    <n v="326.98"/>
    <n v="314.52"/>
    <m/>
    <n v="310.56190909872737"/>
    <n v="248.38780360927973"/>
    <n v="0"/>
    <n v="14088.26028"/>
    <n v="13551.408719999999"/>
    <n v="0"/>
    <n v="13380.870415427768"/>
    <n v="10702.036906309426"/>
  </r>
  <r>
    <s v="Sistema de Compensação"/>
    <x v="3"/>
    <x v="4"/>
    <x v="2"/>
    <x v="1"/>
    <x v="0"/>
    <x v="0"/>
    <x v="2"/>
    <x v="2"/>
    <n v="0"/>
    <n v="0"/>
    <n v="0.54800000000000004"/>
    <n v="0.54800000000000004"/>
    <n v="0.54800000000000004"/>
    <n v="0.54800000000000004"/>
    <n v="2"/>
    <x v="0"/>
    <n v="0"/>
    <n v="0"/>
    <n v="68"/>
    <n v="76"/>
    <n v="0"/>
    <n v="326.98"/>
    <n v="314.52"/>
    <m/>
    <n v="310.56190909872737"/>
    <n v="248.38780360927973"/>
    <n v="0"/>
    <n v="179.18504000000001"/>
    <n v="172.35696000000002"/>
    <n v="0"/>
    <n v="170.1879261861026"/>
    <n v="136.11651637788529"/>
  </r>
  <r>
    <s v="Regular"/>
    <x v="3"/>
    <x v="4"/>
    <x v="2"/>
    <x v="1"/>
    <x v="0"/>
    <x v="0"/>
    <x v="2"/>
    <x v="3"/>
    <n v="0"/>
    <n v="0"/>
    <n v="532.71600000000001"/>
    <n v="532.71600000000001"/>
    <n v="532.71600000000001"/>
    <n v="532.71600000000001"/>
    <n v="1194"/>
    <x v="0"/>
    <n v="0"/>
    <n v="0"/>
    <n v="68"/>
    <n v="76"/>
    <n v="0"/>
    <n v="326.98"/>
    <n v="314.52"/>
    <m/>
    <n v="310.56190909872737"/>
    <n v="248.38780360927973"/>
    <n v="0"/>
    <n v="174187.47768000001"/>
    <n v="167549.83632"/>
    <n v="0"/>
    <n v="165441.29796743765"/>
    <n v="132320.15718752105"/>
  </r>
  <r>
    <s v="Sistema de Compensação"/>
    <x v="3"/>
    <x v="4"/>
    <x v="2"/>
    <x v="1"/>
    <x v="0"/>
    <x v="0"/>
    <x v="2"/>
    <x v="3"/>
    <n v="0"/>
    <n v="0"/>
    <n v="34.887999999999998"/>
    <n v="34.887999999999998"/>
    <n v="34.887999999999998"/>
    <n v="34.887999999999998"/>
    <n v="82"/>
    <x v="0"/>
    <n v="0"/>
    <n v="0"/>
    <n v="68"/>
    <n v="76"/>
    <n v="0"/>
    <n v="326.98"/>
    <n v="314.52"/>
    <m/>
    <n v="310.56190909872737"/>
    <n v="248.38780360927973"/>
    <n v="0"/>
    <n v="11407.678239999999"/>
    <n v="10972.973759999999"/>
    <n v="0"/>
    <n v="10834.8838846364"/>
    <n v="8665.7536923205498"/>
  </r>
  <r>
    <s v="Regular"/>
    <x v="3"/>
    <x v="4"/>
    <x v="2"/>
    <x v="1"/>
    <x v="0"/>
    <x v="0"/>
    <x v="2"/>
    <x v="4"/>
    <n v="0"/>
    <n v="0"/>
    <n v="720.68"/>
    <n v="720.68"/>
    <n v="720.68"/>
    <n v="720.68"/>
    <n v="1199"/>
    <x v="0"/>
    <n v="0"/>
    <n v="0"/>
    <n v="68"/>
    <n v="76"/>
    <n v="0"/>
    <n v="326.98"/>
    <n v="314.52"/>
    <m/>
    <n v="310.56190909872737"/>
    <n v="248.38780360927973"/>
    <n v="0"/>
    <n v="235647.94639999999"/>
    <n v="226668.27359999996"/>
    <n v="0"/>
    <n v="223815.75664927083"/>
    <n v="179008.12230513571"/>
  </r>
  <r>
    <s v="Sistema de Compensação"/>
    <x v="3"/>
    <x v="4"/>
    <x v="2"/>
    <x v="1"/>
    <x v="0"/>
    <x v="0"/>
    <x v="2"/>
    <x v="4"/>
    <n v="0"/>
    <n v="0"/>
    <n v="46.453000000000003"/>
    <n v="46.453000000000003"/>
    <n v="46.453000000000003"/>
    <n v="46.453000000000003"/>
    <n v="85"/>
    <x v="0"/>
    <n v="0"/>
    <n v="0"/>
    <n v="68"/>
    <n v="76"/>
    <n v="0"/>
    <n v="326.98"/>
    <n v="314.52"/>
    <m/>
    <n v="310.56190909872737"/>
    <n v="248.38780360927973"/>
    <n v="0"/>
    <n v="15189.201940000003"/>
    <n v="14610.397559999999"/>
    <n v="0"/>
    <n v="14426.532363363183"/>
    <n v="11538.358641061872"/>
  </r>
  <r>
    <s v="Regular"/>
    <x v="3"/>
    <x v="4"/>
    <x v="2"/>
    <x v="1"/>
    <x v="0"/>
    <x v="0"/>
    <x v="2"/>
    <x v="5"/>
    <n v="0"/>
    <n v="0"/>
    <n v="813.173"/>
    <n v="813.173"/>
    <n v="813.173"/>
    <n v="813.173"/>
    <n v="1205"/>
    <x v="0"/>
    <n v="0"/>
    <n v="0"/>
    <n v="68"/>
    <n v="76"/>
    <n v="0"/>
    <n v="326.98"/>
    <n v="314.52"/>
    <m/>
    <n v="310.56190909872737"/>
    <n v="248.38780360927973"/>
    <n v="0"/>
    <n v="265891.30754000001"/>
    <n v="255759.17195999998"/>
    <n v="0"/>
    <n v="252540.55930753943"/>
    <n v="201982.25542436884"/>
  </r>
  <r>
    <s v="Sistema de Compensação"/>
    <x v="3"/>
    <x v="4"/>
    <x v="2"/>
    <x v="1"/>
    <x v="0"/>
    <x v="0"/>
    <x v="2"/>
    <x v="5"/>
    <n v="0"/>
    <n v="0"/>
    <n v="48.036999999999999"/>
    <n v="48.036999999999999"/>
    <n v="48.036999999999999"/>
    <n v="48.036999999999999"/>
    <n v="85"/>
    <x v="0"/>
    <n v="0"/>
    <n v="0"/>
    <n v="68"/>
    <n v="76"/>
    <n v="0"/>
    <n v="326.98"/>
    <n v="314.52"/>
    <m/>
    <n v="310.56190909872737"/>
    <n v="248.38780360927973"/>
    <n v="0"/>
    <n v="15707.13826"/>
    <n v="15108.597239999999"/>
    <n v="0"/>
    <n v="14918.462427375567"/>
    <n v="11931.80492197897"/>
  </r>
  <r>
    <s v="Regular"/>
    <x v="3"/>
    <x v="4"/>
    <x v="2"/>
    <x v="1"/>
    <x v="0"/>
    <x v="0"/>
    <x v="2"/>
    <x v="6"/>
    <n v="0"/>
    <n v="0"/>
    <n v="862.79100000000005"/>
    <n v="862.79100000000005"/>
    <n v="862.79100000000005"/>
    <n v="862.79100000000005"/>
    <n v="1202"/>
    <x v="0"/>
    <n v="0"/>
    <n v="0"/>
    <n v="68"/>
    <n v="76"/>
    <n v="0"/>
    <n v="326.98"/>
    <n v="314.52"/>
    <m/>
    <n v="310.56190909872737"/>
    <n v="248.38780360927973"/>
    <n v="0"/>
    <n v="282115.40118000004"/>
    <n v="271365.02532000002"/>
    <n v="0"/>
    <n v="267950.02011320012"/>
    <n v="214306.76146385408"/>
  </r>
  <r>
    <s v="Sistema de Compensação"/>
    <x v="3"/>
    <x v="4"/>
    <x v="2"/>
    <x v="1"/>
    <x v="0"/>
    <x v="0"/>
    <x v="2"/>
    <x v="6"/>
    <n v="0"/>
    <n v="0"/>
    <n v="57.162999999999997"/>
    <n v="57.162999999999997"/>
    <n v="57.162999999999997"/>
    <n v="57.162999999999997"/>
    <n v="91"/>
    <x v="0"/>
    <n v="0"/>
    <n v="0"/>
    <n v="68"/>
    <n v="76"/>
    <n v="0"/>
    <n v="326.98"/>
    <n v="314.52"/>
    <m/>
    <n v="310.56190909872737"/>
    <n v="248.38780360927973"/>
    <n v="0"/>
    <n v="18691.157739999999"/>
    <n v="17978.906759999998"/>
    <n v="0"/>
    <n v="17752.650409810551"/>
    <n v="14198.592017717256"/>
  </r>
  <r>
    <s v="Regular"/>
    <x v="3"/>
    <x v="4"/>
    <x v="2"/>
    <x v="1"/>
    <x v="0"/>
    <x v="0"/>
    <x v="2"/>
    <x v="7"/>
    <n v="0"/>
    <n v="0"/>
    <n v="771.23199999999997"/>
    <n v="771.23199999999997"/>
    <n v="771.23199999999997"/>
    <n v="771.23199999999997"/>
    <n v="1203"/>
    <x v="0"/>
    <n v="0"/>
    <n v="0"/>
    <n v="68"/>
    <n v="76"/>
    <n v="0"/>
    <n v="326.98"/>
    <n v="314.52"/>
    <m/>
    <n v="310.56190909872737"/>
    <n v="248.38780360927973"/>
    <n v="0"/>
    <n v="252177.43936000002"/>
    <n v="242567.88863999999"/>
    <n v="0"/>
    <n v="239515.28227802968"/>
    <n v="191564.62255319202"/>
  </r>
  <r>
    <s v="Sistema de Compensação"/>
    <x v="3"/>
    <x v="4"/>
    <x v="2"/>
    <x v="1"/>
    <x v="0"/>
    <x v="0"/>
    <x v="2"/>
    <x v="7"/>
    <n v="0"/>
    <n v="0"/>
    <n v="48.823999999999998"/>
    <n v="48.823999999999998"/>
    <n v="48.823999999999998"/>
    <n v="48.823999999999998"/>
    <n v="92"/>
    <x v="0"/>
    <n v="0"/>
    <n v="0"/>
    <n v="68"/>
    <n v="76"/>
    <n v="0"/>
    <n v="326.98"/>
    <n v="314.52"/>
    <m/>
    <n v="310.56190909872737"/>
    <n v="248.38780360927973"/>
    <n v="0"/>
    <n v="15964.471520000001"/>
    <n v="15356.124479999999"/>
    <n v="0"/>
    <n v="15162.874649836265"/>
    <n v="12127.286123419473"/>
  </r>
  <r>
    <s v="Regular"/>
    <x v="3"/>
    <x v="4"/>
    <x v="2"/>
    <x v="1"/>
    <x v="0"/>
    <x v="0"/>
    <x v="2"/>
    <x v="8"/>
    <n v="0"/>
    <n v="0"/>
    <n v="825.40800000000002"/>
    <n v="825.40800000000002"/>
    <n v="825.40800000000002"/>
    <n v="825.40800000000002"/>
    <n v="1207"/>
    <x v="0"/>
    <n v="0"/>
    <n v="0"/>
    <n v="68"/>
    <n v="76"/>
    <n v="0"/>
    <n v="326.98"/>
    <n v="314.52"/>
    <m/>
    <n v="310.56190909872737"/>
    <n v="248.38780360927973"/>
    <n v="0"/>
    <n v="269891.90784"/>
    <n v="259607.32415999999"/>
    <n v="0"/>
    <n v="256340.28426536237"/>
    <n v="205021.28020152837"/>
  </r>
  <r>
    <s v="Sistema de Compensação"/>
    <x v="3"/>
    <x v="4"/>
    <x v="2"/>
    <x v="1"/>
    <x v="0"/>
    <x v="0"/>
    <x v="2"/>
    <x v="8"/>
    <n v="0"/>
    <n v="0"/>
    <n v="67.234999999999999"/>
    <n v="67.234999999999999"/>
    <n v="67.234999999999999"/>
    <n v="67.234999999999999"/>
    <n v="95"/>
    <x v="0"/>
    <n v="0"/>
    <n v="0"/>
    <n v="68"/>
    <n v="76"/>
    <n v="0"/>
    <n v="326.98"/>
    <n v="314.52"/>
    <m/>
    <n v="310.56190909872737"/>
    <n v="248.38780360927973"/>
    <n v="0"/>
    <n v="21984.5003"/>
    <n v="21146.752199999999"/>
    <n v="0"/>
    <n v="20880.629958252935"/>
    <n v="16700.353975669921"/>
  </r>
  <r>
    <s v="Regular"/>
    <x v="3"/>
    <x v="4"/>
    <x v="2"/>
    <x v="1"/>
    <x v="0"/>
    <x v="0"/>
    <x v="2"/>
    <x v="9"/>
    <n v="0"/>
    <n v="0"/>
    <n v="557.01499999999999"/>
    <n v="557.01499999999999"/>
    <n v="557.01499999999999"/>
    <n v="557.01499999999999"/>
    <n v="1206"/>
    <x v="0"/>
    <n v="0"/>
    <n v="0"/>
    <n v="68"/>
    <n v="76"/>
    <n v="0"/>
    <n v="326.98"/>
    <n v="314.52"/>
    <m/>
    <n v="310.56190909872737"/>
    <n v="248.38780360927973"/>
    <n v="0"/>
    <n v="182132.7647"/>
    <n v="175192.3578"/>
    <n v="0"/>
    <n v="172987.64179662763"/>
    <n v="138355.73242742295"/>
  </r>
  <r>
    <s v="Sistema de Compensação"/>
    <x v="3"/>
    <x v="4"/>
    <x v="2"/>
    <x v="1"/>
    <x v="0"/>
    <x v="0"/>
    <x v="2"/>
    <x v="9"/>
    <n v="0"/>
    <n v="0"/>
    <n v="49.716999999999999"/>
    <n v="49.716999999999999"/>
    <n v="49.716999999999999"/>
    <n v="49.716999999999999"/>
    <n v="95"/>
    <x v="0"/>
    <n v="0"/>
    <n v="0"/>
    <n v="68"/>
    <n v="76"/>
    <n v="0"/>
    <n v="326.98"/>
    <n v="314.52"/>
    <m/>
    <n v="310.56190909872737"/>
    <n v="248.38780360927973"/>
    <n v="0"/>
    <n v="16256.46466"/>
    <n v="15636.990839999999"/>
    <n v="0"/>
    <n v="15440.206434661428"/>
    <n v="12349.096432042559"/>
  </r>
  <r>
    <s v="Regular"/>
    <x v="3"/>
    <x v="4"/>
    <x v="2"/>
    <x v="1"/>
    <x v="0"/>
    <x v="0"/>
    <x v="2"/>
    <x v="10"/>
    <n v="0"/>
    <n v="0"/>
    <n v="568.80799999999999"/>
    <n v="568.80799999999999"/>
    <n v="568.80799999999999"/>
    <n v="568.80799999999999"/>
    <n v="1209"/>
    <x v="0"/>
    <n v="0"/>
    <n v="0"/>
    <n v="68"/>
    <n v="76"/>
    <n v="0"/>
    <n v="326.98"/>
    <n v="314.52"/>
    <m/>
    <n v="310.56190909872737"/>
    <n v="248.38780360927973"/>
    <n v="0"/>
    <n v="185988.83984"/>
    <n v="178901.49215999999"/>
    <n v="0"/>
    <n v="176650.0983906289"/>
    <n v="141284.96979538718"/>
  </r>
  <r>
    <s v="Sistema de Compensação"/>
    <x v="3"/>
    <x v="4"/>
    <x v="2"/>
    <x v="1"/>
    <x v="0"/>
    <x v="0"/>
    <x v="2"/>
    <x v="10"/>
    <n v="0"/>
    <n v="0"/>
    <n v="74.832999999999998"/>
    <n v="74.832999999999998"/>
    <n v="74.832999999999998"/>
    <n v="74.832999999999998"/>
    <n v="102"/>
    <x v="0"/>
    <n v="0"/>
    <n v="0"/>
    <n v="68"/>
    <n v="76"/>
    <n v="0"/>
    <n v="326.98"/>
    <n v="314.52"/>
    <m/>
    <n v="310.56190909872737"/>
    <n v="248.38780360927973"/>
    <n v="0"/>
    <n v="24468.894340000003"/>
    <n v="23536.475159999998"/>
    <n v="0"/>
    <n v="23240.279343585065"/>
    <n v="18587.60450749323"/>
  </r>
  <r>
    <s v="PROJETADO"/>
    <x v="3"/>
    <x v="4"/>
    <x v="2"/>
    <x v="1"/>
    <x v="0"/>
    <x v="0"/>
    <x v="2"/>
    <x v="11"/>
    <n v="0"/>
    <n v="0"/>
    <n v="568.80799999999999"/>
    <n v="568.80799999999999"/>
    <n v="568.80799999999999"/>
    <n v="568.80799999999999"/>
    <n v="1209"/>
    <x v="0"/>
    <n v="0"/>
    <n v="0"/>
    <n v="68"/>
    <n v="76"/>
    <n v="0"/>
    <n v="326.98"/>
    <n v="314.52"/>
    <m/>
    <n v="310.56190909872737"/>
    <n v="248.38780360927973"/>
    <n v="0"/>
    <n v="185988.83984"/>
    <n v="178901.49215999999"/>
    <n v="0"/>
    <n v="176650.0983906289"/>
    <n v="141284.96979538718"/>
  </r>
  <r>
    <s v="PROJETADO"/>
    <x v="3"/>
    <x v="4"/>
    <x v="2"/>
    <x v="1"/>
    <x v="0"/>
    <x v="0"/>
    <x v="2"/>
    <x v="11"/>
    <n v="0"/>
    <n v="0"/>
    <n v="74.832999999999998"/>
    <n v="74.832999999999998"/>
    <n v="74.832999999999998"/>
    <n v="74.832999999999998"/>
    <n v="102"/>
    <x v="0"/>
    <n v="0"/>
    <n v="0"/>
    <n v="68"/>
    <n v="76"/>
    <n v="0"/>
    <n v="326.98"/>
    <n v="314.52"/>
    <m/>
    <n v="310.56190909872737"/>
    <n v="248.38780360927973"/>
    <n v="0"/>
    <n v="24468.894340000003"/>
    <n v="23536.475159999998"/>
    <n v="0"/>
    <n v="23240.279343585065"/>
    <n v="18587.60450749323"/>
  </r>
  <r>
    <s v="Regular"/>
    <x v="3"/>
    <x v="4"/>
    <x v="7"/>
    <x v="1"/>
    <x v="0"/>
    <x v="0"/>
    <x v="2"/>
    <x v="0"/>
    <n v="0"/>
    <n v="0"/>
    <n v="8.0380000000000003"/>
    <n v="8.0380000000000003"/>
    <n v="8.0380000000000003"/>
    <n v="8.0380000000000003"/>
    <n v="3"/>
    <x v="0"/>
    <n v="0"/>
    <n v="0"/>
    <n v="68"/>
    <n v="76"/>
    <n v="0"/>
    <n v="326.98"/>
    <n v="314.52"/>
    <m/>
    <n v="310.56190909872737"/>
    <n v="248.38780360927973"/>
    <n v="0"/>
    <n v="2628.2652400000002"/>
    <n v="2528.1117599999998"/>
    <n v="0"/>
    <n v="2496.2966253355708"/>
    <n v="1996.5411654113905"/>
  </r>
  <r>
    <s v="Regular"/>
    <x v="3"/>
    <x v="4"/>
    <x v="7"/>
    <x v="1"/>
    <x v="0"/>
    <x v="0"/>
    <x v="2"/>
    <x v="1"/>
    <n v="0"/>
    <n v="0"/>
    <n v="7.6740000000000004"/>
    <n v="7.6740000000000004"/>
    <n v="7.6740000000000004"/>
    <n v="7.6740000000000004"/>
    <n v="3"/>
    <x v="0"/>
    <n v="0"/>
    <n v="0"/>
    <n v="68"/>
    <n v="76"/>
    <n v="0"/>
    <n v="326.98"/>
    <n v="314.52"/>
    <m/>
    <n v="310.56190909872737"/>
    <n v="248.38780360927973"/>
    <n v="0"/>
    <n v="2509.2445200000002"/>
    <n v="2413.6264799999999"/>
    <n v="0"/>
    <n v="2383.2520904236339"/>
    <n v="1906.1280048976128"/>
  </r>
  <r>
    <s v="Regular"/>
    <x v="3"/>
    <x v="4"/>
    <x v="7"/>
    <x v="1"/>
    <x v="0"/>
    <x v="0"/>
    <x v="2"/>
    <x v="2"/>
    <n v="0"/>
    <n v="0"/>
    <n v="6.78"/>
    <n v="6.78"/>
    <n v="6.78"/>
    <n v="6.78"/>
    <n v="3"/>
    <x v="0"/>
    <n v="0"/>
    <n v="0"/>
    <n v="68"/>
    <n v="76"/>
    <n v="0"/>
    <n v="326.98"/>
    <n v="314.52"/>
    <m/>
    <n v="310.56190909872737"/>
    <n v="248.38780360927973"/>
    <n v="0"/>
    <n v="2216.9244000000003"/>
    <n v="2132.4456"/>
    <n v="0"/>
    <n v="2105.6097436893715"/>
    <n v="1684.0693084709167"/>
  </r>
  <r>
    <s v="Regular"/>
    <x v="3"/>
    <x v="4"/>
    <x v="7"/>
    <x v="1"/>
    <x v="0"/>
    <x v="0"/>
    <x v="2"/>
    <x v="3"/>
    <n v="0"/>
    <n v="0"/>
    <n v="7.1289999999999996"/>
    <n v="7.1289999999999996"/>
    <n v="7.1289999999999996"/>
    <n v="7.1289999999999996"/>
    <n v="3"/>
    <x v="0"/>
    <n v="0"/>
    <n v="0"/>
    <n v="68"/>
    <n v="76"/>
    <n v="0"/>
    <n v="326.98"/>
    <n v="314.52"/>
    <m/>
    <n v="310.56190909872737"/>
    <n v="248.38780360927973"/>
    <n v="0"/>
    <n v="2331.0404199999998"/>
    <n v="2242.2130799999995"/>
    <n v="0"/>
    <n v="2213.9958499648274"/>
    <n v="1770.7566519305551"/>
  </r>
  <r>
    <s v="Regular"/>
    <x v="3"/>
    <x v="4"/>
    <x v="7"/>
    <x v="1"/>
    <x v="0"/>
    <x v="0"/>
    <x v="2"/>
    <x v="4"/>
    <n v="0"/>
    <n v="0"/>
    <n v="8.9390000000000001"/>
    <n v="8.9390000000000001"/>
    <n v="8.9390000000000001"/>
    <n v="8.9390000000000001"/>
    <n v="3"/>
    <x v="0"/>
    <n v="0"/>
    <n v="0"/>
    <n v="68"/>
    <n v="76"/>
    <n v="0"/>
    <n v="326.98"/>
    <n v="314.52"/>
    <m/>
    <n v="310.56190909872737"/>
    <n v="248.38780360927973"/>
    <n v="0"/>
    <n v="2922.8742200000002"/>
    <n v="2811.4942799999999"/>
    <n v="0"/>
    <n v="2776.1129054335238"/>
    <n v="2220.3385764633517"/>
  </r>
  <r>
    <s v="Regular"/>
    <x v="3"/>
    <x v="4"/>
    <x v="7"/>
    <x v="1"/>
    <x v="0"/>
    <x v="0"/>
    <x v="2"/>
    <x v="5"/>
    <n v="0"/>
    <n v="0"/>
    <n v="9.3889999999999993"/>
    <n v="9.3889999999999993"/>
    <n v="9.3889999999999993"/>
    <n v="9.3889999999999993"/>
    <n v="3"/>
    <x v="0"/>
    <n v="0"/>
    <n v="0"/>
    <n v="68"/>
    <n v="76"/>
    <n v="0"/>
    <n v="326.98"/>
    <n v="314.52"/>
    <m/>
    <n v="310.56190909872737"/>
    <n v="248.38780360927973"/>
    <n v="0"/>
    <n v="3070.0152199999998"/>
    <n v="2953.0282799999995"/>
    <n v="0"/>
    <n v="2915.8657645279509"/>
    <n v="2332.1130880875271"/>
  </r>
  <r>
    <s v="Regular"/>
    <x v="3"/>
    <x v="4"/>
    <x v="7"/>
    <x v="1"/>
    <x v="0"/>
    <x v="0"/>
    <x v="2"/>
    <x v="6"/>
    <n v="0"/>
    <n v="0"/>
    <n v="11.051"/>
    <n v="11.051"/>
    <n v="11.051"/>
    <n v="11.051"/>
    <n v="3"/>
    <x v="0"/>
    <n v="0"/>
    <n v="0"/>
    <n v="68"/>
    <n v="76"/>
    <n v="0"/>
    <n v="326.98"/>
    <n v="314.52"/>
    <m/>
    <n v="310.56190909872737"/>
    <n v="248.38780360927973"/>
    <n v="0"/>
    <n v="3613.4559800000002"/>
    <n v="3475.7605199999998"/>
    <n v="0"/>
    <n v="3432.019657450036"/>
    <n v="2744.9336176861502"/>
  </r>
  <r>
    <s v="Regular"/>
    <x v="3"/>
    <x v="4"/>
    <x v="7"/>
    <x v="1"/>
    <x v="0"/>
    <x v="0"/>
    <x v="2"/>
    <x v="7"/>
    <n v="0"/>
    <n v="0"/>
    <n v="9.891"/>
    <n v="9.891"/>
    <n v="9.891"/>
    <n v="9.891"/>
    <n v="3"/>
    <x v="0"/>
    <n v="0"/>
    <n v="0"/>
    <n v="68"/>
    <n v="76"/>
    <n v="0"/>
    <n v="326.98"/>
    <n v="314.52"/>
    <m/>
    <n v="310.56190909872737"/>
    <n v="248.38780360927973"/>
    <n v="0"/>
    <n v="3234.1591800000001"/>
    <n v="3110.91732"/>
    <n v="0"/>
    <n v="3071.7678428955123"/>
    <n v="2456.8037654993859"/>
  </r>
  <r>
    <s v="Regular"/>
    <x v="3"/>
    <x v="4"/>
    <x v="7"/>
    <x v="1"/>
    <x v="0"/>
    <x v="0"/>
    <x v="2"/>
    <x v="8"/>
    <n v="0"/>
    <n v="0"/>
    <n v="10.018000000000001"/>
    <n v="10.018000000000001"/>
    <n v="10.018000000000001"/>
    <n v="10.018000000000001"/>
    <n v="3"/>
    <x v="0"/>
    <n v="0"/>
    <n v="0"/>
    <n v="68"/>
    <n v="76"/>
    <n v="0"/>
    <n v="326.98"/>
    <n v="314.52"/>
    <m/>
    <n v="310.56190909872737"/>
    <n v="248.38780360927973"/>
    <n v="0"/>
    <n v="3275.6856400000006"/>
    <n v="3150.8613599999999"/>
    <n v="0"/>
    <n v="3111.209205351051"/>
    <n v="2488.3490165577646"/>
  </r>
  <r>
    <s v="Regular"/>
    <x v="3"/>
    <x v="4"/>
    <x v="7"/>
    <x v="1"/>
    <x v="0"/>
    <x v="0"/>
    <x v="2"/>
    <x v="9"/>
    <n v="0"/>
    <n v="0"/>
    <n v="7.766"/>
    <n v="7.766"/>
    <n v="7.766"/>
    <n v="7.766"/>
    <n v="3"/>
    <x v="0"/>
    <n v="0"/>
    <n v="0"/>
    <n v="68"/>
    <n v="76"/>
    <n v="0"/>
    <n v="326.98"/>
    <n v="314.52"/>
    <m/>
    <n v="310.56190909872737"/>
    <n v="248.38780360927973"/>
    <n v="0"/>
    <n v="2539.3266800000001"/>
    <n v="2442.56232"/>
    <n v="0"/>
    <n v="2411.8237860607169"/>
    <n v="1928.9796828296664"/>
  </r>
  <r>
    <s v="Regular"/>
    <x v="3"/>
    <x v="4"/>
    <x v="7"/>
    <x v="1"/>
    <x v="0"/>
    <x v="0"/>
    <x v="2"/>
    <x v="10"/>
    <n v="0"/>
    <n v="0"/>
    <n v="6.9779999999999998"/>
    <n v="6.9779999999999998"/>
    <n v="6.9779999999999998"/>
    <n v="6.9779999999999998"/>
    <n v="3"/>
    <x v="0"/>
    <n v="0"/>
    <n v="0"/>
    <n v="68"/>
    <n v="76"/>
    <n v="0"/>
    <n v="326.98"/>
    <n v="314.52"/>
    <m/>
    <n v="310.56190909872737"/>
    <n v="248.38780360927973"/>
    <n v="0"/>
    <n v="2281.66644"/>
    <n v="2194.7205599999998"/>
    <n v="0"/>
    <n v="2167.1010016909195"/>
    <n v="1733.2500935855539"/>
  </r>
  <r>
    <s v="PROJETADO"/>
    <x v="3"/>
    <x v="4"/>
    <x v="7"/>
    <x v="1"/>
    <x v="0"/>
    <x v="0"/>
    <x v="2"/>
    <x v="11"/>
    <n v="0"/>
    <n v="0"/>
    <n v="6.9779999999999998"/>
    <n v="6.9779999999999998"/>
    <n v="6.9779999999999998"/>
    <n v="6.9779999999999998"/>
    <n v="3"/>
    <x v="0"/>
    <n v="0"/>
    <n v="0"/>
    <n v="68"/>
    <n v="76"/>
    <n v="0"/>
    <n v="326.98"/>
    <n v="314.52"/>
    <m/>
    <n v="310.56190909872737"/>
    <n v="248.38780360927973"/>
    <n v="0"/>
    <n v="2281.66644"/>
    <n v="2194.7205599999998"/>
    <n v="0"/>
    <n v="2167.1010016909195"/>
    <n v="1733.2500935855539"/>
  </r>
  <r>
    <s v="Regular"/>
    <x v="3"/>
    <x v="4"/>
    <x v="3"/>
    <x v="1"/>
    <x v="0"/>
    <x v="0"/>
    <x v="2"/>
    <x v="0"/>
    <n v="0"/>
    <n v="0"/>
    <n v="161.786"/>
    <n v="161.786"/>
    <n v="161.786"/>
    <n v="161.786"/>
    <n v="91"/>
    <x v="0"/>
    <n v="0"/>
    <n v="0"/>
    <n v="68"/>
    <n v="76"/>
    <n v="0"/>
    <n v="326.98"/>
    <n v="314.52"/>
    <m/>
    <n v="310.56190909872737"/>
    <n v="248.38780360927973"/>
    <n v="0"/>
    <n v="52900.78628"/>
    <n v="50884.932719999997"/>
    <n v="0"/>
    <n v="50244.569025446704"/>
    <n v="40185.66919473093"/>
  </r>
  <r>
    <s v="Sistema de Compensação"/>
    <x v="3"/>
    <x v="4"/>
    <x v="3"/>
    <x v="1"/>
    <x v="0"/>
    <x v="0"/>
    <x v="2"/>
    <x v="0"/>
    <n v="0"/>
    <n v="0"/>
    <n v="12.63"/>
    <n v="12.63"/>
    <n v="12.63"/>
    <n v="12.63"/>
    <n v="14"/>
    <x v="0"/>
    <n v="0"/>
    <n v="0"/>
    <n v="68"/>
    <n v="76"/>
    <n v="0"/>
    <n v="326.98"/>
    <n v="314.52"/>
    <m/>
    <n v="310.56190909872737"/>
    <n v="248.38780360927973"/>
    <n v="0"/>
    <n v="4129.7574000000004"/>
    <n v="3972.3876"/>
    <n v="0"/>
    <n v="3922.3969119169269"/>
    <n v="3137.1379595852031"/>
  </r>
  <r>
    <s v="Regular"/>
    <x v="3"/>
    <x v="4"/>
    <x v="3"/>
    <x v="1"/>
    <x v="0"/>
    <x v="0"/>
    <x v="2"/>
    <x v="1"/>
    <n v="0"/>
    <n v="0"/>
    <n v="135.57300000000001"/>
    <n v="135.57300000000001"/>
    <n v="135.57300000000001"/>
    <n v="135.57300000000001"/>
    <n v="89"/>
    <x v="0"/>
    <n v="0"/>
    <n v="0"/>
    <n v="68"/>
    <n v="76"/>
    <n v="0"/>
    <n v="326.98"/>
    <n v="314.52"/>
    <m/>
    <n v="310.56190909872737"/>
    <n v="248.38780360927973"/>
    <n v="0"/>
    <n v="44329.659540000008"/>
    <n v="42640.419959999999"/>
    <n v="0"/>
    <n v="42103.809702241771"/>
    <n v="33674.67969872088"/>
  </r>
  <r>
    <s v="Sistema de Compensação"/>
    <x v="3"/>
    <x v="4"/>
    <x v="3"/>
    <x v="1"/>
    <x v="0"/>
    <x v="0"/>
    <x v="2"/>
    <x v="1"/>
    <n v="0"/>
    <n v="0"/>
    <n v="24.561"/>
    <n v="24.561"/>
    <n v="24.561"/>
    <n v="24.561"/>
    <n v="16"/>
    <x v="0"/>
    <n v="0"/>
    <n v="0"/>
    <n v="68"/>
    <n v="76"/>
    <n v="0"/>
    <n v="326.98"/>
    <n v="314.52"/>
    <m/>
    <n v="310.56190909872737"/>
    <n v="248.38780360927973"/>
    <n v="0"/>
    <n v="8030.9557800000002"/>
    <n v="7724.9257199999993"/>
    <n v="0"/>
    <n v="7627.7110493738428"/>
    <n v="6100.6528444475198"/>
  </r>
  <r>
    <s v="Regular"/>
    <x v="3"/>
    <x v="4"/>
    <x v="3"/>
    <x v="1"/>
    <x v="0"/>
    <x v="0"/>
    <x v="2"/>
    <x v="2"/>
    <n v="0"/>
    <n v="0"/>
    <n v="123.67700000000001"/>
    <n v="123.67700000000001"/>
    <n v="123.67700000000001"/>
    <n v="123.67700000000001"/>
    <n v="88"/>
    <x v="0"/>
    <n v="0"/>
    <n v="0"/>
    <n v="68"/>
    <n v="76"/>
    <n v="0"/>
    <n v="326.98"/>
    <n v="314.52"/>
    <m/>
    <n v="310.56190909872737"/>
    <n v="248.38780360927973"/>
    <n v="0"/>
    <n v="40439.905460000002"/>
    <n v="38898.890039999998"/>
    <n v="0"/>
    <n v="38409.365231603304"/>
    <n v="30719.858386984892"/>
  </r>
  <r>
    <s v="Sistema de Compensação"/>
    <x v="3"/>
    <x v="4"/>
    <x v="3"/>
    <x v="1"/>
    <x v="0"/>
    <x v="0"/>
    <x v="2"/>
    <x v="2"/>
    <n v="0"/>
    <n v="0"/>
    <n v="18.343"/>
    <n v="18.343"/>
    <n v="18.343"/>
    <n v="18.343"/>
    <n v="17"/>
    <x v="0"/>
    <n v="0"/>
    <n v="0"/>
    <n v="68"/>
    <n v="76"/>
    <n v="0"/>
    <n v="326.98"/>
    <n v="314.52"/>
    <m/>
    <n v="310.56190909872737"/>
    <n v="248.38780360927973"/>
    <n v="0"/>
    <n v="5997.79414"/>
    <n v="5769.2403599999998"/>
    <n v="0"/>
    <n v="5696.6370985979565"/>
    <n v="4556.1774816050183"/>
  </r>
  <r>
    <s v="Regular"/>
    <x v="3"/>
    <x v="4"/>
    <x v="3"/>
    <x v="1"/>
    <x v="0"/>
    <x v="0"/>
    <x v="2"/>
    <x v="3"/>
    <n v="0"/>
    <n v="0"/>
    <n v="123.251"/>
    <n v="123.251"/>
    <n v="123.251"/>
    <n v="123.251"/>
    <n v="87"/>
    <x v="0"/>
    <n v="0"/>
    <n v="0"/>
    <n v="68"/>
    <n v="76"/>
    <n v="0"/>
    <n v="326.98"/>
    <n v="314.52"/>
    <m/>
    <n v="310.56190909872737"/>
    <n v="248.38780360927973"/>
    <n v="0"/>
    <n v="40300.611980000001"/>
    <n v="38764.904519999996"/>
    <n v="0"/>
    <n v="38277.065858327245"/>
    <n v="30614.045182647336"/>
  </r>
  <r>
    <s v="Sistema de Compensação"/>
    <x v="3"/>
    <x v="4"/>
    <x v="3"/>
    <x v="1"/>
    <x v="0"/>
    <x v="0"/>
    <x v="2"/>
    <x v="3"/>
    <n v="0"/>
    <n v="0"/>
    <n v="14.35"/>
    <n v="14.35"/>
    <n v="14.35"/>
    <n v="14.35"/>
    <n v="17"/>
    <x v="0"/>
    <n v="0"/>
    <n v="0"/>
    <n v="68"/>
    <n v="76"/>
    <n v="0"/>
    <n v="326.98"/>
    <n v="314.52"/>
    <m/>
    <n v="310.56190909872737"/>
    <n v="248.38780360927973"/>
    <n v="0"/>
    <n v="4692.1630000000005"/>
    <n v="4513.3620000000001"/>
    <n v="0"/>
    <n v="4456.5633955667372"/>
    <n v="3564.3649817931641"/>
  </r>
  <r>
    <s v="Regular"/>
    <x v="3"/>
    <x v="4"/>
    <x v="3"/>
    <x v="1"/>
    <x v="0"/>
    <x v="0"/>
    <x v="2"/>
    <x v="4"/>
    <n v="0"/>
    <n v="0"/>
    <n v="136.86000000000001"/>
    <n v="136.86000000000001"/>
    <n v="136.86000000000001"/>
    <n v="136.86000000000001"/>
    <n v="89"/>
    <x v="0"/>
    <n v="0"/>
    <n v="0"/>
    <n v="68"/>
    <n v="76"/>
    <n v="0"/>
    <n v="326.98"/>
    <n v="314.52"/>
    <m/>
    <n v="310.56190909872737"/>
    <n v="248.38780360927973"/>
    <n v="0"/>
    <n v="44750.482800000005"/>
    <n v="43045.207200000004"/>
    <n v="0"/>
    <n v="42503.502879251835"/>
    <n v="33994.35480196603"/>
  </r>
  <r>
    <s v="Sistema de Compensação"/>
    <x v="3"/>
    <x v="4"/>
    <x v="3"/>
    <x v="1"/>
    <x v="0"/>
    <x v="0"/>
    <x v="2"/>
    <x v="4"/>
    <n v="0"/>
    <n v="0"/>
    <n v="16.785"/>
    <n v="16.785"/>
    <n v="16.785"/>
    <n v="16.785"/>
    <n v="17"/>
    <x v="0"/>
    <n v="0"/>
    <n v="0"/>
    <n v="68"/>
    <n v="76"/>
    <n v="0"/>
    <n v="326.98"/>
    <n v="314.52"/>
    <m/>
    <n v="310.56190909872737"/>
    <n v="248.38780360927973"/>
    <n v="0"/>
    <n v="5488.3593000000001"/>
    <n v="5279.2181999999993"/>
    <n v="0"/>
    <n v="5212.7816442221392"/>
    <n v="4169.1892835817607"/>
  </r>
  <r>
    <s v="Regular"/>
    <x v="3"/>
    <x v="4"/>
    <x v="3"/>
    <x v="1"/>
    <x v="0"/>
    <x v="0"/>
    <x v="2"/>
    <x v="5"/>
    <n v="0"/>
    <n v="0"/>
    <n v="143.69999999999999"/>
    <n v="143.69999999999999"/>
    <n v="143.69999999999999"/>
    <n v="143.69999999999999"/>
    <n v="86"/>
    <x v="0"/>
    <n v="0"/>
    <n v="0"/>
    <n v="68"/>
    <n v="76"/>
    <n v="0"/>
    <n v="326.98"/>
    <n v="314.52"/>
    <m/>
    <n v="310.56190909872737"/>
    <n v="248.38780360927973"/>
    <n v="0"/>
    <n v="46987.025999999998"/>
    <n v="45196.52399999999"/>
    <n v="0"/>
    <n v="44627.746337487122"/>
    <n v="35693.327378653492"/>
  </r>
  <r>
    <s v="Sistema de Compensação"/>
    <x v="3"/>
    <x v="4"/>
    <x v="3"/>
    <x v="1"/>
    <x v="0"/>
    <x v="0"/>
    <x v="2"/>
    <x v="5"/>
    <n v="0"/>
    <n v="0"/>
    <n v="6.3120000000000003"/>
    <n v="6.3120000000000003"/>
    <n v="6.3120000000000003"/>
    <n v="6.3120000000000003"/>
    <n v="18"/>
    <x v="0"/>
    <n v="0"/>
    <n v="0"/>
    <n v="68"/>
    <n v="76"/>
    <n v="0"/>
    <n v="326.98"/>
    <n v="314.52"/>
    <m/>
    <n v="310.56190909872737"/>
    <n v="248.38780360927973"/>
    <n v="0"/>
    <n v="2063.8977600000003"/>
    <n v="1985.2502400000001"/>
    <n v="0"/>
    <n v="1960.2667702311671"/>
    <n v="1567.8238163817737"/>
  </r>
  <r>
    <s v="Regular"/>
    <x v="3"/>
    <x v="4"/>
    <x v="3"/>
    <x v="1"/>
    <x v="0"/>
    <x v="0"/>
    <x v="2"/>
    <x v="6"/>
    <n v="0"/>
    <n v="0"/>
    <n v="126.765"/>
    <n v="126.765"/>
    <n v="126.765"/>
    <n v="126.765"/>
    <n v="85"/>
    <x v="0"/>
    <n v="0"/>
    <n v="0"/>
    <n v="68"/>
    <n v="76"/>
    <n v="0"/>
    <n v="326.98"/>
    <n v="314.52"/>
    <m/>
    <n v="310.56190909872737"/>
    <n v="248.38780360927973"/>
    <n v="0"/>
    <n v="41449.619700000003"/>
    <n v="39870.127799999995"/>
    <n v="0"/>
    <n v="39368.380406900178"/>
    <n v="31486.879924530345"/>
  </r>
  <r>
    <s v="Sistema de Compensação"/>
    <x v="3"/>
    <x v="4"/>
    <x v="3"/>
    <x v="1"/>
    <x v="0"/>
    <x v="0"/>
    <x v="2"/>
    <x v="6"/>
    <n v="0"/>
    <n v="0"/>
    <n v="12.159000000000001"/>
    <n v="12.159000000000001"/>
    <n v="12.159000000000001"/>
    <n v="12.159000000000001"/>
    <n v="19"/>
    <x v="0"/>
    <n v="0"/>
    <n v="0"/>
    <n v="68"/>
    <n v="76"/>
    <n v="0"/>
    <n v="326.98"/>
    <n v="314.52"/>
    <m/>
    <n v="310.56190909872737"/>
    <n v="248.38780360927973"/>
    <n v="0"/>
    <n v="3975.7498200000005"/>
    <n v="3824.2486800000001"/>
    <n v="0"/>
    <n v="3776.1222527314262"/>
    <n v="3020.1473040852325"/>
  </r>
  <r>
    <s v="Regular"/>
    <x v="3"/>
    <x v="4"/>
    <x v="3"/>
    <x v="1"/>
    <x v="0"/>
    <x v="0"/>
    <x v="2"/>
    <x v="7"/>
    <n v="0"/>
    <n v="0"/>
    <n v="137.38399999999999"/>
    <n v="137.38399999999999"/>
    <n v="137.38399999999999"/>
    <n v="137.38399999999999"/>
    <n v="84"/>
    <x v="0"/>
    <n v="0"/>
    <n v="0"/>
    <n v="68"/>
    <n v="76"/>
    <n v="0"/>
    <n v="326.98"/>
    <n v="314.52"/>
    <m/>
    <n v="310.56190909872737"/>
    <n v="248.38780360927973"/>
    <n v="0"/>
    <n v="44921.820319999999"/>
    <n v="43210.01567999999"/>
    <n v="0"/>
    <n v="42666.237319619555"/>
    <n v="34124.510011057282"/>
  </r>
  <r>
    <s v="Sistema de Compensação"/>
    <x v="3"/>
    <x v="4"/>
    <x v="3"/>
    <x v="1"/>
    <x v="0"/>
    <x v="0"/>
    <x v="2"/>
    <x v="7"/>
    <n v="0"/>
    <n v="0"/>
    <n v="11.898999999999999"/>
    <n v="11.898999999999999"/>
    <n v="11.898999999999999"/>
    <n v="11.898999999999999"/>
    <n v="19"/>
    <x v="0"/>
    <n v="0"/>
    <n v="0"/>
    <n v="68"/>
    <n v="76"/>
    <n v="0"/>
    <n v="326.98"/>
    <n v="314.52"/>
    <m/>
    <n v="310.56190909872737"/>
    <n v="248.38780360927973"/>
    <n v="0"/>
    <n v="3890.7350200000001"/>
    <n v="3742.4734799999997"/>
    <n v="0"/>
    <n v="3695.3761563657567"/>
    <n v="2955.5664751468194"/>
  </r>
  <r>
    <s v="Regular"/>
    <x v="3"/>
    <x v="4"/>
    <x v="3"/>
    <x v="1"/>
    <x v="0"/>
    <x v="0"/>
    <x v="2"/>
    <x v="8"/>
    <n v="0"/>
    <n v="0"/>
    <n v="141.16200000000001"/>
    <n v="141.16200000000001"/>
    <n v="141.16200000000001"/>
    <n v="141.16200000000001"/>
    <n v="84"/>
    <x v="0"/>
    <n v="0"/>
    <n v="0"/>
    <n v="68"/>
    <n v="76"/>
    <n v="0"/>
    <n v="326.98"/>
    <n v="314.52"/>
    <m/>
    <n v="310.56190909872737"/>
    <n v="248.38780360927973"/>
    <n v="0"/>
    <n v="46157.150760000004"/>
    <n v="44398.272239999998"/>
    <n v="0"/>
    <n v="43839.540212194552"/>
    <n v="35062.91913309315"/>
  </r>
  <r>
    <s v="Sistema de Compensação"/>
    <x v="3"/>
    <x v="4"/>
    <x v="3"/>
    <x v="1"/>
    <x v="0"/>
    <x v="0"/>
    <x v="2"/>
    <x v="8"/>
    <n v="0"/>
    <n v="0"/>
    <n v="23.125"/>
    <n v="23.125"/>
    <n v="23.125"/>
    <n v="23.125"/>
    <n v="20"/>
    <x v="0"/>
    <n v="0"/>
    <n v="0"/>
    <n v="68"/>
    <n v="76"/>
    <n v="0"/>
    <n v="326.98"/>
    <n v="314.52"/>
    <m/>
    <n v="310.56190909872737"/>
    <n v="248.38780360927973"/>
    <n v="0"/>
    <n v="7561.4125000000004"/>
    <n v="7273.2749999999996"/>
    <n v="0"/>
    <n v="7181.7441479080708"/>
    <n v="5743.9679584645937"/>
  </r>
  <r>
    <s v="Regular"/>
    <x v="3"/>
    <x v="4"/>
    <x v="3"/>
    <x v="1"/>
    <x v="0"/>
    <x v="0"/>
    <x v="2"/>
    <x v="9"/>
    <n v="0"/>
    <n v="0"/>
    <n v="119.083"/>
    <n v="119.083"/>
    <n v="119.083"/>
    <n v="119.083"/>
    <n v="85"/>
    <x v="0"/>
    <n v="0"/>
    <n v="0"/>
    <n v="68"/>
    <n v="76"/>
    <n v="0"/>
    <n v="326.98"/>
    <n v="314.52"/>
    <m/>
    <n v="310.56190909872737"/>
    <n v="248.38780360927973"/>
    <n v="0"/>
    <n v="38937.759340000004"/>
    <n v="37453.985159999997"/>
    <n v="0"/>
    <n v="36982.643821203754"/>
    <n v="29578.764817203857"/>
  </r>
  <r>
    <s v="Sistema de Compensação"/>
    <x v="3"/>
    <x v="4"/>
    <x v="3"/>
    <x v="1"/>
    <x v="0"/>
    <x v="0"/>
    <x v="2"/>
    <x v="9"/>
    <n v="0"/>
    <n v="0"/>
    <n v="15.375999999999999"/>
    <n v="15.375999999999999"/>
    <n v="15.375999999999999"/>
    <n v="15.375999999999999"/>
    <n v="20"/>
    <x v="0"/>
    <n v="0"/>
    <n v="0"/>
    <n v="68"/>
    <n v="76"/>
    <n v="0"/>
    <n v="326.98"/>
    <n v="314.52"/>
    <m/>
    <n v="310.56190909872737"/>
    <n v="248.38780360927973"/>
    <n v="0"/>
    <n v="5027.6444799999999"/>
    <n v="4836.0595199999998"/>
    <n v="0"/>
    <n v="4775.1999143020321"/>
    <n v="3819.2108682962848"/>
  </r>
  <r>
    <s v="Regular"/>
    <x v="3"/>
    <x v="4"/>
    <x v="3"/>
    <x v="1"/>
    <x v="0"/>
    <x v="0"/>
    <x v="2"/>
    <x v="10"/>
    <n v="0"/>
    <n v="0"/>
    <n v="123.544"/>
    <n v="123.544"/>
    <n v="123.544"/>
    <n v="123.544"/>
    <n v="82"/>
    <x v="0"/>
    <n v="0"/>
    <n v="0"/>
    <n v="68"/>
    <n v="76"/>
    <n v="0"/>
    <n v="326.98"/>
    <n v="314.52"/>
    <m/>
    <n v="310.56190909872737"/>
    <n v="248.38780360927973"/>
    <n v="0"/>
    <n v="40396.417119999998"/>
    <n v="38857.058879999997"/>
    <n v="0"/>
    <n v="38368.060497693172"/>
    <n v="30686.822809104855"/>
  </r>
  <r>
    <s v="Sistema de Compensação"/>
    <x v="3"/>
    <x v="4"/>
    <x v="3"/>
    <x v="1"/>
    <x v="0"/>
    <x v="0"/>
    <x v="2"/>
    <x v="10"/>
    <n v="0"/>
    <n v="0"/>
    <n v="29.393999999999998"/>
    <n v="29.393999999999998"/>
    <n v="29.393999999999998"/>
    <n v="29.393999999999998"/>
    <n v="20"/>
    <x v="0"/>
    <n v="0"/>
    <n v="0"/>
    <n v="68"/>
    <n v="76"/>
    <n v="0"/>
    <n v="326.98"/>
    <n v="314.52"/>
    <m/>
    <n v="310.56190909872737"/>
    <n v="248.38780360927973"/>
    <n v="0"/>
    <n v="9611.2501200000006"/>
    <n v="9245.0008799999996"/>
    <n v="0"/>
    <n v="9128.6567560479925"/>
    <n v="7301.1110992911681"/>
  </r>
  <r>
    <s v="PROJETADO"/>
    <x v="3"/>
    <x v="4"/>
    <x v="3"/>
    <x v="1"/>
    <x v="0"/>
    <x v="0"/>
    <x v="2"/>
    <x v="11"/>
    <n v="0"/>
    <n v="0"/>
    <n v="123.544"/>
    <n v="123.544"/>
    <n v="123.544"/>
    <n v="123.544"/>
    <n v="82"/>
    <x v="0"/>
    <n v="0"/>
    <n v="0"/>
    <n v="68"/>
    <n v="76"/>
    <n v="0"/>
    <n v="326.98"/>
    <n v="314.52"/>
    <m/>
    <n v="310.56190909872737"/>
    <n v="248.38780360927973"/>
    <n v="0"/>
    <n v="40396.417119999998"/>
    <n v="38857.058879999997"/>
    <n v="0"/>
    <n v="38368.060497693172"/>
    <n v="30686.822809104855"/>
  </r>
  <r>
    <s v="PROJETADO"/>
    <x v="3"/>
    <x v="4"/>
    <x v="3"/>
    <x v="1"/>
    <x v="0"/>
    <x v="0"/>
    <x v="2"/>
    <x v="11"/>
    <n v="0"/>
    <n v="0"/>
    <n v="29.393999999999998"/>
    <n v="29.393999999999998"/>
    <n v="29.393999999999998"/>
    <n v="29.393999999999998"/>
    <n v="20"/>
    <x v="0"/>
    <n v="0"/>
    <n v="0"/>
    <n v="68"/>
    <n v="76"/>
    <n v="0"/>
    <n v="326.98"/>
    <n v="314.52"/>
    <m/>
    <n v="310.56190909872737"/>
    <n v="248.38780360927973"/>
    <n v="0"/>
    <n v="9611.2501200000006"/>
    <n v="9245.0008799999996"/>
    <n v="0"/>
    <n v="9128.6567560479925"/>
    <n v="7301.1110992911681"/>
  </r>
  <r>
    <s v="Regular"/>
    <x v="3"/>
    <x v="4"/>
    <x v="4"/>
    <x v="1"/>
    <x v="0"/>
    <x v="0"/>
    <x v="2"/>
    <x v="0"/>
    <n v="0"/>
    <n v="0"/>
    <n v="131.809"/>
    <n v="131.809"/>
    <n v="131.809"/>
    <n v="131.809"/>
    <n v="144"/>
    <x v="0"/>
    <n v="0"/>
    <n v="0"/>
    <n v="68"/>
    <n v="76"/>
    <n v="0"/>
    <n v="326.98"/>
    <n v="314.52"/>
    <m/>
    <n v="310.56190909872737"/>
    <n v="248.38780360927973"/>
    <n v="0"/>
    <n v="43098.906820000004"/>
    <n v="41456.566679999996"/>
    <n v="0"/>
    <n v="40934.854676394156"/>
    <n v="32739.748005935551"/>
  </r>
  <r>
    <s v="Regular"/>
    <x v="3"/>
    <x v="4"/>
    <x v="4"/>
    <x v="1"/>
    <x v="0"/>
    <x v="0"/>
    <x v="2"/>
    <x v="1"/>
    <n v="0"/>
    <n v="0"/>
    <n v="125.95099999999999"/>
    <n v="125.95099999999999"/>
    <n v="125.95099999999999"/>
    <n v="125.95099999999999"/>
    <n v="144"/>
    <x v="0"/>
    <n v="0"/>
    <n v="0"/>
    <n v="68"/>
    <n v="76"/>
    <n v="0"/>
    <n v="326.98"/>
    <n v="314.52"/>
    <m/>
    <n v="310.56190909872737"/>
    <n v="248.38780360927973"/>
    <n v="0"/>
    <n v="41183.457979999999"/>
    <n v="39614.108519999994"/>
    <n v="0"/>
    <n v="39115.583012893811"/>
    <n v="31284.692252392389"/>
  </r>
  <r>
    <s v="Regular"/>
    <x v="3"/>
    <x v="4"/>
    <x v="4"/>
    <x v="1"/>
    <x v="0"/>
    <x v="0"/>
    <x v="2"/>
    <x v="2"/>
    <n v="0"/>
    <n v="0"/>
    <n v="96.822000000000003"/>
    <n v="96.822000000000003"/>
    <n v="96.822000000000003"/>
    <n v="96.822000000000003"/>
    <n v="142"/>
    <x v="0"/>
    <n v="0"/>
    <n v="0"/>
    <n v="68"/>
    <n v="76"/>
    <n v="0"/>
    <n v="326.98"/>
    <n v="314.52"/>
    <m/>
    <n v="310.56190909872737"/>
    <n v="248.38780360927973"/>
    <n v="0"/>
    <n v="31658.857560000004"/>
    <n v="30452.455439999998"/>
    <n v="0"/>
    <n v="30069.225162756982"/>
    <n v="24049.403921057681"/>
  </r>
  <r>
    <s v="Regular"/>
    <x v="3"/>
    <x v="4"/>
    <x v="4"/>
    <x v="1"/>
    <x v="0"/>
    <x v="0"/>
    <x v="2"/>
    <x v="3"/>
    <n v="0"/>
    <n v="0"/>
    <n v="99.596000000000004"/>
    <n v="99.596000000000004"/>
    <n v="99.596000000000004"/>
    <n v="99.596000000000004"/>
    <n v="145"/>
    <x v="0"/>
    <n v="0"/>
    <n v="0"/>
    <n v="68"/>
    <n v="76"/>
    <n v="0"/>
    <n v="326.98"/>
    <n v="314.52"/>
    <m/>
    <n v="310.56190909872737"/>
    <n v="248.38780360927973"/>
    <n v="0"/>
    <n v="32565.900080000003"/>
    <n v="31324.933919999999"/>
    <n v="0"/>
    <n v="30930.723898596851"/>
    <n v="24738.431688269826"/>
  </r>
  <r>
    <s v="Regular"/>
    <x v="3"/>
    <x v="4"/>
    <x v="4"/>
    <x v="1"/>
    <x v="0"/>
    <x v="0"/>
    <x v="2"/>
    <x v="4"/>
    <n v="0"/>
    <n v="0"/>
    <n v="151.63999999999999"/>
    <n v="151.63999999999999"/>
    <n v="151.63999999999999"/>
    <n v="151.63999999999999"/>
    <n v="145"/>
    <x v="0"/>
    <n v="0"/>
    <n v="0"/>
    <n v="68"/>
    <n v="76"/>
    <n v="0"/>
    <n v="326.98"/>
    <n v="314.52"/>
    <m/>
    <n v="310.56190909872737"/>
    <n v="248.38780360927973"/>
    <n v="0"/>
    <n v="49583.247199999998"/>
    <n v="47693.812799999992"/>
    <n v="0"/>
    <n v="47093.607895731016"/>
    <n v="37665.526539311177"/>
  </r>
  <r>
    <s v="Regular"/>
    <x v="3"/>
    <x v="4"/>
    <x v="4"/>
    <x v="1"/>
    <x v="0"/>
    <x v="0"/>
    <x v="2"/>
    <x v="5"/>
    <n v="0"/>
    <n v="0"/>
    <n v="180.57900000000001"/>
    <n v="180.57900000000001"/>
    <n v="180.57900000000001"/>
    <n v="180.57900000000001"/>
    <n v="144"/>
    <x v="0"/>
    <n v="0"/>
    <n v="0"/>
    <n v="68"/>
    <n v="76"/>
    <n v="0"/>
    <n v="326.98"/>
    <n v="314.52"/>
    <m/>
    <n v="310.56190909872737"/>
    <n v="248.38780360927973"/>
    <n v="0"/>
    <n v="59045.721420000009"/>
    <n v="56795.70708"/>
    <n v="0"/>
    <n v="56080.958983139091"/>
    <n v="44853.621187960125"/>
  </r>
  <r>
    <s v="Refaturamento - Regular"/>
    <x v="3"/>
    <x v="4"/>
    <x v="4"/>
    <x v="1"/>
    <x v="0"/>
    <x v="0"/>
    <x v="2"/>
    <x v="5"/>
    <n v="0"/>
    <n v="0"/>
    <n v="0.48899999999999999"/>
    <n v="0.48899999999999999"/>
    <n v="0.48899999999999999"/>
    <n v="0.48899999999999999"/>
    <n v="0"/>
    <x v="0"/>
    <n v="0"/>
    <n v="0"/>
    <n v="68"/>
    <n v="76"/>
    <n v="0"/>
    <n v="326.98"/>
    <n v="314.52"/>
    <m/>
    <n v="310.56190909872737"/>
    <n v="248.38780360927973"/>
    <n v="0"/>
    <n v="159.89322000000001"/>
    <n v="153.80027999999999"/>
    <n v="0"/>
    <n v="151.86477354927769"/>
    <n v="121.46163596493778"/>
  </r>
  <r>
    <s v="Regular"/>
    <x v="3"/>
    <x v="4"/>
    <x v="4"/>
    <x v="1"/>
    <x v="0"/>
    <x v="0"/>
    <x v="2"/>
    <x v="6"/>
    <n v="0"/>
    <n v="0"/>
    <n v="139.97"/>
    <n v="139.97"/>
    <n v="139.97"/>
    <n v="139.97"/>
    <n v="144"/>
    <x v="0"/>
    <n v="0"/>
    <n v="0"/>
    <n v="68"/>
    <n v="76"/>
    <n v="0"/>
    <n v="326.98"/>
    <n v="314.52"/>
    <m/>
    <n v="310.56190909872737"/>
    <n v="248.38780360927973"/>
    <n v="0"/>
    <n v="45767.390599999999"/>
    <n v="44023.364399999999"/>
    <n v="0"/>
    <n v="43469.35041654887"/>
    <n v="34766.840871190885"/>
  </r>
  <r>
    <s v="Regular"/>
    <x v="3"/>
    <x v="4"/>
    <x v="4"/>
    <x v="1"/>
    <x v="0"/>
    <x v="0"/>
    <x v="2"/>
    <x v="7"/>
    <n v="0"/>
    <n v="0"/>
    <n v="137.822"/>
    <n v="137.822"/>
    <n v="137.822"/>
    <n v="137.822"/>
    <n v="145"/>
    <x v="0"/>
    <n v="0"/>
    <n v="0"/>
    <n v="68"/>
    <n v="76"/>
    <n v="0"/>
    <n v="326.98"/>
    <n v="314.52"/>
    <m/>
    <n v="310.56190909872737"/>
    <n v="248.38780360927973"/>
    <n v="0"/>
    <n v="45065.037560000004"/>
    <n v="43347.775439999998"/>
    <n v="0"/>
    <n v="42802.263435804802"/>
    <n v="34233.303869038151"/>
  </r>
  <r>
    <s v="Regular"/>
    <x v="3"/>
    <x v="4"/>
    <x v="4"/>
    <x v="1"/>
    <x v="0"/>
    <x v="0"/>
    <x v="2"/>
    <x v="8"/>
    <n v="0"/>
    <n v="0"/>
    <n v="229.821"/>
    <n v="229.821"/>
    <n v="229.821"/>
    <n v="229.821"/>
    <n v="147"/>
    <x v="0"/>
    <n v="0"/>
    <n v="0"/>
    <n v="68"/>
    <n v="76"/>
    <n v="0"/>
    <n v="326.98"/>
    <n v="314.52"/>
    <m/>
    <n v="310.56190909872737"/>
    <n v="248.38780360927973"/>
    <n v="0"/>
    <n v="75146.870580000003"/>
    <n v="72283.300919999994"/>
    <n v="0"/>
    <n v="71373.648510978615"/>
    <n v="57084.733413288275"/>
  </r>
  <r>
    <s v="Regular"/>
    <x v="3"/>
    <x v="4"/>
    <x v="4"/>
    <x v="1"/>
    <x v="0"/>
    <x v="0"/>
    <x v="2"/>
    <x v="9"/>
    <n v="0"/>
    <n v="0"/>
    <n v="119.70099999999999"/>
    <n v="119.70099999999999"/>
    <n v="119.70099999999999"/>
    <n v="119.70099999999999"/>
    <n v="144"/>
    <x v="0"/>
    <n v="0"/>
    <n v="0"/>
    <n v="68"/>
    <n v="76"/>
    <n v="0"/>
    <n v="326.98"/>
    <n v="314.52"/>
    <m/>
    <n v="310.56190909872737"/>
    <n v="248.38780360927973"/>
    <n v="0"/>
    <n v="39139.832979999999"/>
    <n v="37648.358519999994"/>
    <n v="0"/>
    <n v="37174.571081026763"/>
    <n v="29732.268479834391"/>
  </r>
  <r>
    <s v="Refaturamento - Regular"/>
    <x v="3"/>
    <x v="4"/>
    <x v="4"/>
    <x v="1"/>
    <x v="0"/>
    <x v="0"/>
    <x v="2"/>
    <x v="9"/>
    <n v="0"/>
    <n v="0"/>
    <n v="-6.55"/>
    <n v="-6.55"/>
    <n v="-6.55"/>
    <n v="-6.55"/>
    <n v="0"/>
    <x v="0"/>
    <n v="0"/>
    <n v="0"/>
    <n v="68"/>
    <n v="76"/>
    <n v="0"/>
    <n v="326.98"/>
    <n v="314.52"/>
    <m/>
    <n v="310.56190909872737"/>
    <n v="248.38780360927973"/>
    <n v="0"/>
    <n v="-2141.7190000000001"/>
    <n v="-2060.1059999999998"/>
    <n v="0"/>
    <n v="-2034.1805045966642"/>
    <n v="-1626.9401136407821"/>
  </r>
  <r>
    <s v="Regular"/>
    <x v="3"/>
    <x v="4"/>
    <x v="4"/>
    <x v="1"/>
    <x v="0"/>
    <x v="0"/>
    <x v="2"/>
    <x v="10"/>
    <n v="0"/>
    <n v="0"/>
    <n v="122.13800000000001"/>
    <n v="122.13800000000001"/>
    <n v="122.13800000000001"/>
    <n v="122.13800000000001"/>
    <n v="150"/>
    <x v="0"/>
    <n v="0"/>
    <n v="0"/>
    <n v="68"/>
    <n v="76"/>
    <n v="0"/>
    <n v="326.98"/>
    <n v="314.52"/>
    <m/>
    <n v="310.56190909872737"/>
    <n v="248.38780360927973"/>
    <n v="0"/>
    <n v="39936.683240000006"/>
    <n v="38414.843759999996"/>
    <n v="0"/>
    <n v="37931.410453500364"/>
    <n v="30337.589557230211"/>
  </r>
  <r>
    <s v="PROJETADO"/>
    <x v="3"/>
    <x v="4"/>
    <x v="4"/>
    <x v="1"/>
    <x v="0"/>
    <x v="0"/>
    <x v="2"/>
    <x v="11"/>
    <n v="0"/>
    <n v="0"/>
    <n v="122.13800000000001"/>
    <n v="122.13800000000001"/>
    <n v="122.13800000000001"/>
    <n v="122.13800000000001"/>
    <n v="150"/>
    <x v="0"/>
    <n v="0"/>
    <n v="0"/>
    <n v="68"/>
    <n v="76"/>
    <n v="0"/>
    <n v="326.98"/>
    <n v="314.52"/>
    <m/>
    <n v="310.56190909872737"/>
    <n v="248.38780360927973"/>
    <n v="0"/>
    <n v="39936.683240000006"/>
    <n v="38414.843759999996"/>
    <n v="0"/>
    <n v="37931.410453500364"/>
    <n v="30337.589557230211"/>
  </r>
  <r>
    <s v="Regular"/>
    <x v="3"/>
    <x v="4"/>
    <x v="0"/>
    <x v="0"/>
    <x v="0"/>
    <x v="0"/>
    <x v="2"/>
    <x v="0"/>
    <n v="0"/>
    <n v="0"/>
    <n v="128.226"/>
    <n v="128.226"/>
    <n v="128.226"/>
    <n v="128.226"/>
    <n v="23"/>
    <x v="0"/>
    <n v="0"/>
    <n v="0"/>
    <n v="68"/>
    <n v="76"/>
    <n v="0"/>
    <n v="307.3612"/>
    <n v="295.64879999999999"/>
    <m/>
    <n v="301.24505182576553"/>
    <n v="240.93616950100133"/>
    <n v="0"/>
    <n v="39411.6972312"/>
    <n v="37909.863028799999"/>
    <n v="0"/>
    <n v="38627.448015410613"/>
    <n v="30894.281270435396"/>
  </r>
  <r>
    <s v="Regular"/>
    <x v="3"/>
    <x v="4"/>
    <x v="0"/>
    <x v="0"/>
    <x v="0"/>
    <x v="0"/>
    <x v="2"/>
    <x v="1"/>
    <n v="0"/>
    <n v="0"/>
    <n v="134.18799999999999"/>
    <n v="134.18799999999999"/>
    <n v="134.18799999999999"/>
    <n v="134.18799999999999"/>
    <n v="23"/>
    <x v="0"/>
    <n v="0"/>
    <n v="0"/>
    <n v="68"/>
    <n v="76"/>
    <n v="0"/>
    <n v="307.3612"/>
    <n v="295.64879999999999"/>
    <m/>
    <n v="301.24505182576553"/>
    <n v="240.93616950100133"/>
    <n v="0"/>
    <n v="41244.184705599997"/>
    <n v="39672.521174399997"/>
    <n v="0"/>
    <n v="40423.471014395822"/>
    <n v="32330.742713000363"/>
  </r>
  <r>
    <s v="Regular"/>
    <x v="3"/>
    <x v="4"/>
    <x v="0"/>
    <x v="0"/>
    <x v="0"/>
    <x v="0"/>
    <x v="2"/>
    <x v="2"/>
    <n v="0"/>
    <n v="0"/>
    <n v="120.355"/>
    <n v="120.355"/>
    <n v="120.355"/>
    <n v="120.355"/>
    <n v="23"/>
    <x v="0"/>
    <n v="0"/>
    <n v="0"/>
    <n v="68"/>
    <n v="76"/>
    <n v="0"/>
    <n v="307.3612"/>
    <n v="295.64879999999999"/>
    <m/>
    <n v="301.24505182576553"/>
    <n v="240.93616950100133"/>
    <n v="0"/>
    <n v="36992.457225999999"/>
    <n v="35582.811324000002"/>
    <n v="0"/>
    <n v="36256.348212490011"/>
    <n v="28997.872680293018"/>
  </r>
  <r>
    <s v="Regular"/>
    <x v="3"/>
    <x v="4"/>
    <x v="0"/>
    <x v="0"/>
    <x v="0"/>
    <x v="0"/>
    <x v="2"/>
    <x v="3"/>
    <n v="0"/>
    <n v="0"/>
    <n v="117.742"/>
    <n v="117.742"/>
    <n v="117.742"/>
    <n v="117.742"/>
    <n v="23"/>
    <x v="0"/>
    <n v="0"/>
    <n v="0"/>
    <n v="68"/>
    <n v="76"/>
    <n v="0"/>
    <n v="307.3612"/>
    <n v="295.64879999999999"/>
    <m/>
    <n v="301.24505182576553"/>
    <n v="240.93616950100133"/>
    <n v="0"/>
    <n v="36189.322410400004"/>
    <n v="34810.281009600003"/>
    <n v="0"/>
    <n v="35469.194892069288"/>
    <n v="28368.306469386898"/>
  </r>
  <r>
    <s v="Regular"/>
    <x v="3"/>
    <x v="4"/>
    <x v="0"/>
    <x v="0"/>
    <x v="0"/>
    <x v="0"/>
    <x v="2"/>
    <x v="4"/>
    <n v="0"/>
    <n v="0"/>
    <n v="138.86199999999999"/>
    <n v="138.86199999999999"/>
    <n v="138.86199999999999"/>
    <n v="138.86199999999999"/>
    <n v="23"/>
    <x v="0"/>
    <n v="0"/>
    <n v="0"/>
    <n v="68"/>
    <n v="76"/>
    <n v="0"/>
    <n v="307.3612"/>
    <n v="295.64879999999999"/>
    <m/>
    <n v="301.24505182576553"/>
    <n v="240.93616950100133"/>
    <n v="0"/>
    <n v="42680.790954399999"/>
    <n v="41054.383665599998"/>
    <n v="0"/>
    <n v="41831.490386629448"/>
    <n v="33456.878369248043"/>
  </r>
  <r>
    <s v="Regular"/>
    <x v="3"/>
    <x v="4"/>
    <x v="0"/>
    <x v="0"/>
    <x v="0"/>
    <x v="0"/>
    <x v="2"/>
    <x v="5"/>
    <n v="0"/>
    <n v="0"/>
    <n v="136.72"/>
    <n v="136.72"/>
    <n v="136.72"/>
    <n v="136.72"/>
    <n v="23"/>
    <x v="0"/>
    <n v="0"/>
    <n v="0"/>
    <n v="68"/>
    <n v="76"/>
    <n v="0"/>
    <n v="307.3612"/>
    <n v="295.64879999999999"/>
    <m/>
    <n v="301.24505182576553"/>
    <n v="240.93616950100133"/>
    <n v="0"/>
    <n v="42022.423263999997"/>
    <n v="40421.103936"/>
    <n v="0"/>
    <n v="41186.223485618662"/>
    <n v="32940.793094176901"/>
  </r>
  <r>
    <s v="Regular"/>
    <x v="3"/>
    <x v="4"/>
    <x v="0"/>
    <x v="0"/>
    <x v="0"/>
    <x v="0"/>
    <x v="2"/>
    <x v="6"/>
    <n v="0"/>
    <n v="0"/>
    <n v="133.994"/>
    <n v="133.994"/>
    <n v="133.994"/>
    <n v="133.994"/>
    <n v="23"/>
    <x v="0"/>
    <n v="0"/>
    <n v="0"/>
    <n v="68"/>
    <n v="76"/>
    <n v="0"/>
    <n v="307.3612"/>
    <n v="295.64879999999999"/>
    <m/>
    <n v="301.24505182576553"/>
    <n v="240.93616950100133"/>
    <n v="0"/>
    <n v="41184.556632799999"/>
    <n v="39615.165307199997"/>
    <n v="0"/>
    <n v="40365.029474341623"/>
    <n v="32284.001096117172"/>
  </r>
  <r>
    <s v="Regular"/>
    <x v="3"/>
    <x v="4"/>
    <x v="0"/>
    <x v="0"/>
    <x v="0"/>
    <x v="0"/>
    <x v="2"/>
    <x v="7"/>
    <n v="0"/>
    <n v="0"/>
    <n v="130.32300000000001"/>
    <n v="130.32300000000001"/>
    <n v="130.32300000000001"/>
    <n v="130.32300000000001"/>
    <n v="32"/>
    <x v="0"/>
    <n v="0"/>
    <n v="0"/>
    <n v="68"/>
    <n v="76"/>
    <n v="0"/>
    <n v="307.3612"/>
    <n v="295.64879999999999"/>
    <m/>
    <n v="301.24505182576553"/>
    <n v="240.93616950100133"/>
    <n v="0"/>
    <n v="40056.233667600005"/>
    <n v="38529.8385624"/>
    <n v="0"/>
    <n v="39259.158889089245"/>
    <n v="31399.524417878998"/>
  </r>
  <r>
    <s v="Regular"/>
    <x v="3"/>
    <x v="4"/>
    <x v="0"/>
    <x v="0"/>
    <x v="0"/>
    <x v="0"/>
    <x v="2"/>
    <x v="8"/>
    <n v="0"/>
    <n v="0"/>
    <n v="134.40899999999999"/>
    <n v="134.40899999999999"/>
    <n v="134.40899999999999"/>
    <n v="134.40899999999999"/>
    <n v="32"/>
    <x v="0"/>
    <n v="0"/>
    <n v="0"/>
    <n v="68"/>
    <n v="76"/>
    <n v="0"/>
    <n v="307.3612"/>
    <n v="295.64879999999999"/>
    <m/>
    <n v="301.24505182576553"/>
    <n v="240.93616950100133"/>
    <n v="0"/>
    <n v="41312.111530799993"/>
    <n v="39737.859559199998"/>
    <n v="0"/>
    <n v="40490.046170849317"/>
    <n v="32383.989606460087"/>
  </r>
  <r>
    <s v="Regular"/>
    <x v="3"/>
    <x v="4"/>
    <x v="0"/>
    <x v="0"/>
    <x v="0"/>
    <x v="0"/>
    <x v="2"/>
    <x v="9"/>
    <n v="0"/>
    <n v="0"/>
    <n v="141.02799999999999"/>
    <n v="141.02799999999999"/>
    <n v="141.02799999999999"/>
    <n v="141.02799999999999"/>
    <n v="33"/>
    <x v="0"/>
    <n v="0"/>
    <n v="0"/>
    <n v="68"/>
    <n v="76"/>
    <n v="0"/>
    <n v="307.3612"/>
    <n v="295.64879999999999"/>
    <m/>
    <n v="301.24505182576553"/>
    <n v="240.93616950100133"/>
    <n v="0"/>
    <n v="43346.535313599998"/>
    <n v="41694.758966399997"/>
    <n v="0"/>
    <n v="42483.987168884058"/>
    <n v="33978.746112387213"/>
  </r>
  <r>
    <s v="Regular"/>
    <x v="3"/>
    <x v="4"/>
    <x v="0"/>
    <x v="0"/>
    <x v="0"/>
    <x v="0"/>
    <x v="2"/>
    <x v="10"/>
    <n v="0"/>
    <n v="0"/>
    <n v="143.99799999999999"/>
    <n v="143.99799999999999"/>
    <n v="143.99799999999999"/>
    <n v="143.99799999999999"/>
    <n v="33"/>
    <x v="0"/>
    <n v="0"/>
    <n v="0"/>
    <n v="68"/>
    <n v="76"/>
    <n v="0"/>
    <n v="307.3612"/>
    <n v="295.64879999999999"/>
    <m/>
    <n v="301.24505182576553"/>
    <n v="240.93616950100133"/>
    <n v="0"/>
    <n v="44259.398077599995"/>
    <n v="42572.835902399995"/>
    <n v="0"/>
    <n v="43378.684972806579"/>
    <n v="34694.326535805187"/>
  </r>
  <r>
    <s v="PROJETADO"/>
    <x v="3"/>
    <x v="4"/>
    <x v="0"/>
    <x v="0"/>
    <x v="0"/>
    <x v="0"/>
    <x v="2"/>
    <x v="11"/>
    <n v="0"/>
    <n v="0"/>
    <n v="143.99799999999999"/>
    <n v="143.99799999999999"/>
    <n v="143.99799999999999"/>
    <n v="143.99799999999999"/>
    <n v="33"/>
    <x v="0"/>
    <n v="0"/>
    <n v="0"/>
    <n v="68"/>
    <n v="76"/>
    <n v="0"/>
    <n v="307.3612"/>
    <n v="295.64879999999999"/>
    <m/>
    <n v="301.24505182576553"/>
    <n v="240.93616950100133"/>
    <n v="0"/>
    <n v="44259.398077599995"/>
    <n v="42572.835902399995"/>
    <n v="0"/>
    <n v="43378.684972806579"/>
    <n v="34694.326535805187"/>
  </r>
  <r>
    <s v="Regular"/>
    <x v="4"/>
    <x v="4"/>
    <x v="8"/>
    <x v="8"/>
    <x v="0"/>
    <x v="0"/>
    <x v="2"/>
    <x v="0"/>
    <n v="0"/>
    <n v="0"/>
    <n v="418.91800000000001"/>
    <n v="418.91800000000001"/>
    <n v="418.91800000000001"/>
    <n v="418.91800000000001"/>
    <n v="4"/>
    <x v="0"/>
    <n v="0"/>
    <n v="0"/>
    <n v="74"/>
    <n v="59"/>
    <n v="0"/>
    <n v="179.84"/>
    <n v="172.98"/>
    <m/>
    <n v="170.8090500043001"/>
    <n v="136.61329198510387"/>
    <n v="0"/>
    <n v="75338.21312"/>
    <n v="72464.435639999996"/>
    <n v="0"/>
    <n v="71554.985609701398"/>
    <n v="57229.767051815747"/>
  </r>
  <r>
    <s v="Regular"/>
    <x v="4"/>
    <x v="4"/>
    <x v="8"/>
    <x v="8"/>
    <x v="0"/>
    <x v="0"/>
    <x v="2"/>
    <x v="1"/>
    <n v="0"/>
    <n v="0"/>
    <n v="419.18200000000002"/>
    <n v="419.18200000000002"/>
    <n v="419.18200000000002"/>
    <n v="419.18200000000002"/>
    <n v="4"/>
    <x v="0"/>
    <n v="0"/>
    <n v="0"/>
    <n v="74"/>
    <n v="59"/>
    <n v="0"/>
    <n v="179.84"/>
    <n v="172.98"/>
    <m/>
    <n v="170.8090500043001"/>
    <n v="136.61329198510387"/>
    <n v="0"/>
    <n v="75385.690880000009"/>
    <n v="72510.102360000004"/>
    <n v="0"/>
    <n v="71600.079198902531"/>
    <n v="57265.83296089981"/>
  </r>
  <r>
    <s v="Regular"/>
    <x v="4"/>
    <x v="4"/>
    <x v="8"/>
    <x v="8"/>
    <x v="0"/>
    <x v="0"/>
    <x v="2"/>
    <x v="2"/>
    <n v="0"/>
    <n v="0"/>
    <n v="405.67500000000001"/>
    <n v="405.67500000000001"/>
    <n v="405.67500000000001"/>
    <n v="405.67500000000001"/>
    <n v="4"/>
    <x v="0"/>
    <n v="0"/>
    <n v="0"/>
    <n v="74"/>
    <n v="59"/>
    <n v="0"/>
    <n v="179.84"/>
    <n v="172.98"/>
    <m/>
    <n v="170.8090500043001"/>
    <n v="136.61329198510387"/>
    <n v="0"/>
    <n v="72956.592000000004"/>
    <n v="70173.661500000002"/>
    <n v="0"/>
    <n v="69292.961360494446"/>
    <n v="55420.597226057012"/>
  </r>
  <r>
    <s v="Regular"/>
    <x v="4"/>
    <x v="4"/>
    <x v="8"/>
    <x v="8"/>
    <x v="0"/>
    <x v="0"/>
    <x v="2"/>
    <x v="3"/>
    <n v="0"/>
    <n v="0"/>
    <n v="419.04899999999998"/>
    <n v="419.04899999999998"/>
    <n v="419.04899999999998"/>
    <n v="419.04899999999998"/>
    <n v="4"/>
    <x v="0"/>
    <n v="0"/>
    <n v="0"/>
    <n v="74"/>
    <n v="59"/>
    <n v="0"/>
    <n v="179.84"/>
    <n v="172.98"/>
    <m/>
    <n v="170.8090500043001"/>
    <n v="136.61329198510387"/>
    <n v="0"/>
    <n v="75361.772159999993"/>
    <n v="72487.096019999997"/>
    <n v="0"/>
    <n v="71577.361595251947"/>
    <n v="57247.663393065792"/>
  </r>
  <r>
    <s v="Regular"/>
    <x v="4"/>
    <x v="4"/>
    <x v="8"/>
    <x v="8"/>
    <x v="0"/>
    <x v="0"/>
    <x v="2"/>
    <x v="4"/>
    <n v="0"/>
    <n v="0"/>
    <n v="404.16300000000001"/>
    <n v="404.16300000000001"/>
    <n v="404.16300000000001"/>
    <n v="404.16300000000001"/>
    <n v="4"/>
    <x v="0"/>
    <n v="0"/>
    <n v="0"/>
    <n v="74"/>
    <n v="59"/>
    <n v="0"/>
    <n v="179.84"/>
    <n v="172.98"/>
    <m/>
    <n v="170.8090500043001"/>
    <n v="136.61329198510387"/>
    <n v="0"/>
    <n v="72684.673920000001"/>
    <n v="69912.115739999994"/>
    <n v="0"/>
    <n v="69034.698076887944"/>
    <n v="55214.037928575541"/>
  </r>
  <r>
    <s v="Regular"/>
    <x v="4"/>
    <x v="4"/>
    <x v="8"/>
    <x v="8"/>
    <x v="0"/>
    <x v="0"/>
    <x v="2"/>
    <x v="5"/>
    <n v="0"/>
    <n v="0"/>
    <n v="418.75099999999998"/>
    <n v="418.75099999999998"/>
    <n v="418.75099999999998"/>
    <n v="418.75099999999998"/>
    <n v="4"/>
    <x v="0"/>
    <n v="0"/>
    <n v="0"/>
    <n v="74"/>
    <n v="59"/>
    <n v="0"/>
    <n v="179.84"/>
    <n v="172.98"/>
    <m/>
    <n v="170.8090500043001"/>
    <n v="136.61329198510387"/>
    <n v="0"/>
    <n v="75308.179839999997"/>
    <n v="72435.547979999988"/>
    <n v="0"/>
    <n v="71526.460498350672"/>
    <n v="57206.952632054228"/>
  </r>
  <r>
    <s v="Regular"/>
    <x v="4"/>
    <x v="4"/>
    <x v="8"/>
    <x v="8"/>
    <x v="0"/>
    <x v="0"/>
    <x v="2"/>
    <x v="6"/>
    <n v="0"/>
    <n v="0"/>
    <n v="418.15899999999999"/>
    <n v="418.15899999999999"/>
    <n v="418.15899999999999"/>
    <n v="418.15899999999999"/>
    <n v="4"/>
    <x v="0"/>
    <n v="0"/>
    <n v="0"/>
    <n v="74"/>
    <n v="59"/>
    <n v="0"/>
    <n v="179.84"/>
    <n v="172.98"/>
    <m/>
    <n v="170.8090500043001"/>
    <n v="136.61329198510387"/>
    <n v="0"/>
    <n v="75201.714559999993"/>
    <n v="72333.143819999998"/>
    <n v="0"/>
    <n v="71425.341540748122"/>
    <n v="57126.077563199047"/>
  </r>
  <r>
    <s v="Regular"/>
    <x v="4"/>
    <x v="4"/>
    <x v="8"/>
    <x v="8"/>
    <x v="0"/>
    <x v="0"/>
    <x v="2"/>
    <x v="7"/>
    <n v="0"/>
    <n v="0"/>
    <n v="380.358"/>
    <n v="380.358"/>
    <n v="380.358"/>
    <n v="380.358"/>
    <n v="4"/>
    <x v="0"/>
    <n v="0"/>
    <n v="0"/>
    <n v="74"/>
    <n v="59"/>
    <n v="0"/>
    <n v="179.84"/>
    <n v="172.98"/>
    <m/>
    <n v="170.8090500043001"/>
    <n v="136.61329198510387"/>
    <n v="0"/>
    <n v="68403.582720000006"/>
    <n v="65794.326839999994"/>
    <n v="0"/>
    <n v="64968.588641535578"/>
    <n v="51961.958512870136"/>
  </r>
  <r>
    <s v="Regular"/>
    <x v="4"/>
    <x v="4"/>
    <x v="8"/>
    <x v="8"/>
    <x v="0"/>
    <x v="0"/>
    <x v="2"/>
    <x v="8"/>
    <n v="0"/>
    <n v="0"/>
    <n v="423.27"/>
    <n v="423.27"/>
    <n v="423.27"/>
    <n v="423.27"/>
    <n v="4"/>
    <x v="0"/>
    <n v="0"/>
    <n v="0"/>
    <n v="74"/>
    <n v="59"/>
    <n v="0"/>
    <n v="179.84"/>
    <n v="172.98"/>
    <m/>
    <n v="170.8090500043001"/>
    <n v="136.61329198510387"/>
    <n v="0"/>
    <n v="76120.876799999998"/>
    <n v="73217.244599999991"/>
    <n v="0"/>
    <n v="72298.346595320108"/>
    <n v="57824.308098534915"/>
  </r>
  <r>
    <s v="Regular"/>
    <x v="4"/>
    <x v="4"/>
    <x v="8"/>
    <x v="8"/>
    <x v="0"/>
    <x v="0"/>
    <x v="2"/>
    <x v="9"/>
    <n v="0"/>
    <n v="0"/>
    <n v="393.06099999999998"/>
    <n v="393.06099999999998"/>
    <n v="393.06099999999998"/>
    <n v="393.06099999999998"/>
    <n v="4"/>
    <x v="0"/>
    <n v="0"/>
    <n v="0"/>
    <n v="74"/>
    <n v="59"/>
    <n v="0"/>
    <n v="179.84"/>
    <n v="172.98"/>
    <m/>
    <n v="170.8090500043001"/>
    <n v="136.61329198510387"/>
    <n v="0"/>
    <n v="70688.09023999999"/>
    <n v="67991.691779999994"/>
    <n v="0"/>
    <n v="67138.376003740195"/>
    <n v="53697.357160956912"/>
  </r>
  <r>
    <s v="Regular"/>
    <x v="4"/>
    <x v="4"/>
    <x v="8"/>
    <x v="8"/>
    <x v="0"/>
    <x v="0"/>
    <x v="2"/>
    <x v="10"/>
    <n v="0"/>
    <n v="0"/>
    <n v="406.755"/>
    <n v="406.755"/>
    <n v="406.755"/>
    <n v="406.755"/>
    <n v="4"/>
    <x v="0"/>
    <n v="0"/>
    <n v="0"/>
    <n v="74"/>
    <n v="59"/>
    <n v="0"/>
    <n v="179.84"/>
    <n v="172.98"/>
    <m/>
    <n v="170.8090500043001"/>
    <n v="136.61329198510387"/>
    <n v="0"/>
    <n v="73150.819199999998"/>
    <n v="70360.479899999991"/>
    <n v="0"/>
    <n v="69477.435134499086"/>
    <n v="55568.139581400923"/>
  </r>
  <r>
    <s v="PROJETADO"/>
    <x v="4"/>
    <x v="4"/>
    <x v="8"/>
    <x v="8"/>
    <x v="0"/>
    <x v="0"/>
    <x v="2"/>
    <x v="11"/>
    <n v="0"/>
    <n v="0"/>
    <n v="406.755"/>
    <n v="406.755"/>
    <n v="406.755"/>
    <n v="406.755"/>
    <n v="4"/>
    <x v="0"/>
    <n v="0"/>
    <n v="0"/>
    <n v="74"/>
    <n v="59"/>
    <n v="0"/>
    <n v="179.84"/>
    <n v="172.98"/>
    <m/>
    <n v="170.8090500043001"/>
    <n v="136.61329198510387"/>
    <n v="0"/>
    <n v="73150.819199999998"/>
    <n v="70360.479899999991"/>
    <n v="0"/>
    <n v="69477.435134499086"/>
    <n v="55568.1395814009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11D42-23F1-4C28-8FBC-CF5323E12224}" name="Efeito Resumo" cacheId="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21" firstHeaderRow="0" firstDataRow="1" firstDataCol="1"/>
  <pivotFields count="36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6">
        <item sd="0" x="0"/>
        <item sd="0" x="3"/>
        <item sd="0" x="4"/>
        <item sd="0" x="1"/>
        <item sd="0" x="2"/>
        <item t="default"/>
      </items>
    </pivotField>
    <pivotField axis="axisRow" showAll="0">
      <items count="10">
        <item x="2"/>
        <item x="7"/>
        <item x="8"/>
        <item x="3"/>
        <item x="1"/>
        <item x="4"/>
        <item x="6"/>
        <item x="5"/>
        <item x="0"/>
        <item t="default"/>
      </items>
    </pivotField>
    <pivotField axis="axisRow" showAll="0">
      <items count="10">
        <item x="2"/>
        <item x="0"/>
        <item x="8"/>
        <item x="1"/>
        <item x="3"/>
        <item x="4"/>
        <item x="5"/>
        <item x="6"/>
        <item x="7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0"/>
        <item x="1"/>
        <item x="2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20">
    <i>
      <x/>
    </i>
    <i r="1">
      <x/>
    </i>
    <i r="2">
      <x/>
    </i>
    <i r="2">
      <x v="4"/>
    </i>
    <i r="1">
      <x v="1"/>
    </i>
    <i r="2">
      <x v="1"/>
    </i>
    <i r="2">
      <x v="2"/>
    </i>
    <i r="1">
      <x v="2"/>
    </i>
    <i r="2">
      <x v="2"/>
    </i>
    <i r="1">
      <x v="3"/>
    </i>
    <i r="2">
      <x v="1"/>
    </i>
    <i r="2">
      <x v="2"/>
    </i>
    <i r="1">
      <x v="4"/>
    </i>
    <i r="2">
      <x v="2"/>
    </i>
    <i>
      <x v="1"/>
    </i>
    <i r="1">
      <x/>
    </i>
    <i r="2">
      <x v="3"/>
    </i>
    <i>
      <x v="2"/>
    </i>
    <i r="1">
      <x/>
    </i>
    <i r="2">
      <x v="4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322">
    <format dxfId="814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81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812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811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810">
      <pivotArea type="all" dataOnly="0" outline="0" fieldPosition="0"/>
    </format>
    <format dxfId="809">
      <pivotArea outline="0" collapsedLevelsAreSubtotals="1" fieldPosition="0"/>
    </format>
    <format dxfId="808">
      <pivotArea field="16" type="button" dataOnly="0" labelOnly="1" outline="0" axis="axisRow" fieldPosition="0"/>
    </format>
    <format dxfId="807">
      <pivotArea dataOnly="0" labelOnly="1" fieldPosition="0">
        <references count="1">
          <reference field="16" count="0"/>
        </references>
      </pivotArea>
    </format>
    <format dxfId="806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805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804">
      <pivotArea dataOnly="0" labelOnly="1" fieldPosition="0">
        <references count="2">
          <reference field="1" count="1">
            <x v="0"/>
          </reference>
          <reference field="16" count="1" selected="0">
            <x v="2"/>
          </reference>
        </references>
      </pivotArea>
    </format>
    <format dxfId="803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802">
      <pivotArea dataOnly="0" labelOnly="1" fieldPosition="0">
        <references count="3">
          <reference field="1" count="1" selected="0">
            <x v="1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801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800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799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798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797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796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8"/>
          </reference>
          <reference field="16" count="1" selected="0">
            <x v="0"/>
          </reference>
        </references>
      </pivotArea>
    </format>
    <format dxfId="795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4">
            <x v="0"/>
            <x v="3"/>
            <x v="5"/>
            <x v="7"/>
          </reference>
          <reference field="16" count="1" selected="0">
            <x v="0"/>
          </reference>
        </references>
      </pivotArea>
    </format>
    <format dxfId="794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793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792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791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790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789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788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787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78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85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84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83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82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781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80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779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77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77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76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75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74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7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72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7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770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76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8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7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6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5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764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3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2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1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0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9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8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75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747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746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45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44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43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42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41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40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3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38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37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36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35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34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3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3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3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30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2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2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2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2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2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2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72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2">
            <x v="1"/>
            <x v="2"/>
          </reference>
          <reference field="16" count="1" selected="0">
            <x v="1"/>
          </reference>
        </references>
      </pivotArea>
    </format>
    <format dxfId="722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72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20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9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8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7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716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5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1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12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11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10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9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0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9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9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69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696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69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9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9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9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9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9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8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8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8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8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8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8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8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8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8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8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7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77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7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74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73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7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7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70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2"/>
          </reference>
          <reference field="8" count="7">
            <x v="2"/>
            <x v="3"/>
            <x v="4"/>
            <x v="5"/>
            <x v="6"/>
            <x v="10"/>
            <x v="11"/>
          </reference>
          <reference field="16" count="1" selected="0">
            <x v="0"/>
          </reference>
        </references>
      </pivotArea>
    </format>
    <format dxfId="66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66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66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66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8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5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5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5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5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652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651">
      <pivotArea type="all" dataOnly="0" outline="0" fieldPosition="0"/>
    </format>
    <format dxfId="650">
      <pivotArea outline="0" collapsedLevelsAreSubtotals="1" fieldPosition="0"/>
    </format>
    <format dxfId="649">
      <pivotArea field="16" type="button" dataOnly="0" labelOnly="1" outline="0" axis="axisRow" fieldPosition="0"/>
    </format>
    <format dxfId="648">
      <pivotArea dataOnly="0" labelOnly="1" fieldPosition="0">
        <references count="1">
          <reference field="16" count="0"/>
        </references>
      </pivotArea>
    </format>
    <format dxfId="647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646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645">
      <pivotArea dataOnly="0" labelOnly="1" fieldPosition="0">
        <references count="2">
          <reference field="1" count="1">
            <x v="0"/>
          </reference>
          <reference field="16" count="1" selected="0">
            <x v="2"/>
          </reference>
        </references>
      </pivotArea>
    </format>
    <format dxfId="644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643">
      <pivotArea dataOnly="0" labelOnly="1" fieldPosition="0">
        <references count="3">
          <reference field="1" count="1" selected="0">
            <x v="1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642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641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640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639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638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637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8"/>
          </reference>
          <reference field="16" count="1" selected="0">
            <x v="0"/>
          </reference>
        </references>
      </pivotArea>
    </format>
    <format dxfId="636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4">
            <x v="0"/>
            <x v="3"/>
            <x v="5"/>
            <x v="7"/>
          </reference>
          <reference field="16" count="1" selected="0">
            <x v="0"/>
          </reference>
        </references>
      </pivotArea>
    </format>
    <format dxfId="635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634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633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632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5"/>
          </reference>
          <reference field="16" count="1" selected="0">
            <x v="0"/>
          </reference>
        </references>
      </pivotArea>
    </format>
    <format dxfId="631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630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629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628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62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26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25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24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23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622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21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620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619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18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17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16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15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14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613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12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611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61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09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08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07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06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605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0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0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02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01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00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99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9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59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9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9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9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9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9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9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9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8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588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58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86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85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84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83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82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81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8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79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78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77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76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75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7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7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7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7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7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6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6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6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6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6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0"/>
          </reference>
        </references>
      </pivotArea>
    </format>
    <format dxfId="56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2">
            <x v="1"/>
            <x v="2"/>
          </reference>
          <reference field="16" count="1" selected="0">
            <x v="1"/>
          </reference>
        </references>
      </pivotArea>
    </format>
    <format dxfId="563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562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61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60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59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58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557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56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5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54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5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52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51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50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4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4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4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4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54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4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4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4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4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4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53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53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537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53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3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3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3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3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3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3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2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2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2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2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2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2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2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22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21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2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1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1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17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1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15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14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13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1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1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1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0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2"/>
          </reference>
          <reference field="8" count="7">
            <x v="2"/>
            <x v="3"/>
            <x v="4"/>
            <x v="5"/>
            <x v="6"/>
            <x v="10"/>
            <x v="11"/>
          </reference>
          <reference field="16" count="1" selected="0">
            <x v="0"/>
          </reference>
        </references>
      </pivotArea>
    </format>
    <format dxfId="50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0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50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0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0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0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0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99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9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49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49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49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49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493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48BE0F-8AD8-4F7F-82D4-6F18D4429F0C}" name="Subsidio Resumo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367" firstHeaderRow="0" firstDataRow="1" firstDataCol="1"/>
  <pivotFields count="34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showAll="0">
      <items count="6">
        <item x="2"/>
        <item x="1"/>
        <item x="4"/>
        <item x="3"/>
        <item x="0"/>
        <item t="default"/>
      </items>
    </pivotField>
    <pivotField axis="axisRow" showAll="0">
      <items count="9">
        <item x="2"/>
        <item x="0"/>
        <item x="1"/>
        <item x="3"/>
        <item x="4"/>
        <item x="5"/>
        <item x="6"/>
        <item x="7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4">
        <item x="0"/>
        <item x="2"/>
        <item x="1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8">
        <item x="0"/>
        <item x="6"/>
        <item x="2"/>
        <item x="1"/>
        <item x="3"/>
        <item x="4"/>
        <item x="5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366">
    <i>
      <x/>
    </i>
    <i r="1">
      <x/>
    </i>
    <i r="2">
      <x/>
    </i>
    <i r="3">
      <x v="4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4"/>
    </i>
    <i r="4">
      <x v="1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1"/>
    </i>
    <i r="3">
      <x v="2"/>
    </i>
    <i r="4">
      <x v="4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 v="3"/>
    </i>
    <i r="3">
      <x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2"/>
    </i>
    <i r="3">
      <x v="1"/>
    </i>
    <i r="4">
      <x v="2"/>
    </i>
    <i r="5">
      <x v="3"/>
    </i>
    <i r="6">
      <x v="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/>
    </i>
    <i r="2">
      <x v="3"/>
    </i>
    <i r="3">
      <x v="3"/>
    </i>
    <i r="4">
      <x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3"/>
    </i>
    <i r="4">
      <x/>
    </i>
    <i r="5">
      <x v="2"/>
    </i>
    <i r="6">
      <x/>
    </i>
    <i r="7">
      <x v="1"/>
    </i>
    <i r="8">
      <x v="2"/>
    </i>
    <i r="8">
      <x v="3"/>
    </i>
    <i r="8">
      <x v="4"/>
    </i>
    <i r="8">
      <x v="5"/>
    </i>
    <i r="8">
      <x v="6"/>
    </i>
    <i r="8">
      <x v="10"/>
    </i>
    <i r="8">
      <x v="11"/>
    </i>
    <i>
      <x v="5"/>
    </i>
    <i r="1">
      <x/>
    </i>
    <i r="2">
      <x v="3"/>
    </i>
    <i r="3">
      <x v="3"/>
    </i>
    <i r="4">
      <x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3"/>
    </i>
    <i r="4">
      <x/>
    </i>
    <i r="5">
      <x v="1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3"/>
    </i>
    <i r="6">
      <x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 v="1"/>
    </i>
    <i r="2">
      <x v="1"/>
    </i>
    <i r="3">
      <x v="2"/>
    </i>
    <i r="4">
      <x v="3"/>
    </i>
    <i r="5">
      <x v="3"/>
    </i>
    <i r="6">
      <x/>
    </i>
    <i r="7">
      <x v="1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24">
    <format dxfId="492">
      <pivotArea outline="0" collapsedLevelsAreSubtotals="1" fieldPosition="0"/>
    </format>
    <format dxfId="49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490">
      <pivotArea type="all" dataOnly="0" outline="0" fieldPosition="0"/>
    </format>
    <format dxfId="489">
      <pivotArea outline="0" collapsedLevelsAreSubtotals="1" fieldPosition="0"/>
    </format>
    <format dxfId="488">
      <pivotArea field="31" type="button" dataOnly="0" labelOnly="1" outline="0" axis="axisRow" fieldPosition="0"/>
    </format>
    <format dxfId="487">
      <pivotArea dataOnly="0" labelOnly="1" fieldPosition="0">
        <references count="1">
          <reference field="31" count="0"/>
        </references>
      </pivotArea>
    </format>
    <format dxfId="486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485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484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483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482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481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5"/>
          </reference>
        </references>
      </pivotArea>
    </format>
    <format dxfId="480">
      <pivotArea dataOnly="0" labelOnly="1" fieldPosition="0">
        <references count="2">
          <reference field="1" count="1">
            <x v="1"/>
          </reference>
          <reference field="31" count="1" selected="0">
            <x v="6"/>
          </reference>
        </references>
      </pivotArea>
    </format>
    <format dxfId="479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478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477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476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2"/>
          </reference>
        </references>
      </pivotArea>
    </format>
    <format dxfId="475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474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4"/>
          </reference>
        </references>
      </pivotArea>
    </format>
    <format dxfId="473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472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5"/>
          </reference>
        </references>
      </pivotArea>
    </format>
    <format dxfId="471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470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46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468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467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466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65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464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463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462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461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460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45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5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57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45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455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45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453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452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451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450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44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448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44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4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4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4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43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42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44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44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43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3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3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43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3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434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43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43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43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43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42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42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427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2">
            <x v="1"/>
            <x v="2"/>
          </reference>
          <reference field="31" count="1" selected="0">
            <x v="3"/>
          </reference>
        </references>
      </pivotArea>
    </format>
    <format dxfId="42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42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42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42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42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42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42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6"/>
          </reference>
        </references>
      </pivotArea>
    </format>
    <format dxfId="41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41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41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41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41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41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41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0"/>
          <reference field="31" count="1" selected="0">
            <x v="2"/>
          </reference>
        </references>
      </pivotArea>
    </format>
    <format dxfId="41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41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41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40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40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0"/>
          <reference field="31" count="1" selected="0">
            <x v="5"/>
          </reference>
        </references>
      </pivotArea>
    </format>
    <format dxfId="40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0"/>
          <reference field="31" count="1" selected="0">
            <x v="5"/>
          </reference>
        </references>
      </pivotArea>
    </format>
    <format dxfId="406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40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40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40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40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40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40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9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9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97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39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9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39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93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9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39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39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7">
            <x v="2"/>
            <x v="3"/>
            <x v="4"/>
            <x v="5"/>
            <x v="6"/>
            <x v="10"/>
            <x v="11"/>
          </reference>
          <reference field="31" count="1" selected="0">
            <x v="4"/>
          </reference>
        </references>
      </pivotArea>
    </format>
    <format dxfId="38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8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38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8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8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38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8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38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38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38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79">
      <pivotArea type="all" dataOnly="0" outline="0" fieldPosition="0"/>
    </format>
    <format dxfId="378">
      <pivotArea outline="0" collapsedLevelsAreSubtotals="1" fieldPosition="0"/>
    </format>
    <format dxfId="377">
      <pivotArea field="31" type="button" dataOnly="0" labelOnly="1" outline="0" axis="axisRow" fieldPosition="0"/>
    </format>
    <format dxfId="376">
      <pivotArea dataOnly="0" labelOnly="1" fieldPosition="0">
        <references count="1">
          <reference field="31" count="0"/>
        </references>
      </pivotArea>
    </format>
    <format dxfId="375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374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373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372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371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370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5"/>
          </reference>
        </references>
      </pivotArea>
    </format>
    <format dxfId="369">
      <pivotArea dataOnly="0" labelOnly="1" fieldPosition="0">
        <references count="2">
          <reference field="1" count="1">
            <x v="1"/>
          </reference>
          <reference field="31" count="1" selected="0">
            <x v="6"/>
          </reference>
        </references>
      </pivotArea>
    </format>
    <format dxfId="368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367">
      <pivotArea dataOnly="0" labelOnly="1" fieldPosition="0">
        <references count="3">
          <reference field="1" count="1" selected="0">
            <x v="3"/>
          </reference>
          <reference field="2" count="1">
            <x v="1"/>
          </reference>
          <reference field="31" count="1" selected="0">
            <x v="0"/>
          </reference>
        </references>
      </pivotArea>
    </format>
    <format dxfId="366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365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2"/>
          </reference>
        </references>
      </pivotArea>
    </format>
    <format dxfId="364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363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4"/>
          </reference>
        </references>
      </pivotArea>
    </format>
    <format dxfId="362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361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5"/>
          </reference>
        </references>
      </pivotArea>
    </format>
    <format dxfId="360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5"/>
          </reference>
        </references>
      </pivotArea>
    </format>
    <format dxfId="359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358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57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56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355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54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53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52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51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50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49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34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47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46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34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44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343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342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34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340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339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338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37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3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3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3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33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3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31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33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2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32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2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2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32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2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32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32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32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32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31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31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31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316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2">
            <x v="1"/>
            <x v="2"/>
          </reference>
          <reference field="31" count="1" selected="0">
            <x v="3"/>
          </reference>
        </references>
      </pivotArea>
    </format>
    <format dxfId="31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31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31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31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31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31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30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6"/>
          </reference>
        </references>
      </pivotArea>
    </format>
    <format dxfId="308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2"/>
          </reference>
          <reference field="31" count="1" selected="0">
            <x v="0"/>
          </reference>
        </references>
      </pivotArea>
    </format>
    <format dxfId="30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0"/>
          </reference>
        </references>
      </pivotArea>
    </format>
    <format dxfId="30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0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0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0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1"/>
          </reference>
        </references>
      </pivotArea>
    </format>
    <format dxfId="30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0"/>
          <reference field="31" count="1" selected="0">
            <x v="2"/>
          </reference>
        </references>
      </pivotArea>
    </format>
    <format dxfId="301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300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1"/>
          </reference>
          <reference field="31" count="1" selected="0">
            <x v="3"/>
          </reference>
        </references>
      </pivotArea>
    </format>
    <format dxfId="29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29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4"/>
          </reference>
        </references>
      </pivotArea>
    </format>
    <format dxfId="29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0"/>
          <reference field="31" count="1" selected="0">
            <x v="5"/>
          </reference>
        </references>
      </pivotArea>
    </format>
    <format dxfId="29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0"/>
          <reference field="31" count="1" selected="0">
            <x v="5"/>
          </reference>
        </references>
      </pivotArea>
    </format>
    <format dxfId="29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29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5"/>
          </reference>
        </references>
      </pivotArea>
    </format>
    <format dxfId="29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1"/>
          </reference>
          <reference field="31" count="1" selected="0">
            <x v="6"/>
          </reference>
        </references>
      </pivotArea>
    </format>
    <format dxfId="29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9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9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0"/>
          </reference>
        </references>
      </pivotArea>
    </format>
    <format dxfId="28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8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87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8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1"/>
          </reference>
        </references>
      </pivotArea>
    </format>
    <format dxfId="28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8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2"/>
          </reference>
        </references>
      </pivotArea>
    </format>
    <format dxfId="28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8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8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1"/>
          </reference>
          <reference field="8" count="0"/>
          <reference field="31" count="1" selected="0">
            <x v="3"/>
          </reference>
        </references>
      </pivotArea>
    </format>
    <format dxfId="28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27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1"/>
          </reference>
          <reference field="8" count="7">
            <x v="2"/>
            <x v="3"/>
            <x v="4"/>
            <x v="5"/>
            <x v="6"/>
            <x v="10"/>
            <x v="11"/>
          </reference>
          <reference field="31" count="1" selected="0">
            <x v="4"/>
          </reference>
        </references>
      </pivotArea>
    </format>
    <format dxfId="27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27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7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7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27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7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7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7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27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26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FB475BCE-5355-48AF-90F2-7A881BC4049D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698CBF63-4D92-437A-BFF6-FD7B8085350A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ECE833BE-64E7-49B9-9D5C-602B7CB8758B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DFB07E-005D-4A3F-A6F0-09EDA6FE93F8}" name="Efeito" displayName="Efeito" ref="A1:AG629" totalsRowShown="0" headerRowDxfId="883" dataDxfId="882">
  <autoFilter ref="A1:AG629" xr:uid="{39DFB07E-005D-4A3F-A6F0-09EDA6FE93F8}"/>
  <tableColumns count="33">
    <tableColumn id="1" xr3:uid="{80EFD9BC-CF7B-448C-98D5-DA82C2BD5957}" name="TipoMercado" dataDxfId="881"/>
    <tableColumn id="2" xr3:uid="{2E39575D-268D-452A-A2EB-153473E82ABF}" name="Subgrupo" dataDxfId="880"/>
    <tableColumn id="3" xr3:uid="{8EA8FF80-FE0F-40A1-AAB8-B44D38E45942}" name="Modalidade" dataDxfId="879"/>
    <tableColumn id="4" xr3:uid="{4F26887E-51AB-47C7-AF2E-99FF85275AE5}" name="Classe" dataDxfId="878"/>
    <tableColumn id="5" xr3:uid="{F6CAE895-4C4E-4B4D-86FE-ED206FEE7E3C}" name="Subclasse" dataDxfId="877"/>
    <tableColumn id="6" xr3:uid="{BF948498-B589-43AE-B90F-1530EE43F133}" name="Detalhe" dataDxfId="876"/>
    <tableColumn id="7" xr3:uid="{30539CF7-1B40-4741-9407-54583485C684}" name="Agente" dataDxfId="875"/>
    <tableColumn id="8" xr3:uid="{C42CBF72-0AF5-4FCF-A3F4-DF81C45EAE77}" name="Posto" dataDxfId="874"/>
    <tableColumn id="9" xr3:uid="{C99B934E-E6E3-4CC8-B6C1-D19CC957A5AC}" name="AnoMes" dataDxfId="873"/>
    <tableColumn id="10" xr3:uid="{F2B2458C-AA32-41B4-9CC4-AF020D01FD5D}" name="D" dataDxfId="872"/>
    <tableColumn id="11" xr3:uid="{E9504095-BAC9-4905-80AA-1DEE7D1594D4}" name="Daj" dataDxfId="871"/>
    <tableColumn id="12" xr3:uid="{60FCFB17-DDCC-478E-90FB-516A06BADFEE}" name="TUSD_E" dataDxfId="870"/>
    <tableColumn id="13" xr3:uid="{0AB0FC1D-9F08-40EB-8ED3-1D3D9FF94757}" name="TUSD_Eaj" dataDxfId="869"/>
    <tableColumn id="14" xr3:uid="{0950CBE5-59C7-4D26-9D9B-606A6A73E103}" name="TE_E" dataDxfId="868"/>
    <tableColumn id="15" xr3:uid="{882DBB5E-82A5-4237-BC84-33AC54773B76}" name="TE_Eaj" dataDxfId="867"/>
    <tableColumn id="16" xr3:uid="{43CA2E1E-BDB1-4B20-A924-88AB21326661}" name="UC" dataDxfId="866"/>
    <tableColumn id="17" xr3:uid="{B7D92BE7-0B9D-4C2F-9517-12771F315E6D}" name="OPÇÃO" dataDxfId="865"/>
    <tableColumn id="18" xr3:uid="{6836701D-3F7D-4EB4-8CF5-4454B2A1EA4D}" name="CóD. AUX." dataDxfId="864"/>
    <tableColumn id="19" xr3:uid="{F2C055C1-CDB9-42D1-9889-542D2A6E00FA}" name="CóD. AUX. TUSD R$/kW" dataDxfId="863"/>
    <tableColumn id="20" xr3:uid="{874D715A-1273-40BB-A758-E4772879423F}" name="CóD. AUX. TUSD R$/MWh" dataDxfId="862"/>
    <tableColumn id="21" xr3:uid="{33571EC8-E175-4026-B9D0-D89634D17DAB}" name="CóD. AUX. TE R$/MWh" dataDxfId="861"/>
    <tableColumn id="22" xr3:uid="{FA21B0CE-D3BC-4F42-BB47-5AC1DC849ADA}" name="TUSD (R$/kW)" dataDxfId="860"/>
    <tableColumn id="23" xr3:uid="{CF4722A4-78C0-4F8A-8FE7-A9ABBB100637}" name="TUSD (R$/MWh)" dataDxfId="859"/>
    <tableColumn id="24" xr3:uid="{6600D565-0AE5-468B-B457-2993EBCD74BB}" name="TE (R$/MWh)" dataDxfId="858"/>
    <tableColumn id="25" xr3:uid="{C66DE9F0-02F1-4530-8204-D6EF9C9B785D}" name="TUSD (R$/kW) NOVA" dataDxfId="857"/>
    <tableColumn id="26" xr3:uid="{8523B04E-E707-4046-BD12-E408B60CEAA3}" name="TUSD (R$/MWh) NOVA" dataDxfId="856">
      <calculatedColumnFormula>('TUSD BE'!$AM$50+'TUSD BF'!$AM$50+'TUSD CVA'!$AM$50)*1</calculatedColumnFormula>
    </tableColumn>
    <tableColumn id="27" xr3:uid="{BEABAA20-3AE6-4635-BF29-DC19BA68337F}" name="TE (R$/MWh) NOVA" dataDxfId="855">
      <calculatedColumnFormula>('TE BE'!$AB$42+'TE BF'!$AB$42+'TE CVA'!$AB$42)*1</calculatedColumnFormula>
    </tableColumn>
    <tableColumn id="28" xr3:uid="{0530CFFE-B2C3-4769-A76F-85CAE5F71632}" name="RA0 ou RV - TUSD (kW)" dataDxfId="854"/>
    <tableColumn id="29" xr3:uid="{93D2ADA9-B97D-4F3B-BBCC-F7A90A760C38}" name="RA0 ou RV - TUSD (MWh)" dataDxfId="853"/>
    <tableColumn id="30" xr3:uid="{D152284D-1F90-49EC-A2FF-D72C3D0D705C}" name="RA0 ou RV - TE (MWh)" dataDxfId="852"/>
    <tableColumn id="31" xr3:uid="{96BE909A-D2E8-4CAC-9809-197F37B70924}" name="RA1 ou RRD - TUSD (kW)" dataDxfId="851"/>
    <tableColumn id="32" xr3:uid="{D8CB36D4-FEDB-4678-B61B-01AE69D70F66}" name="RA1 ou RRD - TUSD (MWh)" dataDxfId="850"/>
    <tableColumn id="33" xr3:uid="{2A4B7B20-FB37-4D42-9A8F-5E93B70D60CE}" name="RA1 ou RRD - TE (MWh)" dataDxfId="84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98284CF-FD0F-46FC-BDC2-503A86FECE16}" name="Subsidio" displayName="Subsidio" ref="A1:AF284" totalsRowShown="0" headerRowDxfId="848" dataDxfId="847">
  <autoFilter ref="A1:AF284" xr:uid="{598284CF-FD0F-46FC-BDC2-503A86FECE16}"/>
  <tableColumns count="32">
    <tableColumn id="1" xr3:uid="{4FE3C08C-6C2B-428C-A86F-72916803597D}" name="TipoMercado" dataDxfId="846"/>
    <tableColumn id="2" xr3:uid="{8EEB8BA1-7533-4C08-BE9C-647783BC447F}" name="Subgrupo" dataDxfId="845"/>
    <tableColumn id="3" xr3:uid="{E44B072E-14D8-481C-8F07-05D42EA3B9E5}" name="Modalidade" dataDxfId="844"/>
    <tableColumn id="4" xr3:uid="{F2DC7423-6C4F-45BC-8A11-AE011D1870FC}" name="Classe" dataDxfId="843"/>
    <tableColumn id="5" xr3:uid="{8C47C410-C5D8-402E-983A-DC6E1D9C75D2}" name="Subclasse" dataDxfId="842"/>
    <tableColumn id="6" xr3:uid="{7232B449-1A5C-4846-837B-382882EFC231}" name="Detalhe" dataDxfId="841"/>
    <tableColumn id="7" xr3:uid="{906923F8-5D67-47CE-A25D-83FB03370A08}" name="Agente" dataDxfId="840"/>
    <tableColumn id="8" xr3:uid="{8D8CCD56-C888-4E68-BBCE-7ADC4D0D7E04}" name="Posto" dataDxfId="839"/>
    <tableColumn id="9" xr3:uid="{75A93695-F0B8-4D27-A3B6-006EDF14C309}" name="AnoMes" dataDxfId="838"/>
    <tableColumn id="10" xr3:uid="{007AA3C2-E693-418E-8362-645ADDA5FF19}" name="D" dataDxfId="837"/>
    <tableColumn id="11" xr3:uid="{84D3D5E4-9B5D-4AF8-92C1-EAAE1555C99D}" name="Daj" dataDxfId="836"/>
    <tableColumn id="12" xr3:uid="{6608E87A-4B4F-498E-86F0-335328DE3AF5}" name="TUSD_E" dataDxfId="835"/>
    <tableColumn id="13" xr3:uid="{1824BC71-DDD8-4CC9-BD66-36A8D4E54872}" name="TUSD_Eaj" dataDxfId="834"/>
    <tableColumn id="14" xr3:uid="{30E27F9B-84E7-4C0F-B17B-F3FD55261E33}" name="TE_E" dataDxfId="833"/>
    <tableColumn id="15" xr3:uid="{DB3E4AF2-DE61-4D4F-858A-AC6AB87D76E6}" name="TE_Eaj" dataDxfId="832"/>
    <tableColumn id="16" xr3:uid="{6D611198-45BD-4C00-A978-7D982CA3AC08}" name="UC" dataDxfId="831"/>
    <tableColumn id="17" xr3:uid="{6B9F6CC4-6D7F-4858-A3C8-433396CA3391}" name="OPÇÃO" dataDxfId="830"/>
    <tableColumn id="18" xr3:uid="{85D3A0F9-4AC5-4BFC-977D-8FAEB37AE373}" name="CóD. AUX." dataDxfId="829"/>
    <tableColumn id="19" xr3:uid="{24587678-0663-41B8-A856-304883E4D282}" name="CóD. AUX. TUSD R$/kW" dataDxfId="828"/>
    <tableColumn id="20" xr3:uid="{5276F9A2-BE74-4A0F-A081-9198659FD00C}" name="CóD. AUX. TUSD R$/MWh" dataDxfId="827"/>
    <tableColumn id="21" xr3:uid="{4A297B82-81AA-4A9A-94F4-B5EDCFE19548}" name="CóD. AUX. TE R$/MWh" dataDxfId="826"/>
    <tableColumn id="22" xr3:uid="{CC863F81-2FCB-4487-8262-173B7BCAEE8A}" name="TUSD (R$/kW)" dataDxfId="825"/>
    <tableColumn id="23" xr3:uid="{CA78108F-0946-40ED-AE74-B0AA9FE3C7F7}" name="TUSD (R$/MWh)" dataDxfId="824"/>
    <tableColumn id="24" xr3:uid="{BF1348EF-6B81-46A3-8411-6AB44EC2FD44}" name="TE (R$/MWh)" dataDxfId="823"/>
    <tableColumn id="25" xr3:uid="{5DE5D8D3-6D08-41C6-AA69-CE0BC90916A0}" name="TUSD (R$/kW) NOVA" dataDxfId="822"/>
    <tableColumn id="26" xr3:uid="{0A89F3E3-D2EE-40A9-99DA-C9B6392C7074}" name="TUSD (R$/MWh) NOVA" dataDxfId="821">
      <calculatedColumnFormula>('TUSD BE'!$AM$48+'TUSD BF'!$AM$48+'TUSD CVA'!$AM$48)*1</calculatedColumnFormula>
    </tableColumn>
    <tableColumn id="27" xr3:uid="{1B401D31-B161-41DB-A7F0-4C4BC249A1F7}" name="TE (R$/MWh) NOVA" dataDxfId="820">
      <calculatedColumnFormula>('TE BE'!$AB$40+'TE BF'!$AB$40+'TE CVA'!$AB$40)*1</calculatedColumnFormula>
    </tableColumn>
    <tableColumn id="28" xr3:uid="{C7F7EB03-7C42-474E-8816-683FC93C9519}" name="SUBSIDIO kW - TV" dataDxfId="819">
      <calculatedColumnFormula>(J2-K2)*V2</calculatedColumnFormula>
    </tableColumn>
    <tableColumn id="29" xr3:uid="{E4322A30-3F49-4F34-A6E9-D61D5FA9ADCA}" name="SUBSIDIO MWh - TV" dataDxfId="818">
      <calculatedColumnFormula>(L2-M2)*W2+(N2-O2)*X2</calculatedColumnFormula>
    </tableColumn>
    <tableColumn id="30" xr3:uid="{42D676D6-35B9-4067-B180-E536CA94C94D}" name="SUBSIDIO kW - TN" dataDxfId="817">
      <calculatedColumnFormula>(J2-K2)*Y2</calculatedColumnFormula>
    </tableColumn>
    <tableColumn id="31" xr3:uid="{D6540631-27CB-4727-AAF1-6B91C9A4E079}" name="SUBSIDIO MWh - TN" dataDxfId="816">
      <calculatedColumnFormula>(L2-M2)*Z2+(N2-O2)*AA2</calculatedColumnFormula>
    </tableColumn>
    <tableColumn id="32" xr3:uid="{47860479-45EC-48A7-8948-151A67044B67}" name="TIPO" dataDxfId="81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A626B43-AC44-4F14-83D8-05C39BBD6395}" name="Efeito4" displayName="Efeito4" ref="A1:AG629" totalsRowShown="0" headerRowDxfId="178" dataDxfId="177">
  <autoFilter ref="A1:AG629" xr:uid="{39DFB07E-005D-4A3F-A6F0-09EDA6FE93F8}"/>
  <tableColumns count="33">
    <tableColumn id="1" xr3:uid="{A7CE9834-9856-4178-BFB0-AA56714F0EE3}" name="TipoMercado" dataDxfId="176"/>
    <tableColumn id="2" xr3:uid="{2FC5550A-F14D-4A85-8599-B276C4B4BF31}" name="Subgrupo" dataDxfId="175"/>
    <tableColumn id="3" xr3:uid="{75DAE092-158B-4D09-9CB3-0184284A6558}" name="Modalidade" dataDxfId="174"/>
    <tableColumn id="4" xr3:uid="{A227757F-8B08-4E90-B57F-0E668B79AF7C}" name="Classe" dataDxfId="173"/>
    <tableColumn id="5" xr3:uid="{E90E054D-164F-4219-B9FD-1376AED83122}" name="Subclasse" dataDxfId="172"/>
    <tableColumn id="6" xr3:uid="{1718672C-0921-4FED-B1C5-A90016458A18}" name="Detalhe" dataDxfId="171"/>
    <tableColumn id="7" xr3:uid="{75862271-BC0B-4A19-B976-A69DD7A17EE2}" name="Agente" dataDxfId="170"/>
    <tableColumn id="8" xr3:uid="{895A7D14-4DE9-4249-BECC-133A250F9E9C}" name="Posto" dataDxfId="169"/>
    <tableColumn id="9" xr3:uid="{1EC6BCF8-C131-4347-A656-608650FB8E67}" name="AnoMes" dataDxfId="168"/>
    <tableColumn id="10" xr3:uid="{1C1E699A-5E74-49D5-9080-617F28715CAB}" name="D" dataDxfId="167"/>
    <tableColumn id="11" xr3:uid="{C5E4CBF3-3F92-401C-9458-8E95697C3264}" name="Daj" dataDxfId="166"/>
    <tableColumn id="12" xr3:uid="{537C9CF7-6564-4795-8975-6FC841BE95FA}" name="TUSD_E" dataDxfId="165"/>
    <tableColumn id="13" xr3:uid="{BE22849C-02DB-4385-BD0D-F74F1122E6FD}" name="TUSD_Eaj" dataDxfId="164"/>
    <tableColumn id="14" xr3:uid="{B96E4FA3-4F9E-49D0-8F2D-50D076F56985}" name="TE_E" dataDxfId="163"/>
    <tableColumn id="15" xr3:uid="{6C0965AD-29B6-42D5-A96C-9B67280115FB}" name="TE_Eaj" dataDxfId="162"/>
    <tableColumn id="16" xr3:uid="{97C51DDE-CEAC-4358-8542-43B0EDA462CF}" name="UC" dataDxfId="161"/>
    <tableColumn id="17" xr3:uid="{A512448C-D0A0-4EA5-B558-33EF5B225BCD}" name="OPÇÃO" dataDxfId="160"/>
    <tableColumn id="18" xr3:uid="{2DE2B42F-EEE5-482F-8076-B41B32A697ED}" name="CóD. AUX." dataDxfId="159"/>
    <tableColumn id="19" xr3:uid="{A60A4648-D346-4846-8A81-AA1692191132}" name="CóD. AUX. TUSD R$/kW" dataDxfId="158"/>
    <tableColumn id="20" xr3:uid="{0A5C7B03-3D50-4FFD-A94C-310ED31D4491}" name="CóD. AUX. TUSD R$/MWh" dataDxfId="157"/>
    <tableColumn id="21" xr3:uid="{8ACBDF52-F5EA-41A6-9F23-79E1301B71C4}" name="CóD. AUX. TE R$/MWh" dataDxfId="156"/>
    <tableColumn id="22" xr3:uid="{FF4A92A0-7CD6-478C-8AE2-61DF3C0CA3F1}" name="TUSD (R$/kW)" dataDxfId="155"/>
    <tableColumn id="23" xr3:uid="{5324EBE2-137E-458A-8C38-5942AA4435D0}" name="TUSD (R$/MWh)" dataDxfId="154"/>
    <tableColumn id="24" xr3:uid="{5F742721-9FBC-4B05-9000-089A093E8A31}" name="TE (R$/MWh)" dataDxfId="153"/>
    <tableColumn id="25" xr3:uid="{6E58D0CA-D03E-4AC2-8F92-AD3B97C81C16}" name="TUSD (R$/kW) NOVA" dataDxfId="152"/>
    <tableColumn id="26" xr3:uid="{9FBB0723-6433-4B90-88DF-D5C98B60EB13}" name="TUSD (R$/MWh) NOVA" dataDxfId="151">
      <calculatedColumnFormula>('TUSD BE'!$AM$50+'TUSD BF'!$AM$50+'TUSD CVA'!$AM$50)*1</calculatedColumnFormula>
    </tableColumn>
    <tableColumn id="27" xr3:uid="{1CACF42D-48C6-420C-944F-3E11E9193C08}" name="TE (R$/MWh) NOVA" dataDxfId="150">
      <calculatedColumnFormula>('TE BE'!$AB$42+'TE BF'!$AB$42+'TE CVA'!$AB$42)*1</calculatedColumnFormula>
    </tableColumn>
    <tableColumn id="28" xr3:uid="{C8573D12-8FA8-4C2B-86D6-70011E3C4F6F}" name="RA0 ou RV - TUSD (kW)" dataDxfId="149"/>
    <tableColumn id="29" xr3:uid="{3480AF66-1982-4475-93FE-F032E29280FA}" name="RA0 ou RV - TUSD (MWh)" dataDxfId="148"/>
    <tableColumn id="30" xr3:uid="{6461CA0F-6AF8-42F3-9AAD-E5DC4E1DCEEF}" name="RA0 ou RV - TE (MWh)" dataDxfId="147"/>
    <tableColumn id="31" xr3:uid="{0FFBB684-6D9C-4174-8F69-56D6D0963C12}" name="RA1 ou RRD - TUSD (kW)" dataDxfId="146"/>
    <tableColumn id="32" xr3:uid="{B4E1ACCC-77BC-47B3-BCB2-B4CC7F8E1CAB}" name="RA1 ou RRD - TUSD (MWh)" dataDxfId="145"/>
    <tableColumn id="33" xr3:uid="{DDEF1AAF-3EFB-413E-90A7-061BAE6EA6A2}" name="RA1 ou RRD - TE (MWh)" dataDxfId="14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A2247D-0F2F-4F81-9874-71B76C0D0377}" name="TabelaFin" displayName="TabelaFin" ref="B3:AR50" tableType="queryTable" totalsRowShown="0" headerRowDxfId="143" dataDxfId="141" headerRowBorderDxfId="142" tableBorderDxfId="140" totalsRowBorderDxfId="139">
  <autoFilter ref="B3:AR50" xr:uid="{D3A2247D-0F2F-4F81-9874-71B76C0D0377}"/>
  <sortState xmlns:xlrd2="http://schemas.microsoft.com/office/spreadsheetml/2017/richdata2" ref="B4:AR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3">
    <tableColumn id="44" xr3:uid="{F50371F7-CEA6-4380-860C-B4675BDDEE8F}" uniqueName="44" name="SUBGRUPO" queryTableFieldId="1" dataDxfId="138"/>
    <tableColumn id="45" xr3:uid="{A9E6E1F2-38DD-404E-82FB-4AA3CDBA51F8}" uniqueName="45" name="MODALIDADE" queryTableFieldId="2" dataDxfId="137"/>
    <tableColumn id="46" xr3:uid="{E749FD61-ECAF-4C1F-94A8-24A493E547A2}" uniqueName="46" name="CLASSE" queryTableFieldId="3" dataDxfId="136"/>
    <tableColumn id="47" xr3:uid="{EB7F92D5-DD62-487B-A5DB-2DD1080CC68D}" uniqueName="47" name="SUBCLASSE" queryTableFieldId="4" dataDxfId="135"/>
    <tableColumn id="48" xr3:uid="{B89C6143-DD16-4EA4-AE5C-175BD56DA7AD}" uniqueName="48" name="DETALHE" queryTableFieldId="5" dataDxfId="134"/>
    <tableColumn id="49" xr3:uid="{15C93515-5691-487E-86C2-214E6ACEAF68}" uniqueName="49" name="POSTO" queryTableFieldId="6" dataDxfId="133"/>
    <tableColumn id="50" xr3:uid="{4B71363B-16BC-43A3-8A40-F41721C49A2C}" uniqueName="50" name="UNIDADE" queryTableFieldId="7" dataDxfId="132"/>
    <tableColumn id="51" xr3:uid="{422EC884-70F0-474D-AC51-E46C61C0C72F}" uniqueName="51" name="ACESSANTE" queryTableFieldId="8" dataDxfId="131"/>
    <tableColumn id="52" xr3:uid="{37AD3806-2932-47D5-B53A-1CB993858672}" uniqueName="52" name="Total TUSD" queryTableFieldId="9" dataDxfId="130"/>
    <tableColumn id="53" xr3:uid="{BC98846A-A0E8-4849-BB5F-2182EE3FA6B7}" uniqueName="53" name="Total TE" queryTableFieldId="10" dataDxfId="129"/>
    <tableColumn id="54" xr3:uid="{D939F134-C0EB-49F4-95B0-521C2ADC3573}" uniqueName="54" name="TUSD_CDE_COVID" queryTableFieldId="11" dataDxfId="128"/>
    <tableColumn id="55" xr3:uid="{E517AC83-D85A-455B-A7C7-B9AD56648E08}" uniqueName="55" name="TUSD_TFSEE" queryTableFieldId="12" dataDxfId="127"/>
    <tableColumn id="56" xr3:uid="{0359444B-0DBB-45D5-A23E-FF448294223E}" uniqueName="56" name="TUSD_PeD" queryTableFieldId="13" dataDxfId="126"/>
    <tableColumn id="57" xr3:uid="{7CFC7695-195D-454A-BEF2-8A33A4F4267A}" uniqueName="57" name="TUSD_ONS" queryTableFieldId="14" dataDxfId="125"/>
    <tableColumn id="58" xr3:uid="{C362511E-57DA-4912-B846-6B8171EDBAA0}" uniqueName="58" name="TUSD_CCC" queryTableFieldId="15" dataDxfId="124"/>
    <tableColumn id="59" xr3:uid="{1EEB01FF-E05A-4A66-B29B-5ACFE3EFEA5C}" uniqueName="59" name="TUSD_CDE" queryTableFieldId="16" dataDxfId="123"/>
    <tableColumn id="60" xr3:uid="{DB7C0D92-1286-460E-A0F1-F4A381DD055D}" uniqueName="60" name="TUSD_PROINFA" queryTableFieldId="17" dataDxfId="122"/>
    <tableColumn id="61" xr3:uid="{C7CD95DA-229B-4820-B934-538359EAB244}" uniqueName="61" name="Liminar1" queryTableFieldId="18" dataDxfId="121"/>
    <tableColumn id="62" xr3:uid="{86E0A70B-28B0-42B9-A1C3-F031F0593474}" uniqueName="62" name="TUSD_RB" queryTableFieldId="19" dataDxfId="120"/>
    <tableColumn id="63" xr3:uid="{A5612313-92AE-4F71-B34F-DBF350E474A4}" uniqueName="63" name="TUSD_FR" queryTableFieldId="20" dataDxfId="119"/>
    <tableColumn id="64" xr3:uid="{25649EC8-649D-437C-9A48-0EC37D27D156}" uniqueName="64" name="TUSD_CCT" queryTableFieldId="21" dataDxfId="118"/>
    <tableColumn id="65" xr3:uid="{41F40434-3838-407E-8462-2EB15ABF81BC}" uniqueName="65" name="TUSD_CCD" queryTableFieldId="22" dataDxfId="117"/>
    <tableColumn id="66" xr3:uid="{5F5B356D-7108-43E6-ADE0-E46F3A704F31}" uniqueName="66" name="TUSD_CUSD" queryTableFieldId="23" dataDxfId="116"/>
    <tableColumn id="67" xr3:uid="{082BC7A1-8469-4F8A-BCBB-51D9E63C2F9C}" uniqueName="67" name="TUSDG_T" queryTableFieldId="24" dataDxfId="115"/>
    <tableColumn id="68" xr3:uid="{1287E060-32BC-4DFD-BB3A-461FD57936B3}" uniqueName="68" name="TUSDG_ONS" queryTableFieldId="25" dataDxfId="114"/>
    <tableColumn id="69" xr3:uid="{DC996AFB-A428-4CD6-AF6D-08857F3715B7}" uniqueName="69" name="TUSD_FioB" queryTableFieldId="26" dataDxfId="113"/>
    <tableColumn id="70" xr3:uid="{FC5DC3AD-7BAB-4FFA-A15C-C81D66CA43B1}" uniqueName="70" name="TUSD Subsidio" queryTableFieldId="27" dataDxfId="112"/>
    <tableColumn id="71" xr3:uid="{9A6D03A0-1EA8-4D33-85E2-92FDB697BE83}" uniqueName="71" name="TUSD Outros" queryTableFieldId="28" dataDxfId="111"/>
    <tableColumn id="72" xr3:uid="{4F32566E-A32E-42FA-8F6F-609F9E397FCE}" uniqueName="72" name="TUSD_PT" queryTableFieldId="29" dataDxfId="110"/>
    <tableColumn id="73" xr3:uid="{FF8D0424-6814-497A-8AEE-0CAD4AC8AAA5}" uniqueName="73" name="TUSD_Per_RB_D" queryTableFieldId="30" dataDxfId="109"/>
    <tableColumn id="74" xr3:uid="{5A7B228F-9949-429A-84A9-F7513FCE18E9}" uniqueName="74" name="TUSD_PNT" queryTableFieldId="31" dataDxfId="108"/>
    <tableColumn id="75" xr3:uid="{726E759C-333E-424B-950C-67601ED37C91}" uniqueName="75" name="TUSD_RI" queryTableFieldId="32" dataDxfId="107"/>
    <tableColumn id="76" xr3:uid="{FC63FFA0-A7CF-4D23-9432-BF82212288CD}" uniqueName="76" name="TE_CDE_COVID" queryTableFieldId="33" dataDxfId="106"/>
    <tableColumn id="77" xr3:uid="{FDA7947A-3F17-47B3-BB79-0196200F53BA}" uniqueName="77" name="TE_CDE_ELET" queryTableFieldId="34" dataDxfId="105"/>
    <tableColumn id="78" xr3:uid="{CC435439-047C-44AA-9FAB-2D715DFA877E}" uniqueName="78" name="TE_PeD" queryTableFieldId="35" dataDxfId="104"/>
    <tableColumn id="79" xr3:uid="{4A964C72-A16F-4B35-9730-94A3161F99DB}" uniqueName="79" name="TE_ESSERR" queryTableFieldId="36" dataDxfId="103"/>
    <tableColumn id="80" xr3:uid="{FF4D4FF4-CA62-4357-B2E2-32AF8CDA39E5}" uniqueName="80" name="TE_CFURH" queryTableFieldId="37" dataDxfId="102"/>
    <tableColumn id="81" xr3:uid="{60134D3B-5EE7-4EB5-8F06-6E224BC3FCCB}" uniqueName="81" name="TE_ENERGIA" queryTableFieldId="38" dataDxfId="101"/>
    <tableColumn id="82" xr3:uid="{E9E02C99-F819-4AFF-9AF5-89E64439628B}" uniqueName="82" name="TE_TRANSPORTE_ITAIPU" queryTableFieldId="39" dataDxfId="100"/>
    <tableColumn id="83" xr3:uid="{2B9BD940-CF95-436D-B2BA-2AA9FA9C008C}" uniqueName="83" name="TE_TUST_ITAIPU" queryTableFieldId="40" dataDxfId="99"/>
    <tableColumn id="84" xr3:uid="{0AEC25C6-393F-4CF4-953A-8F091B853012}" uniqueName="84" name="TE_TUST_CI" queryTableFieldId="41" dataDxfId="98"/>
    <tableColumn id="85" xr3:uid="{52DFDCD9-3B9C-4B2E-B602-BF3AB0556BB3}" uniqueName="85" name="TE Subsidio" queryTableFieldId="42" dataDxfId="97"/>
    <tableColumn id="86" xr3:uid="{A29AC861-A57A-49A2-A436-120D5F8CC976}" uniqueName="86" name="TE_Per_RB" queryTableFieldId="43" dataDxfId="9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AC107B2-0B40-45D5-9D1D-7C9D1AC87CEF}" name="TabelaEc" displayName="TabelaEc" ref="B3:AR50" tableType="queryTable" totalsRowShown="0" headerRowDxfId="95" dataDxfId="93" headerRowBorderDxfId="94" tableBorderDxfId="92" totalsRowBorderDxfId="91">
  <autoFilter ref="B3:AR50" xr:uid="{1AC107B2-0B40-45D5-9D1D-7C9D1AC87CEF}"/>
  <sortState xmlns:xlrd2="http://schemas.microsoft.com/office/spreadsheetml/2017/richdata2" ref="B4:AR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3">
    <tableColumn id="44" xr3:uid="{86E7ACA3-1A31-404C-9D64-8B791255D069}" uniqueName="44" name="SUBGRUPO" queryTableFieldId="1" dataDxfId="90"/>
    <tableColumn id="45" xr3:uid="{7480632D-D829-4F9A-ADC1-FB0B2249AC18}" uniqueName="45" name="MODALIDADE" queryTableFieldId="2" dataDxfId="89"/>
    <tableColumn id="46" xr3:uid="{BB01D121-2712-4C31-BF6C-952F2AA031DB}" uniqueName="46" name="CLASSE" queryTableFieldId="3" dataDxfId="88"/>
    <tableColumn id="47" xr3:uid="{6AE5A8FB-5176-4616-96CD-11F3F9DAAD06}" uniqueName="47" name="SUBCLASSE" queryTableFieldId="4" dataDxfId="87"/>
    <tableColumn id="48" xr3:uid="{1B4279FF-3CBD-4222-8430-882324A90537}" uniqueName="48" name="DETALHE" queryTableFieldId="5" dataDxfId="86"/>
    <tableColumn id="49" xr3:uid="{632FE232-BDCC-4D14-B812-47C79C07CC24}" uniqueName="49" name="POSTO" queryTableFieldId="6" dataDxfId="85"/>
    <tableColumn id="50" xr3:uid="{9D871E49-4BE9-49F3-BB82-1C8E8EC9B779}" uniqueName="50" name="UNIDADE" queryTableFieldId="7" dataDxfId="84"/>
    <tableColumn id="51" xr3:uid="{ADD2ED36-DF78-49DF-8EDF-72F963EBD6A5}" uniqueName="51" name="ACESSANTE" queryTableFieldId="8" dataDxfId="83"/>
    <tableColumn id="52" xr3:uid="{E6AEF7DD-AAED-4999-8382-15566D1622BA}" uniqueName="52" name="Total TUSD" queryTableFieldId="9" dataDxfId="82"/>
    <tableColumn id="53" xr3:uid="{4AA781CE-1AF6-477D-AF37-005F53F3FEDF}" uniqueName="53" name="Total TE" queryTableFieldId="10" dataDxfId="81"/>
    <tableColumn id="54" xr3:uid="{FC2160B0-9C26-496D-8AA5-29F0DF83DCCA}" uniqueName="54" name="TUSD_CDE_COVID" queryTableFieldId="11" dataDxfId="80"/>
    <tableColumn id="55" xr3:uid="{6ED9DF9F-8899-4F0C-A7A6-12A7F4B2842F}" uniqueName="55" name="TUSD_TFSEE" queryTableFieldId="12" dataDxfId="79"/>
    <tableColumn id="56" xr3:uid="{28D75FE9-85C6-42A6-A3A4-BF14EDE97CBF}" uniqueName="56" name="TUSD_PeD" queryTableFieldId="13" dataDxfId="78"/>
    <tableColumn id="57" xr3:uid="{0F485D10-7380-4D6C-929E-2E837C8CD52B}" uniqueName="57" name="TUSD_ONS" queryTableFieldId="14" dataDxfId="77"/>
    <tableColumn id="58" xr3:uid="{1A2B957B-4A37-476F-BC28-04328779670D}" uniqueName="58" name="TUSD_CCC" queryTableFieldId="15" dataDxfId="76"/>
    <tableColumn id="59" xr3:uid="{21B098FF-F3EB-42B9-B5D0-74F6E94EB196}" uniqueName="59" name="TUSD_CDE" queryTableFieldId="16" dataDxfId="75"/>
    <tableColumn id="60" xr3:uid="{FE24E7F6-0C21-49E6-A432-1F905CAB9CCD}" uniqueName="60" name="TUSD_PROINFA" queryTableFieldId="17" dataDxfId="74"/>
    <tableColumn id="61" xr3:uid="{BCE94862-5250-4B5B-A661-7D21550A3EEF}" uniqueName="61" name="Liminar1" queryTableFieldId="18" dataDxfId="73"/>
    <tableColumn id="62" xr3:uid="{2C7ADADE-65A3-4FE7-B6C7-CA7C45167E4C}" uniqueName="62" name="TUSD_RB" queryTableFieldId="19" dataDxfId="72"/>
    <tableColumn id="63" xr3:uid="{0F36FC4F-6789-4C2A-8827-1ABFAF2A79F1}" uniqueName="63" name="TUSD_FR" queryTableFieldId="20" dataDxfId="71"/>
    <tableColumn id="64" xr3:uid="{232A5522-DE0D-4724-833A-B63F50FC1082}" uniqueName="64" name="TUSD_CCT" queryTableFieldId="21" dataDxfId="70"/>
    <tableColumn id="65" xr3:uid="{705B41E1-B02E-47EF-A15D-F184366E67DD}" uniqueName="65" name="TUSD_CCD" queryTableFieldId="22" dataDxfId="69"/>
    <tableColumn id="66" xr3:uid="{3267D5CE-7269-4F21-8DB5-8EB33F0F4AD9}" uniqueName="66" name="TUSD_CUSD" queryTableFieldId="23" dataDxfId="68"/>
    <tableColumn id="67" xr3:uid="{5306D8B8-BE4D-4F46-9331-925040092FB6}" uniqueName="67" name="TUSDG_T" queryTableFieldId="24" dataDxfId="67"/>
    <tableColumn id="68" xr3:uid="{47DE0E05-9754-45A4-8892-730CDCF7C322}" uniqueName="68" name="TUSDG_ONS" queryTableFieldId="25" dataDxfId="66"/>
    <tableColumn id="69" xr3:uid="{69409ECE-6A62-44AA-9E8D-7B35E0777EA5}" uniqueName="69" name="TUSD_FioB" queryTableFieldId="26" dataDxfId="65"/>
    <tableColumn id="70" xr3:uid="{8FD678BC-0986-4A99-B8F7-7CF6A9F1C96E}" uniqueName="70" name="TUSD Subsidio" queryTableFieldId="27" dataDxfId="64"/>
    <tableColumn id="71" xr3:uid="{EFB90F65-BD3F-4C7C-A034-F138D318650F}" uniqueName="71" name="TUSD Outros" queryTableFieldId="28" dataDxfId="63"/>
    <tableColumn id="72" xr3:uid="{9CA541DC-5A1B-4F45-B8FB-250A67754149}" uniqueName="72" name="TUSD_PT" queryTableFieldId="29" dataDxfId="62"/>
    <tableColumn id="73" xr3:uid="{27B493D9-2DBA-4644-A795-6E2886B44A8B}" uniqueName="73" name="TUSD_Per_RB_D" queryTableFieldId="30" dataDxfId="61"/>
    <tableColumn id="74" xr3:uid="{E64DD4B1-B24E-4D82-99A1-1CF6B9817A80}" uniqueName="74" name="TUSD_PNT" queryTableFieldId="31" dataDxfId="60"/>
    <tableColumn id="75" xr3:uid="{FE6DE670-F118-4CB1-9A4B-E3029651AE02}" uniqueName="75" name="TUSD_RI" queryTableFieldId="32" dataDxfId="59"/>
    <tableColumn id="76" xr3:uid="{4C32820D-BAD6-4134-9AF9-3F5E8860F22D}" uniqueName="76" name="TE_CDE_COVID" queryTableFieldId="33" dataDxfId="58"/>
    <tableColumn id="77" xr3:uid="{DB089C71-0BE1-4DFF-82C8-AB03FF80EE5E}" uniqueName="77" name="TE_CDE_ELET" queryTableFieldId="34" dataDxfId="57"/>
    <tableColumn id="78" xr3:uid="{1E702AD2-A3FD-4D9C-855C-538FECA8547C}" uniqueName="78" name="TE_PeD" queryTableFieldId="35" dataDxfId="56"/>
    <tableColumn id="79" xr3:uid="{6EB74804-FB17-461E-9E1B-D5ADD85D59CD}" uniqueName="79" name="TE_ESSERR" queryTableFieldId="36" dataDxfId="55"/>
    <tableColumn id="80" xr3:uid="{63879952-C3C7-4F45-873F-6BF737900F2B}" uniqueName="80" name="TE_CFURH" queryTableFieldId="37" dataDxfId="54"/>
    <tableColumn id="81" xr3:uid="{D94B2701-F379-4AA5-82A6-51E104EC1A69}" uniqueName="81" name="TE_ENERGIA" queryTableFieldId="38" dataDxfId="53"/>
    <tableColumn id="82" xr3:uid="{5EF5808C-C023-4340-A7E3-21F4D8A95F4B}" uniqueName="82" name="TE_TRANSPORTE_ITAIPU" queryTableFieldId="39" dataDxfId="52"/>
    <tableColumn id="83" xr3:uid="{A4C79DC0-28AF-445B-B3C8-1E51AA797F75}" uniqueName="83" name="TE_TUST_ITAIPU" queryTableFieldId="40" dataDxfId="51"/>
    <tableColumn id="84" xr3:uid="{707A1DAE-3B96-42D1-9159-AC65D69789A3}" uniqueName="84" name="TE_TUST_CI" queryTableFieldId="41" dataDxfId="50"/>
    <tableColumn id="85" xr3:uid="{BBFD0589-B741-43B6-AE0B-92D927CD134D}" uniqueName="85" name="TE Subsidio" queryTableFieldId="42" dataDxfId="49"/>
    <tableColumn id="86" xr3:uid="{293FAD96-5FAB-42D9-AF8D-699CBED2EE52}" uniqueName="86" name="TE_Per_RB" queryTableFieldId="43" dataDxfId="4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CD0EFB5-02CB-4598-B984-ACE9EBF51115}" name="TabelaCVA" displayName="TabelaCVA" ref="B3:AR50" tableType="queryTable" totalsRowShown="0" headerRowDxfId="47" dataDxfId="45" headerRowBorderDxfId="46" tableBorderDxfId="44" totalsRowBorderDxfId="43">
  <autoFilter ref="B3:AR50" xr:uid="{DCD0EFB5-02CB-4598-B984-ACE9EBF51115}"/>
  <sortState xmlns:xlrd2="http://schemas.microsoft.com/office/spreadsheetml/2017/richdata2" ref="B4:AR50">
    <sortCondition ref="B4:B50"/>
    <sortCondition ref="C4:C50"/>
    <sortCondition ref="D4:D50"/>
    <sortCondition ref="E4:E50"/>
    <sortCondition ref="F4:F50"/>
    <sortCondition descending="1" ref="G4:G50"/>
    <sortCondition descending="1" ref="H4:H50"/>
    <sortCondition ref="I4:I50"/>
  </sortState>
  <tableColumns count="43">
    <tableColumn id="44" xr3:uid="{18F68F14-F4F4-4583-968C-B8393848E67D}" uniqueName="44" name="SUBGRUPO" queryTableFieldId="1" dataDxfId="42"/>
    <tableColumn id="45" xr3:uid="{DB919653-EE32-4E4F-AFE7-B56DCEC7A4DC}" uniqueName="45" name="MODALIDADE" queryTableFieldId="2" dataDxfId="41"/>
    <tableColumn id="46" xr3:uid="{5ADD1677-DA80-4A3B-97E5-24C7EF8142A3}" uniqueName="46" name="CLASSE" queryTableFieldId="3" dataDxfId="40"/>
    <tableColumn id="47" xr3:uid="{7AEB1EBB-A713-44F8-AEBB-843CC783950E}" uniqueName="47" name="SUBCLASSE" queryTableFieldId="4" dataDxfId="39"/>
    <tableColumn id="48" xr3:uid="{FA12D1A7-3D75-4C8A-AAC4-5CC779DA8654}" uniqueName="48" name="DETALHE" queryTableFieldId="5" dataDxfId="38"/>
    <tableColumn id="49" xr3:uid="{37B045B4-91D0-4512-8FCF-F5099093EC43}" uniqueName="49" name="POSTO" queryTableFieldId="6" dataDxfId="37"/>
    <tableColumn id="50" xr3:uid="{DE6A1AF7-0D40-4947-BF86-53F3C085EC79}" uniqueName="50" name="UNIDADE" queryTableFieldId="7" dataDxfId="36"/>
    <tableColumn id="51" xr3:uid="{956A8385-F5F0-447D-A2ED-EAA114C52205}" uniqueName="51" name="ACESSANTE" queryTableFieldId="8" dataDxfId="35"/>
    <tableColumn id="52" xr3:uid="{F0F1149D-1D17-47E0-B4CC-D872F54BCAE4}" uniqueName="52" name="Total TUSD" queryTableFieldId="9" dataDxfId="34"/>
    <tableColumn id="53" xr3:uid="{E671A772-091C-4991-A36D-53B1BF5E8030}" uniqueName="53" name="Total TE" queryTableFieldId="10" dataDxfId="33"/>
    <tableColumn id="54" xr3:uid="{A6FCA668-16B0-4BBF-AB3C-0E79C957AF97}" uniqueName="54" name="TUSD_CDE_COVID" queryTableFieldId="11" dataDxfId="32"/>
    <tableColumn id="55" xr3:uid="{4754D7B3-61FA-423E-AE79-93DFD5D6DBE7}" uniqueName="55" name="TUSD_TFSEE" queryTableFieldId="12" dataDxfId="31"/>
    <tableColumn id="56" xr3:uid="{1C5D09B4-4099-4B6A-A0EC-F81CB480F968}" uniqueName="56" name="TUSD_PeD" queryTableFieldId="13" dataDxfId="30"/>
    <tableColumn id="57" xr3:uid="{C521E4B5-8011-4B7A-9C74-72E6B01B7E5C}" uniqueName="57" name="TUSD_ONS" queryTableFieldId="14" dataDxfId="29"/>
    <tableColumn id="58" xr3:uid="{7690C211-C235-402A-8C1C-63BF8280DC7C}" uniqueName="58" name="TUSD_CCC" queryTableFieldId="15" dataDxfId="28"/>
    <tableColumn id="59" xr3:uid="{8E2007B1-5F73-4240-99B0-84BC87CE08F1}" uniqueName="59" name="TUSD_CDE" queryTableFieldId="16" dataDxfId="27"/>
    <tableColumn id="60" xr3:uid="{0229B542-BCA8-4E3F-BC2E-711AA7AC9579}" uniqueName="60" name="TUSD_PROINFA" queryTableFieldId="17" dataDxfId="26"/>
    <tableColumn id="61" xr3:uid="{9C558B0F-3195-4D7B-8D29-C209C0F2D37B}" uniqueName="61" name="Liminar1" queryTableFieldId="18" dataDxfId="25"/>
    <tableColumn id="62" xr3:uid="{F5C55810-EBA0-4419-B858-EF93751E3BF7}" uniqueName="62" name="TUSD_RB" queryTableFieldId="19" dataDxfId="24"/>
    <tableColumn id="63" xr3:uid="{E03FE9F8-B40F-4825-AD5E-D0217F0DEE8B}" uniqueName="63" name="TUSD_FR" queryTableFieldId="20" dataDxfId="23"/>
    <tableColumn id="64" xr3:uid="{80F5A109-83C7-4523-9EED-05FEA2DE8337}" uniqueName="64" name="TUSD_CCT" queryTableFieldId="21" dataDxfId="22"/>
    <tableColumn id="65" xr3:uid="{A19CD833-28A5-44A8-802D-78882EA8E10D}" uniqueName="65" name="TUSD_CCD" queryTableFieldId="22" dataDxfId="21"/>
    <tableColumn id="66" xr3:uid="{9C286008-B718-46D6-A91D-C00581D8CA34}" uniqueName="66" name="TUSD_CUSD" queryTableFieldId="23" dataDxfId="20"/>
    <tableColumn id="67" xr3:uid="{E47C91C2-4688-49EF-AC15-8379366FC083}" uniqueName="67" name="TUSDG_T" queryTableFieldId="24" dataDxfId="19"/>
    <tableColumn id="68" xr3:uid="{9818AE3E-BBB4-42CF-B4F1-E30419B2CD8C}" uniqueName="68" name="TUSDG_ONS" queryTableFieldId="25" dataDxfId="18"/>
    <tableColumn id="69" xr3:uid="{190EEB21-79DD-46EB-A300-2929700B86FC}" uniqueName="69" name="TUSD_FioB" queryTableFieldId="26" dataDxfId="17"/>
    <tableColumn id="70" xr3:uid="{B94E1821-7926-4BA0-BD91-E54C8F9D8A05}" uniqueName="70" name="TUSD Subsidio" queryTableFieldId="27" dataDxfId="16"/>
    <tableColumn id="71" xr3:uid="{3194249D-51D3-4E36-A30F-B66E2A164500}" uniqueName="71" name="TUSD Outros" queryTableFieldId="28" dataDxfId="15"/>
    <tableColumn id="72" xr3:uid="{31F99320-B26E-4202-B0EF-4D1CAFA5A7EE}" uniqueName="72" name="TUSD_PT" queryTableFieldId="29" dataDxfId="14"/>
    <tableColumn id="73" xr3:uid="{EFDD9999-5A63-4FED-986D-EBB525973DA2}" uniqueName="73" name="TUSD_Per_RB_D" queryTableFieldId="30" dataDxfId="13"/>
    <tableColumn id="74" xr3:uid="{E5BD80A8-3B15-4E7B-AE67-D87DBEEF4004}" uniqueName="74" name="TUSD_PNT" queryTableFieldId="31" dataDxfId="12"/>
    <tableColumn id="75" xr3:uid="{D5BA0359-C636-4138-8D09-88F5E618502B}" uniqueName="75" name="TUSD_RI" queryTableFieldId="32" dataDxfId="11"/>
    <tableColumn id="76" xr3:uid="{C754CC12-35A1-46EE-8688-5676F6074C23}" uniqueName="76" name="TE_CDE_COVID" queryTableFieldId="33" dataDxfId="10"/>
    <tableColumn id="77" xr3:uid="{1D7D9752-D83B-47AE-85B2-7C42B82B9485}" uniqueName="77" name="TE_CDE_ELET" queryTableFieldId="34" dataDxfId="9"/>
    <tableColumn id="78" xr3:uid="{7EE37570-509E-4C43-AE57-EF95ADA16144}" uniqueName="78" name="TE_PeD" queryTableFieldId="35" dataDxfId="8"/>
    <tableColumn id="79" xr3:uid="{72AD64DE-8D45-4F71-AEF1-9C66DB61C6E0}" uniqueName="79" name="TE_ESSERR" queryTableFieldId="36" dataDxfId="7"/>
    <tableColumn id="80" xr3:uid="{21B2BBE5-873A-483F-B1C5-9FEC8207ABE1}" uniqueName="80" name="TE_CFURH" queryTableFieldId="37" dataDxfId="6"/>
    <tableColumn id="81" xr3:uid="{F98EB18A-91D1-4B42-9305-FE192EDECEC0}" uniqueName="81" name="TE_ENERGIA" queryTableFieldId="38" dataDxfId="5"/>
    <tableColumn id="82" xr3:uid="{3CE6ECB7-78F1-4555-9A7D-651108C06A7F}" uniqueName="82" name="TE_TRANSPORTE_ITAIPU" queryTableFieldId="39" dataDxfId="4"/>
    <tableColumn id="83" xr3:uid="{84328D07-C17D-4329-A73B-D21A81B5B186}" uniqueName="83" name="TE_TUST_ITAIPU" queryTableFieldId="40" dataDxfId="3"/>
    <tableColumn id="84" xr3:uid="{EA118B85-4E1F-480C-9B4B-6D0A79DEA9E1}" uniqueName="84" name="TE_TUST_CI" queryTableFieldId="41" dataDxfId="2"/>
    <tableColumn id="85" xr3:uid="{D690289B-D95B-4FE7-B9D2-CA9DF22FBF98}" uniqueName="85" name="TE Subsidio" queryTableFieldId="42" dataDxfId="1"/>
    <tableColumn id="86" xr3:uid="{C08C1AC8-8DE4-4DB2-8697-919031796D9E}" uniqueName="86" name="TE_Per_RB" queryTableFieldId="4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FA5A1-C45F-4F3F-AD71-444A03578369}">
  <sheetPr codeName="Planilha1"/>
  <dimension ref="A1:W629"/>
  <sheetViews>
    <sheetView showGridLines="0" workbookViewId="0">
      <selection activeCell="N52" sqref="N52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2.140625" style="4" bestFit="1" customWidth="1"/>
    <col min="8" max="8" width="10.28515625" style="4" bestFit="1" customWidth="1"/>
    <col min="9" max="9" width="8.7109375" style="5" bestFit="1" customWidth="1"/>
    <col min="10" max="10" width="7.85546875" style="6" bestFit="1" customWidth="1"/>
    <col min="11" max="12" width="7" style="6" bestFit="1" customWidth="1"/>
    <col min="13" max="13" width="8" style="6" bestFit="1" customWidth="1"/>
    <col min="14" max="15" width="7" style="6" bestFit="1" customWidth="1"/>
    <col min="16" max="16" width="7.85546875" style="6" bestFit="1" customWidth="1"/>
    <col min="17" max="17" width="8.42578125" style="4" bestFit="1" customWidth="1"/>
    <col min="18" max="18" width="8.5703125" style="4" bestFit="1" customWidth="1"/>
    <col min="19" max="19" width="78.140625" style="4" bestFit="1" customWidth="1"/>
    <col min="20" max="20" width="83.85546875" style="4" bestFit="1" customWidth="1"/>
    <col min="21" max="21" width="18.42578125" style="4" bestFit="1" customWidth="1"/>
    <col min="22" max="22" width="19.85546875" style="4" bestFit="1" customWidth="1"/>
    <col min="23" max="23" width="17.7109375" style="4" bestFit="1" customWidth="1"/>
    <col min="24" max="16384" width="9.14062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98</v>
      </c>
      <c r="T1" s="1" t="s">
        <v>312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21</v>
      </c>
      <c r="B2" s="4" t="s">
        <v>38</v>
      </c>
      <c r="C2" s="4" t="s">
        <v>50</v>
      </c>
      <c r="D2" s="4" t="s">
        <v>48</v>
      </c>
      <c r="E2" s="4" t="s">
        <v>49</v>
      </c>
      <c r="F2" s="4" t="s">
        <v>25</v>
      </c>
      <c r="G2" s="4" t="s">
        <v>25</v>
      </c>
      <c r="H2" s="4" t="s">
        <v>34</v>
      </c>
      <c r="I2" s="5">
        <v>44378</v>
      </c>
      <c r="J2" s="6">
        <v>245</v>
      </c>
      <c r="K2" s="6">
        <v>230.29999999999998</v>
      </c>
      <c r="L2" s="6">
        <v>105.798</v>
      </c>
      <c r="M2" s="6">
        <v>99.450119999999998</v>
      </c>
      <c r="N2" s="6">
        <v>105.798</v>
      </c>
      <c r="O2" s="6">
        <v>99.450119999999998</v>
      </c>
      <c r="P2" s="6">
        <v>0</v>
      </c>
      <c r="Q2" s="4" t="s">
        <v>26</v>
      </c>
      <c r="R2" s="4">
        <v>0</v>
      </c>
      <c r="S2" s="4" t="s">
        <v>99</v>
      </c>
      <c r="T2" s="4" t="s">
        <v>313</v>
      </c>
      <c r="U2" s="4">
        <v>23</v>
      </c>
      <c r="V2" s="4">
        <v>11</v>
      </c>
      <c r="W2" s="4">
        <v>78</v>
      </c>
    </row>
    <row r="3" spans="1:23" ht="11.25" customHeight="1" x14ac:dyDescent="0.25">
      <c r="A3" s="4" t="s">
        <v>21</v>
      </c>
      <c r="B3" s="4" t="s">
        <v>38</v>
      </c>
      <c r="C3" s="4" t="s">
        <v>50</v>
      </c>
      <c r="D3" s="4" t="s">
        <v>48</v>
      </c>
      <c r="E3" s="4" t="s">
        <v>49</v>
      </c>
      <c r="F3" s="4" t="s">
        <v>25</v>
      </c>
      <c r="G3" s="4" t="s">
        <v>25</v>
      </c>
      <c r="H3" s="4" t="s">
        <v>34</v>
      </c>
      <c r="I3" s="5">
        <v>44409</v>
      </c>
      <c r="J3" s="6">
        <v>245</v>
      </c>
      <c r="K3" s="6">
        <v>230.3</v>
      </c>
      <c r="L3" s="6">
        <v>117.194</v>
      </c>
      <c r="M3" s="6">
        <v>110.16236000000001</v>
      </c>
      <c r="N3" s="6">
        <v>117.194</v>
      </c>
      <c r="O3" s="6">
        <v>110.16236000000001</v>
      </c>
      <c r="P3" s="6">
        <v>0</v>
      </c>
      <c r="Q3" s="4" t="s">
        <v>26</v>
      </c>
      <c r="R3" s="4">
        <v>0</v>
      </c>
      <c r="S3" s="4" t="s">
        <v>100</v>
      </c>
      <c r="T3" s="4" t="s">
        <v>314</v>
      </c>
      <c r="U3" s="4">
        <v>23</v>
      </c>
      <c r="V3" s="4">
        <v>11</v>
      </c>
      <c r="W3" s="4">
        <v>78</v>
      </c>
    </row>
    <row r="4" spans="1:23" ht="11.25" customHeight="1" x14ac:dyDescent="0.25">
      <c r="A4" s="4" t="s">
        <v>21</v>
      </c>
      <c r="B4" s="4" t="s">
        <v>38</v>
      </c>
      <c r="C4" s="4" t="s">
        <v>50</v>
      </c>
      <c r="D4" s="4" t="s">
        <v>48</v>
      </c>
      <c r="E4" s="4" t="s">
        <v>49</v>
      </c>
      <c r="F4" s="4" t="s">
        <v>25</v>
      </c>
      <c r="G4" s="4" t="s">
        <v>25</v>
      </c>
      <c r="H4" s="4" t="s">
        <v>34</v>
      </c>
      <c r="I4" s="5">
        <v>44440</v>
      </c>
      <c r="J4" s="6">
        <v>245</v>
      </c>
      <c r="K4" s="6">
        <v>230.3</v>
      </c>
      <c r="L4" s="6">
        <v>97.938999999999993</v>
      </c>
      <c r="M4" s="6">
        <v>92.062659999999994</v>
      </c>
      <c r="N4" s="6">
        <v>97.938999999999993</v>
      </c>
      <c r="O4" s="6">
        <v>92.062659999999994</v>
      </c>
      <c r="P4" s="6">
        <v>0</v>
      </c>
      <c r="Q4" s="4" t="s">
        <v>26</v>
      </c>
      <c r="R4" s="4">
        <v>0</v>
      </c>
      <c r="S4" s="4" t="s">
        <v>101</v>
      </c>
      <c r="T4" s="4" t="s">
        <v>315</v>
      </c>
      <c r="U4" s="4">
        <v>23</v>
      </c>
      <c r="V4" s="4">
        <v>11</v>
      </c>
      <c r="W4" s="4">
        <v>78</v>
      </c>
    </row>
    <row r="5" spans="1:23" ht="11.25" customHeight="1" x14ac:dyDescent="0.25">
      <c r="A5" s="4" t="s">
        <v>21</v>
      </c>
      <c r="B5" s="4" t="s">
        <v>38</v>
      </c>
      <c r="C5" s="4" t="s">
        <v>50</v>
      </c>
      <c r="D5" s="4" t="s">
        <v>48</v>
      </c>
      <c r="E5" s="4" t="s">
        <v>49</v>
      </c>
      <c r="F5" s="4" t="s">
        <v>25</v>
      </c>
      <c r="G5" s="4" t="s">
        <v>25</v>
      </c>
      <c r="H5" s="4" t="s">
        <v>34</v>
      </c>
      <c r="I5" s="5">
        <v>44470</v>
      </c>
      <c r="J5" s="6">
        <v>245</v>
      </c>
      <c r="K5" s="6">
        <v>230.3</v>
      </c>
      <c r="L5" s="6">
        <v>100.089</v>
      </c>
      <c r="M5" s="6">
        <v>94.083659999999995</v>
      </c>
      <c r="N5" s="6">
        <v>100.089</v>
      </c>
      <c r="O5" s="6">
        <v>94.083659999999995</v>
      </c>
      <c r="P5" s="6">
        <v>0</v>
      </c>
      <c r="Q5" s="4" t="s">
        <v>26</v>
      </c>
      <c r="R5" s="4">
        <v>0</v>
      </c>
      <c r="S5" s="4" t="s">
        <v>102</v>
      </c>
      <c r="T5" s="4" t="s">
        <v>316</v>
      </c>
      <c r="U5" s="4">
        <v>23</v>
      </c>
      <c r="V5" s="4">
        <v>11</v>
      </c>
      <c r="W5" s="4">
        <v>78</v>
      </c>
    </row>
    <row r="6" spans="1:23" ht="11.25" customHeight="1" x14ac:dyDescent="0.25">
      <c r="A6" s="4" t="s">
        <v>21</v>
      </c>
      <c r="B6" s="4" t="s">
        <v>38</v>
      </c>
      <c r="C6" s="4" t="s">
        <v>50</v>
      </c>
      <c r="D6" s="4" t="s">
        <v>48</v>
      </c>
      <c r="E6" s="4" t="s">
        <v>49</v>
      </c>
      <c r="F6" s="4" t="s">
        <v>25</v>
      </c>
      <c r="G6" s="4" t="s">
        <v>25</v>
      </c>
      <c r="H6" s="4" t="s">
        <v>34</v>
      </c>
      <c r="I6" s="5">
        <v>44501</v>
      </c>
      <c r="J6" s="6">
        <v>245</v>
      </c>
      <c r="K6" s="6">
        <v>230.3</v>
      </c>
      <c r="L6" s="6">
        <v>111.02800000000001</v>
      </c>
      <c r="M6" s="6">
        <v>104.36632</v>
      </c>
      <c r="N6" s="6">
        <v>111.02800000000001</v>
      </c>
      <c r="O6" s="6">
        <v>104.36632</v>
      </c>
      <c r="P6" s="6">
        <v>0</v>
      </c>
      <c r="Q6" s="4" t="s">
        <v>26</v>
      </c>
      <c r="R6" s="4">
        <v>0</v>
      </c>
      <c r="S6" s="4" t="s">
        <v>103</v>
      </c>
      <c r="T6" s="4" t="s">
        <v>317</v>
      </c>
      <c r="U6" s="4">
        <v>23</v>
      </c>
      <c r="V6" s="4">
        <v>11</v>
      </c>
      <c r="W6" s="4">
        <v>78</v>
      </c>
    </row>
    <row r="7" spans="1:23" ht="11.25" customHeight="1" x14ac:dyDescent="0.25">
      <c r="A7" s="4" t="s">
        <v>21</v>
      </c>
      <c r="B7" s="4" t="s">
        <v>38</v>
      </c>
      <c r="C7" s="4" t="s">
        <v>50</v>
      </c>
      <c r="D7" s="4" t="s">
        <v>48</v>
      </c>
      <c r="E7" s="4" t="s">
        <v>49</v>
      </c>
      <c r="F7" s="4" t="s">
        <v>25</v>
      </c>
      <c r="G7" s="4" t="s">
        <v>25</v>
      </c>
      <c r="H7" s="4" t="s">
        <v>34</v>
      </c>
      <c r="I7" s="5">
        <v>44531</v>
      </c>
      <c r="J7" s="6">
        <v>245</v>
      </c>
      <c r="K7" s="6">
        <v>230.3</v>
      </c>
      <c r="L7" s="6">
        <v>113.598</v>
      </c>
      <c r="M7" s="6">
        <v>106.78212000000001</v>
      </c>
      <c r="N7" s="6">
        <v>113.598</v>
      </c>
      <c r="O7" s="6">
        <v>106.78212000000001</v>
      </c>
      <c r="P7" s="6">
        <v>0</v>
      </c>
      <c r="Q7" s="4" t="s">
        <v>26</v>
      </c>
      <c r="R7" s="4">
        <v>0</v>
      </c>
      <c r="S7" s="4" t="s">
        <v>104</v>
      </c>
      <c r="T7" s="4" t="s">
        <v>318</v>
      </c>
      <c r="U7" s="4">
        <v>23</v>
      </c>
      <c r="V7" s="4">
        <v>11</v>
      </c>
      <c r="W7" s="4">
        <v>78</v>
      </c>
    </row>
    <row r="8" spans="1:23" ht="11.25" customHeight="1" x14ac:dyDescent="0.25">
      <c r="A8" s="4" t="s">
        <v>21</v>
      </c>
      <c r="B8" s="4" t="s">
        <v>38</v>
      </c>
      <c r="C8" s="4" t="s">
        <v>50</v>
      </c>
      <c r="D8" s="4" t="s">
        <v>48</v>
      </c>
      <c r="E8" s="4" t="s">
        <v>49</v>
      </c>
      <c r="F8" s="4" t="s">
        <v>25</v>
      </c>
      <c r="G8" s="4" t="s">
        <v>25</v>
      </c>
      <c r="H8" s="4" t="s">
        <v>34</v>
      </c>
      <c r="I8" s="5">
        <v>44562</v>
      </c>
      <c r="J8" s="6">
        <v>245</v>
      </c>
      <c r="K8" s="6">
        <v>230.3</v>
      </c>
      <c r="L8" s="6">
        <v>114.22799999999999</v>
      </c>
      <c r="M8" s="6">
        <v>107.37432</v>
      </c>
      <c r="N8" s="6">
        <v>114.22799999999999</v>
      </c>
      <c r="O8" s="6">
        <v>107.37432</v>
      </c>
      <c r="P8" s="6">
        <v>0</v>
      </c>
      <c r="Q8" s="4" t="s">
        <v>26</v>
      </c>
      <c r="R8" s="4">
        <v>0</v>
      </c>
      <c r="S8" s="4" t="s">
        <v>105</v>
      </c>
      <c r="T8" s="4" t="s">
        <v>319</v>
      </c>
      <c r="U8" s="4">
        <v>23</v>
      </c>
      <c r="V8" s="4">
        <v>11</v>
      </c>
      <c r="W8" s="4">
        <v>78</v>
      </c>
    </row>
    <row r="9" spans="1:23" ht="11.25" customHeight="1" x14ac:dyDescent="0.25">
      <c r="A9" s="4" t="s">
        <v>21</v>
      </c>
      <c r="B9" s="4" t="s">
        <v>38</v>
      </c>
      <c r="C9" s="4" t="s">
        <v>50</v>
      </c>
      <c r="D9" s="4" t="s">
        <v>48</v>
      </c>
      <c r="E9" s="4" t="s">
        <v>49</v>
      </c>
      <c r="F9" s="4" t="s">
        <v>25</v>
      </c>
      <c r="G9" s="4" t="s">
        <v>25</v>
      </c>
      <c r="H9" s="4" t="s">
        <v>34</v>
      </c>
      <c r="I9" s="5">
        <v>44593</v>
      </c>
      <c r="J9" s="6">
        <v>245</v>
      </c>
      <c r="K9" s="6">
        <v>230.3</v>
      </c>
      <c r="L9" s="6">
        <v>103.28400000000001</v>
      </c>
      <c r="M9" s="6">
        <v>97.086960000000005</v>
      </c>
      <c r="N9" s="6">
        <v>103.28400000000001</v>
      </c>
      <c r="O9" s="6">
        <v>97.086960000000005</v>
      </c>
      <c r="P9" s="6">
        <v>0</v>
      </c>
      <c r="Q9" s="4" t="s">
        <v>26</v>
      </c>
      <c r="R9" s="4">
        <v>0</v>
      </c>
      <c r="S9" s="4" t="s">
        <v>106</v>
      </c>
      <c r="T9" s="4" t="s">
        <v>320</v>
      </c>
      <c r="U9" s="4">
        <v>23</v>
      </c>
      <c r="V9" s="4">
        <v>11</v>
      </c>
      <c r="W9" s="4">
        <v>78</v>
      </c>
    </row>
    <row r="10" spans="1:23" ht="11.25" customHeight="1" x14ac:dyDescent="0.25">
      <c r="A10" s="4" t="s">
        <v>21</v>
      </c>
      <c r="B10" s="4" t="s">
        <v>38</v>
      </c>
      <c r="C10" s="4" t="s">
        <v>50</v>
      </c>
      <c r="D10" s="4" t="s">
        <v>48</v>
      </c>
      <c r="E10" s="4" t="s">
        <v>49</v>
      </c>
      <c r="F10" s="4" t="s">
        <v>25</v>
      </c>
      <c r="G10" s="4" t="s">
        <v>25</v>
      </c>
      <c r="H10" s="4" t="s">
        <v>34</v>
      </c>
      <c r="I10" s="5">
        <v>44621</v>
      </c>
      <c r="J10" s="6">
        <v>245</v>
      </c>
      <c r="K10" s="6">
        <v>230.3</v>
      </c>
      <c r="L10" s="6">
        <v>114.107</v>
      </c>
      <c r="M10" s="6">
        <v>107.26058</v>
      </c>
      <c r="N10" s="6">
        <v>114.107</v>
      </c>
      <c r="O10" s="6">
        <v>107.26058</v>
      </c>
      <c r="P10" s="6">
        <v>0</v>
      </c>
      <c r="Q10" s="4" t="s">
        <v>26</v>
      </c>
      <c r="R10" s="4">
        <v>0</v>
      </c>
      <c r="S10" s="4" t="s">
        <v>107</v>
      </c>
      <c r="T10" s="4" t="s">
        <v>321</v>
      </c>
      <c r="U10" s="4">
        <v>23</v>
      </c>
      <c r="V10" s="4">
        <v>11</v>
      </c>
      <c r="W10" s="4">
        <v>78</v>
      </c>
    </row>
    <row r="11" spans="1:23" ht="11.25" customHeight="1" x14ac:dyDescent="0.25">
      <c r="A11" s="4" t="s">
        <v>21</v>
      </c>
      <c r="B11" s="4" t="s">
        <v>38</v>
      </c>
      <c r="C11" s="4" t="s">
        <v>50</v>
      </c>
      <c r="D11" s="4" t="s">
        <v>48</v>
      </c>
      <c r="E11" s="4" t="s">
        <v>49</v>
      </c>
      <c r="F11" s="4" t="s">
        <v>25</v>
      </c>
      <c r="G11" s="4" t="s">
        <v>25</v>
      </c>
      <c r="H11" s="4" t="s">
        <v>34</v>
      </c>
      <c r="I11" s="5">
        <v>44652</v>
      </c>
      <c r="J11" s="6">
        <v>245</v>
      </c>
      <c r="K11" s="6">
        <v>230.3</v>
      </c>
      <c r="L11" s="6">
        <v>111.289</v>
      </c>
      <c r="M11" s="6">
        <v>104.61166</v>
      </c>
      <c r="N11" s="6">
        <v>111.289</v>
      </c>
      <c r="O11" s="6">
        <v>104.61166</v>
      </c>
      <c r="P11" s="6">
        <v>0</v>
      </c>
      <c r="Q11" s="4" t="s">
        <v>26</v>
      </c>
      <c r="R11" s="4">
        <v>0</v>
      </c>
      <c r="S11" s="4" t="s">
        <v>108</v>
      </c>
      <c r="T11" s="4" t="s">
        <v>322</v>
      </c>
      <c r="U11" s="4">
        <v>23</v>
      </c>
      <c r="V11" s="4">
        <v>11</v>
      </c>
      <c r="W11" s="4">
        <v>78</v>
      </c>
    </row>
    <row r="12" spans="1:23" ht="11.25" customHeight="1" x14ac:dyDescent="0.25">
      <c r="A12" s="4" t="s">
        <v>21</v>
      </c>
      <c r="B12" s="4" t="s">
        <v>38</v>
      </c>
      <c r="C12" s="4" t="s">
        <v>50</v>
      </c>
      <c r="D12" s="4" t="s">
        <v>48</v>
      </c>
      <c r="E12" s="4" t="s">
        <v>49</v>
      </c>
      <c r="F12" s="4" t="s">
        <v>25</v>
      </c>
      <c r="G12" s="4" t="s">
        <v>25</v>
      </c>
      <c r="H12" s="4" t="s">
        <v>34</v>
      </c>
      <c r="I12" s="5">
        <v>44682</v>
      </c>
      <c r="J12" s="6">
        <v>245</v>
      </c>
      <c r="K12" s="6">
        <v>230.3</v>
      </c>
      <c r="L12" s="6">
        <v>104.895</v>
      </c>
      <c r="M12" s="6">
        <v>98.601299999999995</v>
      </c>
      <c r="N12" s="6">
        <v>104.895</v>
      </c>
      <c r="O12" s="6">
        <v>98.601299999999995</v>
      </c>
      <c r="P12" s="6">
        <v>0</v>
      </c>
      <c r="Q12" s="4" t="s">
        <v>26</v>
      </c>
      <c r="R12" s="4">
        <v>0</v>
      </c>
      <c r="S12" s="4" t="s">
        <v>109</v>
      </c>
      <c r="T12" s="4" t="s">
        <v>323</v>
      </c>
      <c r="U12" s="4">
        <v>23</v>
      </c>
      <c r="V12" s="4">
        <v>11</v>
      </c>
      <c r="W12" s="4">
        <v>78</v>
      </c>
    </row>
    <row r="13" spans="1:23" ht="11.25" customHeight="1" x14ac:dyDescent="0.25">
      <c r="A13" s="4" t="s">
        <v>55</v>
      </c>
      <c r="B13" s="4" t="s">
        <v>38</v>
      </c>
      <c r="C13" s="4" t="s">
        <v>50</v>
      </c>
      <c r="D13" s="4" t="s">
        <v>48</v>
      </c>
      <c r="E13" s="4" t="s">
        <v>49</v>
      </c>
      <c r="F13" s="4" t="s">
        <v>25</v>
      </c>
      <c r="G13" s="4" t="s">
        <v>25</v>
      </c>
      <c r="H13" s="4" t="s">
        <v>34</v>
      </c>
      <c r="I13" s="5">
        <v>44713</v>
      </c>
      <c r="J13" s="6">
        <v>245</v>
      </c>
      <c r="K13" s="6">
        <v>230.3</v>
      </c>
      <c r="L13" s="6">
        <v>104.895</v>
      </c>
      <c r="M13" s="6">
        <v>98.601299999999995</v>
      </c>
      <c r="N13" s="6">
        <v>104.895</v>
      </c>
      <c r="O13" s="6">
        <v>98.601299999999995</v>
      </c>
      <c r="P13" s="6">
        <v>0</v>
      </c>
      <c r="Q13" s="4" t="s">
        <v>26</v>
      </c>
      <c r="R13" s="4">
        <v>0</v>
      </c>
      <c r="S13" s="4" t="s">
        <v>110</v>
      </c>
      <c r="T13" s="4" t="s">
        <v>324</v>
      </c>
      <c r="U13" s="4">
        <v>23</v>
      </c>
      <c r="V13" s="4">
        <v>11</v>
      </c>
      <c r="W13" s="4">
        <v>78</v>
      </c>
    </row>
    <row r="14" spans="1:23" ht="11.25" customHeight="1" x14ac:dyDescent="0.25">
      <c r="A14" s="4" t="s">
        <v>21</v>
      </c>
      <c r="B14" s="4" t="s">
        <v>38</v>
      </c>
      <c r="C14" s="4" t="s">
        <v>50</v>
      </c>
      <c r="D14" s="4" t="s">
        <v>48</v>
      </c>
      <c r="E14" s="4" t="s">
        <v>49</v>
      </c>
      <c r="F14" s="4" t="s">
        <v>25</v>
      </c>
      <c r="G14" s="4" t="s">
        <v>25</v>
      </c>
      <c r="H14" s="4" t="s">
        <v>33</v>
      </c>
      <c r="I14" s="5">
        <v>44378</v>
      </c>
      <c r="J14" s="6">
        <v>245</v>
      </c>
      <c r="K14" s="6">
        <v>230.29999999999998</v>
      </c>
      <c r="L14" s="6">
        <v>10.843</v>
      </c>
      <c r="M14" s="6">
        <v>10.19242</v>
      </c>
      <c r="N14" s="6">
        <v>10.843</v>
      </c>
      <c r="O14" s="6">
        <v>10.19242</v>
      </c>
      <c r="P14" s="6">
        <v>0</v>
      </c>
      <c r="Q14" s="4" t="s">
        <v>26</v>
      </c>
      <c r="R14" s="4">
        <v>0</v>
      </c>
      <c r="S14" s="4" t="s">
        <v>111</v>
      </c>
      <c r="T14" s="4" t="s">
        <v>325</v>
      </c>
      <c r="U14" s="4">
        <v>1</v>
      </c>
      <c r="V14" s="4">
        <v>11</v>
      </c>
      <c r="W14" s="4">
        <v>66</v>
      </c>
    </row>
    <row r="15" spans="1:23" ht="11.25" customHeight="1" x14ac:dyDescent="0.25">
      <c r="A15" s="4" t="s">
        <v>21</v>
      </c>
      <c r="B15" s="4" t="s">
        <v>38</v>
      </c>
      <c r="C15" s="4" t="s">
        <v>50</v>
      </c>
      <c r="D15" s="4" t="s">
        <v>48</v>
      </c>
      <c r="E15" s="4" t="s">
        <v>49</v>
      </c>
      <c r="F15" s="4" t="s">
        <v>25</v>
      </c>
      <c r="G15" s="4" t="s">
        <v>25</v>
      </c>
      <c r="H15" s="4" t="s">
        <v>33</v>
      </c>
      <c r="I15" s="5">
        <v>44409</v>
      </c>
      <c r="J15" s="6">
        <v>245</v>
      </c>
      <c r="K15" s="6">
        <v>230.3</v>
      </c>
      <c r="L15" s="6">
        <v>11.622999999999999</v>
      </c>
      <c r="M15" s="6">
        <v>10.92562</v>
      </c>
      <c r="N15" s="6">
        <v>11.622999999999999</v>
      </c>
      <c r="O15" s="6">
        <v>10.92562</v>
      </c>
      <c r="P15" s="6">
        <v>0</v>
      </c>
      <c r="Q15" s="4" t="s">
        <v>26</v>
      </c>
      <c r="R15" s="4">
        <v>0</v>
      </c>
      <c r="S15" s="4" t="s">
        <v>112</v>
      </c>
      <c r="T15" s="4" t="s">
        <v>326</v>
      </c>
      <c r="U15" s="4">
        <v>1</v>
      </c>
      <c r="V15" s="4">
        <v>11</v>
      </c>
      <c r="W15" s="4">
        <v>66</v>
      </c>
    </row>
    <row r="16" spans="1:23" ht="11.25" customHeight="1" x14ac:dyDescent="0.25">
      <c r="A16" s="4" t="s">
        <v>21</v>
      </c>
      <c r="B16" s="4" t="s">
        <v>38</v>
      </c>
      <c r="C16" s="4" t="s">
        <v>50</v>
      </c>
      <c r="D16" s="4" t="s">
        <v>48</v>
      </c>
      <c r="E16" s="4" t="s">
        <v>49</v>
      </c>
      <c r="F16" s="4" t="s">
        <v>25</v>
      </c>
      <c r="G16" s="4" t="s">
        <v>25</v>
      </c>
      <c r="H16" s="4" t="s">
        <v>33</v>
      </c>
      <c r="I16" s="5">
        <v>44440</v>
      </c>
      <c r="J16" s="6">
        <v>245</v>
      </c>
      <c r="K16" s="6">
        <v>230.3</v>
      </c>
      <c r="L16" s="6">
        <v>11.743</v>
      </c>
      <c r="M16" s="6">
        <v>11.03842</v>
      </c>
      <c r="N16" s="6">
        <v>11.743</v>
      </c>
      <c r="O16" s="6">
        <v>11.03842</v>
      </c>
      <c r="P16" s="6">
        <v>0</v>
      </c>
      <c r="Q16" s="4" t="s">
        <v>26</v>
      </c>
      <c r="R16" s="4">
        <v>0</v>
      </c>
      <c r="S16" s="4" t="s">
        <v>113</v>
      </c>
      <c r="T16" s="4" t="s">
        <v>327</v>
      </c>
      <c r="U16" s="4">
        <v>1</v>
      </c>
      <c r="V16" s="4">
        <v>11</v>
      </c>
      <c r="W16" s="4">
        <v>66</v>
      </c>
    </row>
    <row r="17" spans="1:23" ht="11.25" customHeight="1" x14ac:dyDescent="0.25">
      <c r="A17" s="4" t="s">
        <v>21</v>
      </c>
      <c r="B17" s="4" t="s">
        <v>38</v>
      </c>
      <c r="C17" s="4" t="s">
        <v>50</v>
      </c>
      <c r="D17" s="4" t="s">
        <v>48</v>
      </c>
      <c r="E17" s="4" t="s">
        <v>49</v>
      </c>
      <c r="F17" s="4" t="s">
        <v>25</v>
      </c>
      <c r="G17" s="4" t="s">
        <v>25</v>
      </c>
      <c r="H17" s="4" t="s">
        <v>33</v>
      </c>
      <c r="I17" s="5">
        <v>44470</v>
      </c>
      <c r="J17" s="6">
        <v>245</v>
      </c>
      <c r="K17" s="6">
        <v>230.3</v>
      </c>
      <c r="L17" s="6">
        <v>10.788</v>
      </c>
      <c r="M17" s="6">
        <v>10.14072</v>
      </c>
      <c r="N17" s="6">
        <v>10.788</v>
      </c>
      <c r="O17" s="6">
        <v>10.14072</v>
      </c>
      <c r="P17" s="6">
        <v>0</v>
      </c>
      <c r="Q17" s="4" t="s">
        <v>26</v>
      </c>
      <c r="R17" s="4">
        <v>0</v>
      </c>
      <c r="S17" s="4" t="s">
        <v>114</v>
      </c>
      <c r="T17" s="4" t="s">
        <v>328</v>
      </c>
      <c r="U17" s="4">
        <v>1</v>
      </c>
      <c r="V17" s="4">
        <v>11</v>
      </c>
      <c r="W17" s="4">
        <v>66</v>
      </c>
    </row>
    <row r="18" spans="1:23" ht="11.25" customHeight="1" x14ac:dyDescent="0.25">
      <c r="A18" s="4" t="s">
        <v>21</v>
      </c>
      <c r="B18" s="4" t="s">
        <v>38</v>
      </c>
      <c r="C18" s="4" t="s">
        <v>50</v>
      </c>
      <c r="D18" s="4" t="s">
        <v>48</v>
      </c>
      <c r="E18" s="4" t="s">
        <v>49</v>
      </c>
      <c r="F18" s="4" t="s">
        <v>25</v>
      </c>
      <c r="G18" s="4" t="s">
        <v>25</v>
      </c>
      <c r="H18" s="4" t="s">
        <v>33</v>
      </c>
      <c r="I18" s="5">
        <v>44501</v>
      </c>
      <c r="J18" s="6">
        <v>245</v>
      </c>
      <c r="K18" s="6">
        <v>230.3</v>
      </c>
      <c r="L18" s="6">
        <v>11.489000000000001</v>
      </c>
      <c r="M18" s="6">
        <v>10.799659999999999</v>
      </c>
      <c r="N18" s="6">
        <v>11.489000000000001</v>
      </c>
      <c r="O18" s="6">
        <v>10.799659999999999</v>
      </c>
      <c r="P18" s="6">
        <v>0</v>
      </c>
      <c r="Q18" s="4" t="s">
        <v>26</v>
      </c>
      <c r="R18" s="4">
        <v>0</v>
      </c>
      <c r="S18" s="4" t="s">
        <v>115</v>
      </c>
      <c r="T18" s="4" t="s">
        <v>329</v>
      </c>
      <c r="U18" s="4">
        <v>1</v>
      </c>
      <c r="V18" s="4">
        <v>11</v>
      </c>
      <c r="W18" s="4">
        <v>66</v>
      </c>
    </row>
    <row r="19" spans="1:23" ht="11.25" customHeight="1" x14ac:dyDescent="0.25">
      <c r="A19" s="4" t="s">
        <v>21</v>
      </c>
      <c r="B19" s="4" t="s">
        <v>38</v>
      </c>
      <c r="C19" s="4" t="s">
        <v>50</v>
      </c>
      <c r="D19" s="4" t="s">
        <v>48</v>
      </c>
      <c r="E19" s="4" t="s">
        <v>49</v>
      </c>
      <c r="F19" s="4" t="s">
        <v>25</v>
      </c>
      <c r="G19" s="4" t="s">
        <v>25</v>
      </c>
      <c r="H19" s="4" t="s">
        <v>33</v>
      </c>
      <c r="I19" s="5">
        <v>44531</v>
      </c>
      <c r="J19" s="6">
        <v>245</v>
      </c>
      <c r="K19" s="6">
        <v>230.3</v>
      </c>
      <c r="L19" s="6">
        <v>12.214</v>
      </c>
      <c r="M19" s="6">
        <v>11.481159999999999</v>
      </c>
      <c r="N19" s="6">
        <v>12.214</v>
      </c>
      <c r="O19" s="6">
        <v>11.481159999999999</v>
      </c>
      <c r="P19" s="6">
        <v>0</v>
      </c>
      <c r="Q19" s="4" t="s">
        <v>26</v>
      </c>
      <c r="R19" s="4">
        <v>0</v>
      </c>
      <c r="S19" s="4" t="s">
        <v>116</v>
      </c>
      <c r="T19" s="4" t="s">
        <v>330</v>
      </c>
      <c r="U19" s="4">
        <v>1</v>
      </c>
      <c r="V19" s="4">
        <v>11</v>
      </c>
      <c r="W19" s="4">
        <v>66</v>
      </c>
    </row>
    <row r="20" spans="1:23" ht="11.25" customHeight="1" x14ac:dyDescent="0.25">
      <c r="A20" s="4" t="s">
        <v>21</v>
      </c>
      <c r="B20" s="4" t="s">
        <v>38</v>
      </c>
      <c r="C20" s="4" t="s">
        <v>50</v>
      </c>
      <c r="D20" s="4" t="s">
        <v>48</v>
      </c>
      <c r="E20" s="4" t="s">
        <v>49</v>
      </c>
      <c r="F20" s="4" t="s">
        <v>25</v>
      </c>
      <c r="G20" s="4" t="s">
        <v>25</v>
      </c>
      <c r="H20" s="4" t="s">
        <v>33</v>
      </c>
      <c r="I20" s="5">
        <v>44562</v>
      </c>
      <c r="J20" s="6">
        <v>245</v>
      </c>
      <c r="K20" s="6">
        <v>230.3</v>
      </c>
      <c r="L20" s="6">
        <v>11.095000000000001</v>
      </c>
      <c r="M20" s="6">
        <v>10.4293</v>
      </c>
      <c r="N20" s="6">
        <v>11.095000000000001</v>
      </c>
      <c r="O20" s="6">
        <v>10.4293</v>
      </c>
      <c r="P20" s="6">
        <v>0</v>
      </c>
      <c r="Q20" s="4" t="s">
        <v>26</v>
      </c>
      <c r="R20" s="4">
        <v>0</v>
      </c>
      <c r="S20" s="4" t="s">
        <v>117</v>
      </c>
      <c r="T20" s="4" t="s">
        <v>331</v>
      </c>
      <c r="U20" s="4">
        <v>1</v>
      </c>
      <c r="V20" s="4">
        <v>11</v>
      </c>
      <c r="W20" s="4">
        <v>66</v>
      </c>
    </row>
    <row r="21" spans="1:23" ht="11.25" customHeight="1" x14ac:dyDescent="0.25">
      <c r="A21" s="4" t="s">
        <v>21</v>
      </c>
      <c r="B21" s="4" t="s">
        <v>38</v>
      </c>
      <c r="C21" s="4" t="s">
        <v>50</v>
      </c>
      <c r="D21" s="4" t="s">
        <v>48</v>
      </c>
      <c r="E21" s="4" t="s">
        <v>49</v>
      </c>
      <c r="F21" s="4" t="s">
        <v>25</v>
      </c>
      <c r="G21" s="4" t="s">
        <v>25</v>
      </c>
      <c r="H21" s="4" t="s">
        <v>33</v>
      </c>
      <c r="I21" s="5">
        <v>44593</v>
      </c>
      <c r="J21" s="6">
        <v>245</v>
      </c>
      <c r="K21" s="6">
        <v>230.3</v>
      </c>
      <c r="L21" s="6">
        <v>10.555</v>
      </c>
      <c r="M21" s="6">
        <v>9.9216999999999995</v>
      </c>
      <c r="N21" s="6">
        <v>10.555</v>
      </c>
      <c r="O21" s="6">
        <v>9.9216999999999995</v>
      </c>
      <c r="P21" s="6">
        <v>0</v>
      </c>
      <c r="Q21" s="4" t="s">
        <v>26</v>
      </c>
      <c r="R21" s="4">
        <v>0</v>
      </c>
      <c r="S21" s="4" t="s">
        <v>118</v>
      </c>
      <c r="T21" s="4" t="s">
        <v>332</v>
      </c>
      <c r="U21" s="4">
        <v>1</v>
      </c>
      <c r="V21" s="4">
        <v>11</v>
      </c>
      <c r="W21" s="4">
        <v>66</v>
      </c>
    </row>
    <row r="22" spans="1:23" ht="11.25" customHeight="1" x14ac:dyDescent="0.25">
      <c r="A22" s="4" t="s">
        <v>21</v>
      </c>
      <c r="B22" s="4" t="s">
        <v>38</v>
      </c>
      <c r="C22" s="4" t="s">
        <v>50</v>
      </c>
      <c r="D22" s="4" t="s">
        <v>48</v>
      </c>
      <c r="E22" s="4" t="s">
        <v>49</v>
      </c>
      <c r="F22" s="4" t="s">
        <v>25</v>
      </c>
      <c r="G22" s="4" t="s">
        <v>25</v>
      </c>
      <c r="H22" s="4" t="s">
        <v>33</v>
      </c>
      <c r="I22" s="5">
        <v>44621</v>
      </c>
      <c r="J22" s="6">
        <v>245</v>
      </c>
      <c r="K22" s="6">
        <v>230.3</v>
      </c>
      <c r="L22" s="6">
        <v>12.113</v>
      </c>
      <c r="M22" s="6">
        <v>11.38622</v>
      </c>
      <c r="N22" s="6">
        <v>12.113</v>
      </c>
      <c r="O22" s="6">
        <v>11.38622</v>
      </c>
      <c r="P22" s="6">
        <v>0</v>
      </c>
      <c r="Q22" s="4" t="s">
        <v>26</v>
      </c>
      <c r="R22" s="4">
        <v>0</v>
      </c>
      <c r="S22" s="4" t="s">
        <v>119</v>
      </c>
      <c r="T22" s="4" t="s">
        <v>333</v>
      </c>
      <c r="U22" s="4">
        <v>1</v>
      </c>
      <c r="V22" s="4">
        <v>11</v>
      </c>
      <c r="W22" s="4">
        <v>66</v>
      </c>
    </row>
    <row r="23" spans="1:23" ht="11.25" customHeight="1" x14ac:dyDescent="0.25">
      <c r="A23" s="4" t="s">
        <v>21</v>
      </c>
      <c r="B23" s="4" t="s">
        <v>38</v>
      </c>
      <c r="C23" s="4" t="s">
        <v>50</v>
      </c>
      <c r="D23" s="4" t="s">
        <v>48</v>
      </c>
      <c r="E23" s="4" t="s">
        <v>49</v>
      </c>
      <c r="F23" s="4" t="s">
        <v>25</v>
      </c>
      <c r="G23" s="4" t="s">
        <v>25</v>
      </c>
      <c r="H23" s="4" t="s">
        <v>33</v>
      </c>
      <c r="I23" s="5">
        <v>44652</v>
      </c>
      <c r="J23" s="6">
        <v>245</v>
      </c>
      <c r="K23" s="6">
        <v>230.3</v>
      </c>
      <c r="L23" s="6">
        <v>9.4809999999999999</v>
      </c>
      <c r="M23" s="6">
        <v>8.9121400000000008</v>
      </c>
      <c r="N23" s="6">
        <v>9.4809999999999999</v>
      </c>
      <c r="O23" s="6">
        <v>8.9121400000000008</v>
      </c>
      <c r="P23" s="6">
        <v>0</v>
      </c>
      <c r="Q23" s="4" t="s">
        <v>26</v>
      </c>
      <c r="R23" s="4">
        <v>0</v>
      </c>
      <c r="S23" s="4" t="s">
        <v>120</v>
      </c>
      <c r="T23" s="4" t="s">
        <v>334</v>
      </c>
      <c r="U23" s="4">
        <v>1</v>
      </c>
      <c r="V23" s="4">
        <v>11</v>
      </c>
      <c r="W23" s="4">
        <v>66</v>
      </c>
    </row>
    <row r="24" spans="1:23" ht="11.25" customHeight="1" x14ac:dyDescent="0.25">
      <c r="A24" s="4" t="s">
        <v>21</v>
      </c>
      <c r="B24" s="4" t="s">
        <v>38</v>
      </c>
      <c r="C24" s="4" t="s">
        <v>50</v>
      </c>
      <c r="D24" s="4" t="s">
        <v>48</v>
      </c>
      <c r="E24" s="4" t="s">
        <v>49</v>
      </c>
      <c r="F24" s="4" t="s">
        <v>25</v>
      </c>
      <c r="G24" s="4" t="s">
        <v>25</v>
      </c>
      <c r="H24" s="4" t="s">
        <v>33</v>
      </c>
      <c r="I24" s="5">
        <v>44682</v>
      </c>
      <c r="J24" s="6">
        <v>245</v>
      </c>
      <c r="K24" s="6">
        <v>230.3</v>
      </c>
      <c r="L24" s="6">
        <v>11.755000000000001</v>
      </c>
      <c r="M24" s="6">
        <v>11.0497</v>
      </c>
      <c r="N24" s="6">
        <v>11.755000000000001</v>
      </c>
      <c r="O24" s="6">
        <v>11.0497</v>
      </c>
      <c r="P24" s="6">
        <v>0</v>
      </c>
      <c r="Q24" s="4" t="s">
        <v>26</v>
      </c>
      <c r="R24" s="4">
        <v>0</v>
      </c>
      <c r="S24" s="4" t="s">
        <v>121</v>
      </c>
      <c r="T24" s="4" t="s">
        <v>335</v>
      </c>
      <c r="U24" s="4">
        <v>1</v>
      </c>
      <c r="V24" s="4">
        <v>11</v>
      </c>
      <c r="W24" s="4">
        <v>66</v>
      </c>
    </row>
    <row r="25" spans="1:23" ht="11.25" customHeight="1" x14ac:dyDescent="0.25">
      <c r="A25" s="4" t="s">
        <v>55</v>
      </c>
      <c r="B25" s="4" t="s">
        <v>38</v>
      </c>
      <c r="C25" s="4" t="s">
        <v>50</v>
      </c>
      <c r="D25" s="4" t="s">
        <v>48</v>
      </c>
      <c r="E25" s="4" t="s">
        <v>49</v>
      </c>
      <c r="F25" s="4" t="s">
        <v>25</v>
      </c>
      <c r="G25" s="4" t="s">
        <v>25</v>
      </c>
      <c r="H25" s="4" t="s">
        <v>33</v>
      </c>
      <c r="I25" s="5">
        <v>44713</v>
      </c>
      <c r="J25" s="6">
        <v>245</v>
      </c>
      <c r="K25" s="6">
        <v>230.3</v>
      </c>
      <c r="L25" s="6">
        <v>11.755000000000001</v>
      </c>
      <c r="M25" s="6">
        <v>11.0497</v>
      </c>
      <c r="N25" s="6">
        <v>11.755000000000001</v>
      </c>
      <c r="O25" s="6">
        <v>11.0497</v>
      </c>
      <c r="P25" s="6">
        <v>0</v>
      </c>
      <c r="Q25" s="4" t="s">
        <v>26</v>
      </c>
      <c r="R25" s="4">
        <v>0</v>
      </c>
      <c r="S25" s="4" t="s">
        <v>122</v>
      </c>
      <c r="T25" s="4" t="s">
        <v>336</v>
      </c>
      <c r="U25" s="4">
        <v>1</v>
      </c>
      <c r="V25" s="4">
        <v>11</v>
      </c>
      <c r="W25" s="4">
        <v>66</v>
      </c>
    </row>
    <row r="26" spans="1:23" ht="11.25" customHeight="1" x14ac:dyDescent="0.25">
      <c r="A26" s="4" t="s">
        <v>21</v>
      </c>
      <c r="B26" s="4" t="s">
        <v>38</v>
      </c>
      <c r="C26" s="4" t="s">
        <v>58</v>
      </c>
      <c r="D26" s="4" t="s">
        <v>25</v>
      </c>
      <c r="E26" s="4" t="s">
        <v>25</v>
      </c>
      <c r="F26" s="4" t="s">
        <v>25</v>
      </c>
      <c r="G26" s="4" t="s">
        <v>59</v>
      </c>
      <c r="H26" s="4" t="s">
        <v>25</v>
      </c>
      <c r="I26" s="5">
        <v>44378</v>
      </c>
      <c r="J26" s="6">
        <v>900</v>
      </c>
      <c r="K26" s="6">
        <v>450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60</v>
      </c>
      <c r="R26" s="4">
        <v>30634</v>
      </c>
      <c r="S26" s="4" t="s">
        <v>123</v>
      </c>
      <c r="U26" s="4">
        <v>5</v>
      </c>
      <c r="V26" s="4">
        <v>0</v>
      </c>
      <c r="W26" s="4">
        <v>0</v>
      </c>
    </row>
    <row r="27" spans="1:23" ht="11.25" customHeight="1" x14ac:dyDescent="0.25">
      <c r="A27" s="4" t="s">
        <v>21</v>
      </c>
      <c r="B27" s="4" t="s">
        <v>38</v>
      </c>
      <c r="C27" s="4" t="s">
        <v>58</v>
      </c>
      <c r="D27" s="4" t="s">
        <v>25</v>
      </c>
      <c r="E27" s="4" t="s">
        <v>25</v>
      </c>
      <c r="F27" s="4" t="s">
        <v>25</v>
      </c>
      <c r="G27" s="4" t="s">
        <v>61</v>
      </c>
      <c r="H27" s="4" t="s">
        <v>25</v>
      </c>
      <c r="I27" s="5">
        <v>44378</v>
      </c>
      <c r="J27" s="6">
        <v>780</v>
      </c>
      <c r="K27" s="6">
        <v>390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60</v>
      </c>
      <c r="R27" s="4">
        <v>2430</v>
      </c>
      <c r="S27" s="4" t="s">
        <v>123</v>
      </c>
      <c r="U27" s="4">
        <v>5</v>
      </c>
      <c r="V27" s="4">
        <v>0</v>
      </c>
      <c r="W27" s="4">
        <v>0</v>
      </c>
    </row>
    <row r="28" spans="1:23" ht="11.25" customHeight="1" x14ac:dyDescent="0.25">
      <c r="A28" s="4" t="s">
        <v>21</v>
      </c>
      <c r="B28" s="4" t="s">
        <v>38</v>
      </c>
      <c r="C28" s="4" t="s">
        <v>58</v>
      </c>
      <c r="D28" s="4" t="s">
        <v>25</v>
      </c>
      <c r="E28" s="4" t="s">
        <v>25</v>
      </c>
      <c r="F28" s="4" t="s">
        <v>25</v>
      </c>
      <c r="G28" s="4" t="s">
        <v>59</v>
      </c>
      <c r="H28" s="4" t="s">
        <v>25</v>
      </c>
      <c r="I28" s="5">
        <v>44409</v>
      </c>
      <c r="J28" s="6">
        <v>900</v>
      </c>
      <c r="K28" s="6">
        <v>450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60</v>
      </c>
      <c r="R28" s="4">
        <v>30634</v>
      </c>
      <c r="S28" s="4" t="s">
        <v>124</v>
      </c>
      <c r="U28" s="4">
        <v>5</v>
      </c>
      <c r="V28" s="4">
        <v>0</v>
      </c>
      <c r="W28" s="4">
        <v>0</v>
      </c>
    </row>
    <row r="29" spans="1:23" ht="11.25" customHeight="1" x14ac:dyDescent="0.25">
      <c r="A29" s="4" t="s">
        <v>21</v>
      </c>
      <c r="B29" s="4" t="s">
        <v>38</v>
      </c>
      <c r="C29" s="4" t="s">
        <v>58</v>
      </c>
      <c r="D29" s="4" t="s">
        <v>25</v>
      </c>
      <c r="E29" s="4" t="s">
        <v>25</v>
      </c>
      <c r="F29" s="4" t="s">
        <v>25</v>
      </c>
      <c r="G29" s="4" t="s">
        <v>61</v>
      </c>
      <c r="H29" s="4" t="s">
        <v>25</v>
      </c>
      <c r="I29" s="5">
        <v>44409</v>
      </c>
      <c r="J29" s="6">
        <v>780</v>
      </c>
      <c r="K29" s="6">
        <v>390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60</v>
      </c>
      <c r="R29" s="4">
        <v>2430</v>
      </c>
      <c r="S29" s="4" t="s">
        <v>124</v>
      </c>
      <c r="U29" s="4">
        <v>5</v>
      </c>
      <c r="V29" s="4">
        <v>0</v>
      </c>
      <c r="W29" s="4">
        <v>0</v>
      </c>
    </row>
    <row r="30" spans="1:23" ht="11.25" customHeight="1" x14ac:dyDescent="0.25">
      <c r="A30" s="4" t="s">
        <v>21</v>
      </c>
      <c r="B30" s="4" t="s">
        <v>38</v>
      </c>
      <c r="C30" s="4" t="s">
        <v>58</v>
      </c>
      <c r="D30" s="4" t="s">
        <v>25</v>
      </c>
      <c r="E30" s="4" t="s">
        <v>25</v>
      </c>
      <c r="F30" s="4" t="s">
        <v>25</v>
      </c>
      <c r="G30" s="4" t="s">
        <v>59</v>
      </c>
      <c r="H30" s="4" t="s">
        <v>25</v>
      </c>
      <c r="I30" s="5">
        <v>44440</v>
      </c>
      <c r="J30" s="6">
        <v>961</v>
      </c>
      <c r="K30" s="6">
        <v>480.5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60</v>
      </c>
      <c r="R30" s="4">
        <v>30634</v>
      </c>
      <c r="S30" s="4" t="s">
        <v>125</v>
      </c>
      <c r="U30" s="4">
        <v>5</v>
      </c>
      <c r="V30" s="4">
        <v>0</v>
      </c>
      <c r="W30" s="4">
        <v>0</v>
      </c>
    </row>
    <row r="31" spans="1:23" ht="11.25" customHeight="1" x14ac:dyDescent="0.25">
      <c r="A31" s="4" t="s">
        <v>21</v>
      </c>
      <c r="B31" s="4" t="s">
        <v>38</v>
      </c>
      <c r="C31" s="4" t="s">
        <v>58</v>
      </c>
      <c r="D31" s="4" t="s">
        <v>25</v>
      </c>
      <c r="E31" s="4" t="s">
        <v>25</v>
      </c>
      <c r="F31" s="4" t="s">
        <v>25</v>
      </c>
      <c r="G31" s="4" t="s">
        <v>61</v>
      </c>
      <c r="H31" s="4" t="s">
        <v>25</v>
      </c>
      <c r="I31" s="5">
        <v>44440</v>
      </c>
      <c r="J31" s="6">
        <v>780</v>
      </c>
      <c r="K31" s="6">
        <v>390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60</v>
      </c>
      <c r="R31" s="4">
        <v>2430</v>
      </c>
      <c r="S31" s="4" t="s">
        <v>125</v>
      </c>
      <c r="U31" s="4">
        <v>5</v>
      </c>
      <c r="V31" s="4">
        <v>0</v>
      </c>
      <c r="W31" s="4">
        <v>0</v>
      </c>
    </row>
    <row r="32" spans="1:23" ht="11.25" customHeight="1" x14ac:dyDescent="0.25">
      <c r="A32" s="4" t="s">
        <v>21</v>
      </c>
      <c r="B32" s="4" t="s">
        <v>38</v>
      </c>
      <c r="C32" s="4" t="s">
        <v>58</v>
      </c>
      <c r="D32" s="4" t="s">
        <v>25</v>
      </c>
      <c r="E32" s="4" t="s">
        <v>25</v>
      </c>
      <c r="F32" s="4" t="s">
        <v>25</v>
      </c>
      <c r="G32" s="4" t="s">
        <v>59</v>
      </c>
      <c r="H32" s="4" t="s">
        <v>25</v>
      </c>
      <c r="I32" s="5">
        <v>44470</v>
      </c>
      <c r="J32" s="6">
        <v>963</v>
      </c>
      <c r="K32" s="6">
        <v>481.5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60</v>
      </c>
      <c r="R32" s="4">
        <v>30634</v>
      </c>
      <c r="S32" s="4" t="s">
        <v>126</v>
      </c>
      <c r="U32" s="4">
        <v>5</v>
      </c>
      <c r="V32" s="4">
        <v>0</v>
      </c>
      <c r="W32" s="4">
        <v>0</v>
      </c>
    </row>
    <row r="33" spans="1:23" ht="11.25" customHeight="1" x14ac:dyDescent="0.25">
      <c r="A33" s="4" t="s">
        <v>21</v>
      </c>
      <c r="B33" s="4" t="s">
        <v>38</v>
      </c>
      <c r="C33" s="4" t="s">
        <v>58</v>
      </c>
      <c r="D33" s="4" t="s">
        <v>25</v>
      </c>
      <c r="E33" s="4" t="s">
        <v>25</v>
      </c>
      <c r="F33" s="4" t="s">
        <v>25</v>
      </c>
      <c r="G33" s="4" t="s">
        <v>61</v>
      </c>
      <c r="H33" s="4" t="s">
        <v>25</v>
      </c>
      <c r="I33" s="5">
        <v>44470</v>
      </c>
      <c r="J33" s="6">
        <v>780</v>
      </c>
      <c r="K33" s="6">
        <v>390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60</v>
      </c>
      <c r="R33" s="4">
        <v>2430</v>
      </c>
      <c r="S33" s="4" t="s">
        <v>126</v>
      </c>
      <c r="U33" s="4">
        <v>5</v>
      </c>
      <c r="V33" s="4">
        <v>0</v>
      </c>
      <c r="W33" s="4">
        <v>0</v>
      </c>
    </row>
    <row r="34" spans="1:23" ht="11.25" customHeight="1" x14ac:dyDescent="0.25">
      <c r="A34" s="4" t="s">
        <v>21</v>
      </c>
      <c r="B34" s="4" t="s">
        <v>38</v>
      </c>
      <c r="C34" s="4" t="s">
        <v>58</v>
      </c>
      <c r="D34" s="4" t="s">
        <v>25</v>
      </c>
      <c r="E34" s="4" t="s">
        <v>25</v>
      </c>
      <c r="F34" s="4" t="s">
        <v>25</v>
      </c>
      <c r="G34" s="4" t="s">
        <v>59</v>
      </c>
      <c r="H34" s="4" t="s">
        <v>25</v>
      </c>
      <c r="I34" s="5">
        <v>44501</v>
      </c>
      <c r="J34" s="6">
        <v>952</v>
      </c>
      <c r="K34" s="6">
        <v>476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60</v>
      </c>
      <c r="R34" s="4">
        <v>30634</v>
      </c>
      <c r="S34" s="4" t="s">
        <v>127</v>
      </c>
      <c r="U34" s="4">
        <v>5</v>
      </c>
      <c r="V34" s="4">
        <v>0</v>
      </c>
      <c r="W34" s="4">
        <v>0</v>
      </c>
    </row>
    <row r="35" spans="1:23" ht="11.25" customHeight="1" x14ac:dyDescent="0.25">
      <c r="A35" s="4" t="s">
        <v>21</v>
      </c>
      <c r="B35" s="4" t="s">
        <v>38</v>
      </c>
      <c r="C35" s="4" t="s">
        <v>58</v>
      </c>
      <c r="D35" s="4" t="s">
        <v>25</v>
      </c>
      <c r="E35" s="4" t="s">
        <v>25</v>
      </c>
      <c r="F35" s="4" t="s">
        <v>25</v>
      </c>
      <c r="G35" s="4" t="s">
        <v>61</v>
      </c>
      <c r="H35" s="4" t="s">
        <v>25</v>
      </c>
      <c r="I35" s="5">
        <v>44501</v>
      </c>
      <c r="J35" s="6">
        <v>780</v>
      </c>
      <c r="K35" s="6">
        <v>390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60</v>
      </c>
      <c r="R35" s="4">
        <v>2430</v>
      </c>
      <c r="S35" s="4" t="s">
        <v>127</v>
      </c>
      <c r="U35" s="4">
        <v>5</v>
      </c>
      <c r="V35" s="4">
        <v>0</v>
      </c>
      <c r="W35" s="4">
        <v>0</v>
      </c>
    </row>
    <row r="36" spans="1:23" ht="11.25" customHeight="1" x14ac:dyDescent="0.25">
      <c r="A36" s="4" t="s">
        <v>21</v>
      </c>
      <c r="B36" s="4" t="s">
        <v>38</v>
      </c>
      <c r="C36" s="4" t="s">
        <v>58</v>
      </c>
      <c r="D36" s="4" t="s">
        <v>25</v>
      </c>
      <c r="E36" s="4" t="s">
        <v>25</v>
      </c>
      <c r="F36" s="4" t="s">
        <v>25</v>
      </c>
      <c r="G36" s="4" t="s">
        <v>59</v>
      </c>
      <c r="H36" s="4" t="s">
        <v>25</v>
      </c>
      <c r="I36" s="5">
        <v>44531</v>
      </c>
      <c r="J36" s="6">
        <v>900</v>
      </c>
      <c r="K36" s="6">
        <v>450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60</v>
      </c>
      <c r="R36" s="4">
        <v>30634</v>
      </c>
      <c r="S36" s="4" t="s">
        <v>128</v>
      </c>
      <c r="U36" s="4">
        <v>5</v>
      </c>
      <c r="V36" s="4">
        <v>0</v>
      </c>
      <c r="W36" s="4">
        <v>0</v>
      </c>
    </row>
    <row r="37" spans="1:23" ht="11.25" customHeight="1" x14ac:dyDescent="0.25">
      <c r="A37" s="4" t="s">
        <v>21</v>
      </c>
      <c r="B37" s="4" t="s">
        <v>38</v>
      </c>
      <c r="C37" s="4" t="s">
        <v>58</v>
      </c>
      <c r="D37" s="4" t="s">
        <v>25</v>
      </c>
      <c r="E37" s="4" t="s">
        <v>25</v>
      </c>
      <c r="F37" s="4" t="s">
        <v>25</v>
      </c>
      <c r="G37" s="4" t="s">
        <v>61</v>
      </c>
      <c r="H37" s="4" t="s">
        <v>25</v>
      </c>
      <c r="I37" s="5">
        <v>44531</v>
      </c>
      <c r="J37" s="6">
        <v>780</v>
      </c>
      <c r="K37" s="6">
        <v>390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60</v>
      </c>
      <c r="R37" s="4">
        <v>2430</v>
      </c>
      <c r="S37" s="4" t="s">
        <v>128</v>
      </c>
      <c r="U37" s="4">
        <v>5</v>
      </c>
      <c r="V37" s="4">
        <v>0</v>
      </c>
      <c r="W37" s="4">
        <v>0</v>
      </c>
    </row>
    <row r="38" spans="1:23" ht="11.25" customHeight="1" x14ac:dyDescent="0.25">
      <c r="A38" s="4" t="s">
        <v>21</v>
      </c>
      <c r="B38" s="4" t="s">
        <v>38</v>
      </c>
      <c r="C38" s="4" t="s">
        <v>58</v>
      </c>
      <c r="D38" s="4" t="s">
        <v>25</v>
      </c>
      <c r="E38" s="4" t="s">
        <v>25</v>
      </c>
      <c r="F38" s="4" t="s">
        <v>25</v>
      </c>
      <c r="G38" s="4" t="s">
        <v>59</v>
      </c>
      <c r="H38" s="4" t="s">
        <v>25</v>
      </c>
      <c r="I38" s="5">
        <v>44562</v>
      </c>
      <c r="J38" s="6">
        <v>900</v>
      </c>
      <c r="K38" s="6">
        <v>450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60</v>
      </c>
      <c r="R38" s="4">
        <v>30634</v>
      </c>
      <c r="S38" s="4" t="s">
        <v>129</v>
      </c>
      <c r="U38" s="4">
        <v>5</v>
      </c>
      <c r="V38" s="4">
        <v>0</v>
      </c>
      <c r="W38" s="4">
        <v>0</v>
      </c>
    </row>
    <row r="39" spans="1:23" ht="11.25" customHeight="1" x14ac:dyDescent="0.25">
      <c r="A39" s="4" t="s">
        <v>21</v>
      </c>
      <c r="B39" s="4" t="s">
        <v>38</v>
      </c>
      <c r="C39" s="4" t="s">
        <v>58</v>
      </c>
      <c r="D39" s="4" t="s">
        <v>25</v>
      </c>
      <c r="E39" s="4" t="s">
        <v>25</v>
      </c>
      <c r="F39" s="4" t="s">
        <v>25</v>
      </c>
      <c r="G39" s="4" t="s">
        <v>61</v>
      </c>
      <c r="H39" s="4" t="s">
        <v>25</v>
      </c>
      <c r="I39" s="5">
        <v>44562</v>
      </c>
      <c r="J39" s="6">
        <v>780</v>
      </c>
      <c r="K39" s="6">
        <v>390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60</v>
      </c>
      <c r="R39" s="4">
        <v>2430</v>
      </c>
      <c r="S39" s="4" t="s">
        <v>129</v>
      </c>
      <c r="U39" s="4">
        <v>5</v>
      </c>
      <c r="V39" s="4">
        <v>0</v>
      </c>
      <c r="W39" s="4">
        <v>0</v>
      </c>
    </row>
    <row r="40" spans="1:23" ht="11.25" customHeight="1" x14ac:dyDescent="0.25">
      <c r="A40" s="4" t="s">
        <v>21</v>
      </c>
      <c r="B40" s="4" t="s">
        <v>38</v>
      </c>
      <c r="C40" s="4" t="s">
        <v>58</v>
      </c>
      <c r="D40" s="4" t="s">
        <v>25</v>
      </c>
      <c r="E40" s="4" t="s">
        <v>25</v>
      </c>
      <c r="F40" s="4" t="s">
        <v>25</v>
      </c>
      <c r="G40" s="4" t="s">
        <v>59</v>
      </c>
      <c r="H40" s="4" t="s">
        <v>25</v>
      </c>
      <c r="I40" s="5">
        <v>44593</v>
      </c>
      <c r="J40" s="6">
        <v>900</v>
      </c>
      <c r="K40" s="6">
        <v>450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60</v>
      </c>
      <c r="R40" s="4">
        <v>30634</v>
      </c>
      <c r="S40" s="4" t="s">
        <v>130</v>
      </c>
      <c r="U40" s="4">
        <v>5</v>
      </c>
      <c r="V40" s="4">
        <v>0</v>
      </c>
      <c r="W40" s="4">
        <v>0</v>
      </c>
    </row>
    <row r="41" spans="1:23" ht="11.25" customHeight="1" x14ac:dyDescent="0.25">
      <c r="A41" s="4" t="s">
        <v>21</v>
      </c>
      <c r="B41" s="4" t="s">
        <v>38</v>
      </c>
      <c r="C41" s="4" t="s">
        <v>58</v>
      </c>
      <c r="D41" s="4" t="s">
        <v>25</v>
      </c>
      <c r="E41" s="4" t="s">
        <v>25</v>
      </c>
      <c r="F41" s="4" t="s">
        <v>25</v>
      </c>
      <c r="G41" s="4" t="s">
        <v>61</v>
      </c>
      <c r="H41" s="4" t="s">
        <v>25</v>
      </c>
      <c r="I41" s="5">
        <v>44593</v>
      </c>
      <c r="J41" s="6">
        <v>780</v>
      </c>
      <c r="K41" s="6">
        <v>390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60</v>
      </c>
      <c r="R41" s="4">
        <v>2430</v>
      </c>
      <c r="S41" s="4" t="s">
        <v>130</v>
      </c>
      <c r="U41" s="4">
        <v>5</v>
      </c>
      <c r="V41" s="4">
        <v>0</v>
      </c>
      <c r="W41" s="4">
        <v>0</v>
      </c>
    </row>
    <row r="42" spans="1:23" ht="11.25" customHeight="1" x14ac:dyDescent="0.25">
      <c r="A42" s="4" t="s">
        <v>21</v>
      </c>
      <c r="B42" s="4" t="s">
        <v>38</v>
      </c>
      <c r="C42" s="4" t="s">
        <v>58</v>
      </c>
      <c r="D42" s="4" t="s">
        <v>25</v>
      </c>
      <c r="E42" s="4" t="s">
        <v>25</v>
      </c>
      <c r="F42" s="4" t="s">
        <v>25</v>
      </c>
      <c r="G42" s="4" t="s">
        <v>59</v>
      </c>
      <c r="H42" s="4" t="s">
        <v>25</v>
      </c>
      <c r="I42" s="5">
        <v>44621</v>
      </c>
      <c r="J42" s="6">
        <v>900</v>
      </c>
      <c r="K42" s="6">
        <v>450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60</v>
      </c>
      <c r="R42" s="4">
        <v>30634</v>
      </c>
      <c r="S42" s="4" t="s">
        <v>131</v>
      </c>
      <c r="U42" s="4">
        <v>5</v>
      </c>
      <c r="V42" s="4">
        <v>0</v>
      </c>
      <c r="W42" s="4">
        <v>0</v>
      </c>
    </row>
    <row r="43" spans="1:23" ht="11.25" customHeight="1" x14ac:dyDescent="0.25">
      <c r="A43" s="4" t="s">
        <v>21</v>
      </c>
      <c r="B43" s="4" t="s">
        <v>38</v>
      </c>
      <c r="C43" s="4" t="s">
        <v>58</v>
      </c>
      <c r="D43" s="4" t="s">
        <v>25</v>
      </c>
      <c r="E43" s="4" t="s">
        <v>25</v>
      </c>
      <c r="F43" s="4" t="s">
        <v>25</v>
      </c>
      <c r="G43" s="4" t="s">
        <v>61</v>
      </c>
      <c r="H43" s="4" t="s">
        <v>25</v>
      </c>
      <c r="I43" s="5">
        <v>44621</v>
      </c>
      <c r="J43" s="6">
        <v>780</v>
      </c>
      <c r="K43" s="6">
        <v>390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60</v>
      </c>
      <c r="R43" s="4">
        <v>2430</v>
      </c>
      <c r="S43" s="4" t="s">
        <v>131</v>
      </c>
      <c r="U43" s="4">
        <v>5</v>
      </c>
      <c r="V43" s="4">
        <v>0</v>
      </c>
      <c r="W43" s="4">
        <v>0</v>
      </c>
    </row>
    <row r="44" spans="1:23" ht="11.25" customHeight="1" x14ac:dyDescent="0.25">
      <c r="A44" s="4" t="s">
        <v>21</v>
      </c>
      <c r="B44" s="4" t="s">
        <v>38</v>
      </c>
      <c r="C44" s="4" t="s">
        <v>58</v>
      </c>
      <c r="D44" s="4" t="s">
        <v>25</v>
      </c>
      <c r="E44" s="4" t="s">
        <v>25</v>
      </c>
      <c r="F44" s="4" t="s">
        <v>25</v>
      </c>
      <c r="G44" s="4" t="s">
        <v>59</v>
      </c>
      <c r="H44" s="4" t="s">
        <v>25</v>
      </c>
      <c r="I44" s="5">
        <v>44652</v>
      </c>
      <c r="J44" s="6">
        <v>945</v>
      </c>
      <c r="K44" s="6">
        <v>472.5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60</v>
      </c>
      <c r="R44" s="4">
        <v>30634</v>
      </c>
      <c r="S44" s="4" t="s">
        <v>132</v>
      </c>
      <c r="U44" s="4">
        <v>5</v>
      </c>
      <c r="V44" s="4">
        <v>0</v>
      </c>
      <c r="W44" s="4">
        <v>0</v>
      </c>
    </row>
    <row r="45" spans="1:23" ht="11.25" customHeight="1" x14ac:dyDescent="0.25">
      <c r="A45" s="4" t="s">
        <v>21</v>
      </c>
      <c r="B45" s="4" t="s">
        <v>38</v>
      </c>
      <c r="C45" s="4" t="s">
        <v>58</v>
      </c>
      <c r="D45" s="4" t="s">
        <v>25</v>
      </c>
      <c r="E45" s="4" t="s">
        <v>25</v>
      </c>
      <c r="F45" s="4" t="s">
        <v>25</v>
      </c>
      <c r="G45" s="4" t="s">
        <v>61</v>
      </c>
      <c r="H45" s="4" t="s">
        <v>25</v>
      </c>
      <c r="I45" s="5">
        <v>44652</v>
      </c>
      <c r="J45" s="6">
        <v>780</v>
      </c>
      <c r="K45" s="6">
        <v>390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60</v>
      </c>
      <c r="R45" s="4">
        <v>2430</v>
      </c>
      <c r="S45" s="4" t="s">
        <v>132</v>
      </c>
      <c r="U45" s="4">
        <v>5</v>
      </c>
      <c r="V45" s="4">
        <v>0</v>
      </c>
      <c r="W45" s="4">
        <v>0</v>
      </c>
    </row>
    <row r="46" spans="1:23" ht="11.25" customHeight="1" x14ac:dyDescent="0.25">
      <c r="A46" s="4" t="s">
        <v>21</v>
      </c>
      <c r="B46" s="4" t="s">
        <v>38</v>
      </c>
      <c r="C46" s="4" t="s">
        <v>58</v>
      </c>
      <c r="D46" s="4" t="s">
        <v>25</v>
      </c>
      <c r="E46" s="4" t="s">
        <v>25</v>
      </c>
      <c r="F46" s="4" t="s">
        <v>25</v>
      </c>
      <c r="G46" s="4" t="s">
        <v>59</v>
      </c>
      <c r="H46" s="4" t="s">
        <v>25</v>
      </c>
      <c r="I46" s="5">
        <v>44682</v>
      </c>
      <c r="J46" s="6">
        <v>1075</v>
      </c>
      <c r="K46" s="6">
        <v>537.5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60</v>
      </c>
      <c r="R46" s="4">
        <v>30634</v>
      </c>
      <c r="S46" s="4" t="s">
        <v>133</v>
      </c>
      <c r="U46" s="4">
        <v>5</v>
      </c>
      <c r="V46" s="4">
        <v>0</v>
      </c>
      <c r="W46" s="4">
        <v>0</v>
      </c>
    </row>
    <row r="47" spans="1:23" ht="11.25" customHeight="1" x14ac:dyDescent="0.25">
      <c r="A47" s="4" t="s">
        <v>21</v>
      </c>
      <c r="B47" s="4" t="s">
        <v>38</v>
      </c>
      <c r="C47" s="4" t="s">
        <v>58</v>
      </c>
      <c r="D47" s="4" t="s">
        <v>25</v>
      </c>
      <c r="E47" s="4" t="s">
        <v>25</v>
      </c>
      <c r="F47" s="4" t="s">
        <v>25</v>
      </c>
      <c r="G47" s="4" t="s">
        <v>61</v>
      </c>
      <c r="H47" s="4" t="s">
        <v>25</v>
      </c>
      <c r="I47" s="5">
        <v>44682</v>
      </c>
      <c r="J47" s="6">
        <v>780</v>
      </c>
      <c r="K47" s="6">
        <v>390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60</v>
      </c>
      <c r="R47" s="4">
        <v>2430</v>
      </c>
      <c r="S47" s="4" t="s">
        <v>133</v>
      </c>
      <c r="U47" s="4">
        <v>5</v>
      </c>
      <c r="V47" s="4">
        <v>0</v>
      </c>
      <c r="W47" s="4">
        <v>0</v>
      </c>
    </row>
    <row r="48" spans="1:23" ht="11.25" customHeight="1" x14ac:dyDescent="0.25">
      <c r="A48" s="4" t="s">
        <v>55</v>
      </c>
      <c r="B48" s="4" t="s">
        <v>38</v>
      </c>
      <c r="C48" s="4" t="s">
        <v>58</v>
      </c>
      <c r="D48" s="4" t="s">
        <v>25</v>
      </c>
      <c r="E48" s="4" t="s">
        <v>25</v>
      </c>
      <c r="F48" s="4" t="s">
        <v>25</v>
      </c>
      <c r="G48" s="4" t="s">
        <v>59</v>
      </c>
      <c r="H48" s="4" t="s">
        <v>25</v>
      </c>
      <c r="I48" s="5">
        <v>44713</v>
      </c>
      <c r="J48" s="6">
        <v>1075</v>
      </c>
      <c r="K48" s="6">
        <v>537.5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60</v>
      </c>
      <c r="R48" s="4">
        <v>30634</v>
      </c>
      <c r="S48" s="4" t="s">
        <v>134</v>
      </c>
      <c r="U48" s="4">
        <v>5</v>
      </c>
      <c r="V48" s="4">
        <v>0</v>
      </c>
      <c r="W48" s="4">
        <v>0</v>
      </c>
    </row>
    <row r="49" spans="1:23" ht="11.25" customHeight="1" x14ac:dyDescent="0.25">
      <c r="A49" s="4" t="s">
        <v>55</v>
      </c>
      <c r="B49" s="4" t="s">
        <v>38</v>
      </c>
      <c r="C49" s="4" t="s">
        <v>58</v>
      </c>
      <c r="D49" s="4" t="s">
        <v>25</v>
      </c>
      <c r="E49" s="4" t="s">
        <v>25</v>
      </c>
      <c r="F49" s="4" t="s">
        <v>25</v>
      </c>
      <c r="G49" s="4" t="s">
        <v>61</v>
      </c>
      <c r="H49" s="4" t="s">
        <v>25</v>
      </c>
      <c r="I49" s="5">
        <v>44713</v>
      </c>
      <c r="J49" s="6">
        <v>780</v>
      </c>
      <c r="K49" s="6">
        <v>390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60</v>
      </c>
      <c r="R49" s="4">
        <v>2430</v>
      </c>
      <c r="S49" s="4" t="s">
        <v>134</v>
      </c>
      <c r="U49" s="4">
        <v>5</v>
      </c>
      <c r="V49" s="4">
        <v>0</v>
      </c>
      <c r="W49" s="4">
        <v>0</v>
      </c>
    </row>
    <row r="50" spans="1:23" ht="11.25" customHeight="1" x14ac:dyDescent="0.25">
      <c r="A50" s="4" t="s">
        <v>21</v>
      </c>
      <c r="B50" s="4" t="s">
        <v>38</v>
      </c>
      <c r="C50" s="4" t="s">
        <v>39</v>
      </c>
      <c r="D50" s="4" t="s">
        <v>40</v>
      </c>
      <c r="E50" s="4" t="s">
        <v>25</v>
      </c>
      <c r="F50" s="4" t="s">
        <v>25</v>
      </c>
      <c r="G50" s="4" t="s">
        <v>25</v>
      </c>
      <c r="H50" s="4" t="s">
        <v>34</v>
      </c>
      <c r="I50" s="5">
        <v>44378</v>
      </c>
      <c r="J50" s="6">
        <v>0</v>
      </c>
      <c r="K50" s="6">
        <v>0</v>
      </c>
      <c r="L50" s="6">
        <v>99.381</v>
      </c>
      <c r="M50" s="6">
        <v>99.381</v>
      </c>
      <c r="N50" s="6">
        <v>99.381</v>
      </c>
      <c r="O50" s="6">
        <v>99.381</v>
      </c>
      <c r="P50" s="6">
        <v>0</v>
      </c>
      <c r="Q50" s="4" t="s">
        <v>26</v>
      </c>
      <c r="R50" s="4">
        <v>0</v>
      </c>
      <c r="S50" s="4" t="s">
        <v>135</v>
      </c>
      <c r="T50" s="4" t="s">
        <v>313</v>
      </c>
      <c r="U50" s="4">
        <v>0</v>
      </c>
      <c r="V50" s="4">
        <v>17</v>
      </c>
      <c r="W50" s="4">
        <v>78</v>
      </c>
    </row>
    <row r="51" spans="1:23" ht="11.25" customHeight="1" x14ac:dyDescent="0.25">
      <c r="A51" s="4" t="s">
        <v>27</v>
      </c>
      <c r="B51" s="4" t="s">
        <v>38</v>
      </c>
      <c r="C51" s="4" t="s">
        <v>39</v>
      </c>
      <c r="D51" s="4" t="s">
        <v>40</v>
      </c>
      <c r="E51" s="4" t="s">
        <v>25</v>
      </c>
      <c r="F51" s="4" t="s">
        <v>25</v>
      </c>
      <c r="G51" s="4" t="s">
        <v>25</v>
      </c>
      <c r="H51" s="4" t="s">
        <v>34</v>
      </c>
      <c r="I51" s="5">
        <v>44378</v>
      </c>
      <c r="J51" s="6">
        <v>0</v>
      </c>
      <c r="K51" s="6">
        <v>0</v>
      </c>
      <c r="L51" s="6">
        <v>105.495</v>
      </c>
      <c r="M51" s="6">
        <v>105.495</v>
      </c>
      <c r="N51" s="6">
        <v>105.495</v>
      </c>
      <c r="O51" s="6">
        <v>105.495</v>
      </c>
      <c r="P51" s="6">
        <v>0</v>
      </c>
      <c r="Q51" s="4" t="s">
        <v>26</v>
      </c>
      <c r="R51" s="4">
        <v>0</v>
      </c>
      <c r="S51" s="4" t="s">
        <v>135</v>
      </c>
      <c r="T51" s="4" t="s">
        <v>313</v>
      </c>
      <c r="U51" s="4">
        <v>0</v>
      </c>
      <c r="V51" s="4">
        <v>17</v>
      </c>
      <c r="W51" s="4">
        <v>78</v>
      </c>
    </row>
    <row r="52" spans="1:23" ht="11.25" customHeight="1" x14ac:dyDescent="0.25">
      <c r="A52" s="4" t="s">
        <v>21</v>
      </c>
      <c r="B52" s="4" t="s">
        <v>38</v>
      </c>
      <c r="C52" s="4" t="s">
        <v>39</v>
      </c>
      <c r="D52" s="4" t="s">
        <v>40</v>
      </c>
      <c r="E52" s="4" t="s">
        <v>25</v>
      </c>
      <c r="F52" s="4" t="s">
        <v>25</v>
      </c>
      <c r="G52" s="4" t="s">
        <v>25</v>
      </c>
      <c r="H52" s="4" t="s">
        <v>34</v>
      </c>
      <c r="I52" s="5">
        <v>44409</v>
      </c>
      <c r="J52" s="6">
        <v>0</v>
      </c>
      <c r="K52" s="6">
        <v>0</v>
      </c>
      <c r="L52" s="6">
        <v>158.95400000000001</v>
      </c>
      <c r="M52" s="6">
        <v>158.95400000000001</v>
      </c>
      <c r="N52" s="6">
        <v>158.95400000000001</v>
      </c>
      <c r="O52" s="6">
        <v>158.95400000000001</v>
      </c>
      <c r="P52" s="6">
        <v>0</v>
      </c>
      <c r="Q52" s="4" t="s">
        <v>26</v>
      </c>
      <c r="R52" s="4">
        <v>0</v>
      </c>
      <c r="S52" s="4" t="s">
        <v>136</v>
      </c>
      <c r="T52" s="4" t="s">
        <v>314</v>
      </c>
      <c r="U52" s="4">
        <v>0</v>
      </c>
      <c r="V52" s="4">
        <v>17</v>
      </c>
      <c r="W52" s="4">
        <v>78</v>
      </c>
    </row>
    <row r="53" spans="1:23" ht="11.25" customHeight="1" x14ac:dyDescent="0.25">
      <c r="A53" s="4" t="s">
        <v>27</v>
      </c>
      <c r="B53" s="4" t="s">
        <v>38</v>
      </c>
      <c r="C53" s="4" t="s">
        <v>39</v>
      </c>
      <c r="D53" s="4" t="s">
        <v>40</v>
      </c>
      <c r="E53" s="4" t="s">
        <v>25</v>
      </c>
      <c r="F53" s="4" t="s">
        <v>25</v>
      </c>
      <c r="G53" s="4" t="s">
        <v>25</v>
      </c>
      <c r="H53" s="4" t="s">
        <v>34</v>
      </c>
      <c r="I53" s="5">
        <v>44409</v>
      </c>
      <c r="J53" s="6">
        <v>0</v>
      </c>
      <c r="K53" s="6">
        <v>0</v>
      </c>
      <c r="L53" s="6">
        <v>101.03700000000001</v>
      </c>
      <c r="M53" s="6">
        <v>101.03700000000001</v>
      </c>
      <c r="N53" s="6">
        <v>101.03700000000001</v>
      </c>
      <c r="O53" s="6">
        <v>101.03700000000001</v>
      </c>
      <c r="P53" s="6">
        <v>0</v>
      </c>
      <c r="Q53" s="4" t="s">
        <v>26</v>
      </c>
      <c r="R53" s="4">
        <v>0</v>
      </c>
      <c r="S53" s="4" t="s">
        <v>136</v>
      </c>
      <c r="T53" s="4" t="s">
        <v>314</v>
      </c>
      <c r="U53" s="4">
        <v>0</v>
      </c>
      <c r="V53" s="4">
        <v>17</v>
      </c>
      <c r="W53" s="4">
        <v>78</v>
      </c>
    </row>
    <row r="54" spans="1:23" ht="11.25" customHeight="1" x14ac:dyDescent="0.25">
      <c r="A54" s="4" t="s">
        <v>21</v>
      </c>
      <c r="B54" s="4" t="s">
        <v>38</v>
      </c>
      <c r="C54" s="4" t="s">
        <v>39</v>
      </c>
      <c r="D54" s="4" t="s">
        <v>40</v>
      </c>
      <c r="E54" s="4" t="s">
        <v>25</v>
      </c>
      <c r="F54" s="4" t="s">
        <v>25</v>
      </c>
      <c r="G54" s="4" t="s">
        <v>25</v>
      </c>
      <c r="H54" s="4" t="s">
        <v>34</v>
      </c>
      <c r="I54" s="5">
        <v>44440</v>
      </c>
      <c r="J54" s="6">
        <v>0</v>
      </c>
      <c r="K54" s="6">
        <v>0</v>
      </c>
      <c r="L54" s="6">
        <v>108.143</v>
      </c>
      <c r="M54" s="6">
        <v>108.143</v>
      </c>
      <c r="N54" s="6">
        <v>108.143</v>
      </c>
      <c r="O54" s="6">
        <v>108.143</v>
      </c>
      <c r="P54" s="6">
        <v>0</v>
      </c>
      <c r="Q54" s="4" t="s">
        <v>26</v>
      </c>
      <c r="R54" s="4">
        <v>0</v>
      </c>
      <c r="S54" s="4" t="s">
        <v>137</v>
      </c>
      <c r="T54" s="4" t="s">
        <v>315</v>
      </c>
      <c r="U54" s="4">
        <v>0</v>
      </c>
      <c r="V54" s="4">
        <v>17</v>
      </c>
      <c r="W54" s="4">
        <v>78</v>
      </c>
    </row>
    <row r="55" spans="1:23" ht="11.25" customHeight="1" x14ac:dyDescent="0.25">
      <c r="A55" s="4" t="s">
        <v>27</v>
      </c>
      <c r="B55" s="4" t="s">
        <v>38</v>
      </c>
      <c r="C55" s="4" t="s">
        <v>39</v>
      </c>
      <c r="D55" s="4" t="s">
        <v>40</v>
      </c>
      <c r="E55" s="4" t="s">
        <v>25</v>
      </c>
      <c r="F55" s="4" t="s">
        <v>25</v>
      </c>
      <c r="G55" s="4" t="s">
        <v>25</v>
      </c>
      <c r="H55" s="4" t="s">
        <v>34</v>
      </c>
      <c r="I55" s="5">
        <v>44440</v>
      </c>
      <c r="J55" s="6">
        <v>0</v>
      </c>
      <c r="K55" s="6">
        <v>0</v>
      </c>
      <c r="L55" s="6">
        <v>66.349000000000004</v>
      </c>
      <c r="M55" s="6">
        <v>66.349000000000004</v>
      </c>
      <c r="N55" s="6">
        <v>66.349000000000004</v>
      </c>
      <c r="O55" s="6">
        <v>66.349000000000004</v>
      </c>
      <c r="P55" s="6">
        <v>0</v>
      </c>
      <c r="Q55" s="4" t="s">
        <v>26</v>
      </c>
      <c r="R55" s="4">
        <v>0</v>
      </c>
      <c r="S55" s="4" t="s">
        <v>137</v>
      </c>
      <c r="T55" s="4" t="s">
        <v>315</v>
      </c>
      <c r="U55" s="4">
        <v>0</v>
      </c>
      <c r="V55" s="4">
        <v>17</v>
      </c>
      <c r="W55" s="4">
        <v>78</v>
      </c>
    </row>
    <row r="56" spans="1:23" ht="11.25" customHeight="1" x14ac:dyDescent="0.25">
      <c r="A56" s="4" t="s">
        <v>21</v>
      </c>
      <c r="B56" s="4" t="s">
        <v>38</v>
      </c>
      <c r="C56" s="4" t="s">
        <v>39</v>
      </c>
      <c r="D56" s="4" t="s">
        <v>40</v>
      </c>
      <c r="E56" s="4" t="s">
        <v>25</v>
      </c>
      <c r="F56" s="4" t="s">
        <v>25</v>
      </c>
      <c r="G56" s="4" t="s">
        <v>25</v>
      </c>
      <c r="H56" s="4" t="s">
        <v>34</v>
      </c>
      <c r="I56" s="5">
        <v>44470</v>
      </c>
      <c r="J56" s="6">
        <v>0</v>
      </c>
      <c r="K56" s="6">
        <v>0</v>
      </c>
      <c r="L56" s="6">
        <v>95.004999999999995</v>
      </c>
      <c r="M56" s="6">
        <v>95.004999999999995</v>
      </c>
      <c r="N56" s="6">
        <v>95.004999999999995</v>
      </c>
      <c r="O56" s="6">
        <v>95.004999999999995</v>
      </c>
      <c r="P56" s="6">
        <v>0</v>
      </c>
      <c r="Q56" s="4" t="s">
        <v>26</v>
      </c>
      <c r="R56" s="4">
        <v>0</v>
      </c>
      <c r="S56" s="4" t="s">
        <v>138</v>
      </c>
      <c r="T56" s="4" t="s">
        <v>316</v>
      </c>
      <c r="U56" s="4">
        <v>0</v>
      </c>
      <c r="V56" s="4">
        <v>17</v>
      </c>
      <c r="W56" s="4">
        <v>78</v>
      </c>
    </row>
    <row r="57" spans="1:23" ht="11.25" customHeight="1" x14ac:dyDescent="0.25">
      <c r="A57" s="4" t="s">
        <v>27</v>
      </c>
      <c r="B57" s="4" t="s">
        <v>38</v>
      </c>
      <c r="C57" s="4" t="s">
        <v>39</v>
      </c>
      <c r="D57" s="4" t="s">
        <v>40</v>
      </c>
      <c r="E57" s="4" t="s">
        <v>25</v>
      </c>
      <c r="F57" s="4" t="s">
        <v>25</v>
      </c>
      <c r="G57" s="4" t="s">
        <v>25</v>
      </c>
      <c r="H57" s="4" t="s">
        <v>34</v>
      </c>
      <c r="I57" s="5">
        <v>44470</v>
      </c>
      <c r="J57" s="6">
        <v>0</v>
      </c>
      <c r="K57" s="6">
        <v>0</v>
      </c>
      <c r="L57" s="6">
        <v>71.483000000000004</v>
      </c>
      <c r="M57" s="6">
        <v>71.483000000000004</v>
      </c>
      <c r="N57" s="6">
        <v>71.483000000000004</v>
      </c>
      <c r="O57" s="6">
        <v>71.483000000000004</v>
      </c>
      <c r="P57" s="6">
        <v>0</v>
      </c>
      <c r="Q57" s="4" t="s">
        <v>26</v>
      </c>
      <c r="R57" s="4">
        <v>0</v>
      </c>
      <c r="S57" s="4" t="s">
        <v>138</v>
      </c>
      <c r="T57" s="4" t="s">
        <v>316</v>
      </c>
      <c r="U57" s="4">
        <v>0</v>
      </c>
      <c r="V57" s="4">
        <v>17</v>
      </c>
      <c r="W57" s="4">
        <v>78</v>
      </c>
    </row>
    <row r="58" spans="1:23" ht="11.25" customHeight="1" x14ac:dyDescent="0.25">
      <c r="A58" s="4" t="s">
        <v>21</v>
      </c>
      <c r="B58" s="4" t="s">
        <v>38</v>
      </c>
      <c r="C58" s="4" t="s">
        <v>39</v>
      </c>
      <c r="D58" s="4" t="s">
        <v>40</v>
      </c>
      <c r="E58" s="4" t="s">
        <v>25</v>
      </c>
      <c r="F58" s="4" t="s">
        <v>25</v>
      </c>
      <c r="G58" s="4" t="s">
        <v>25</v>
      </c>
      <c r="H58" s="4" t="s">
        <v>34</v>
      </c>
      <c r="I58" s="5">
        <v>44501</v>
      </c>
      <c r="J58" s="6">
        <v>0</v>
      </c>
      <c r="K58" s="6">
        <v>0</v>
      </c>
      <c r="L58" s="6">
        <v>313.13099999999997</v>
      </c>
      <c r="M58" s="6">
        <v>313.13099999999997</v>
      </c>
      <c r="N58" s="6">
        <v>313.13099999999997</v>
      </c>
      <c r="O58" s="6">
        <v>313.13099999999997</v>
      </c>
      <c r="P58" s="6">
        <v>0</v>
      </c>
      <c r="Q58" s="4" t="s">
        <v>26</v>
      </c>
      <c r="R58" s="4">
        <v>0</v>
      </c>
      <c r="S58" s="4" t="s">
        <v>139</v>
      </c>
      <c r="T58" s="4" t="s">
        <v>317</v>
      </c>
      <c r="U58" s="4">
        <v>0</v>
      </c>
      <c r="V58" s="4">
        <v>17</v>
      </c>
      <c r="W58" s="4">
        <v>78</v>
      </c>
    </row>
    <row r="59" spans="1:23" ht="11.25" customHeight="1" x14ac:dyDescent="0.25">
      <c r="A59" s="4" t="s">
        <v>27</v>
      </c>
      <c r="B59" s="4" t="s">
        <v>38</v>
      </c>
      <c r="C59" s="4" t="s">
        <v>39</v>
      </c>
      <c r="D59" s="4" t="s">
        <v>40</v>
      </c>
      <c r="E59" s="4" t="s">
        <v>25</v>
      </c>
      <c r="F59" s="4" t="s">
        <v>25</v>
      </c>
      <c r="G59" s="4" t="s">
        <v>25</v>
      </c>
      <c r="H59" s="4" t="s">
        <v>34</v>
      </c>
      <c r="I59" s="5">
        <v>44501</v>
      </c>
      <c r="J59" s="6">
        <v>0</v>
      </c>
      <c r="K59" s="6">
        <v>0</v>
      </c>
      <c r="L59" s="6">
        <v>56.927999999999997</v>
      </c>
      <c r="M59" s="6">
        <v>56.927999999999997</v>
      </c>
      <c r="N59" s="6">
        <v>56.927999999999997</v>
      </c>
      <c r="O59" s="6">
        <v>56.927999999999997</v>
      </c>
      <c r="P59" s="6">
        <v>0</v>
      </c>
      <c r="Q59" s="4" t="s">
        <v>26</v>
      </c>
      <c r="R59" s="4">
        <v>0</v>
      </c>
      <c r="S59" s="4" t="s">
        <v>139</v>
      </c>
      <c r="T59" s="4" t="s">
        <v>317</v>
      </c>
      <c r="U59" s="4">
        <v>0</v>
      </c>
      <c r="V59" s="4">
        <v>17</v>
      </c>
      <c r="W59" s="4">
        <v>78</v>
      </c>
    </row>
    <row r="60" spans="1:23" ht="11.25" customHeight="1" x14ac:dyDescent="0.25">
      <c r="A60" s="4" t="s">
        <v>21</v>
      </c>
      <c r="B60" s="4" t="s">
        <v>38</v>
      </c>
      <c r="C60" s="4" t="s">
        <v>39</v>
      </c>
      <c r="D60" s="4" t="s">
        <v>40</v>
      </c>
      <c r="E60" s="4" t="s">
        <v>25</v>
      </c>
      <c r="F60" s="4" t="s">
        <v>25</v>
      </c>
      <c r="G60" s="4" t="s">
        <v>25</v>
      </c>
      <c r="H60" s="4" t="s">
        <v>34</v>
      </c>
      <c r="I60" s="5">
        <v>44531</v>
      </c>
      <c r="J60" s="6">
        <v>0</v>
      </c>
      <c r="K60" s="6">
        <v>0</v>
      </c>
      <c r="L60" s="6">
        <v>317.916</v>
      </c>
      <c r="M60" s="6">
        <v>317.916</v>
      </c>
      <c r="N60" s="6">
        <v>317.916</v>
      </c>
      <c r="O60" s="6">
        <v>317.916</v>
      </c>
      <c r="P60" s="6">
        <v>0</v>
      </c>
      <c r="Q60" s="4" t="s">
        <v>26</v>
      </c>
      <c r="R60" s="4">
        <v>0</v>
      </c>
      <c r="S60" s="4" t="s">
        <v>140</v>
      </c>
      <c r="T60" s="4" t="s">
        <v>318</v>
      </c>
      <c r="U60" s="4">
        <v>0</v>
      </c>
      <c r="V60" s="4">
        <v>17</v>
      </c>
      <c r="W60" s="4">
        <v>78</v>
      </c>
    </row>
    <row r="61" spans="1:23" ht="11.25" customHeight="1" x14ac:dyDescent="0.25">
      <c r="A61" s="4" t="s">
        <v>27</v>
      </c>
      <c r="B61" s="4" t="s">
        <v>38</v>
      </c>
      <c r="C61" s="4" t="s">
        <v>39</v>
      </c>
      <c r="D61" s="4" t="s">
        <v>40</v>
      </c>
      <c r="E61" s="4" t="s">
        <v>25</v>
      </c>
      <c r="F61" s="4" t="s">
        <v>25</v>
      </c>
      <c r="G61" s="4" t="s">
        <v>25</v>
      </c>
      <c r="H61" s="4" t="s">
        <v>34</v>
      </c>
      <c r="I61" s="5">
        <v>44531</v>
      </c>
      <c r="J61" s="6">
        <v>0</v>
      </c>
      <c r="K61" s="6">
        <v>0</v>
      </c>
      <c r="L61" s="6">
        <v>105.55200000000001</v>
      </c>
      <c r="M61" s="6">
        <v>105.55200000000001</v>
      </c>
      <c r="N61" s="6">
        <v>105.55200000000001</v>
      </c>
      <c r="O61" s="6">
        <v>105.55200000000001</v>
      </c>
      <c r="P61" s="6">
        <v>0</v>
      </c>
      <c r="Q61" s="4" t="s">
        <v>26</v>
      </c>
      <c r="R61" s="4">
        <v>0</v>
      </c>
      <c r="S61" s="4" t="s">
        <v>140</v>
      </c>
      <c r="T61" s="4" t="s">
        <v>318</v>
      </c>
      <c r="U61" s="4">
        <v>0</v>
      </c>
      <c r="V61" s="4">
        <v>17</v>
      </c>
      <c r="W61" s="4">
        <v>78</v>
      </c>
    </row>
    <row r="62" spans="1:23" ht="11.25" customHeight="1" x14ac:dyDescent="0.25">
      <c r="A62" s="4" t="s">
        <v>21</v>
      </c>
      <c r="B62" s="4" t="s">
        <v>38</v>
      </c>
      <c r="C62" s="4" t="s">
        <v>39</v>
      </c>
      <c r="D62" s="4" t="s">
        <v>40</v>
      </c>
      <c r="E62" s="4" t="s">
        <v>25</v>
      </c>
      <c r="F62" s="4" t="s">
        <v>25</v>
      </c>
      <c r="G62" s="4" t="s">
        <v>25</v>
      </c>
      <c r="H62" s="4" t="s">
        <v>34</v>
      </c>
      <c r="I62" s="5">
        <v>44562</v>
      </c>
      <c r="J62" s="6">
        <v>0</v>
      </c>
      <c r="K62" s="6">
        <v>0</v>
      </c>
      <c r="L62" s="6">
        <v>446.358</v>
      </c>
      <c r="M62" s="6">
        <v>446.358</v>
      </c>
      <c r="N62" s="6">
        <v>446.358</v>
      </c>
      <c r="O62" s="6">
        <v>446.358</v>
      </c>
      <c r="P62" s="6">
        <v>0</v>
      </c>
      <c r="Q62" s="4" t="s">
        <v>26</v>
      </c>
      <c r="R62" s="4">
        <v>0</v>
      </c>
      <c r="S62" s="4" t="s">
        <v>141</v>
      </c>
      <c r="T62" s="4" t="s">
        <v>319</v>
      </c>
      <c r="U62" s="4">
        <v>0</v>
      </c>
      <c r="V62" s="4">
        <v>17</v>
      </c>
      <c r="W62" s="4">
        <v>78</v>
      </c>
    </row>
    <row r="63" spans="1:23" ht="11.25" customHeight="1" x14ac:dyDescent="0.25">
      <c r="A63" s="4" t="s">
        <v>27</v>
      </c>
      <c r="B63" s="4" t="s">
        <v>38</v>
      </c>
      <c r="C63" s="4" t="s">
        <v>39</v>
      </c>
      <c r="D63" s="4" t="s">
        <v>40</v>
      </c>
      <c r="E63" s="4" t="s">
        <v>25</v>
      </c>
      <c r="F63" s="4" t="s">
        <v>25</v>
      </c>
      <c r="G63" s="4" t="s">
        <v>25</v>
      </c>
      <c r="H63" s="4" t="s">
        <v>34</v>
      </c>
      <c r="I63" s="5">
        <v>44562</v>
      </c>
      <c r="J63" s="6">
        <v>0</v>
      </c>
      <c r="K63" s="6">
        <v>0</v>
      </c>
      <c r="L63" s="6">
        <v>134.19499999999999</v>
      </c>
      <c r="M63" s="6">
        <v>134.19499999999999</v>
      </c>
      <c r="N63" s="6">
        <v>134.19499999999999</v>
      </c>
      <c r="O63" s="6">
        <v>134.19499999999999</v>
      </c>
      <c r="P63" s="6">
        <v>0</v>
      </c>
      <c r="Q63" s="4" t="s">
        <v>26</v>
      </c>
      <c r="R63" s="4">
        <v>0</v>
      </c>
      <c r="S63" s="4" t="s">
        <v>141</v>
      </c>
      <c r="T63" s="4" t="s">
        <v>319</v>
      </c>
      <c r="U63" s="4">
        <v>0</v>
      </c>
      <c r="V63" s="4">
        <v>17</v>
      </c>
      <c r="W63" s="4">
        <v>78</v>
      </c>
    </row>
    <row r="64" spans="1:23" ht="11.25" customHeight="1" x14ac:dyDescent="0.25">
      <c r="A64" s="4" t="s">
        <v>21</v>
      </c>
      <c r="B64" s="4" t="s">
        <v>38</v>
      </c>
      <c r="C64" s="4" t="s">
        <v>39</v>
      </c>
      <c r="D64" s="4" t="s">
        <v>40</v>
      </c>
      <c r="E64" s="4" t="s">
        <v>25</v>
      </c>
      <c r="F64" s="4" t="s">
        <v>25</v>
      </c>
      <c r="G64" s="4" t="s">
        <v>25</v>
      </c>
      <c r="H64" s="4" t="s">
        <v>34</v>
      </c>
      <c r="I64" s="5">
        <v>44593</v>
      </c>
      <c r="J64" s="6">
        <v>0</v>
      </c>
      <c r="K64" s="6">
        <v>0</v>
      </c>
      <c r="L64" s="6">
        <v>334.07</v>
      </c>
      <c r="M64" s="6">
        <v>334.07</v>
      </c>
      <c r="N64" s="6">
        <v>334.07</v>
      </c>
      <c r="O64" s="6">
        <v>334.07</v>
      </c>
      <c r="P64" s="6">
        <v>0</v>
      </c>
      <c r="Q64" s="4" t="s">
        <v>26</v>
      </c>
      <c r="R64" s="4">
        <v>0</v>
      </c>
      <c r="S64" s="4" t="s">
        <v>142</v>
      </c>
      <c r="T64" s="4" t="s">
        <v>320</v>
      </c>
      <c r="U64" s="4">
        <v>0</v>
      </c>
      <c r="V64" s="4">
        <v>17</v>
      </c>
      <c r="W64" s="4">
        <v>78</v>
      </c>
    </row>
    <row r="65" spans="1:23" ht="11.25" customHeight="1" x14ac:dyDescent="0.25">
      <c r="A65" s="4" t="s">
        <v>27</v>
      </c>
      <c r="B65" s="4" t="s">
        <v>38</v>
      </c>
      <c r="C65" s="4" t="s">
        <v>39</v>
      </c>
      <c r="D65" s="4" t="s">
        <v>40</v>
      </c>
      <c r="E65" s="4" t="s">
        <v>25</v>
      </c>
      <c r="F65" s="4" t="s">
        <v>25</v>
      </c>
      <c r="G65" s="4" t="s">
        <v>25</v>
      </c>
      <c r="H65" s="4" t="s">
        <v>34</v>
      </c>
      <c r="I65" s="5">
        <v>44593</v>
      </c>
      <c r="J65" s="6">
        <v>0</v>
      </c>
      <c r="K65" s="6">
        <v>0</v>
      </c>
      <c r="L65" s="6">
        <v>134.61500000000001</v>
      </c>
      <c r="M65" s="6">
        <v>134.61500000000001</v>
      </c>
      <c r="N65" s="6">
        <v>134.61500000000001</v>
      </c>
      <c r="O65" s="6">
        <v>134.61500000000001</v>
      </c>
      <c r="P65" s="6">
        <v>0</v>
      </c>
      <c r="Q65" s="4" t="s">
        <v>26</v>
      </c>
      <c r="R65" s="4">
        <v>0</v>
      </c>
      <c r="S65" s="4" t="s">
        <v>142</v>
      </c>
      <c r="T65" s="4" t="s">
        <v>320</v>
      </c>
      <c r="U65" s="4">
        <v>0</v>
      </c>
      <c r="V65" s="4">
        <v>17</v>
      </c>
      <c r="W65" s="4">
        <v>78</v>
      </c>
    </row>
    <row r="66" spans="1:23" ht="11.25" customHeight="1" x14ac:dyDescent="0.25">
      <c r="A66" s="4" t="s">
        <v>21</v>
      </c>
      <c r="B66" s="4" t="s">
        <v>38</v>
      </c>
      <c r="C66" s="4" t="s">
        <v>39</v>
      </c>
      <c r="D66" s="4" t="s">
        <v>40</v>
      </c>
      <c r="E66" s="4" t="s">
        <v>25</v>
      </c>
      <c r="F66" s="4" t="s">
        <v>25</v>
      </c>
      <c r="G66" s="4" t="s">
        <v>25</v>
      </c>
      <c r="H66" s="4" t="s">
        <v>34</v>
      </c>
      <c r="I66" s="5">
        <v>44621</v>
      </c>
      <c r="J66" s="6">
        <v>0</v>
      </c>
      <c r="K66" s="6">
        <v>0</v>
      </c>
      <c r="L66" s="6">
        <v>398.065</v>
      </c>
      <c r="M66" s="6">
        <v>398.065</v>
      </c>
      <c r="N66" s="6">
        <v>398.065</v>
      </c>
      <c r="O66" s="6">
        <v>398.065</v>
      </c>
      <c r="P66" s="6">
        <v>0</v>
      </c>
      <c r="Q66" s="4" t="s">
        <v>26</v>
      </c>
      <c r="R66" s="4">
        <v>0</v>
      </c>
      <c r="S66" s="4" t="s">
        <v>143</v>
      </c>
      <c r="T66" s="4" t="s">
        <v>321</v>
      </c>
      <c r="U66" s="4">
        <v>0</v>
      </c>
      <c r="V66" s="4">
        <v>17</v>
      </c>
      <c r="W66" s="4">
        <v>78</v>
      </c>
    </row>
    <row r="67" spans="1:23" ht="11.25" customHeight="1" x14ac:dyDescent="0.25">
      <c r="A67" s="4" t="s">
        <v>27</v>
      </c>
      <c r="B67" s="4" t="s">
        <v>38</v>
      </c>
      <c r="C67" s="4" t="s">
        <v>39</v>
      </c>
      <c r="D67" s="4" t="s">
        <v>40</v>
      </c>
      <c r="E67" s="4" t="s">
        <v>25</v>
      </c>
      <c r="F67" s="4" t="s">
        <v>25</v>
      </c>
      <c r="G67" s="4" t="s">
        <v>25</v>
      </c>
      <c r="H67" s="4" t="s">
        <v>34</v>
      </c>
      <c r="I67" s="5">
        <v>44621</v>
      </c>
      <c r="J67" s="6">
        <v>0</v>
      </c>
      <c r="K67" s="6">
        <v>0</v>
      </c>
      <c r="L67" s="6">
        <v>62.463000000000001</v>
      </c>
      <c r="M67" s="6">
        <v>62.463000000000001</v>
      </c>
      <c r="N67" s="6">
        <v>62.463000000000001</v>
      </c>
      <c r="O67" s="6">
        <v>62.463000000000001</v>
      </c>
      <c r="P67" s="6">
        <v>0</v>
      </c>
      <c r="Q67" s="4" t="s">
        <v>26</v>
      </c>
      <c r="R67" s="4">
        <v>0</v>
      </c>
      <c r="S67" s="4" t="s">
        <v>143</v>
      </c>
      <c r="T67" s="4" t="s">
        <v>321</v>
      </c>
      <c r="U67" s="4">
        <v>0</v>
      </c>
      <c r="V67" s="4">
        <v>17</v>
      </c>
      <c r="W67" s="4">
        <v>78</v>
      </c>
    </row>
    <row r="68" spans="1:23" ht="11.25" customHeight="1" x14ac:dyDescent="0.25">
      <c r="A68" s="4" t="s">
        <v>21</v>
      </c>
      <c r="B68" s="4" t="s">
        <v>38</v>
      </c>
      <c r="C68" s="4" t="s">
        <v>39</v>
      </c>
      <c r="D68" s="4" t="s">
        <v>40</v>
      </c>
      <c r="E68" s="4" t="s">
        <v>25</v>
      </c>
      <c r="F68" s="4" t="s">
        <v>25</v>
      </c>
      <c r="G68" s="4" t="s">
        <v>25</v>
      </c>
      <c r="H68" s="4" t="s">
        <v>34</v>
      </c>
      <c r="I68" s="5">
        <v>44652</v>
      </c>
      <c r="J68" s="6">
        <v>0</v>
      </c>
      <c r="K68" s="6">
        <v>0</v>
      </c>
      <c r="L68" s="6">
        <v>94.784000000000006</v>
      </c>
      <c r="M68" s="6">
        <v>94.784000000000006</v>
      </c>
      <c r="N68" s="6">
        <v>94.784000000000006</v>
      </c>
      <c r="O68" s="6">
        <v>94.784000000000006</v>
      </c>
      <c r="P68" s="6">
        <v>0</v>
      </c>
      <c r="Q68" s="4" t="s">
        <v>26</v>
      </c>
      <c r="R68" s="4">
        <v>0</v>
      </c>
      <c r="S68" s="4" t="s">
        <v>144</v>
      </c>
      <c r="T68" s="4" t="s">
        <v>322</v>
      </c>
      <c r="U68" s="4">
        <v>0</v>
      </c>
      <c r="V68" s="4">
        <v>17</v>
      </c>
      <c r="W68" s="4">
        <v>78</v>
      </c>
    </row>
    <row r="69" spans="1:23" ht="11.25" customHeight="1" x14ac:dyDescent="0.25">
      <c r="A69" s="4" t="s">
        <v>27</v>
      </c>
      <c r="B69" s="4" t="s">
        <v>38</v>
      </c>
      <c r="C69" s="4" t="s">
        <v>39</v>
      </c>
      <c r="D69" s="4" t="s">
        <v>40</v>
      </c>
      <c r="E69" s="4" t="s">
        <v>25</v>
      </c>
      <c r="F69" s="4" t="s">
        <v>25</v>
      </c>
      <c r="G69" s="4" t="s">
        <v>25</v>
      </c>
      <c r="H69" s="4" t="s">
        <v>34</v>
      </c>
      <c r="I69" s="5">
        <v>44652</v>
      </c>
      <c r="J69" s="6">
        <v>0</v>
      </c>
      <c r="K69" s="6">
        <v>0</v>
      </c>
      <c r="L69" s="6">
        <v>126.04600000000001</v>
      </c>
      <c r="M69" s="6">
        <v>126.04600000000001</v>
      </c>
      <c r="N69" s="6">
        <v>126.04600000000001</v>
      </c>
      <c r="O69" s="6">
        <v>126.04600000000001</v>
      </c>
      <c r="P69" s="6">
        <v>0</v>
      </c>
      <c r="Q69" s="4" t="s">
        <v>26</v>
      </c>
      <c r="R69" s="4">
        <v>0</v>
      </c>
      <c r="S69" s="4" t="s">
        <v>144</v>
      </c>
      <c r="T69" s="4" t="s">
        <v>322</v>
      </c>
      <c r="U69" s="4">
        <v>0</v>
      </c>
      <c r="V69" s="4">
        <v>17</v>
      </c>
      <c r="W69" s="4">
        <v>78</v>
      </c>
    </row>
    <row r="70" spans="1:23" ht="11.25" customHeight="1" x14ac:dyDescent="0.25">
      <c r="A70" s="4" t="s">
        <v>21</v>
      </c>
      <c r="B70" s="4" t="s">
        <v>38</v>
      </c>
      <c r="C70" s="4" t="s">
        <v>39</v>
      </c>
      <c r="D70" s="4" t="s">
        <v>40</v>
      </c>
      <c r="E70" s="4" t="s">
        <v>25</v>
      </c>
      <c r="F70" s="4" t="s">
        <v>25</v>
      </c>
      <c r="G70" s="4" t="s">
        <v>25</v>
      </c>
      <c r="H70" s="4" t="s">
        <v>34</v>
      </c>
      <c r="I70" s="5">
        <v>44682</v>
      </c>
      <c r="J70" s="6">
        <v>0</v>
      </c>
      <c r="K70" s="6">
        <v>0</v>
      </c>
      <c r="L70" s="6">
        <v>109.345</v>
      </c>
      <c r="M70" s="6">
        <v>109.345</v>
      </c>
      <c r="N70" s="6">
        <v>109.345</v>
      </c>
      <c r="O70" s="6">
        <v>109.345</v>
      </c>
      <c r="P70" s="6">
        <v>0</v>
      </c>
      <c r="Q70" s="4" t="s">
        <v>26</v>
      </c>
      <c r="R70" s="4">
        <v>0</v>
      </c>
      <c r="S70" s="4" t="s">
        <v>145</v>
      </c>
      <c r="T70" s="4" t="s">
        <v>323</v>
      </c>
      <c r="U70" s="4">
        <v>0</v>
      </c>
      <c r="V70" s="4">
        <v>17</v>
      </c>
      <c r="W70" s="4">
        <v>78</v>
      </c>
    </row>
    <row r="71" spans="1:23" ht="11.25" customHeight="1" x14ac:dyDescent="0.25">
      <c r="A71" s="4" t="s">
        <v>27</v>
      </c>
      <c r="B71" s="4" t="s">
        <v>38</v>
      </c>
      <c r="C71" s="4" t="s">
        <v>39</v>
      </c>
      <c r="D71" s="4" t="s">
        <v>40</v>
      </c>
      <c r="E71" s="4" t="s">
        <v>25</v>
      </c>
      <c r="F71" s="4" t="s">
        <v>25</v>
      </c>
      <c r="G71" s="4" t="s">
        <v>25</v>
      </c>
      <c r="H71" s="4" t="s">
        <v>34</v>
      </c>
      <c r="I71" s="5">
        <v>44682</v>
      </c>
      <c r="J71" s="6">
        <v>0</v>
      </c>
      <c r="K71" s="6">
        <v>0</v>
      </c>
      <c r="L71" s="6">
        <v>83.072000000000003</v>
      </c>
      <c r="M71" s="6">
        <v>83.072000000000003</v>
      </c>
      <c r="N71" s="6">
        <v>83.072000000000003</v>
      </c>
      <c r="O71" s="6">
        <v>83.072000000000003</v>
      </c>
      <c r="P71" s="6">
        <v>0</v>
      </c>
      <c r="Q71" s="4" t="s">
        <v>26</v>
      </c>
      <c r="R71" s="4">
        <v>0</v>
      </c>
      <c r="S71" s="4" t="s">
        <v>145</v>
      </c>
      <c r="T71" s="4" t="s">
        <v>323</v>
      </c>
      <c r="U71" s="4">
        <v>0</v>
      </c>
      <c r="V71" s="4">
        <v>17</v>
      </c>
      <c r="W71" s="4">
        <v>78</v>
      </c>
    </row>
    <row r="72" spans="1:23" ht="11.25" customHeight="1" x14ac:dyDescent="0.25">
      <c r="A72" s="4" t="s">
        <v>55</v>
      </c>
      <c r="B72" s="4" t="s">
        <v>38</v>
      </c>
      <c r="C72" s="4" t="s">
        <v>39</v>
      </c>
      <c r="D72" s="4" t="s">
        <v>40</v>
      </c>
      <c r="E72" s="4" t="s">
        <v>25</v>
      </c>
      <c r="F72" s="4" t="s">
        <v>25</v>
      </c>
      <c r="G72" s="4" t="s">
        <v>25</v>
      </c>
      <c r="H72" s="4" t="s">
        <v>34</v>
      </c>
      <c r="I72" s="5">
        <v>44713</v>
      </c>
      <c r="J72" s="6">
        <v>0</v>
      </c>
      <c r="K72" s="6">
        <v>0</v>
      </c>
      <c r="L72" s="6">
        <v>109.345</v>
      </c>
      <c r="M72" s="6">
        <v>109.345</v>
      </c>
      <c r="N72" s="6">
        <v>109.345</v>
      </c>
      <c r="O72" s="6">
        <v>109.345</v>
      </c>
      <c r="P72" s="6">
        <v>0</v>
      </c>
      <c r="Q72" s="4" t="s">
        <v>26</v>
      </c>
      <c r="R72" s="4">
        <v>0</v>
      </c>
      <c r="S72" s="4" t="s">
        <v>146</v>
      </c>
      <c r="T72" s="4" t="s">
        <v>324</v>
      </c>
      <c r="U72" s="4">
        <v>0</v>
      </c>
      <c r="V72" s="4">
        <v>17</v>
      </c>
      <c r="W72" s="4">
        <v>78</v>
      </c>
    </row>
    <row r="73" spans="1:23" ht="11.25" customHeight="1" x14ac:dyDescent="0.25">
      <c r="A73" s="4" t="s">
        <v>55</v>
      </c>
      <c r="B73" s="4" t="s">
        <v>38</v>
      </c>
      <c r="C73" s="4" t="s">
        <v>39</v>
      </c>
      <c r="D73" s="4" t="s">
        <v>40</v>
      </c>
      <c r="E73" s="4" t="s">
        <v>25</v>
      </c>
      <c r="F73" s="4" t="s">
        <v>25</v>
      </c>
      <c r="G73" s="4" t="s">
        <v>25</v>
      </c>
      <c r="H73" s="4" t="s">
        <v>34</v>
      </c>
      <c r="I73" s="5">
        <v>44713</v>
      </c>
      <c r="J73" s="6">
        <v>0</v>
      </c>
      <c r="K73" s="6">
        <v>0</v>
      </c>
      <c r="L73" s="6">
        <v>83.072000000000003</v>
      </c>
      <c r="M73" s="6">
        <v>83.072000000000003</v>
      </c>
      <c r="N73" s="6">
        <v>83.072000000000003</v>
      </c>
      <c r="O73" s="6">
        <v>83.072000000000003</v>
      </c>
      <c r="P73" s="6">
        <v>0</v>
      </c>
      <c r="Q73" s="4" t="s">
        <v>26</v>
      </c>
      <c r="R73" s="4">
        <v>0</v>
      </c>
      <c r="S73" s="4" t="s">
        <v>146</v>
      </c>
      <c r="T73" s="4" t="s">
        <v>324</v>
      </c>
      <c r="U73" s="4">
        <v>0</v>
      </c>
      <c r="V73" s="4">
        <v>17</v>
      </c>
      <c r="W73" s="4">
        <v>78</v>
      </c>
    </row>
    <row r="74" spans="1:23" ht="11.25" customHeight="1" x14ac:dyDescent="0.25">
      <c r="A74" s="4" t="s">
        <v>21</v>
      </c>
      <c r="B74" s="4" t="s">
        <v>38</v>
      </c>
      <c r="C74" s="4" t="s">
        <v>39</v>
      </c>
      <c r="D74" s="4" t="s">
        <v>40</v>
      </c>
      <c r="E74" s="4" t="s">
        <v>25</v>
      </c>
      <c r="F74" s="4" t="s">
        <v>25</v>
      </c>
      <c r="G74" s="4" t="s">
        <v>25</v>
      </c>
      <c r="H74" s="4" t="s">
        <v>25</v>
      </c>
      <c r="I74" s="5">
        <v>44378</v>
      </c>
      <c r="J74" s="6">
        <v>1028</v>
      </c>
      <c r="K74" s="6">
        <v>1028</v>
      </c>
      <c r="L74" s="6">
        <v>0</v>
      </c>
      <c r="M74" s="6">
        <v>0</v>
      </c>
      <c r="N74" s="6">
        <v>0</v>
      </c>
      <c r="O74" s="6">
        <v>0</v>
      </c>
      <c r="P74" s="6">
        <v>15</v>
      </c>
      <c r="Q74" s="4" t="s">
        <v>26</v>
      </c>
      <c r="R74" s="4">
        <v>0</v>
      </c>
      <c r="S74" s="4" t="s">
        <v>147</v>
      </c>
      <c r="U74" s="4">
        <v>19</v>
      </c>
      <c r="V74" s="4">
        <v>0</v>
      </c>
      <c r="W74" s="4">
        <v>0</v>
      </c>
    </row>
    <row r="75" spans="1:23" ht="11.25" customHeight="1" x14ac:dyDescent="0.25">
      <c r="A75" s="4" t="s">
        <v>27</v>
      </c>
      <c r="B75" s="4" t="s">
        <v>38</v>
      </c>
      <c r="C75" s="4" t="s">
        <v>39</v>
      </c>
      <c r="D75" s="4" t="s">
        <v>40</v>
      </c>
      <c r="E75" s="4" t="s">
        <v>25</v>
      </c>
      <c r="F75" s="4" t="s">
        <v>25</v>
      </c>
      <c r="G75" s="4" t="s">
        <v>25</v>
      </c>
      <c r="H75" s="4" t="s">
        <v>25</v>
      </c>
      <c r="I75" s="5">
        <v>44378</v>
      </c>
      <c r="J75" s="6">
        <v>1973</v>
      </c>
      <c r="K75" s="6">
        <v>1973</v>
      </c>
      <c r="L75" s="6">
        <v>0</v>
      </c>
      <c r="M75" s="6">
        <v>0</v>
      </c>
      <c r="N75" s="6">
        <v>0</v>
      </c>
      <c r="O75" s="6">
        <v>0</v>
      </c>
      <c r="P75" s="6">
        <v>11</v>
      </c>
      <c r="Q75" s="4" t="s">
        <v>26</v>
      </c>
      <c r="R75" s="4">
        <v>0</v>
      </c>
      <c r="S75" s="4" t="s">
        <v>147</v>
      </c>
      <c r="U75" s="4">
        <v>19</v>
      </c>
      <c r="V75" s="4">
        <v>0</v>
      </c>
      <c r="W75" s="4">
        <v>0</v>
      </c>
    </row>
    <row r="76" spans="1:23" ht="11.25" customHeight="1" x14ac:dyDescent="0.25">
      <c r="A76" s="4" t="s">
        <v>21</v>
      </c>
      <c r="B76" s="4" t="s">
        <v>38</v>
      </c>
      <c r="C76" s="4" t="s">
        <v>39</v>
      </c>
      <c r="D76" s="4" t="s">
        <v>40</v>
      </c>
      <c r="E76" s="4" t="s">
        <v>25</v>
      </c>
      <c r="F76" s="4" t="s">
        <v>25</v>
      </c>
      <c r="G76" s="4" t="s">
        <v>25</v>
      </c>
      <c r="H76" s="4" t="s">
        <v>25</v>
      </c>
      <c r="I76" s="5">
        <v>44409</v>
      </c>
      <c r="J76" s="6">
        <v>1974</v>
      </c>
      <c r="K76" s="6">
        <v>1974</v>
      </c>
      <c r="L76" s="6">
        <v>0</v>
      </c>
      <c r="M76" s="6">
        <v>0</v>
      </c>
      <c r="N76" s="6">
        <v>0</v>
      </c>
      <c r="O76" s="6">
        <v>0</v>
      </c>
      <c r="P76" s="6">
        <v>18</v>
      </c>
      <c r="Q76" s="4" t="s">
        <v>26</v>
      </c>
      <c r="R76" s="4">
        <v>0</v>
      </c>
      <c r="S76" s="4" t="s">
        <v>148</v>
      </c>
      <c r="U76" s="4">
        <v>19</v>
      </c>
      <c r="V76" s="4">
        <v>0</v>
      </c>
      <c r="W76" s="4">
        <v>0</v>
      </c>
    </row>
    <row r="77" spans="1:23" ht="11.25" customHeight="1" x14ac:dyDescent="0.25">
      <c r="A77" s="4" t="s">
        <v>27</v>
      </c>
      <c r="B77" s="4" t="s">
        <v>38</v>
      </c>
      <c r="C77" s="4" t="s">
        <v>39</v>
      </c>
      <c r="D77" s="4" t="s">
        <v>40</v>
      </c>
      <c r="E77" s="4" t="s">
        <v>25</v>
      </c>
      <c r="F77" s="4" t="s">
        <v>25</v>
      </c>
      <c r="G77" s="4" t="s">
        <v>25</v>
      </c>
      <c r="H77" s="4" t="s">
        <v>25</v>
      </c>
      <c r="I77" s="5">
        <v>44409</v>
      </c>
      <c r="J77" s="6">
        <v>1000</v>
      </c>
      <c r="K77" s="6">
        <v>1000</v>
      </c>
      <c r="L77" s="6">
        <v>0</v>
      </c>
      <c r="M77" s="6">
        <v>0</v>
      </c>
      <c r="N77" s="6">
        <v>0</v>
      </c>
      <c r="O77" s="6">
        <v>0</v>
      </c>
      <c r="P77" s="6">
        <v>8</v>
      </c>
      <c r="Q77" s="4" t="s">
        <v>26</v>
      </c>
      <c r="R77" s="4">
        <v>0</v>
      </c>
      <c r="S77" s="4" t="s">
        <v>148</v>
      </c>
      <c r="U77" s="4">
        <v>19</v>
      </c>
      <c r="V77" s="4">
        <v>0</v>
      </c>
      <c r="W77" s="4">
        <v>0</v>
      </c>
    </row>
    <row r="78" spans="1:23" ht="11.25" customHeight="1" x14ac:dyDescent="0.25">
      <c r="A78" s="4" t="s">
        <v>21</v>
      </c>
      <c r="B78" s="4" t="s">
        <v>38</v>
      </c>
      <c r="C78" s="4" t="s">
        <v>39</v>
      </c>
      <c r="D78" s="4" t="s">
        <v>40</v>
      </c>
      <c r="E78" s="4" t="s">
        <v>25</v>
      </c>
      <c r="F78" s="4" t="s">
        <v>25</v>
      </c>
      <c r="G78" s="4" t="s">
        <v>25</v>
      </c>
      <c r="H78" s="4" t="s">
        <v>25</v>
      </c>
      <c r="I78" s="5">
        <v>44440</v>
      </c>
      <c r="J78" s="6">
        <v>1463</v>
      </c>
      <c r="K78" s="6">
        <v>1463</v>
      </c>
      <c r="L78" s="6">
        <v>0</v>
      </c>
      <c r="M78" s="6">
        <v>0</v>
      </c>
      <c r="N78" s="6">
        <v>0</v>
      </c>
      <c r="O78" s="6">
        <v>0</v>
      </c>
      <c r="P78" s="6">
        <v>17</v>
      </c>
      <c r="Q78" s="4" t="s">
        <v>26</v>
      </c>
      <c r="R78" s="4">
        <v>0</v>
      </c>
      <c r="S78" s="4" t="s">
        <v>149</v>
      </c>
      <c r="U78" s="4">
        <v>19</v>
      </c>
      <c r="V78" s="4">
        <v>0</v>
      </c>
      <c r="W78" s="4">
        <v>0</v>
      </c>
    </row>
    <row r="79" spans="1:23" ht="11.25" customHeight="1" x14ac:dyDescent="0.25">
      <c r="A79" s="4" t="s">
        <v>27</v>
      </c>
      <c r="B79" s="4" t="s">
        <v>38</v>
      </c>
      <c r="C79" s="4" t="s">
        <v>39</v>
      </c>
      <c r="D79" s="4" t="s">
        <v>40</v>
      </c>
      <c r="E79" s="4" t="s">
        <v>25</v>
      </c>
      <c r="F79" s="4" t="s">
        <v>25</v>
      </c>
      <c r="G79" s="4" t="s">
        <v>25</v>
      </c>
      <c r="H79" s="4" t="s">
        <v>25</v>
      </c>
      <c r="I79" s="5">
        <v>44440</v>
      </c>
      <c r="J79" s="6">
        <v>1476</v>
      </c>
      <c r="K79" s="6">
        <v>1476</v>
      </c>
      <c r="L79" s="6">
        <v>0</v>
      </c>
      <c r="M79" s="6">
        <v>0</v>
      </c>
      <c r="N79" s="6">
        <v>0</v>
      </c>
      <c r="O79" s="6">
        <v>0</v>
      </c>
      <c r="P79" s="6">
        <v>9</v>
      </c>
      <c r="Q79" s="4" t="s">
        <v>26</v>
      </c>
      <c r="R79" s="4">
        <v>0</v>
      </c>
      <c r="S79" s="4" t="s">
        <v>149</v>
      </c>
      <c r="U79" s="4">
        <v>19</v>
      </c>
      <c r="V79" s="4">
        <v>0</v>
      </c>
      <c r="W79" s="4">
        <v>0</v>
      </c>
    </row>
    <row r="80" spans="1:23" ht="11.25" customHeight="1" x14ac:dyDescent="0.25">
      <c r="A80" s="4" t="s">
        <v>21</v>
      </c>
      <c r="B80" s="4" t="s">
        <v>38</v>
      </c>
      <c r="C80" s="4" t="s">
        <v>39</v>
      </c>
      <c r="D80" s="4" t="s">
        <v>40</v>
      </c>
      <c r="E80" s="4" t="s">
        <v>25</v>
      </c>
      <c r="F80" s="4" t="s">
        <v>25</v>
      </c>
      <c r="G80" s="4" t="s">
        <v>25</v>
      </c>
      <c r="H80" s="4" t="s">
        <v>25</v>
      </c>
      <c r="I80" s="5">
        <v>44470</v>
      </c>
      <c r="J80" s="6">
        <v>997</v>
      </c>
      <c r="K80" s="6">
        <v>997</v>
      </c>
      <c r="L80" s="6">
        <v>0</v>
      </c>
      <c r="M80" s="6">
        <v>0</v>
      </c>
      <c r="N80" s="6">
        <v>0</v>
      </c>
      <c r="O80" s="6">
        <v>0</v>
      </c>
      <c r="P80" s="6">
        <v>15</v>
      </c>
      <c r="Q80" s="4" t="s">
        <v>26</v>
      </c>
      <c r="R80" s="4">
        <v>0</v>
      </c>
      <c r="S80" s="4" t="s">
        <v>150</v>
      </c>
      <c r="U80" s="4">
        <v>19</v>
      </c>
      <c r="V80" s="4">
        <v>0</v>
      </c>
      <c r="W80" s="4">
        <v>0</v>
      </c>
    </row>
    <row r="81" spans="1:23" ht="11.25" customHeight="1" x14ac:dyDescent="0.25">
      <c r="A81" s="4" t="s">
        <v>27</v>
      </c>
      <c r="B81" s="4" t="s">
        <v>38</v>
      </c>
      <c r="C81" s="4" t="s">
        <v>39</v>
      </c>
      <c r="D81" s="4" t="s">
        <v>40</v>
      </c>
      <c r="E81" s="4" t="s">
        <v>25</v>
      </c>
      <c r="F81" s="4" t="s">
        <v>25</v>
      </c>
      <c r="G81" s="4" t="s">
        <v>25</v>
      </c>
      <c r="H81" s="4" t="s">
        <v>25</v>
      </c>
      <c r="I81" s="5">
        <v>44470</v>
      </c>
      <c r="J81" s="6">
        <v>2263</v>
      </c>
      <c r="K81" s="6">
        <v>2263</v>
      </c>
      <c r="L81" s="6">
        <v>0</v>
      </c>
      <c r="M81" s="6">
        <v>0</v>
      </c>
      <c r="N81" s="6">
        <v>0</v>
      </c>
      <c r="O81" s="6">
        <v>0</v>
      </c>
      <c r="P81" s="6">
        <v>11</v>
      </c>
      <c r="Q81" s="4" t="s">
        <v>26</v>
      </c>
      <c r="R81" s="4">
        <v>0</v>
      </c>
      <c r="S81" s="4" t="s">
        <v>150</v>
      </c>
      <c r="U81" s="4">
        <v>19</v>
      </c>
      <c r="V81" s="4">
        <v>0</v>
      </c>
      <c r="W81" s="4">
        <v>0</v>
      </c>
    </row>
    <row r="82" spans="1:23" ht="11.25" customHeight="1" x14ac:dyDescent="0.25">
      <c r="A82" s="4" t="s">
        <v>21</v>
      </c>
      <c r="B82" s="4" t="s">
        <v>38</v>
      </c>
      <c r="C82" s="4" t="s">
        <v>39</v>
      </c>
      <c r="D82" s="4" t="s">
        <v>40</v>
      </c>
      <c r="E82" s="4" t="s">
        <v>25</v>
      </c>
      <c r="F82" s="4" t="s">
        <v>25</v>
      </c>
      <c r="G82" s="4" t="s">
        <v>25</v>
      </c>
      <c r="H82" s="4" t="s">
        <v>25</v>
      </c>
      <c r="I82" s="5">
        <v>44501</v>
      </c>
      <c r="J82" s="6">
        <v>1977</v>
      </c>
      <c r="K82" s="6">
        <v>1977</v>
      </c>
      <c r="L82" s="6">
        <v>0</v>
      </c>
      <c r="M82" s="6">
        <v>0</v>
      </c>
      <c r="N82" s="6">
        <v>0</v>
      </c>
      <c r="O82" s="6">
        <v>0</v>
      </c>
      <c r="P82" s="6">
        <v>18</v>
      </c>
      <c r="Q82" s="4" t="s">
        <v>26</v>
      </c>
      <c r="R82" s="4">
        <v>0</v>
      </c>
      <c r="S82" s="4" t="s">
        <v>151</v>
      </c>
      <c r="U82" s="4">
        <v>19</v>
      </c>
      <c r="V82" s="4">
        <v>0</v>
      </c>
      <c r="W82" s="4">
        <v>0</v>
      </c>
    </row>
    <row r="83" spans="1:23" ht="11.25" customHeight="1" x14ac:dyDescent="0.25">
      <c r="A83" s="4" t="s">
        <v>27</v>
      </c>
      <c r="B83" s="4" t="s">
        <v>38</v>
      </c>
      <c r="C83" s="4" t="s">
        <v>39</v>
      </c>
      <c r="D83" s="4" t="s">
        <v>40</v>
      </c>
      <c r="E83" s="4" t="s">
        <v>25</v>
      </c>
      <c r="F83" s="4" t="s">
        <v>25</v>
      </c>
      <c r="G83" s="4" t="s">
        <v>25</v>
      </c>
      <c r="H83" s="4" t="s">
        <v>25</v>
      </c>
      <c r="I83" s="5">
        <v>44501</v>
      </c>
      <c r="J83" s="6">
        <v>1146</v>
      </c>
      <c r="K83" s="6">
        <v>1146</v>
      </c>
      <c r="L83" s="6">
        <v>0</v>
      </c>
      <c r="M83" s="6">
        <v>0</v>
      </c>
      <c r="N83" s="6">
        <v>0</v>
      </c>
      <c r="O83" s="6">
        <v>0</v>
      </c>
      <c r="P83" s="6">
        <v>8</v>
      </c>
      <c r="Q83" s="4" t="s">
        <v>26</v>
      </c>
      <c r="R83" s="4">
        <v>0</v>
      </c>
      <c r="S83" s="4" t="s">
        <v>151</v>
      </c>
      <c r="U83" s="4">
        <v>19</v>
      </c>
      <c r="V83" s="4">
        <v>0</v>
      </c>
      <c r="W83" s="4">
        <v>0</v>
      </c>
    </row>
    <row r="84" spans="1:23" ht="11.25" customHeight="1" x14ac:dyDescent="0.25">
      <c r="A84" s="4" t="s">
        <v>21</v>
      </c>
      <c r="B84" s="4" t="s">
        <v>38</v>
      </c>
      <c r="C84" s="4" t="s">
        <v>39</v>
      </c>
      <c r="D84" s="4" t="s">
        <v>40</v>
      </c>
      <c r="E84" s="4" t="s">
        <v>25</v>
      </c>
      <c r="F84" s="4" t="s">
        <v>25</v>
      </c>
      <c r="G84" s="4" t="s">
        <v>25</v>
      </c>
      <c r="H84" s="4" t="s">
        <v>25</v>
      </c>
      <c r="I84" s="5">
        <v>44531</v>
      </c>
      <c r="J84" s="6">
        <v>2089</v>
      </c>
      <c r="K84" s="6">
        <v>2089</v>
      </c>
      <c r="L84" s="6">
        <v>0</v>
      </c>
      <c r="M84" s="6">
        <v>0</v>
      </c>
      <c r="N84" s="6">
        <v>0</v>
      </c>
      <c r="O84" s="6">
        <v>0</v>
      </c>
      <c r="P84" s="6">
        <v>20</v>
      </c>
      <c r="Q84" s="4" t="s">
        <v>26</v>
      </c>
      <c r="R84" s="4">
        <v>0</v>
      </c>
      <c r="S84" s="4" t="s">
        <v>152</v>
      </c>
      <c r="U84" s="4">
        <v>19</v>
      </c>
      <c r="V84" s="4">
        <v>0</v>
      </c>
      <c r="W84" s="4">
        <v>0</v>
      </c>
    </row>
    <row r="85" spans="1:23" ht="11.25" customHeight="1" x14ac:dyDescent="0.25">
      <c r="A85" s="4" t="s">
        <v>27</v>
      </c>
      <c r="B85" s="4" t="s">
        <v>38</v>
      </c>
      <c r="C85" s="4" t="s">
        <v>39</v>
      </c>
      <c r="D85" s="4" t="s">
        <v>40</v>
      </c>
      <c r="E85" s="4" t="s">
        <v>25</v>
      </c>
      <c r="F85" s="4" t="s">
        <v>25</v>
      </c>
      <c r="G85" s="4" t="s">
        <v>25</v>
      </c>
      <c r="H85" s="4" t="s">
        <v>25</v>
      </c>
      <c r="I85" s="5">
        <v>44531</v>
      </c>
      <c r="J85" s="6">
        <v>792</v>
      </c>
      <c r="K85" s="6">
        <v>792</v>
      </c>
      <c r="L85" s="6">
        <v>0</v>
      </c>
      <c r="M85" s="6">
        <v>0</v>
      </c>
      <c r="N85" s="6">
        <v>0</v>
      </c>
      <c r="O85" s="6">
        <v>0</v>
      </c>
      <c r="P85" s="6">
        <v>5</v>
      </c>
      <c r="Q85" s="4" t="s">
        <v>26</v>
      </c>
      <c r="R85" s="4">
        <v>0</v>
      </c>
      <c r="S85" s="4" t="s">
        <v>152</v>
      </c>
      <c r="U85" s="4">
        <v>19</v>
      </c>
      <c r="V85" s="4">
        <v>0</v>
      </c>
      <c r="W85" s="4">
        <v>0</v>
      </c>
    </row>
    <row r="86" spans="1:23" ht="11.25" customHeight="1" x14ac:dyDescent="0.25">
      <c r="A86" s="4" t="s">
        <v>21</v>
      </c>
      <c r="B86" s="4" t="s">
        <v>38</v>
      </c>
      <c r="C86" s="4" t="s">
        <v>39</v>
      </c>
      <c r="D86" s="4" t="s">
        <v>40</v>
      </c>
      <c r="E86" s="4" t="s">
        <v>25</v>
      </c>
      <c r="F86" s="4" t="s">
        <v>25</v>
      </c>
      <c r="G86" s="4" t="s">
        <v>25</v>
      </c>
      <c r="H86" s="4" t="s">
        <v>25</v>
      </c>
      <c r="I86" s="5">
        <v>44562</v>
      </c>
      <c r="J86" s="6">
        <v>2564</v>
      </c>
      <c r="K86" s="6">
        <v>2564</v>
      </c>
      <c r="L86" s="6">
        <v>0</v>
      </c>
      <c r="M86" s="6">
        <v>0</v>
      </c>
      <c r="N86" s="6">
        <v>0</v>
      </c>
      <c r="O86" s="6">
        <v>0</v>
      </c>
      <c r="P86" s="6">
        <v>22</v>
      </c>
      <c r="Q86" s="4" t="s">
        <v>26</v>
      </c>
      <c r="R86" s="4">
        <v>0</v>
      </c>
      <c r="S86" s="4" t="s">
        <v>153</v>
      </c>
      <c r="U86" s="4">
        <v>19</v>
      </c>
      <c r="V86" s="4">
        <v>0</v>
      </c>
      <c r="W86" s="4">
        <v>0</v>
      </c>
    </row>
    <row r="87" spans="1:23" ht="11.25" customHeight="1" x14ac:dyDescent="0.25">
      <c r="A87" s="4" t="s">
        <v>27</v>
      </c>
      <c r="B87" s="4" t="s">
        <v>38</v>
      </c>
      <c r="C87" s="4" t="s">
        <v>39</v>
      </c>
      <c r="D87" s="4" t="s">
        <v>40</v>
      </c>
      <c r="E87" s="4" t="s">
        <v>25</v>
      </c>
      <c r="F87" s="4" t="s">
        <v>25</v>
      </c>
      <c r="G87" s="4" t="s">
        <v>25</v>
      </c>
      <c r="H87" s="4" t="s">
        <v>25</v>
      </c>
      <c r="I87" s="5">
        <v>44562</v>
      </c>
      <c r="J87" s="6">
        <v>610</v>
      </c>
      <c r="K87" s="6">
        <v>610</v>
      </c>
      <c r="L87" s="6">
        <v>0</v>
      </c>
      <c r="M87" s="6">
        <v>0</v>
      </c>
      <c r="N87" s="6">
        <v>0</v>
      </c>
      <c r="O87" s="6">
        <v>0</v>
      </c>
      <c r="P87" s="6">
        <v>3</v>
      </c>
      <c r="Q87" s="4" t="s">
        <v>26</v>
      </c>
      <c r="R87" s="4">
        <v>0</v>
      </c>
      <c r="S87" s="4" t="s">
        <v>153</v>
      </c>
      <c r="U87" s="4">
        <v>19</v>
      </c>
      <c r="V87" s="4">
        <v>0</v>
      </c>
      <c r="W87" s="4">
        <v>0</v>
      </c>
    </row>
    <row r="88" spans="1:23" ht="11.25" customHeight="1" x14ac:dyDescent="0.25">
      <c r="A88" s="4" t="s">
        <v>21</v>
      </c>
      <c r="B88" s="4" t="s">
        <v>38</v>
      </c>
      <c r="C88" s="4" t="s">
        <v>39</v>
      </c>
      <c r="D88" s="4" t="s">
        <v>40</v>
      </c>
      <c r="E88" s="4" t="s">
        <v>25</v>
      </c>
      <c r="F88" s="4" t="s">
        <v>25</v>
      </c>
      <c r="G88" s="4" t="s">
        <v>25</v>
      </c>
      <c r="H88" s="4" t="s">
        <v>25</v>
      </c>
      <c r="I88" s="5">
        <v>44593</v>
      </c>
      <c r="J88" s="6">
        <v>2362</v>
      </c>
      <c r="K88" s="6">
        <v>2362</v>
      </c>
      <c r="L88" s="6">
        <v>0</v>
      </c>
      <c r="M88" s="6">
        <v>0</v>
      </c>
      <c r="N88" s="6">
        <v>0</v>
      </c>
      <c r="O88" s="6">
        <v>0</v>
      </c>
      <c r="P88" s="6">
        <v>22</v>
      </c>
      <c r="Q88" s="4" t="s">
        <v>26</v>
      </c>
      <c r="R88" s="4">
        <v>0</v>
      </c>
      <c r="S88" s="4" t="s">
        <v>154</v>
      </c>
      <c r="U88" s="4">
        <v>19</v>
      </c>
      <c r="V88" s="4">
        <v>0</v>
      </c>
      <c r="W88" s="4">
        <v>0</v>
      </c>
    </row>
    <row r="89" spans="1:23" ht="11.25" customHeight="1" x14ac:dyDescent="0.25">
      <c r="A89" s="4" t="s">
        <v>27</v>
      </c>
      <c r="B89" s="4" t="s">
        <v>38</v>
      </c>
      <c r="C89" s="4" t="s">
        <v>39</v>
      </c>
      <c r="D89" s="4" t="s">
        <v>40</v>
      </c>
      <c r="E89" s="4" t="s">
        <v>25</v>
      </c>
      <c r="F89" s="4" t="s">
        <v>25</v>
      </c>
      <c r="G89" s="4" t="s">
        <v>25</v>
      </c>
      <c r="H89" s="4" t="s">
        <v>25</v>
      </c>
      <c r="I89" s="5">
        <v>44593</v>
      </c>
      <c r="J89" s="6">
        <v>578</v>
      </c>
      <c r="K89" s="6">
        <v>578</v>
      </c>
      <c r="L89" s="6">
        <v>0</v>
      </c>
      <c r="M89" s="6">
        <v>0</v>
      </c>
      <c r="N89" s="6">
        <v>0</v>
      </c>
      <c r="O89" s="6">
        <v>0</v>
      </c>
      <c r="P89" s="6">
        <v>3</v>
      </c>
      <c r="Q89" s="4" t="s">
        <v>26</v>
      </c>
      <c r="R89" s="4">
        <v>0</v>
      </c>
      <c r="S89" s="4" t="s">
        <v>154</v>
      </c>
      <c r="U89" s="4">
        <v>19</v>
      </c>
      <c r="V89" s="4">
        <v>0</v>
      </c>
      <c r="W89" s="4">
        <v>0</v>
      </c>
    </row>
    <row r="90" spans="1:23" ht="11.25" customHeight="1" x14ac:dyDescent="0.25">
      <c r="A90" s="4" t="s">
        <v>21</v>
      </c>
      <c r="B90" s="4" t="s">
        <v>38</v>
      </c>
      <c r="C90" s="4" t="s">
        <v>39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25</v>
      </c>
      <c r="I90" s="5">
        <v>44621</v>
      </c>
      <c r="J90" s="6">
        <v>2379</v>
      </c>
      <c r="K90" s="6">
        <v>2379</v>
      </c>
      <c r="L90" s="6">
        <v>0</v>
      </c>
      <c r="M90" s="6">
        <v>0</v>
      </c>
      <c r="N90" s="6">
        <v>0</v>
      </c>
      <c r="O90" s="6">
        <v>0</v>
      </c>
      <c r="P90" s="6">
        <v>22</v>
      </c>
      <c r="Q90" s="4" t="s">
        <v>26</v>
      </c>
      <c r="R90" s="4">
        <v>0</v>
      </c>
      <c r="S90" s="4" t="s">
        <v>155</v>
      </c>
      <c r="U90" s="4">
        <v>19</v>
      </c>
      <c r="V90" s="4">
        <v>0</v>
      </c>
      <c r="W90" s="4">
        <v>0</v>
      </c>
    </row>
    <row r="91" spans="1:23" ht="11.25" customHeight="1" x14ac:dyDescent="0.25">
      <c r="A91" s="4" t="s">
        <v>27</v>
      </c>
      <c r="B91" s="4" t="s">
        <v>38</v>
      </c>
      <c r="C91" s="4" t="s">
        <v>39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25</v>
      </c>
      <c r="I91" s="5">
        <v>44621</v>
      </c>
      <c r="J91" s="6">
        <v>622</v>
      </c>
      <c r="K91" s="6">
        <v>622</v>
      </c>
      <c r="L91" s="6">
        <v>0</v>
      </c>
      <c r="M91" s="6">
        <v>0</v>
      </c>
      <c r="N91" s="6">
        <v>0</v>
      </c>
      <c r="O91" s="6">
        <v>0</v>
      </c>
      <c r="P91" s="6">
        <v>4</v>
      </c>
      <c r="Q91" s="4" t="s">
        <v>26</v>
      </c>
      <c r="R91" s="4">
        <v>0</v>
      </c>
      <c r="S91" s="4" t="s">
        <v>155</v>
      </c>
      <c r="U91" s="4">
        <v>19</v>
      </c>
      <c r="V91" s="4">
        <v>0</v>
      </c>
      <c r="W91" s="4">
        <v>0</v>
      </c>
    </row>
    <row r="92" spans="1:23" ht="11.25" customHeight="1" x14ac:dyDescent="0.25">
      <c r="A92" s="4" t="s">
        <v>21</v>
      </c>
      <c r="B92" s="4" t="s">
        <v>38</v>
      </c>
      <c r="C92" s="4" t="s">
        <v>39</v>
      </c>
      <c r="D92" s="4" t="s">
        <v>40</v>
      </c>
      <c r="E92" s="4" t="s">
        <v>25</v>
      </c>
      <c r="F92" s="4" t="s">
        <v>25</v>
      </c>
      <c r="G92" s="4" t="s">
        <v>25</v>
      </c>
      <c r="H92" s="4" t="s">
        <v>25</v>
      </c>
      <c r="I92" s="5">
        <v>44652</v>
      </c>
      <c r="J92" s="6">
        <v>894</v>
      </c>
      <c r="K92" s="6">
        <v>894</v>
      </c>
      <c r="L92" s="6">
        <v>0</v>
      </c>
      <c r="M92" s="6">
        <v>0</v>
      </c>
      <c r="N92" s="6">
        <v>0</v>
      </c>
      <c r="O92" s="6">
        <v>0</v>
      </c>
      <c r="P92" s="6">
        <v>14</v>
      </c>
      <c r="Q92" s="4" t="s">
        <v>26</v>
      </c>
      <c r="R92" s="4">
        <v>0</v>
      </c>
      <c r="S92" s="4" t="s">
        <v>156</v>
      </c>
      <c r="U92" s="4">
        <v>19</v>
      </c>
      <c r="V92" s="4">
        <v>0</v>
      </c>
      <c r="W92" s="4">
        <v>0</v>
      </c>
    </row>
    <row r="93" spans="1:23" ht="11.25" customHeight="1" x14ac:dyDescent="0.25">
      <c r="A93" s="4" t="s">
        <v>27</v>
      </c>
      <c r="B93" s="4" t="s">
        <v>38</v>
      </c>
      <c r="C93" s="4" t="s">
        <v>39</v>
      </c>
      <c r="D93" s="4" t="s">
        <v>40</v>
      </c>
      <c r="E93" s="4" t="s">
        <v>25</v>
      </c>
      <c r="F93" s="4" t="s">
        <v>25</v>
      </c>
      <c r="G93" s="4" t="s">
        <v>25</v>
      </c>
      <c r="H93" s="4" t="s">
        <v>25</v>
      </c>
      <c r="I93" s="5">
        <v>44652</v>
      </c>
      <c r="J93" s="6">
        <v>2347</v>
      </c>
      <c r="K93" s="6">
        <v>2347</v>
      </c>
      <c r="L93" s="6">
        <v>0</v>
      </c>
      <c r="M93" s="6">
        <v>0</v>
      </c>
      <c r="N93" s="6">
        <v>0</v>
      </c>
      <c r="O93" s="6">
        <v>0</v>
      </c>
      <c r="P93" s="6">
        <v>12</v>
      </c>
      <c r="Q93" s="4" t="s">
        <v>26</v>
      </c>
      <c r="R93" s="4">
        <v>0</v>
      </c>
      <c r="S93" s="4" t="s">
        <v>156</v>
      </c>
      <c r="U93" s="4">
        <v>19</v>
      </c>
      <c r="V93" s="4">
        <v>0</v>
      </c>
      <c r="W93" s="4">
        <v>0</v>
      </c>
    </row>
    <row r="94" spans="1:23" ht="11.25" customHeight="1" x14ac:dyDescent="0.25">
      <c r="A94" s="4" t="s">
        <v>21</v>
      </c>
      <c r="B94" s="4" t="s">
        <v>38</v>
      </c>
      <c r="C94" s="4" t="s">
        <v>39</v>
      </c>
      <c r="D94" s="4" t="s">
        <v>40</v>
      </c>
      <c r="E94" s="4" t="s">
        <v>25</v>
      </c>
      <c r="F94" s="4" t="s">
        <v>25</v>
      </c>
      <c r="G94" s="4" t="s">
        <v>25</v>
      </c>
      <c r="H94" s="4" t="s">
        <v>25</v>
      </c>
      <c r="I94" s="5">
        <v>44682</v>
      </c>
      <c r="J94" s="6">
        <v>886</v>
      </c>
      <c r="K94" s="6">
        <v>886</v>
      </c>
      <c r="L94" s="6">
        <v>0</v>
      </c>
      <c r="M94" s="6">
        <v>0</v>
      </c>
      <c r="N94" s="6">
        <v>0</v>
      </c>
      <c r="O94" s="6">
        <v>0</v>
      </c>
      <c r="P94" s="6">
        <v>14</v>
      </c>
      <c r="Q94" s="4" t="s">
        <v>26</v>
      </c>
      <c r="R94" s="4">
        <v>0</v>
      </c>
      <c r="S94" s="4" t="s">
        <v>157</v>
      </c>
      <c r="U94" s="4">
        <v>19</v>
      </c>
      <c r="V94" s="4">
        <v>0</v>
      </c>
      <c r="W94" s="4">
        <v>0</v>
      </c>
    </row>
    <row r="95" spans="1:23" ht="11.25" customHeight="1" x14ac:dyDescent="0.25">
      <c r="A95" s="4" t="s">
        <v>27</v>
      </c>
      <c r="B95" s="4" t="s">
        <v>38</v>
      </c>
      <c r="C95" s="4" t="s">
        <v>39</v>
      </c>
      <c r="D95" s="4" t="s">
        <v>40</v>
      </c>
      <c r="E95" s="4" t="s">
        <v>25</v>
      </c>
      <c r="F95" s="4" t="s">
        <v>25</v>
      </c>
      <c r="G95" s="4" t="s">
        <v>25</v>
      </c>
      <c r="H95" s="4" t="s">
        <v>25</v>
      </c>
      <c r="I95" s="5">
        <v>44682</v>
      </c>
      <c r="J95" s="6">
        <v>2210</v>
      </c>
      <c r="K95" s="6">
        <v>2210</v>
      </c>
      <c r="L95" s="6">
        <v>0</v>
      </c>
      <c r="M95" s="6">
        <v>0</v>
      </c>
      <c r="N95" s="6">
        <v>0</v>
      </c>
      <c r="O95" s="6">
        <v>0</v>
      </c>
      <c r="P95" s="6">
        <v>12</v>
      </c>
      <c r="Q95" s="4" t="s">
        <v>26</v>
      </c>
      <c r="R95" s="4">
        <v>0</v>
      </c>
      <c r="S95" s="4" t="s">
        <v>157</v>
      </c>
      <c r="U95" s="4">
        <v>19</v>
      </c>
      <c r="V95" s="4">
        <v>0</v>
      </c>
      <c r="W95" s="4">
        <v>0</v>
      </c>
    </row>
    <row r="96" spans="1:23" ht="11.25" customHeight="1" x14ac:dyDescent="0.25">
      <c r="A96" s="4" t="s">
        <v>55</v>
      </c>
      <c r="B96" s="4" t="s">
        <v>38</v>
      </c>
      <c r="C96" s="4" t="s">
        <v>39</v>
      </c>
      <c r="D96" s="4" t="s">
        <v>40</v>
      </c>
      <c r="E96" s="4" t="s">
        <v>25</v>
      </c>
      <c r="F96" s="4" t="s">
        <v>25</v>
      </c>
      <c r="G96" s="4" t="s">
        <v>25</v>
      </c>
      <c r="H96" s="4" t="s">
        <v>25</v>
      </c>
      <c r="I96" s="5">
        <v>44713</v>
      </c>
      <c r="J96" s="6">
        <v>886</v>
      </c>
      <c r="K96" s="6">
        <v>886</v>
      </c>
      <c r="L96" s="6">
        <v>0</v>
      </c>
      <c r="M96" s="6">
        <v>0</v>
      </c>
      <c r="N96" s="6">
        <v>0</v>
      </c>
      <c r="O96" s="6">
        <v>0</v>
      </c>
      <c r="P96" s="6">
        <v>14</v>
      </c>
      <c r="Q96" s="4" t="s">
        <v>26</v>
      </c>
      <c r="R96" s="4">
        <v>0</v>
      </c>
      <c r="S96" s="4" t="s">
        <v>158</v>
      </c>
      <c r="U96" s="4">
        <v>19</v>
      </c>
      <c r="V96" s="4">
        <v>0</v>
      </c>
      <c r="W96" s="4">
        <v>0</v>
      </c>
    </row>
    <row r="97" spans="1:23" ht="11.25" customHeight="1" x14ac:dyDescent="0.25">
      <c r="A97" s="4" t="s">
        <v>55</v>
      </c>
      <c r="B97" s="4" t="s">
        <v>38</v>
      </c>
      <c r="C97" s="4" t="s">
        <v>39</v>
      </c>
      <c r="D97" s="4" t="s">
        <v>40</v>
      </c>
      <c r="E97" s="4" t="s">
        <v>25</v>
      </c>
      <c r="F97" s="4" t="s">
        <v>25</v>
      </c>
      <c r="G97" s="4" t="s">
        <v>25</v>
      </c>
      <c r="H97" s="4" t="s">
        <v>25</v>
      </c>
      <c r="I97" s="5">
        <v>44713</v>
      </c>
      <c r="J97" s="6">
        <v>2210</v>
      </c>
      <c r="K97" s="6">
        <v>2210</v>
      </c>
      <c r="L97" s="6">
        <v>0</v>
      </c>
      <c r="M97" s="6">
        <v>0</v>
      </c>
      <c r="N97" s="6">
        <v>0</v>
      </c>
      <c r="O97" s="6">
        <v>0</v>
      </c>
      <c r="P97" s="6">
        <v>12</v>
      </c>
      <c r="Q97" s="4" t="s">
        <v>26</v>
      </c>
      <c r="R97" s="4">
        <v>0</v>
      </c>
      <c r="S97" s="4" t="s">
        <v>158</v>
      </c>
      <c r="U97" s="4">
        <v>19</v>
      </c>
      <c r="V97" s="4">
        <v>0</v>
      </c>
      <c r="W97" s="4">
        <v>0</v>
      </c>
    </row>
    <row r="98" spans="1:23" ht="11.25" customHeight="1" x14ac:dyDescent="0.25">
      <c r="A98" s="4" t="s">
        <v>21</v>
      </c>
      <c r="B98" s="4" t="s">
        <v>38</v>
      </c>
      <c r="C98" s="4" t="s">
        <v>39</v>
      </c>
      <c r="D98" s="4" t="s">
        <v>40</v>
      </c>
      <c r="E98" s="4" t="s">
        <v>25</v>
      </c>
      <c r="F98" s="4" t="s">
        <v>25</v>
      </c>
      <c r="G98" s="4" t="s">
        <v>25</v>
      </c>
      <c r="H98" s="4" t="s">
        <v>33</v>
      </c>
      <c r="I98" s="5">
        <v>44378</v>
      </c>
      <c r="J98" s="6">
        <v>0</v>
      </c>
      <c r="K98" s="6">
        <v>0</v>
      </c>
      <c r="L98" s="6">
        <v>10.646000000000001</v>
      </c>
      <c r="M98" s="6">
        <v>10.646000000000001</v>
      </c>
      <c r="N98" s="6">
        <v>10.646000000000001</v>
      </c>
      <c r="O98" s="6">
        <v>10.646000000000001</v>
      </c>
      <c r="P98" s="6">
        <v>0</v>
      </c>
      <c r="Q98" s="4" t="s">
        <v>26</v>
      </c>
      <c r="R98" s="4">
        <v>0</v>
      </c>
      <c r="S98" s="4" t="s">
        <v>159</v>
      </c>
      <c r="T98" s="4" t="s">
        <v>325</v>
      </c>
      <c r="U98" s="4">
        <v>0</v>
      </c>
      <c r="V98" s="4">
        <v>21</v>
      </c>
      <c r="W98" s="4">
        <v>66</v>
      </c>
    </row>
    <row r="99" spans="1:23" ht="11.25" customHeight="1" x14ac:dyDescent="0.25">
      <c r="A99" s="4" t="s">
        <v>27</v>
      </c>
      <c r="B99" s="4" t="s">
        <v>38</v>
      </c>
      <c r="C99" s="4" t="s">
        <v>39</v>
      </c>
      <c r="D99" s="4" t="s">
        <v>40</v>
      </c>
      <c r="E99" s="4" t="s">
        <v>25</v>
      </c>
      <c r="F99" s="4" t="s">
        <v>25</v>
      </c>
      <c r="G99" s="4" t="s">
        <v>25</v>
      </c>
      <c r="H99" s="4" t="s">
        <v>33</v>
      </c>
      <c r="I99" s="5">
        <v>44378</v>
      </c>
      <c r="J99" s="6">
        <v>0</v>
      </c>
      <c r="K99" s="6">
        <v>0</v>
      </c>
      <c r="L99" s="6">
        <v>6.1929999999999996</v>
      </c>
      <c r="M99" s="6">
        <v>6.1929999999999996</v>
      </c>
      <c r="N99" s="6">
        <v>6.1929999999999996</v>
      </c>
      <c r="O99" s="6">
        <v>6.1929999999999996</v>
      </c>
      <c r="P99" s="6">
        <v>0</v>
      </c>
      <c r="Q99" s="4" t="s">
        <v>26</v>
      </c>
      <c r="R99" s="4">
        <v>0</v>
      </c>
      <c r="S99" s="4" t="s">
        <v>159</v>
      </c>
      <c r="T99" s="4" t="s">
        <v>325</v>
      </c>
      <c r="U99" s="4">
        <v>0</v>
      </c>
      <c r="V99" s="4">
        <v>21</v>
      </c>
      <c r="W99" s="4">
        <v>66</v>
      </c>
    </row>
    <row r="100" spans="1:23" ht="11.25" customHeight="1" x14ac:dyDescent="0.25">
      <c r="A100" s="4" t="s">
        <v>21</v>
      </c>
      <c r="B100" s="4" t="s">
        <v>38</v>
      </c>
      <c r="C100" s="4" t="s">
        <v>39</v>
      </c>
      <c r="D100" s="4" t="s">
        <v>40</v>
      </c>
      <c r="E100" s="4" t="s">
        <v>25</v>
      </c>
      <c r="F100" s="4" t="s">
        <v>25</v>
      </c>
      <c r="G100" s="4" t="s">
        <v>25</v>
      </c>
      <c r="H100" s="4" t="s">
        <v>33</v>
      </c>
      <c r="I100" s="5">
        <v>44409</v>
      </c>
      <c r="J100" s="6">
        <v>0</v>
      </c>
      <c r="K100" s="6">
        <v>0</v>
      </c>
      <c r="L100" s="6">
        <v>13.403</v>
      </c>
      <c r="M100" s="6">
        <v>13.403</v>
      </c>
      <c r="N100" s="6">
        <v>13.403</v>
      </c>
      <c r="O100" s="6">
        <v>13.403</v>
      </c>
      <c r="P100" s="6">
        <v>0</v>
      </c>
      <c r="Q100" s="4" t="s">
        <v>26</v>
      </c>
      <c r="R100" s="4">
        <v>0</v>
      </c>
      <c r="S100" s="4" t="s">
        <v>160</v>
      </c>
      <c r="T100" s="4" t="s">
        <v>326</v>
      </c>
      <c r="U100" s="4">
        <v>0</v>
      </c>
      <c r="V100" s="4">
        <v>21</v>
      </c>
      <c r="W100" s="4">
        <v>66</v>
      </c>
    </row>
    <row r="101" spans="1:23" ht="11.25" customHeight="1" x14ac:dyDescent="0.25">
      <c r="A101" s="4" t="s">
        <v>27</v>
      </c>
      <c r="B101" s="4" t="s">
        <v>38</v>
      </c>
      <c r="C101" s="4" t="s">
        <v>39</v>
      </c>
      <c r="D101" s="4" t="s">
        <v>40</v>
      </c>
      <c r="E101" s="4" t="s">
        <v>25</v>
      </c>
      <c r="F101" s="4" t="s">
        <v>25</v>
      </c>
      <c r="G101" s="4" t="s">
        <v>25</v>
      </c>
      <c r="H101" s="4" t="s">
        <v>33</v>
      </c>
      <c r="I101" s="5">
        <v>44409</v>
      </c>
      <c r="J101" s="6">
        <v>0</v>
      </c>
      <c r="K101" s="6">
        <v>0</v>
      </c>
      <c r="L101" s="6">
        <v>7.7249999999999996</v>
      </c>
      <c r="M101" s="6">
        <v>7.7249999999999996</v>
      </c>
      <c r="N101" s="6">
        <v>7.7249999999999996</v>
      </c>
      <c r="O101" s="6">
        <v>7.7249999999999996</v>
      </c>
      <c r="P101" s="6">
        <v>0</v>
      </c>
      <c r="Q101" s="4" t="s">
        <v>26</v>
      </c>
      <c r="R101" s="4">
        <v>0</v>
      </c>
      <c r="S101" s="4" t="s">
        <v>160</v>
      </c>
      <c r="T101" s="4" t="s">
        <v>326</v>
      </c>
      <c r="U101" s="4">
        <v>0</v>
      </c>
      <c r="V101" s="4">
        <v>21</v>
      </c>
      <c r="W101" s="4">
        <v>66</v>
      </c>
    </row>
    <row r="102" spans="1:23" ht="11.25" customHeight="1" x14ac:dyDescent="0.25">
      <c r="A102" s="4" t="s">
        <v>21</v>
      </c>
      <c r="B102" s="4" t="s">
        <v>38</v>
      </c>
      <c r="C102" s="4" t="s">
        <v>39</v>
      </c>
      <c r="D102" s="4" t="s">
        <v>40</v>
      </c>
      <c r="E102" s="4" t="s">
        <v>25</v>
      </c>
      <c r="F102" s="4" t="s">
        <v>25</v>
      </c>
      <c r="G102" s="4" t="s">
        <v>25</v>
      </c>
      <c r="H102" s="4" t="s">
        <v>33</v>
      </c>
      <c r="I102" s="5">
        <v>44440</v>
      </c>
      <c r="J102" s="6">
        <v>0</v>
      </c>
      <c r="K102" s="6">
        <v>0</v>
      </c>
      <c r="L102" s="6">
        <v>11.365</v>
      </c>
      <c r="M102" s="6">
        <v>11.365</v>
      </c>
      <c r="N102" s="6">
        <v>11.365</v>
      </c>
      <c r="O102" s="6">
        <v>11.365</v>
      </c>
      <c r="P102" s="6">
        <v>0</v>
      </c>
      <c r="Q102" s="4" t="s">
        <v>26</v>
      </c>
      <c r="R102" s="4">
        <v>0</v>
      </c>
      <c r="S102" s="4" t="s">
        <v>161</v>
      </c>
      <c r="T102" s="4" t="s">
        <v>327</v>
      </c>
      <c r="U102" s="4">
        <v>0</v>
      </c>
      <c r="V102" s="4">
        <v>21</v>
      </c>
      <c r="W102" s="4">
        <v>66</v>
      </c>
    </row>
    <row r="103" spans="1:23" ht="11.25" customHeight="1" x14ac:dyDescent="0.25">
      <c r="A103" s="4" t="s">
        <v>27</v>
      </c>
      <c r="B103" s="4" t="s">
        <v>38</v>
      </c>
      <c r="C103" s="4" t="s">
        <v>39</v>
      </c>
      <c r="D103" s="4" t="s">
        <v>40</v>
      </c>
      <c r="E103" s="4" t="s">
        <v>25</v>
      </c>
      <c r="F103" s="4" t="s">
        <v>25</v>
      </c>
      <c r="G103" s="4" t="s">
        <v>25</v>
      </c>
      <c r="H103" s="4" t="s">
        <v>33</v>
      </c>
      <c r="I103" s="5">
        <v>44440</v>
      </c>
      <c r="J103" s="6">
        <v>0</v>
      </c>
      <c r="K103" s="6">
        <v>0</v>
      </c>
      <c r="L103" s="6">
        <v>1.1859999999999999</v>
      </c>
      <c r="M103" s="6">
        <v>1.1859999999999999</v>
      </c>
      <c r="N103" s="6">
        <v>1.1859999999999999</v>
      </c>
      <c r="O103" s="6">
        <v>1.1859999999999999</v>
      </c>
      <c r="P103" s="6">
        <v>0</v>
      </c>
      <c r="Q103" s="4" t="s">
        <v>26</v>
      </c>
      <c r="R103" s="4">
        <v>0</v>
      </c>
      <c r="S103" s="4" t="s">
        <v>161</v>
      </c>
      <c r="T103" s="4" t="s">
        <v>327</v>
      </c>
      <c r="U103" s="4">
        <v>0</v>
      </c>
      <c r="V103" s="4">
        <v>21</v>
      </c>
      <c r="W103" s="4">
        <v>66</v>
      </c>
    </row>
    <row r="104" spans="1:23" ht="11.25" customHeight="1" x14ac:dyDescent="0.25">
      <c r="A104" s="4" t="s">
        <v>21</v>
      </c>
      <c r="B104" s="4" t="s">
        <v>38</v>
      </c>
      <c r="C104" s="4" t="s">
        <v>39</v>
      </c>
      <c r="D104" s="4" t="s">
        <v>40</v>
      </c>
      <c r="E104" s="4" t="s">
        <v>25</v>
      </c>
      <c r="F104" s="4" t="s">
        <v>25</v>
      </c>
      <c r="G104" s="4" t="s">
        <v>25</v>
      </c>
      <c r="H104" s="4" t="s">
        <v>33</v>
      </c>
      <c r="I104" s="5">
        <v>44470</v>
      </c>
      <c r="J104" s="6">
        <v>0</v>
      </c>
      <c r="K104" s="6">
        <v>0</v>
      </c>
      <c r="L104" s="6">
        <v>10.680999999999999</v>
      </c>
      <c r="M104" s="6">
        <v>10.680999999999999</v>
      </c>
      <c r="N104" s="6">
        <v>10.680999999999999</v>
      </c>
      <c r="O104" s="6">
        <v>10.680999999999999</v>
      </c>
      <c r="P104" s="6">
        <v>0</v>
      </c>
      <c r="Q104" s="4" t="s">
        <v>26</v>
      </c>
      <c r="R104" s="4">
        <v>0</v>
      </c>
      <c r="S104" s="4" t="s">
        <v>162</v>
      </c>
      <c r="T104" s="4" t="s">
        <v>328</v>
      </c>
      <c r="U104" s="4">
        <v>0</v>
      </c>
      <c r="V104" s="4">
        <v>21</v>
      </c>
      <c r="W104" s="4">
        <v>66</v>
      </c>
    </row>
    <row r="105" spans="1:23" ht="11.25" customHeight="1" x14ac:dyDescent="0.25">
      <c r="A105" s="4" t="s">
        <v>27</v>
      </c>
      <c r="B105" s="4" t="s">
        <v>38</v>
      </c>
      <c r="C105" s="4" t="s">
        <v>39</v>
      </c>
      <c r="D105" s="4" t="s">
        <v>40</v>
      </c>
      <c r="E105" s="4" t="s">
        <v>25</v>
      </c>
      <c r="F105" s="4" t="s">
        <v>25</v>
      </c>
      <c r="G105" s="4" t="s">
        <v>25</v>
      </c>
      <c r="H105" s="4" t="s">
        <v>33</v>
      </c>
      <c r="I105" s="5">
        <v>44470</v>
      </c>
      <c r="J105" s="6">
        <v>0</v>
      </c>
      <c r="K105" s="6">
        <v>0</v>
      </c>
      <c r="L105" s="6">
        <v>6.5030000000000001</v>
      </c>
      <c r="M105" s="6">
        <v>6.5030000000000001</v>
      </c>
      <c r="N105" s="6">
        <v>6.5030000000000001</v>
      </c>
      <c r="O105" s="6">
        <v>6.5030000000000001</v>
      </c>
      <c r="P105" s="6">
        <v>0</v>
      </c>
      <c r="Q105" s="4" t="s">
        <v>26</v>
      </c>
      <c r="R105" s="4">
        <v>0</v>
      </c>
      <c r="S105" s="4" t="s">
        <v>162</v>
      </c>
      <c r="T105" s="4" t="s">
        <v>328</v>
      </c>
      <c r="U105" s="4">
        <v>0</v>
      </c>
      <c r="V105" s="4">
        <v>21</v>
      </c>
      <c r="W105" s="4">
        <v>66</v>
      </c>
    </row>
    <row r="106" spans="1:23" ht="11.25" customHeight="1" x14ac:dyDescent="0.25">
      <c r="A106" s="4" t="s">
        <v>21</v>
      </c>
      <c r="B106" s="4" t="s">
        <v>38</v>
      </c>
      <c r="C106" s="4" t="s">
        <v>39</v>
      </c>
      <c r="D106" s="4" t="s">
        <v>40</v>
      </c>
      <c r="E106" s="4" t="s">
        <v>25</v>
      </c>
      <c r="F106" s="4" t="s">
        <v>25</v>
      </c>
      <c r="G106" s="4" t="s">
        <v>25</v>
      </c>
      <c r="H106" s="4" t="s">
        <v>33</v>
      </c>
      <c r="I106" s="5">
        <v>44501</v>
      </c>
      <c r="J106" s="6">
        <v>0</v>
      </c>
      <c r="K106" s="6">
        <v>0</v>
      </c>
      <c r="L106" s="6">
        <v>37.08</v>
      </c>
      <c r="M106" s="6">
        <v>37.08</v>
      </c>
      <c r="N106" s="6">
        <v>37.08</v>
      </c>
      <c r="O106" s="6">
        <v>37.08</v>
      </c>
      <c r="P106" s="6">
        <v>0</v>
      </c>
      <c r="Q106" s="4" t="s">
        <v>26</v>
      </c>
      <c r="R106" s="4">
        <v>0</v>
      </c>
      <c r="S106" s="4" t="s">
        <v>163</v>
      </c>
      <c r="T106" s="4" t="s">
        <v>329</v>
      </c>
      <c r="U106" s="4">
        <v>0</v>
      </c>
      <c r="V106" s="4">
        <v>21</v>
      </c>
      <c r="W106" s="4">
        <v>66</v>
      </c>
    </row>
    <row r="107" spans="1:23" ht="11.25" customHeight="1" x14ac:dyDescent="0.25">
      <c r="A107" s="4" t="s">
        <v>27</v>
      </c>
      <c r="B107" s="4" t="s">
        <v>38</v>
      </c>
      <c r="C107" s="4" t="s">
        <v>39</v>
      </c>
      <c r="D107" s="4" t="s">
        <v>40</v>
      </c>
      <c r="E107" s="4" t="s">
        <v>25</v>
      </c>
      <c r="F107" s="4" t="s">
        <v>25</v>
      </c>
      <c r="G107" s="4" t="s">
        <v>25</v>
      </c>
      <c r="H107" s="4" t="s">
        <v>33</v>
      </c>
      <c r="I107" s="5">
        <v>44501</v>
      </c>
      <c r="J107" s="6">
        <v>0</v>
      </c>
      <c r="K107" s="6">
        <v>0</v>
      </c>
      <c r="L107" s="6">
        <v>4.8920000000000003</v>
      </c>
      <c r="M107" s="6">
        <v>4.8920000000000003</v>
      </c>
      <c r="N107" s="6">
        <v>4.8920000000000003</v>
      </c>
      <c r="O107" s="6">
        <v>4.8920000000000003</v>
      </c>
      <c r="P107" s="6">
        <v>0</v>
      </c>
      <c r="Q107" s="4" t="s">
        <v>26</v>
      </c>
      <c r="R107" s="4">
        <v>0</v>
      </c>
      <c r="S107" s="4" t="s">
        <v>163</v>
      </c>
      <c r="T107" s="4" t="s">
        <v>329</v>
      </c>
      <c r="U107" s="4">
        <v>0</v>
      </c>
      <c r="V107" s="4">
        <v>21</v>
      </c>
      <c r="W107" s="4">
        <v>66</v>
      </c>
    </row>
    <row r="108" spans="1:23" ht="11.25" customHeight="1" x14ac:dyDescent="0.25">
      <c r="A108" s="4" t="s">
        <v>21</v>
      </c>
      <c r="B108" s="4" t="s">
        <v>38</v>
      </c>
      <c r="C108" s="4" t="s">
        <v>39</v>
      </c>
      <c r="D108" s="4" t="s">
        <v>40</v>
      </c>
      <c r="E108" s="4" t="s">
        <v>25</v>
      </c>
      <c r="F108" s="4" t="s">
        <v>25</v>
      </c>
      <c r="G108" s="4" t="s">
        <v>25</v>
      </c>
      <c r="H108" s="4" t="s">
        <v>33</v>
      </c>
      <c r="I108" s="5">
        <v>44531</v>
      </c>
      <c r="J108" s="6">
        <v>0</v>
      </c>
      <c r="K108" s="6">
        <v>0</v>
      </c>
      <c r="L108" s="6">
        <v>30.876000000000001</v>
      </c>
      <c r="M108" s="6">
        <v>30.876000000000001</v>
      </c>
      <c r="N108" s="6">
        <v>30.876000000000001</v>
      </c>
      <c r="O108" s="6">
        <v>30.876000000000001</v>
      </c>
      <c r="P108" s="6">
        <v>0</v>
      </c>
      <c r="Q108" s="4" t="s">
        <v>26</v>
      </c>
      <c r="R108" s="4">
        <v>0</v>
      </c>
      <c r="S108" s="4" t="s">
        <v>164</v>
      </c>
      <c r="T108" s="4" t="s">
        <v>330</v>
      </c>
      <c r="U108" s="4">
        <v>0</v>
      </c>
      <c r="V108" s="4">
        <v>21</v>
      </c>
      <c r="W108" s="4">
        <v>66</v>
      </c>
    </row>
    <row r="109" spans="1:23" ht="11.25" customHeight="1" x14ac:dyDescent="0.25">
      <c r="A109" s="4" t="s">
        <v>27</v>
      </c>
      <c r="B109" s="4" t="s">
        <v>38</v>
      </c>
      <c r="C109" s="4" t="s">
        <v>39</v>
      </c>
      <c r="D109" s="4" t="s">
        <v>40</v>
      </c>
      <c r="E109" s="4" t="s">
        <v>25</v>
      </c>
      <c r="F109" s="4" t="s">
        <v>25</v>
      </c>
      <c r="G109" s="4" t="s">
        <v>25</v>
      </c>
      <c r="H109" s="4" t="s">
        <v>33</v>
      </c>
      <c r="I109" s="5">
        <v>44531</v>
      </c>
      <c r="J109" s="6">
        <v>0</v>
      </c>
      <c r="K109" s="6">
        <v>0</v>
      </c>
      <c r="L109" s="6">
        <v>7.8040000000000003</v>
      </c>
      <c r="M109" s="6">
        <v>7.8040000000000003</v>
      </c>
      <c r="N109" s="6">
        <v>7.8040000000000003</v>
      </c>
      <c r="O109" s="6">
        <v>7.8040000000000003</v>
      </c>
      <c r="P109" s="6">
        <v>0</v>
      </c>
      <c r="Q109" s="4" t="s">
        <v>26</v>
      </c>
      <c r="R109" s="4">
        <v>0</v>
      </c>
      <c r="S109" s="4" t="s">
        <v>164</v>
      </c>
      <c r="T109" s="4" t="s">
        <v>330</v>
      </c>
      <c r="U109" s="4">
        <v>0</v>
      </c>
      <c r="V109" s="4">
        <v>21</v>
      </c>
      <c r="W109" s="4">
        <v>66</v>
      </c>
    </row>
    <row r="110" spans="1:23" ht="11.25" customHeight="1" x14ac:dyDescent="0.25">
      <c r="A110" s="4" t="s">
        <v>21</v>
      </c>
      <c r="B110" s="4" t="s">
        <v>38</v>
      </c>
      <c r="C110" s="4" t="s">
        <v>39</v>
      </c>
      <c r="D110" s="4" t="s">
        <v>40</v>
      </c>
      <c r="E110" s="4" t="s">
        <v>25</v>
      </c>
      <c r="F110" s="4" t="s">
        <v>25</v>
      </c>
      <c r="G110" s="4" t="s">
        <v>25</v>
      </c>
      <c r="H110" s="4" t="s">
        <v>33</v>
      </c>
      <c r="I110" s="5">
        <v>44562</v>
      </c>
      <c r="J110" s="6">
        <v>0</v>
      </c>
      <c r="K110" s="6">
        <v>0</v>
      </c>
      <c r="L110" s="6">
        <v>34.972999999999999</v>
      </c>
      <c r="M110" s="6">
        <v>34.972999999999999</v>
      </c>
      <c r="N110" s="6">
        <v>34.972999999999999</v>
      </c>
      <c r="O110" s="6">
        <v>34.972999999999999</v>
      </c>
      <c r="P110" s="6">
        <v>0</v>
      </c>
      <c r="Q110" s="4" t="s">
        <v>26</v>
      </c>
      <c r="R110" s="4">
        <v>0</v>
      </c>
      <c r="S110" s="4" t="s">
        <v>165</v>
      </c>
      <c r="T110" s="4" t="s">
        <v>331</v>
      </c>
      <c r="U110" s="4">
        <v>0</v>
      </c>
      <c r="V110" s="4">
        <v>21</v>
      </c>
      <c r="W110" s="4">
        <v>66</v>
      </c>
    </row>
    <row r="111" spans="1:23" ht="11.25" customHeight="1" x14ac:dyDescent="0.25">
      <c r="A111" s="4" t="s">
        <v>27</v>
      </c>
      <c r="B111" s="4" t="s">
        <v>38</v>
      </c>
      <c r="C111" s="4" t="s">
        <v>39</v>
      </c>
      <c r="D111" s="4" t="s">
        <v>40</v>
      </c>
      <c r="E111" s="4" t="s">
        <v>25</v>
      </c>
      <c r="F111" s="4" t="s">
        <v>25</v>
      </c>
      <c r="G111" s="4" t="s">
        <v>25</v>
      </c>
      <c r="H111" s="4" t="s">
        <v>33</v>
      </c>
      <c r="I111" s="5">
        <v>44562</v>
      </c>
      <c r="J111" s="6">
        <v>0</v>
      </c>
      <c r="K111" s="6">
        <v>0</v>
      </c>
      <c r="L111" s="6">
        <v>13.972</v>
      </c>
      <c r="M111" s="6">
        <v>13.972</v>
      </c>
      <c r="N111" s="6">
        <v>13.972</v>
      </c>
      <c r="O111" s="6">
        <v>13.972</v>
      </c>
      <c r="P111" s="6">
        <v>0</v>
      </c>
      <c r="Q111" s="4" t="s">
        <v>26</v>
      </c>
      <c r="R111" s="4">
        <v>0</v>
      </c>
      <c r="S111" s="4" t="s">
        <v>165</v>
      </c>
      <c r="T111" s="4" t="s">
        <v>331</v>
      </c>
      <c r="U111" s="4">
        <v>0</v>
      </c>
      <c r="V111" s="4">
        <v>21</v>
      </c>
      <c r="W111" s="4">
        <v>66</v>
      </c>
    </row>
    <row r="112" spans="1:23" ht="11.25" customHeight="1" x14ac:dyDescent="0.25">
      <c r="A112" s="4" t="s">
        <v>21</v>
      </c>
      <c r="B112" s="4" t="s">
        <v>38</v>
      </c>
      <c r="C112" s="4" t="s">
        <v>39</v>
      </c>
      <c r="D112" s="4" t="s">
        <v>40</v>
      </c>
      <c r="E112" s="4" t="s">
        <v>25</v>
      </c>
      <c r="F112" s="4" t="s">
        <v>25</v>
      </c>
      <c r="G112" s="4" t="s">
        <v>25</v>
      </c>
      <c r="H112" s="4" t="s">
        <v>33</v>
      </c>
      <c r="I112" s="5">
        <v>44593</v>
      </c>
      <c r="J112" s="6">
        <v>0</v>
      </c>
      <c r="K112" s="6">
        <v>0</v>
      </c>
      <c r="L112" s="6">
        <v>27.006</v>
      </c>
      <c r="M112" s="6">
        <v>27.006</v>
      </c>
      <c r="N112" s="6">
        <v>27.006</v>
      </c>
      <c r="O112" s="6">
        <v>27.006</v>
      </c>
      <c r="P112" s="6">
        <v>0</v>
      </c>
      <c r="Q112" s="4" t="s">
        <v>26</v>
      </c>
      <c r="R112" s="4">
        <v>0</v>
      </c>
      <c r="S112" s="4" t="s">
        <v>166</v>
      </c>
      <c r="T112" s="4" t="s">
        <v>332</v>
      </c>
      <c r="U112" s="4">
        <v>0</v>
      </c>
      <c r="V112" s="4">
        <v>21</v>
      </c>
      <c r="W112" s="4">
        <v>66</v>
      </c>
    </row>
    <row r="113" spans="1:23" ht="11.25" customHeight="1" x14ac:dyDescent="0.25">
      <c r="A113" s="4" t="s">
        <v>27</v>
      </c>
      <c r="B113" s="4" t="s">
        <v>38</v>
      </c>
      <c r="C113" s="4" t="s">
        <v>39</v>
      </c>
      <c r="D113" s="4" t="s">
        <v>40</v>
      </c>
      <c r="E113" s="4" t="s">
        <v>25</v>
      </c>
      <c r="F113" s="4" t="s">
        <v>25</v>
      </c>
      <c r="G113" s="4" t="s">
        <v>25</v>
      </c>
      <c r="H113" s="4" t="s">
        <v>33</v>
      </c>
      <c r="I113" s="5">
        <v>44593</v>
      </c>
      <c r="J113" s="6">
        <v>0</v>
      </c>
      <c r="K113" s="6">
        <v>0</v>
      </c>
      <c r="L113" s="6">
        <v>13.486000000000001</v>
      </c>
      <c r="M113" s="6">
        <v>13.486000000000001</v>
      </c>
      <c r="N113" s="6">
        <v>13.486000000000001</v>
      </c>
      <c r="O113" s="6">
        <v>13.486000000000001</v>
      </c>
      <c r="P113" s="6">
        <v>0</v>
      </c>
      <c r="Q113" s="4" t="s">
        <v>26</v>
      </c>
      <c r="R113" s="4">
        <v>0</v>
      </c>
      <c r="S113" s="4" t="s">
        <v>166</v>
      </c>
      <c r="T113" s="4" t="s">
        <v>332</v>
      </c>
      <c r="U113" s="4">
        <v>0</v>
      </c>
      <c r="V113" s="4">
        <v>21</v>
      </c>
      <c r="W113" s="4">
        <v>66</v>
      </c>
    </row>
    <row r="114" spans="1:23" ht="11.25" customHeight="1" x14ac:dyDescent="0.25">
      <c r="A114" s="4" t="s">
        <v>21</v>
      </c>
      <c r="B114" s="4" t="s">
        <v>38</v>
      </c>
      <c r="C114" s="4" t="s">
        <v>39</v>
      </c>
      <c r="D114" s="4" t="s">
        <v>40</v>
      </c>
      <c r="E114" s="4" t="s">
        <v>25</v>
      </c>
      <c r="F114" s="4" t="s">
        <v>25</v>
      </c>
      <c r="G114" s="4" t="s">
        <v>25</v>
      </c>
      <c r="H114" s="4" t="s">
        <v>33</v>
      </c>
      <c r="I114" s="5">
        <v>44621</v>
      </c>
      <c r="J114" s="6">
        <v>0</v>
      </c>
      <c r="K114" s="6">
        <v>0</v>
      </c>
      <c r="L114" s="6">
        <v>41.917000000000002</v>
      </c>
      <c r="M114" s="6">
        <v>41.917000000000002</v>
      </c>
      <c r="N114" s="6">
        <v>41.917000000000002</v>
      </c>
      <c r="O114" s="6">
        <v>41.917000000000002</v>
      </c>
      <c r="P114" s="6">
        <v>0</v>
      </c>
      <c r="Q114" s="4" t="s">
        <v>26</v>
      </c>
      <c r="R114" s="4">
        <v>0</v>
      </c>
      <c r="S114" s="4" t="s">
        <v>167</v>
      </c>
      <c r="T114" s="4" t="s">
        <v>333</v>
      </c>
      <c r="U114" s="4">
        <v>0</v>
      </c>
      <c r="V114" s="4">
        <v>21</v>
      </c>
      <c r="W114" s="4">
        <v>66</v>
      </c>
    </row>
    <row r="115" spans="1:23" ht="11.25" customHeight="1" x14ac:dyDescent="0.25">
      <c r="A115" s="4" t="s">
        <v>27</v>
      </c>
      <c r="B115" s="4" t="s">
        <v>38</v>
      </c>
      <c r="C115" s="4" t="s">
        <v>39</v>
      </c>
      <c r="D115" s="4" t="s">
        <v>40</v>
      </c>
      <c r="E115" s="4" t="s">
        <v>25</v>
      </c>
      <c r="F115" s="4" t="s">
        <v>25</v>
      </c>
      <c r="G115" s="4" t="s">
        <v>25</v>
      </c>
      <c r="H115" s="4" t="s">
        <v>33</v>
      </c>
      <c r="I115" s="5">
        <v>44621</v>
      </c>
      <c r="J115" s="6">
        <v>0</v>
      </c>
      <c r="K115" s="6">
        <v>0</v>
      </c>
      <c r="L115" s="6">
        <v>6.4909999999999997</v>
      </c>
      <c r="M115" s="6">
        <v>6.4909999999999997</v>
      </c>
      <c r="N115" s="6">
        <v>6.4909999999999997</v>
      </c>
      <c r="O115" s="6">
        <v>6.4909999999999997</v>
      </c>
      <c r="P115" s="6">
        <v>0</v>
      </c>
      <c r="Q115" s="4" t="s">
        <v>26</v>
      </c>
      <c r="R115" s="4">
        <v>0</v>
      </c>
      <c r="S115" s="4" t="s">
        <v>167</v>
      </c>
      <c r="T115" s="4" t="s">
        <v>333</v>
      </c>
      <c r="U115" s="4">
        <v>0</v>
      </c>
      <c r="V115" s="4">
        <v>21</v>
      </c>
      <c r="W115" s="4">
        <v>66</v>
      </c>
    </row>
    <row r="116" spans="1:23" ht="11.25" customHeight="1" x14ac:dyDescent="0.25">
      <c r="A116" s="4" t="s">
        <v>21</v>
      </c>
      <c r="B116" s="4" t="s">
        <v>38</v>
      </c>
      <c r="C116" s="4" t="s">
        <v>39</v>
      </c>
      <c r="D116" s="4" t="s">
        <v>40</v>
      </c>
      <c r="E116" s="4" t="s">
        <v>25</v>
      </c>
      <c r="F116" s="4" t="s">
        <v>25</v>
      </c>
      <c r="G116" s="4" t="s">
        <v>25</v>
      </c>
      <c r="H116" s="4" t="s">
        <v>33</v>
      </c>
      <c r="I116" s="5">
        <v>44652</v>
      </c>
      <c r="J116" s="6">
        <v>0</v>
      </c>
      <c r="K116" s="6">
        <v>0</v>
      </c>
      <c r="L116" s="6">
        <v>11.417</v>
      </c>
      <c r="M116" s="6">
        <v>11.417</v>
      </c>
      <c r="N116" s="6">
        <v>11.417</v>
      </c>
      <c r="O116" s="6">
        <v>11.417</v>
      </c>
      <c r="P116" s="6">
        <v>0</v>
      </c>
      <c r="Q116" s="4" t="s">
        <v>26</v>
      </c>
      <c r="R116" s="4">
        <v>0</v>
      </c>
      <c r="S116" s="4" t="s">
        <v>168</v>
      </c>
      <c r="T116" s="4" t="s">
        <v>334</v>
      </c>
      <c r="U116" s="4">
        <v>0</v>
      </c>
      <c r="V116" s="4">
        <v>21</v>
      </c>
      <c r="W116" s="4">
        <v>66</v>
      </c>
    </row>
    <row r="117" spans="1:23" ht="11.25" customHeight="1" x14ac:dyDescent="0.25">
      <c r="A117" s="4" t="s">
        <v>27</v>
      </c>
      <c r="B117" s="4" t="s">
        <v>38</v>
      </c>
      <c r="C117" s="4" t="s">
        <v>39</v>
      </c>
      <c r="D117" s="4" t="s">
        <v>40</v>
      </c>
      <c r="E117" s="4" t="s">
        <v>25</v>
      </c>
      <c r="F117" s="4" t="s">
        <v>25</v>
      </c>
      <c r="G117" s="4" t="s">
        <v>25</v>
      </c>
      <c r="H117" s="4" t="s">
        <v>33</v>
      </c>
      <c r="I117" s="5">
        <v>44652</v>
      </c>
      <c r="J117" s="6">
        <v>0</v>
      </c>
      <c r="K117" s="6">
        <v>0</v>
      </c>
      <c r="L117" s="6">
        <v>9.8030000000000008</v>
      </c>
      <c r="M117" s="6">
        <v>9.8030000000000008</v>
      </c>
      <c r="N117" s="6">
        <v>9.8030000000000008</v>
      </c>
      <c r="O117" s="6">
        <v>9.8030000000000008</v>
      </c>
      <c r="P117" s="6">
        <v>0</v>
      </c>
      <c r="Q117" s="4" t="s">
        <v>26</v>
      </c>
      <c r="R117" s="4">
        <v>0</v>
      </c>
      <c r="S117" s="4" t="s">
        <v>168</v>
      </c>
      <c r="T117" s="4" t="s">
        <v>334</v>
      </c>
      <c r="U117" s="4">
        <v>0</v>
      </c>
      <c r="V117" s="4">
        <v>21</v>
      </c>
      <c r="W117" s="4">
        <v>66</v>
      </c>
    </row>
    <row r="118" spans="1:23" ht="11.25" customHeight="1" x14ac:dyDescent="0.25">
      <c r="A118" s="4" t="s">
        <v>21</v>
      </c>
      <c r="B118" s="4" t="s">
        <v>38</v>
      </c>
      <c r="C118" s="4" t="s">
        <v>39</v>
      </c>
      <c r="D118" s="4" t="s">
        <v>40</v>
      </c>
      <c r="E118" s="4" t="s">
        <v>25</v>
      </c>
      <c r="F118" s="4" t="s">
        <v>25</v>
      </c>
      <c r="G118" s="4" t="s">
        <v>25</v>
      </c>
      <c r="H118" s="4" t="s">
        <v>33</v>
      </c>
      <c r="I118" s="5">
        <v>44682</v>
      </c>
      <c r="J118" s="6">
        <v>0</v>
      </c>
      <c r="K118" s="6">
        <v>0</v>
      </c>
      <c r="L118" s="6">
        <v>13.666</v>
      </c>
      <c r="M118" s="6">
        <v>13.666</v>
      </c>
      <c r="N118" s="6">
        <v>13.666</v>
      </c>
      <c r="O118" s="6">
        <v>13.666</v>
      </c>
      <c r="P118" s="6">
        <v>0</v>
      </c>
      <c r="Q118" s="4" t="s">
        <v>26</v>
      </c>
      <c r="R118" s="4">
        <v>0</v>
      </c>
      <c r="S118" s="4" t="s">
        <v>169</v>
      </c>
      <c r="T118" s="4" t="s">
        <v>335</v>
      </c>
      <c r="U118" s="4">
        <v>0</v>
      </c>
      <c r="V118" s="4">
        <v>21</v>
      </c>
      <c r="W118" s="4">
        <v>66</v>
      </c>
    </row>
    <row r="119" spans="1:23" ht="11.25" customHeight="1" x14ac:dyDescent="0.25">
      <c r="A119" s="4" t="s">
        <v>27</v>
      </c>
      <c r="B119" s="4" t="s">
        <v>38</v>
      </c>
      <c r="C119" s="4" t="s">
        <v>39</v>
      </c>
      <c r="D119" s="4" t="s">
        <v>40</v>
      </c>
      <c r="E119" s="4" t="s">
        <v>25</v>
      </c>
      <c r="F119" s="4" t="s">
        <v>25</v>
      </c>
      <c r="G119" s="4" t="s">
        <v>25</v>
      </c>
      <c r="H119" s="4" t="s">
        <v>33</v>
      </c>
      <c r="I119" s="5">
        <v>44682</v>
      </c>
      <c r="J119" s="6">
        <v>0</v>
      </c>
      <c r="K119" s="6">
        <v>0</v>
      </c>
      <c r="L119" s="6">
        <v>5.7249999999999996</v>
      </c>
      <c r="M119" s="6">
        <v>5.7249999999999996</v>
      </c>
      <c r="N119" s="6">
        <v>5.7249999999999996</v>
      </c>
      <c r="O119" s="6">
        <v>5.7249999999999996</v>
      </c>
      <c r="P119" s="6">
        <v>0</v>
      </c>
      <c r="Q119" s="4" t="s">
        <v>26</v>
      </c>
      <c r="R119" s="4">
        <v>0</v>
      </c>
      <c r="S119" s="4" t="s">
        <v>169</v>
      </c>
      <c r="T119" s="4" t="s">
        <v>335</v>
      </c>
      <c r="U119" s="4">
        <v>0</v>
      </c>
      <c r="V119" s="4">
        <v>21</v>
      </c>
      <c r="W119" s="4">
        <v>66</v>
      </c>
    </row>
    <row r="120" spans="1:23" ht="11.25" customHeight="1" x14ac:dyDescent="0.25">
      <c r="A120" s="4" t="s">
        <v>55</v>
      </c>
      <c r="B120" s="4" t="s">
        <v>38</v>
      </c>
      <c r="C120" s="4" t="s">
        <v>39</v>
      </c>
      <c r="D120" s="4" t="s">
        <v>40</v>
      </c>
      <c r="E120" s="4" t="s">
        <v>25</v>
      </c>
      <c r="F120" s="4" t="s">
        <v>25</v>
      </c>
      <c r="G120" s="4" t="s">
        <v>25</v>
      </c>
      <c r="H120" s="4" t="s">
        <v>33</v>
      </c>
      <c r="I120" s="5">
        <v>44713</v>
      </c>
      <c r="J120" s="6">
        <v>0</v>
      </c>
      <c r="K120" s="6">
        <v>0</v>
      </c>
      <c r="L120" s="6">
        <v>13.666</v>
      </c>
      <c r="M120" s="6">
        <v>13.666</v>
      </c>
      <c r="N120" s="6">
        <v>13.666</v>
      </c>
      <c r="O120" s="6">
        <v>13.666</v>
      </c>
      <c r="P120" s="6">
        <v>0</v>
      </c>
      <c r="Q120" s="4" t="s">
        <v>26</v>
      </c>
      <c r="R120" s="4">
        <v>0</v>
      </c>
      <c r="S120" s="4" t="s">
        <v>170</v>
      </c>
      <c r="T120" s="4" t="s">
        <v>336</v>
      </c>
      <c r="U120" s="4">
        <v>0</v>
      </c>
      <c r="V120" s="4">
        <v>21</v>
      </c>
      <c r="W120" s="4">
        <v>66</v>
      </c>
    </row>
    <row r="121" spans="1:23" ht="11.25" customHeight="1" x14ac:dyDescent="0.25">
      <c r="A121" s="4" t="s">
        <v>55</v>
      </c>
      <c r="B121" s="4" t="s">
        <v>38</v>
      </c>
      <c r="C121" s="4" t="s">
        <v>39</v>
      </c>
      <c r="D121" s="4" t="s">
        <v>40</v>
      </c>
      <c r="E121" s="4" t="s">
        <v>25</v>
      </c>
      <c r="F121" s="4" t="s">
        <v>25</v>
      </c>
      <c r="G121" s="4" t="s">
        <v>25</v>
      </c>
      <c r="H121" s="4" t="s">
        <v>33</v>
      </c>
      <c r="I121" s="5">
        <v>44713</v>
      </c>
      <c r="J121" s="6">
        <v>0</v>
      </c>
      <c r="K121" s="6">
        <v>0</v>
      </c>
      <c r="L121" s="6">
        <v>5.7249999999999996</v>
      </c>
      <c r="M121" s="6">
        <v>5.7249999999999996</v>
      </c>
      <c r="N121" s="6">
        <v>5.7249999999999996</v>
      </c>
      <c r="O121" s="6">
        <v>5.7249999999999996</v>
      </c>
      <c r="P121" s="6">
        <v>0</v>
      </c>
      <c r="Q121" s="4" t="s">
        <v>26</v>
      </c>
      <c r="R121" s="4">
        <v>0</v>
      </c>
      <c r="S121" s="4" t="s">
        <v>170</v>
      </c>
      <c r="T121" s="4" t="s">
        <v>336</v>
      </c>
      <c r="U121" s="4">
        <v>0</v>
      </c>
      <c r="V121" s="4">
        <v>21</v>
      </c>
      <c r="W121" s="4">
        <v>66</v>
      </c>
    </row>
    <row r="122" spans="1:23" ht="11.25" customHeight="1" x14ac:dyDescent="0.25">
      <c r="A122" s="4" t="s">
        <v>21</v>
      </c>
      <c r="B122" s="4" t="s">
        <v>38</v>
      </c>
      <c r="C122" s="4" t="s">
        <v>39</v>
      </c>
      <c r="D122" s="4" t="s">
        <v>37</v>
      </c>
      <c r="E122" s="4" t="s">
        <v>25</v>
      </c>
      <c r="F122" s="4" t="s">
        <v>56</v>
      </c>
      <c r="G122" s="4" t="s">
        <v>25</v>
      </c>
      <c r="H122" s="4" t="s">
        <v>34</v>
      </c>
      <c r="I122" s="5">
        <v>44378</v>
      </c>
      <c r="J122" s="6">
        <v>0</v>
      </c>
      <c r="K122" s="6">
        <v>0</v>
      </c>
      <c r="L122" s="6">
        <v>3583.413</v>
      </c>
      <c r="M122" s="6">
        <v>3583.413</v>
      </c>
      <c r="N122" s="6">
        <v>0</v>
      </c>
      <c r="O122" s="6">
        <v>0</v>
      </c>
      <c r="P122" s="6">
        <v>0</v>
      </c>
      <c r="Q122" s="4" t="s">
        <v>57</v>
      </c>
      <c r="R122" s="4">
        <v>0</v>
      </c>
      <c r="S122" s="4" t="s">
        <v>135</v>
      </c>
      <c r="U122" s="4">
        <v>0</v>
      </c>
      <c r="V122" s="4">
        <v>17</v>
      </c>
      <c r="W122" s="4">
        <v>0</v>
      </c>
    </row>
    <row r="123" spans="1:23" ht="11.25" customHeight="1" x14ac:dyDescent="0.25">
      <c r="A123" s="4" t="s">
        <v>21</v>
      </c>
      <c r="B123" s="4" t="s">
        <v>38</v>
      </c>
      <c r="C123" s="4" t="s">
        <v>39</v>
      </c>
      <c r="D123" s="4" t="s">
        <v>37</v>
      </c>
      <c r="E123" s="4" t="s">
        <v>25</v>
      </c>
      <c r="F123" s="4" t="s">
        <v>56</v>
      </c>
      <c r="G123" s="4" t="s">
        <v>25</v>
      </c>
      <c r="H123" s="4" t="s">
        <v>34</v>
      </c>
      <c r="I123" s="5">
        <v>44409</v>
      </c>
      <c r="J123" s="6">
        <v>0</v>
      </c>
      <c r="K123" s="6">
        <v>0</v>
      </c>
      <c r="L123" s="6">
        <v>3805.9349999999999</v>
      </c>
      <c r="M123" s="6">
        <v>3805.9349999999999</v>
      </c>
      <c r="N123" s="6">
        <v>0</v>
      </c>
      <c r="O123" s="6">
        <v>0</v>
      </c>
      <c r="P123" s="6">
        <v>0</v>
      </c>
      <c r="Q123" s="4" t="s">
        <v>57</v>
      </c>
      <c r="R123" s="4">
        <v>0</v>
      </c>
      <c r="S123" s="4" t="s">
        <v>136</v>
      </c>
      <c r="U123" s="4">
        <v>0</v>
      </c>
      <c r="V123" s="4">
        <v>17</v>
      </c>
      <c r="W123" s="4">
        <v>0</v>
      </c>
    </row>
    <row r="124" spans="1:23" ht="11.25" customHeight="1" x14ac:dyDescent="0.25">
      <c r="A124" s="4" t="s">
        <v>21</v>
      </c>
      <c r="B124" s="4" t="s">
        <v>38</v>
      </c>
      <c r="C124" s="4" t="s">
        <v>39</v>
      </c>
      <c r="D124" s="4" t="s">
        <v>37</v>
      </c>
      <c r="E124" s="4" t="s">
        <v>25</v>
      </c>
      <c r="F124" s="4" t="s">
        <v>56</v>
      </c>
      <c r="G124" s="4" t="s">
        <v>25</v>
      </c>
      <c r="H124" s="4" t="s">
        <v>34</v>
      </c>
      <c r="I124" s="5">
        <v>44440</v>
      </c>
      <c r="J124" s="6">
        <v>0</v>
      </c>
      <c r="K124" s="6">
        <v>0</v>
      </c>
      <c r="L124" s="6">
        <v>3521.2339999999999</v>
      </c>
      <c r="M124" s="6">
        <v>3521.2339999999999</v>
      </c>
      <c r="N124" s="6">
        <v>0</v>
      </c>
      <c r="O124" s="6">
        <v>0</v>
      </c>
      <c r="P124" s="6">
        <v>0</v>
      </c>
      <c r="Q124" s="4" t="s">
        <v>57</v>
      </c>
      <c r="R124" s="4">
        <v>0</v>
      </c>
      <c r="S124" s="4" t="s">
        <v>137</v>
      </c>
      <c r="U124" s="4">
        <v>0</v>
      </c>
      <c r="V124" s="4">
        <v>17</v>
      </c>
      <c r="W124" s="4">
        <v>0</v>
      </c>
    </row>
    <row r="125" spans="1:23" ht="11.25" customHeight="1" x14ac:dyDescent="0.25">
      <c r="A125" s="4" t="s">
        <v>21</v>
      </c>
      <c r="B125" s="4" t="s">
        <v>38</v>
      </c>
      <c r="C125" s="4" t="s">
        <v>39</v>
      </c>
      <c r="D125" s="4" t="s">
        <v>37</v>
      </c>
      <c r="E125" s="4" t="s">
        <v>25</v>
      </c>
      <c r="F125" s="4" t="s">
        <v>56</v>
      </c>
      <c r="G125" s="4" t="s">
        <v>25</v>
      </c>
      <c r="H125" s="4" t="s">
        <v>34</v>
      </c>
      <c r="I125" s="5">
        <v>44470</v>
      </c>
      <c r="J125" s="6">
        <v>0</v>
      </c>
      <c r="K125" s="6">
        <v>0</v>
      </c>
      <c r="L125" s="6">
        <v>3488.46</v>
      </c>
      <c r="M125" s="6">
        <v>3488.46</v>
      </c>
      <c r="N125" s="6">
        <v>0</v>
      </c>
      <c r="O125" s="6">
        <v>0</v>
      </c>
      <c r="P125" s="6">
        <v>0</v>
      </c>
      <c r="Q125" s="4" t="s">
        <v>57</v>
      </c>
      <c r="R125" s="4">
        <v>0</v>
      </c>
      <c r="S125" s="4" t="s">
        <v>138</v>
      </c>
      <c r="U125" s="4">
        <v>0</v>
      </c>
      <c r="V125" s="4">
        <v>17</v>
      </c>
      <c r="W125" s="4">
        <v>0</v>
      </c>
    </row>
    <row r="126" spans="1:23" ht="11.25" customHeight="1" x14ac:dyDescent="0.25">
      <c r="A126" s="4" t="s">
        <v>21</v>
      </c>
      <c r="B126" s="4" t="s">
        <v>38</v>
      </c>
      <c r="C126" s="4" t="s">
        <v>39</v>
      </c>
      <c r="D126" s="4" t="s">
        <v>37</v>
      </c>
      <c r="E126" s="4" t="s">
        <v>25</v>
      </c>
      <c r="F126" s="4" t="s">
        <v>56</v>
      </c>
      <c r="G126" s="4" t="s">
        <v>25</v>
      </c>
      <c r="H126" s="4" t="s">
        <v>34</v>
      </c>
      <c r="I126" s="5">
        <v>44501</v>
      </c>
      <c r="J126" s="6">
        <v>0</v>
      </c>
      <c r="K126" s="6">
        <v>0</v>
      </c>
      <c r="L126" s="6">
        <v>3759.0949999999998</v>
      </c>
      <c r="M126" s="6">
        <v>3759.0949999999998</v>
      </c>
      <c r="N126" s="6">
        <v>0</v>
      </c>
      <c r="O126" s="6">
        <v>0</v>
      </c>
      <c r="P126" s="6">
        <v>0</v>
      </c>
      <c r="Q126" s="4" t="s">
        <v>57</v>
      </c>
      <c r="R126" s="4">
        <v>0</v>
      </c>
      <c r="S126" s="4" t="s">
        <v>139</v>
      </c>
      <c r="U126" s="4">
        <v>0</v>
      </c>
      <c r="V126" s="4">
        <v>17</v>
      </c>
      <c r="W126" s="4">
        <v>0</v>
      </c>
    </row>
    <row r="127" spans="1:23" ht="11.25" customHeight="1" x14ac:dyDescent="0.25">
      <c r="A127" s="4" t="s">
        <v>21</v>
      </c>
      <c r="B127" s="4" t="s">
        <v>38</v>
      </c>
      <c r="C127" s="4" t="s">
        <v>39</v>
      </c>
      <c r="D127" s="4" t="s">
        <v>37</v>
      </c>
      <c r="E127" s="4" t="s">
        <v>25</v>
      </c>
      <c r="F127" s="4" t="s">
        <v>56</v>
      </c>
      <c r="G127" s="4" t="s">
        <v>25</v>
      </c>
      <c r="H127" s="4" t="s">
        <v>34</v>
      </c>
      <c r="I127" s="5">
        <v>44531</v>
      </c>
      <c r="J127" s="6">
        <v>0</v>
      </c>
      <c r="K127" s="6">
        <v>0</v>
      </c>
      <c r="L127" s="6">
        <v>3501.3580000000002</v>
      </c>
      <c r="M127" s="6">
        <v>3501.3580000000002</v>
      </c>
      <c r="N127" s="6">
        <v>0</v>
      </c>
      <c r="O127" s="6">
        <v>0</v>
      </c>
      <c r="P127" s="6">
        <v>0</v>
      </c>
      <c r="Q127" s="4" t="s">
        <v>57</v>
      </c>
      <c r="R127" s="4">
        <v>0</v>
      </c>
      <c r="S127" s="4" t="s">
        <v>140</v>
      </c>
      <c r="U127" s="4">
        <v>0</v>
      </c>
      <c r="V127" s="4">
        <v>17</v>
      </c>
      <c r="W127" s="4">
        <v>0</v>
      </c>
    </row>
    <row r="128" spans="1:23" ht="11.25" customHeight="1" x14ac:dyDescent="0.25">
      <c r="A128" s="4" t="s">
        <v>21</v>
      </c>
      <c r="B128" s="4" t="s">
        <v>38</v>
      </c>
      <c r="C128" s="4" t="s">
        <v>39</v>
      </c>
      <c r="D128" s="4" t="s">
        <v>37</v>
      </c>
      <c r="E128" s="4" t="s">
        <v>25</v>
      </c>
      <c r="F128" s="4" t="s">
        <v>56</v>
      </c>
      <c r="G128" s="4" t="s">
        <v>25</v>
      </c>
      <c r="H128" s="4" t="s">
        <v>34</v>
      </c>
      <c r="I128" s="5">
        <v>44562</v>
      </c>
      <c r="J128" s="6">
        <v>0</v>
      </c>
      <c r="K128" s="6">
        <v>0</v>
      </c>
      <c r="L128" s="6">
        <v>3808.7330000000002</v>
      </c>
      <c r="M128" s="6">
        <v>3808.7330000000002</v>
      </c>
      <c r="N128" s="6">
        <v>0</v>
      </c>
      <c r="O128" s="6">
        <v>0</v>
      </c>
      <c r="P128" s="6">
        <v>0</v>
      </c>
      <c r="Q128" s="4" t="s">
        <v>57</v>
      </c>
      <c r="R128" s="4">
        <v>0</v>
      </c>
      <c r="S128" s="4" t="s">
        <v>141</v>
      </c>
      <c r="U128" s="4">
        <v>0</v>
      </c>
      <c r="V128" s="4">
        <v>17</v>
      </c>
      <c r="W128" s="4">
        <v>0</v>
      </c>
    </row>
    <row r="129" spans="1:23" ht="11.25" customHeight="1" x14ac:dyDescent="0.25">
      <c r="A129" s="4" t="s">
        <v>21</v>
      </c>
      <c r="B129" s="4" t="s">
        <v>38</v>
      </c>
      <c r="C129" s="4" t="s">
        <v>39</v>
      </c>
      <c r="D129" s="4" t="s">
        <v>37</v>
      </c>
      <c r="E129" s="4" t="s">
        <v>25</v>
      </c>
      <c r="F129" s="4" t="s">
        <v>56</v>
      </c>
      <c r="G129" s="4" t="s">
        <v>25</v>
      </c>
      <c r="H129" s="4" t="s">
        <v>34</v>
      </c>
      <c r="I129" s="5">
        <v>44593</v>
      </c>
      <c r="J129" s="6">
        <v>0</v>
      </c>
      <c r="K129" s="6">
        <v>0</v>
      </c>
      <c r="L129" s="6">
        <v>3887.973</v>
      </c>
      <c r="M129" s="6">
        <v>3887.973</v>
      </c>
      <c r="N129" s="6">
        <v>0</v>
      </c>
      <c r="O129" s="6">
        <v>0</v>
      </c>
      <c r="P129" s="6">
        <v>0</v>
      </c>
      <c r="Q129" s="4" t="s">
        <v>57</v>
      </c>
      <c r="R129" s="4">
        <v>0</v>
      </c>
      <c r="S129" s="4" t="s">
        <v>142</v>
      </c>
      <c r="U129" s="4">
        <v>0</v>
      </c>
      <c r="V129" s="4">
        <v>17</v>
      </c>
      <c r="W129" s="4">
        <v>0</v>
      </c>
    </row>
    <row r="130" spans="1:23" ht="11.25" customHeight="1" x14ac:dyDescent="0.25">
      <c r="A130" s="4" t="s">
        <v>21</v>
      </c>
      <c r="B130" s="4" t="s">
        <v>38</v>
      </c>
      <c r="C130" s="4" t="s">
        <v>39</v>
      </c>
      <c r="D130" s="4" t="s">
        <v>37</v>
      </c>
      <c r="E130" s="4" t="s">
        <v>25</v>
      </c>
      <c r="F130" s="4" t="s">
        <v>56</v>
      </c>
      <c r="G130" s="4" t="s">
        <v>25</v>
      </c>
      <c r="H130" s="4" t="s">
        <v>34</v>
      </c>
      <c r="I130" s="5">
        <v>44621</v>
      </c>
      <c r="J130" s="6">
        <v>0</v>
      </c>
      <c r="K130" s="6">
        <v>0</v>
      </c>
      <c r="L130" s="6">
        <v>4502.0200000000004</v>
      </c>
      <c r="M130" s="6">
        <v>4502.0200000000004</v>
      </c>
      <c r="N130" s="6">
        <v>0</v>
      </c>
      <c r="O130" s="6">
        <v>0</v>
      </c>
      <c r="P130" s="6">
        <v>0</v>
      </c>
      <c r="Q130" s="4" t="s">
        <v>57</v>
      </c>
      <c r="R130" s="4">
        <v>0</v>
      </c>
      <c r="S130" s="4" t="s">
        <v>143</v>
      </c>
      <c r="U130" s="4">
        <v>0</v>
      </c>
      <c r="V130" s="4">
        <v>17</v>
      </c>
      <c r="W130" s="4">
        <v>0</v>
      </c>
    </row>
    <row r="131" spans="1:23" ht="11.25" customHeight="1" x14ac:dyDescent="0.25">
      <c r="A131" s="4" t="s">
        <v>21</v>
      </c>
      <c r="B131" s="4" t="s">
        <v>38</v>
      </c>
      <c r="C131" s="4" t="s">
        <v>39</v>
      </c>
      <c r="D131" s="4" t="s">
        <v>37</v>
      </c>
      <c r="E131" s="4" t="s">
        <v>25</v>
      </c>
      <c r="F131" s="4" t="s">
        <v>56</v>
      </c>
      <c r="G131" s="4" t="s">
        <v>25</v>
      </c>
      <c r="H131" s="4" t="s">
        <v>34</v>
      </c>
      <c r="I131" s="5">
        <v>44652</v>
      </c>
      <c r="J131" s="6">
        <v>0</v>
      </c>
      <c r="K131" s="6">
        <v>0</v>
      </c>
      <c r="L131" s="6">
        <v>4039.2190000000001</v>
      </c>
      <c r="M131" s="6">
        <v>4039.2190000000001</v>
      </c>
      <c r="N131" s="6">
        <v>0</v>
      </c>
      <c r="O131" s="6">
        <v>0</v>
      </c>
      <c r="P131" s="6">
        <v>0</v>
      </c>
      <c r="Q131" s="4" t="s">
        <v>57</v>
      </c>
      <c r="R131" s="4">
        <v>0</v>
      </c>
      <c r="S131" s="4" t="s">
        <v>144</v>
      </c>
      <c r="U131" s="4">
        <v>0</v>
      </c>
      <c r="V131" s="4">
        <v>17</v>
      </c>
      <c r="W131" s="4">
        <v>0</v>
      </c>
    </row>
    <row r="132" spans="1:23" ht="11.25" customHeight="1" x14ac:dyDescent="0.25">
      <c r="A132" s="4" t="s">
        <v>21</v>
      </c>
      <c r="B132" s="4" t="s">
        <v>38</v>
      </c>
      <c r="C132" s="4" t="s">
        <v>39</v>
      </c>
      <c r="D132" s="4" t="s">
        <v>37</v>
      </c>
      <c r="E132" s="4" t="s">
        <v>25</v>
      </c>
      <c r="F132" s="4" t="s">
        <v>56</v>
      </c>
      <c r="G132" s="4" t="s">
        <v>25</v>
      </c>
      <c r="H132" s="4" t="s">
        <v>34</v>
      </c>
      <c r="I132" s="5">
        <v>44682</v>
      </c>
      <c r="J132" s="6">
        <v>0</v>
      </c>
      <c r="K132" s="6">
        <v>0</v>
      </c>
      <c r="L132" s="6">
        <v>4380.7709999999997</v>
      </c>
      <c r="M132" s="6">
        <v>4380.7709999999997</v>
      </c>
      <c r="N132" s="6">
        <v>0</v>
      </c>
      <c r="O132" s="6">
        <v>0</v>
      </c>
      <c r="P132" s="6">
        <v>0</v>
      </c>
      <c r="Q132" s="4" t="s">
        <v>57</v>
      </c>
      <c r="R132" s="4">
        <v>0</v>
      </c>
      <c r="S132" s="4" t="s">
        <v>145</v>
      </c>
      <c r="U132" s="4">
        <v>0</v>
      </c>
      <c r="V132" s="4">
        <v>17</v>
      </c>
      <c r="W132" s="4">
        <v>0</v>
      </c>
    </row>
    <row r="133" spans="1:23" ht="11.25" customHeight="1" x14ac:dyDescent="0.25">
      <c r="A133" s="4" t="s">
        <v>55</v>
      </c>
      <c r="B133" s="4" t="s">
        <v>38</v>
      </c>
      <c r="C133" s="4" t="s">
        <v>39</v>
      </c>
      <c r="D133" s="4" t="s">
        <v>37</v>
      </c>
      <c r="E133" s="4" t="s">
        <v>25</v>
      </c>
      <c r="F133" s="4" t="s">
        <v>56</v>
      </c>
      <c r="G133" s="4" t="s">
        <v>25</v>
      </c>
      <c r="H133" s="4" t="s">
        <v>34</v>
      </c>
      <c r="I133" s="5">
        <v>44713</v>
      </c>
      <c r="J133" s="6">
        <v>0</v>
      </c>
      <c r="K133" s="6">
        <v>0</v>
      </c>
      <c r="L133" s="6">
        <v>4380.7709999999997</v>
      </c>
      <c r="M133" s="6">
        <v>4380.7709999999997</v>
      </c>
      <c r="N133" s="6">
        <v>0</v>
      </c>
      <c r="O133" s="6">
        <v>0</v>
      </c>
      <c r="P133" s="6">
        <v>0</v>
      </c>
      <c r="Q133" s="4" t="s">
        <v>57</v>
      </c>
      <c r="R133" s="4">
        <v>0</v>
      </c>
      <c r="S133" s="4" t="s">
        <v>146</v>
      </c>
      <c r="U133" s="4">
        <v>0</v>
      </c>
      <c r="V133" s="4">
        <v>17</v>
      </c>
      <c r="W133" s="4">
        <v>0</v>
      </c>
    </row>
    <row r="134" spans="1:23" ht="11.25" customHeight="1" x14ac:dyDescent="0.25">
      <c r="A134" s="4" t="s">
        <v>21</v>
      </c>
      <c r="B134" s="4" t="s">
        <v>38</v>
      </c>
      <c r="C134" s="4" t="s">
        <v>39</v>
      </c>
      <c r="D134" s="4" t="s">
        <v>37</v>
      </c>
      <c r="E134" s="4" t="s">
        <v>25</v>
      </c>
      <c r="F134" s="4" t="s">
        <v>56</v>
      </c>
      <c r="G134" s="4" t="s">
        <v>25</v>
      </c>
      <c r="H134" s="4" t="s">
        <v>25</v>
      </c>
      <c r="I134" s="5">
        <v>44378</v>
      </c>
      <c r="J134" s="6">
        <v>10417</v>
      </c>
      <c r="K134" s="6">
        <v>5208.5</v>
      </c>
      <c r="L134" s="6">
        <v>0</v>
      </c>
      <c r="M134" s="6">
        <v>0</v>
      </c>
      <c r="N134" s="6">
        <v>0</v>
      </c>
      <c r="O134" s="6">
        <v>0</v>
      </c>
      <c r="P134" s="6">
        <v>6</v>
      </c>
      <c r="Q134" s="4" t="s">
        <v>57</v>
      </c>
      <c r="R134" s="4">
        <v>0</v>
      </c>
      <c r="S134" s="4" t="s">
        <v>147</v>
      </c>
      <c r="U134" s="4">
        <v>19</v>
      </c>
      <c r="V134" s="4">
        <v>0</v>
      </c>
      <c r="W134" s="4">
        <v>0</v>
      </c>
    </row>
    <row r="135" spans="1:23" ht="11.25" customHeight="1" x14ac:dyDescent="0.25">
      <c r="A135" s="4" t="s">
        <v>21</v>
      </c>
      <c r="B135" s="4" t="s">
        <v>38</v>
      </c>
      <c r="C135" s="4" t="s">
        <v>39</v>
      </c>
      <c r="D135" s="4" t="s">
        <v>37</v>
      </c>
      <c r="E135" s="4" t="s">
        <v>25</v>
      </c>
      <c r="F135" s="4" t="s">
        <v>56</v>
      </c>
      <c r="G135" s="4" t="s">
        <v>25</v>
      </c>
      <c r="H135" s="4" t="s">
        <v>25</v>
      </c>
      <c r="I135" s="5">
        <v>44409</v>
      </c>
      <c r="J135" s="6">
        <v>10895</v>
      </c>
      <c r="K135" s="6">
        <v>5447.5</v>
      </c>
      <c r="L135" s="6">
        <v>0</v>
      </c>
      <c r="M135" s="6">
        <v>0</v>
      </c>
      <c r="N135" s="6">
        <v>0</v>
      </c>
      <c r="O135" s="6">
        <v>0</v>
      </c>
      <c r="P135" s="6">
        <v>7</v>
      </c>
      <c r="Q135" s="4" t="s">
        <v>57</v>
      </c>
      <c r="R135" s="4">
        <v>0</v>
      </c>
      <c r="S135" s="4" t="s">
        <v>148</v>
      </c>
      <c r="U135" s="4">
        <v>19</v>
      </c>
      <c r="V135" s="4">
        <v>0</v>
      </c>
      <c r="W135" s="4">
        <v>0</v>
      </c>
    </row>
    <row r="136" spans="1:23" ht="11.25" customHeight="1" x14ac:dyDescent="0.25">
      <c r="A136" s="4" t="s">
        <v>21</v>
      </c>
      <c r="B136" s="4" t="s">
        <v>38</v>
      </c>
      <c r="C136" s="4" t="s">
        <v>39</v>
      </c>
      <c r="D136" s="4" t="s">
        <v>37</v>
      </c>
      <c r="E136" s="4" t="s">
        <v>25</v>
      </c>
      <c r="F136" s="4" t="s">
        <v>56</v>
      </c>
      <c r="G136" s="4" t="s">
        <v>25</v>
      </c>
      <c r="H136" s="4" t="s">
        <v>25</v>
      </c>
      <c r="I136" s="5">
        <v>44440</v>
      </c>
      <c r="J136" s="6">
        <v>10925</v>
      </c>
      <c r="K136" s="6">
        <v>5462.5</v>
      </c>
      <c r="L136" s="6">
        <v>0</v>
      </c>
      <c r="M136" s="6">
        <v>0</v>
      </c>
      <c r="N136" s="6">
        <v>0</v>
      </c>
      <c r="O136" s="6">
        <v>0</v>
      </c>
      <c r="P136" s="6">
        <v>7</v>
      </c>
      <c r="Q136" s="4" t="s">
        <v>57</v>
      </c>
      <c r="R136" s="4">
        <v>0</v>
      </c>
      <c r="S136" s="4" t="s">
        <v>149</v>
      </c>
      <c r="U136" s="4">
        <v>19</v>
      </c>
      <c r="V136" s="4">
        <v>0</v>
      </c>
      <c r="W136" s="4">
        <v>0</v>
      </c>
    </row>
    <row r="137" spans="1:23" ht="11.25" customHeight="1" x14ac:dyDescent="0.25">
      <c r="A137" s="4" t="s">
        <v>21</v>
      </c>
      <c r="B137" s="4" t="s">
        <v>38</v>
      </c>
      <c r="C137" s="4" t="s">
        <v>39</v>
      </c>
      <c r="D137" s="4" t="s">
        <v>37</v>
      </c>
      <c r="E137" s="4" t="s">
        <v>25</v>
      </c>
      <c r="F137" s="4" t="s">
        <v>56</v>
      </c>
      <c r="G137" s="4" t="s">
        <v>25</v>
      </c>
      <c r="H137" s="4" t="s">
        <v>25</v>
      </c>
      <c r="I137" s="5">
        <v>44470</v>
      </c>
      <c r="J137" s="6">
        <v>10895</v>
      </c>
      <c r="K137" s="6">
        <v>5447.5</v>
      </c>
      <c r="L137" s="6">
        <v>0</v>
      </c>
      <c r="M137" s="6">
        <v>0</v>
      </c>
      <c r="N137" s="6">
        <v>0</v>
      </c>
      <c r="O137" s="6">
        <v>0</v>
      </c>
      <c r="P137" s="6">
        <v>7</v>
      </c>
      <c r="Q137" s="4" t="s">
        <v>57</v>
      </c>
      <c r="R137" s="4">
        <v>0</v>
      </c>
      <c r="S137" s="4" t="s">
        <v>150</v>
      </c>
      <c r="U137" s="4">
        <v>19</v>
      </c>
      <c r="V137" s="4">
        <v>0</v>
      </c>
      <c r="W137" s="4">
        <v>0</v>
      </c>
    </row>
    <row r="138" spans="1:23" ht="11.25" customHeight="1" x14ac:dyDescent="0.25">
      <c r="A138" s="4" t="s">
        <v>21</v>
      </c>
      <c r="B138" s="4" t="s">
        <v>38</v>
      </c>
      <c r="C138" s="4" t="s">
        <v>39</v>
      </c>
      <c r="D138" s="4" t="s">
        <v>37</v>
      </c>
      <c r="E138" s="4" t="s">
        <v>25</v>
      </c>
      <c r="F138" s="4" t="s">
        <v>56</v>
      </c>
      <c r="G138" s="4" t="s">
        <v>25</v>
      </c>
      <c r="H138" s="4" t="s">
        <v>25</v>
      </c>
      <c r="I138" s="5">
        <v>44501</v>
      </c>
      <c r="J138" s="6">
        <v>11405</v>
      </c>
      <c r="K138" s="6">
        <v>5702.5</v>
      </c>
      <c r="L138" s="6">
        <v>0</v>
      </c>
      <c r="M138" s="6">
        <v>0</v>
      </c>
      <c r="N138" s="6">
        <v>0</v>
      </c>
      <c r="O138" s="6">
        <v>0</v>
      </c>
      <c r="P138" s="6">
        <v>8</v>
      </c>
      <c r="Q138" s="4" t="s">
        <v>57</v>
      </c>
      <c r="R138" s="4">
        <v>0</v>
      </c>
      <c r="S138" s="4" t="s">
        <v>151</v>
      </c>
      <c r="U138" s="4">
        <v>19</v>
      </c>
      <c r="V138" s="4">
        <v>0</v>
      </c>
      <c r="W138" s="4">
        <v>0</v>
      </c>
    </row>
    <row r="139" spans="1:23" ht="11.25" customHeight="1" x14ac:dyDescent="0.25">
      <c r="A139" s="4" t="s">
        <v>21</v>
      </c>
      <c r="B139" s="4" t="s">
        <v>38</v>
      </c>
      <c r="C139" s="4" t="s">
        <v>39</v>
      </c>
      <c r="D139" s="4" t="s">
        <v>37</v>
      </c>
      <c r="E139" s="4" t="s">
        <v>25</v>
      </c>
      <c r="F139" s="4" t="s">
        <v>56</v>
      </c>
      <c r="G139" s="4" t="s">
        <v>25</v>
      </c>
      <c r="H139" s="4" t="s">
        <v>25</v>
      </c>
      <c r="I139" s="5">
        <v>44531</v>
      </c>
      <c r="J139" s="6">
        <v>11395</v>
      </c>
      <c r="K139" s="6">
        <v>5697.5</v>
      </c>
      <c r="L139" s="6">
        <v>0</v>
      </c>
      <c r="M139" s="6">
        <v>0</v>
      </c>
      <c r="N139" s="6">
        <v>0</v>
      </c>
      <c r="O139" s="6">
        <v>0</v>
      </c>
      <c r="P139" s="6">
        <v>8</v>
      </c>
      <c r="Q139" s="4" t="s">
        <v>57</v>
      </c>
      <c r="R139" s="4">
        <v>0</v>
      </c>
      <c r="S139" s="4" t="s">
        <v>152</v>
      </c>
      <c r="U139" s="4">
        <v>19</v>
      </c>
      <c r="V139" s="4">
        <v>0</v>
      </c>
      <c r="W139" s="4">
        <v>0</v>
      </c>
    </row>
    <row r="140" spans="1:23" ht="11.25" customHeight="1" x14ac:dyDescent="0.25">
      <c r="A140" s="4" t="s">
        <v>21</v>
      </c>
      <c r="B140" s="4" t="s">
        <v>38</v>
      </c>
      <c r="C140" s="4" t="s">
        <v>39</v>
      </c>
      <c r="D140" s="4" t="s">
        <v>37</v>
      </c>
      <c r="E140" s="4" t="s">
        <v>25</v>
      </c>
      <c r="F140" s="4" t="s">
        <v>56</v>
      </c>
      <c r="G140" s="4" t="s">
        <v>25</v>
      </c>
      <c r="H140" s="4" t="s">
        <v>25</v>
      </c>
      <c r="I140" s="5">
        <v>44562</v>
      </c>
      <c r="J140" s="6">
        <v>11448</v>
      </c>
      <c r="K140" s="6">
        <v>5724</v>
      </c>
      <c r="L140" s="6">
        <v>0</v>
      </c>
      <c r="M140" s="6">
        <v>0</v>
      </c>
      <c r="N140" s="6">
        <v>0</v>
      </c>
      <c r="O140" s="6">
        <v>0</v>
      </c>
      <c r="P140" s="6">
        <v>8</v>
      </c>
      <c r="Q140" s="4" t="s">
        <v>57</v>
      </c>
      <c r="R140" s="4">
        <v>0</v>
      </c>
      <c r="S140" s="4" t="s">
        <v>153</v>
      </c>
      <c r="U140" s="4">
        <v>19</v>
      </c>
      <c r="V140" s="4">
        <v>0</v>
      </c>
      <c r="W140" s="4">
        <v>0</v>
      </c>
    </row>
    <row r="141" spans="1:23" ht="11.25" customHeight="1" x14ac:dyDescent="0.25">
      <c r="A141" s="4" t="s">
        <v>21</v>
      </c>
      <c r="B141" s="4" t="s">
        <v>38</v>
      </c>
      <c r="C141" s="4" t="s">
        <v>39</v>
      </c>
      <c r="D141" s="4" t="s">
        <v>37</v>
      </c>
      <c r="E141" s="4" t="s">
        <v>25</v>
      </c>
      <c r="F141" s="4" t="s">
        <v>56</v>
      </c>
      <c r="G141" s="4" t="s">
        <v>25</v>
      </c>
      <c r="H141" s="4" t="s">
        <v>25</v>
      </c>
      <c r="I141" s="5">
        <v>44593</v>
      </c>
      <c r="J141" s="6">
        <v>12306</v>
      </c>
      <c r="K141" s="6">
        <v>6153</v>
      </c>
      <c r="L141" s="6">
        <v>0</v>
      </c>
      <c r="M141" s="6">
        <v>0</v>
      </c>
      <c r="N141" s="6">
        <v>0</v>
      </c>
      <c r="O141" s="6">
        <v>0</v>
      </c>
      <c r="P141" s="6">
        <v>9</v>
      </c>
      <c r="Q141" s="4" t="s">
        <v>57</v>
      </c>
      <c r="R141" s="4">
        <v>0</v>
      </c>
      <c r="S141" s="4" t="s">
        <v>154</v>
      </c>
      <c r="U141" s="4">
        <v>19</v>
      </c>
      <c r="V141" s="4">
        <v>0</v>
      </c>
      <c r="W141" s="4">
        <v>0</v>
      </c>
    </row>
    <row r="142" spans="1:23" ht="11.25" customHeight="1" x14ac:dyDescent="0.25">
      <c r="A142" s="4" t="s">
        <v>21</v>
      </c>
      <c r="B142" s="4" t="s">
        <v>38</v>
      </c>
      <c r="C142" s="4" t="s">
        <v>39</v>
      </c>
      <c r="D142" s="4" t="s">
        <v>37</v>
      </c>
      <c r="E142" s="4" t="s">
        <v>25</v>
      </c>
      <c r="F142" s="4" t="s">
        <v>56</v>
      </c>
      <c r="G142" s="4" t="s">
        <v>25</v>
      </c>
      <c r="H142" s="4" t="s">
        <v>25</v>
      </c>
      <c r="I142" s="5">
        <v>44621</v>
      </c>
      <c r="J142" s="6">
        <v>12381</v>
      </c>
      <c r="K142" s="6">
        <v>6190.5</v>
      </c>
      <c r="L142" s="6">
        <v>0</v>
      </c>
      <c r="M142" s="6">
        <v>0</v>
      </c>
      <c r="N142" s="6">
        <v>0</v>
      </c>
      <c r="O142" s="6">
        <v>0</v>
      </c>
      <c r="P142" s="6">
        <v>9</v>
      </c>
      <c r="Q142" s="4" t="s">
        <v>57</v>
      </c>
      <c r="R142" s="4">
        <v>0</v>
      </c>
      <c r="S142" s="4" t="s">
        <v>155</v>
      </c>
      <c r="U142" s="4">
        <v>19</v>
      </c>
      <c r="V142" s="4">
        <v>0</v>
      </c>
      <c r="W142" s="4">
        <v>0</v>
      </c>
    </row>
    <row r="143" spans="1:23" ht="11.25" customHeight="1" x14ac:dyDescent="0.25">
      <c r="A143" s="4" t="s">
        <v>21</v>
      </c>
      <c r="B143" s="4" t="s">
        <v>38</v>
      </c>
      <c r="C143" s="4" t="s">
        <v>39</v>
      </c>
      <c r="D143" s="4" t="s">
        <v>37</v>
      </c>
      <c r="E143" s="4" t="s">
        <v>25</v>
      </c>
      <c r="F143" s="4" t="s">
        <v>56</v>
      </c>
      <c r="G143" s="4" t="s">
        <v>25</v>
      </c>
      <c r="H143" s="4" t="s">
        <v>25</v>
      </c>
      <c r="I143" s="5">
        <v>44652</v>
      </c>
      <c r="J143" s="6">
        <v>12368</v>
      </c>
      <c r="K143" s="6">
        <v>6184</v>
      </c>
      <c r="L143" s="6">
        <v>0</v>
      </c>
      <c r="M143" s="6">
        <v>0</v>
      </c>
      <c r="N143" s="6">
        <v>0</v>
      </c>
      <c r="O143" s="6">
        <v>0</v>
      </c>
      <c r="P143" s="6">
        <v>9</v>
      </c>
      <c r="Q143" s="4" t="s">
        <v>57</v>
      </c>
      <c r="R143" s="4">
        <v>0</v>
      </c>
      <c r="S143" s="4" t="s">
        <v>156</v>
      </c>
      <c r="U143" s="4">
        <v>19</v>
      </c>
      <c r="V143" s="4">
        <v>0</v>
      </c>
      <c r="W143" s="4">
        <v>0</v>
      </c>
    </row>
    <row r="144" spans="1:23" ht="11.25" customHeight="1" x14ac:dyDescent="0.25">
      <c r="A144" s="4" t="s">
        <v>21</v>
      </c>
      <c r="B144" s="4" t="s">
        <v>38</v>
      </c>
      <c r="C144" s="4" t="s">
        <v>39</v>
      </c>
      <c r="D144" s="4" t="s">
        <v>37</v>
      </c>
      <c r="E144" s="4" t="s">
        <v>25</v>
      </c>
      <c r="F144" s="4" t="s">
        <v>56</v>
      </c>
      <c r="G144" s="4" t="s">
        <v>25</v>
      </c>
      <c r="H144" s="4" t="s">
        <v>25</v>
      </c>
      <c r="I144" s="5">
        <v>44682</v>
      </c>
      <c r="J144" s="6">
        <v>12339</v>
      </c>
      <c r="K144" s="6">
        <v>6169.5</v>
      </c>
      <c r="L144" s="6">
        <v>0</v>
      </c>
      <c r="M144" s="6">
        <v>0</v>
      </c>
      <c r="N144" s="6">
        <v>0</v>
      </c>
      <c r="O144" s="6">
        <v>0</v>
      </c>
      <c r="P144" s="6">
        <v>9</v>
      </c>
      <c r="Q144" s="4" t="s">
        <v>57</v>
      </c>
      <c r="R144" s="4">
        <v>0</v>
      </c>
      <c r="S144" s="4" t="s">
        <v>157</v>
      </c>
      <c r="U144" s="4">
        <v>19</v>
      </c>
      <c r="V144" s="4">
        <v>0</v>
      </c>
      <c r="W144" s="4">
        <v>0</v>
      </c>
    </row>
    <row r="145" spans="1:23" ht="11.25" customHeight="1" x14ac:dyDescent="0.25">
      <c r="A145" s="4" t="s">
        <v>55</v>
      </c>
      <c r="B145" s="4" t="s">
        <v>38</v>
      </c>
      <c r="C145" s="4" t="s">
        <v>39</v>
      </c>
      <c r="D145" s="4" t="s">
        <v>37</v>
      </c>
      <c r="E145" s="4" t="s">
        <v>25</v>
      </c>
      <c r="F145" s="4" t="s">
        <v>56</v>
      </c>
      <c r="G145" s="4" t="s">
        <v>25</v>
      </c>
      <c r="H145" s="4" t="s">
        <v>25</v>
      </c>
      <c r="I145" s="5">
        <v>44713</v>
      </c>
      <c r="J145" s="6">
        <v>12339</v>
      </c>
      <c r="K145" s="6">
        <v>6169.5</v>
      </c>
      <c r="L145" s="6">
        <v>0</v>
      </c>
      <c r="M145" s="6">
        <v>0</v>
      </c>
      <c r="N145" s="6">
        <v>0</v>
      </c>
      <c r="O145" s="6">
        <v>0</v>
      </c>
      <c r="P145" s="6">
        <v>9</v>
      </c>
      <c r="Q145" s="4" t="s">
        <v>57</v>
      </c>
      <c r="R145" s="4">
        <v>0</v>
      </c>
      <c r="S145" s="4" t="s">
        <v>158</v>
      </c>
      <c r="U145" s="4">
        <v>19</v>
      </c>
      <c r="V145" s="4">
        <v>0</v>
      </c>
      <c r="W145" s="4">
        <v>0</v>
      </c>
    </row>
    <row r="146" spans="1:23" ht="11.25" customHeight="1" x14ac:dyDescent="0.25">
      <c r="A146" s="4" t="s">
        <v>21</v>
      </c>
      <c r="B146" s="4" t="s">
        <v>38</v>
      </c>
      <c r="C146" s="4" t="s">
        <v>39</v>
      </c>
      <c r="D146" s="4" t="s">
        <v>37</v>
      </c>
      <c r="E146" s="4" t="s">
        <v>25</v>
      </c>
      <c r="F146" s="4" t="s">
        <v>56</v>
      </c>
      <c r="G146" s="4" t="s">
        <v>25</v>
      </c>
      <c r="H146" s="4" t="s">
        <v>33</v>
      </c>
      <c r="I146" s="5">
        <v>44378</v>
      </c>
      <c r="J146" s="6">
        <v>0</v>
      </c>
      <c r="K146" s="6">
        <v>0</v>
      </c>
      <c r="L146" s="6">
        <v>400.85399999999998</v>
      </c>
      <c r="M146" s="6">
        <v>222.99508019999999</v>
      </c>
      <c r="N146" s="6">
        <v>0</v>
      </c>
      <c r="O146" s="6">
        <v>0</v>
      </c>
      <c r="P146" s="6">
        <v>0</v>
      </c>
      <c r="Q146" s="4" t="s">
        <v>57</v>
      </c>
      <c r="R146" s="4">
        <v>0</v>
      </c>
      <c r="S146" s="4" t="s">
        <v>159</v>
      </c>
      <c r="U146" s="4">
        <v>0</v>
      </c>
      <c r="V146" s="4">
        <v>21</v>
      </c>
      <c r="W146" s="4">
        <v>0</v>
      </c>
    </row>
    <row r="147" spans="1:23" ht="11.25" customHeight="1" x14ac:dyDescent="0.25">
      <c r="A147" s="4" t="s">
        <v>21</v>
      </c>
      <c r="B147" s="4" t="s">
        <v>38</v>
      </c>
      <c r="C147" s="4" t="s">
        <v>39</v>
      </c>
      <c r="D147" s="4" t="s">
        <v>37</v>
      </c>
      <c r="E147" s="4" t="s">
        <v>25</v>
      </c>
      <c r="F147" s="4" t="s">
        <v>56</v>
      </c>
      <c r="G147" s="4" t="s">
        <v>25</v>
      </c>
      <c r="H147" s="4" t="s">
        <v>33</v>
      </c>
      <c r="I147" s="5">
        <v>44409</v>
      </c>
      <c r="J147" s="6">
        <v>0</v>
      </c>
      <c r="K147" s="6">
        <v>0</v>
      </c>
      <c r="L147" s="6">
        <v>417.75700000000001</v>
      </c>
      <c r="M147" s="6">
        <v>233.8185929</v>
      </c>
      <c r="N147" s="6">
        <v>0</v>
      </c>
      <c r="O147" s="6">
        <v>0</v>
      </c>
      <c r="P147" s="6">
        <v>0</v>
      </c>
      <c r="Q147" s="4" t="s">
        <v>57</v>
      </c>
      <c r="R147" s="4">
        <v>0</v>
      </c>
      <c r="S147" s="4" t="s">
        <v>160</v>
      </c>
      <c r="U147" s="4">
        <v>0</v>
      </c>
      <c r="V147" s="4">
        <v>21</v>
      </c>
      <c r="W147" s="4">
        <v>0</v>
      </c>
    </row>
    <row r="148" spans="1:23" ht="11.25" customHeight="1" x14ac:dyDescent="0.25">
      <c r="A148" s="4" t="s">
        <v>21</v>
      </c>
      <c r="B148" s="4" t="s">
        <v>38</v>
      </c>
      <c r="C148" s="4" t="s">
        <v>39</v>
      </c>
      <c r="D148" s="4" t="s">
        <v>37</v>
      </c>
      <c r="E148" s="4" t="s">
        <v>25</v>
      </c>
      <c r="F148" s="4" t="s">
        <v>56</v>
      </c>
      <c r="G148" s="4" t="s">
        <v>25</v>
      </c>
      <c r="H148" s="4" t="s">
        <v>33</v>
      </c>
      <c r="I148" s="5">
        <v>44440</v>
      </c>
      <c r="J148" s="6">
        <v>0</v>
      </c>
      <c r="K148" s="6">
        <v>0</v>
      </c>
      <c r="L148" s="6">
        <v>380.99599999999998</v>
      </c>
      <c r="M148" s="6">
        <v>213.24346120000001</v>
      </c>
      <c r="N148" s="6">
        <v>0</v>
      </c>
      <c r="O148" s="6">
        <v>0</v>
      </c>
      <c r="P148" s="6">
        <v>0</v>
      </c>
      <c r="Q148" s="4" t="s">
        <v>57</v>
      </c>
      <c r="R148" s="4">
        <v>0</v>
      </c>
      <c r="S148" s="4" t="s">
        <v>161</v>
      </c>
      <c r="U148" s="4">
        <v>0</v>
      </c>
      <c r="V148" s="4">
        <v>21</v>
      </c>
      <c r="W148" s="4">
        <v>0</v>
      </c>
    </row>
    <row r="149" spans="1:23" ht="11.25" customHeight="1" x14ac:dyDescent="0.25">
      <c r="A149" s="4" t="s">
        <v>21</v>
      </c>
      <c r="B149" s="4" t="s">
        <v>38</v>
      </c>
      <c r="C149" s="4" t="s">
        <v>39</v>
      </c>
      <c r="D149" s="4" t="s">
        <v>37</v>
      </c>
      <c r="E149" s="4" t="s">
        <v>25</v>
      </c>
      <c r="F149" s="4" t="s">
        <v>56</v>
      </c>
      <c r="G149" s="4" t="s">
        <v>25</v>
      </c>
      <c r="H149" s="4" t="s">
        <v>33</v>
      </c>
      <c r="I149" s="5">
        <v>44470</v>
      </c>
      <c r="J149" s="6">
        <v>0</v>
      </c>
      <c r="K149" s="6">
        <v>0</v>
      </c>
      <c r="L149" s="6">
        <v>352.47500000000002</v>
      </c>
      <c r="M149" s="6">
        <v>197.2802575</v>
      </c>
      <c r="N149" s="6">
        <v>0</v>
      </c>
      <c r="O149" s="6">
        <v>0</v>
      </c>
      <c r="P149" s="6">
        <v>0</v>
      </c>
      <c r="Q149" s="4" t="s">
        <v>57</v>
      </c>
      <c r="R149" s="4">
        <v>0</v>
      </c>
      <c r="S149" s="4" t="s">
        <v>162</v>
      </c>
      <c r="U149" s="4">
        <v>0</v>
      </c>
      <c r="V149" s="4">
        <v>21</v>
      </c>
      <c r="W149" s="4">
        <v>0</v>
      </c>
    </row>
    <row r="150" spans="1:23" ht="11.25" customHeight="1" x14ac:dyDescent="0.25">
      <c r="A150" s="4" t="s">
        <v>21</v>
      </c>
      <c r="B150" s="4" t="s">
        <v>38</v>
      </c>
      <c r="C150" s="4" t="s">
        <v>39</v>
      </c>
      <c r="D150" s="4" t="s">
        <v>37</v>
      </c>
      <c r="E150" s="4" t="s">
        <v>25</v>
      </c>
      <c r="F150" s="4" t="s">
        <v>56</v>
      </c>
      <c r="G150" s="4" t="s">
        <v>25</v>
      </c>
      <c r="H150" s="4" t="s">
        <v>33</v>
      </c>
      <c r="I150" s="5">
        <v>44501</v>
      </c>
      <c r="J150" s="6">
        <v>0</v>
      </c>
      <c r="K150" s="6">
        <v>0</v>
      </c>
      <c r="L150" s="6">
        <v>395.25299999999999</v>
      </c>
      <c r="M150" s="6">
        <v>221.2231041</v>
      </c>
      <c r="N150" s="6">
        <v>0</v>
      </c>
      <c r="O150" s="6">
        <v>0</v>
      </c>
      <c r="P150" s="6">
        <v>0</v>
      </c>
      <c r="Q150" s="4" t="s">
        <v>57</v>
      </c>
      <c r="R150" s="4">
        <v>0</v>
      </c>
      <c r="S150" s="4" t="s">
        <v>163</v>
      </c>
      <c r="U150" s="4">
        <v>0</v>
      </c>
      <c r="V150" s="4">
        <v>21</v>
      </c>
      <c r="W150" s="4">
        <v>0</v>
      </c>
    </row>
    <row r="151" spans="1:23" ht="11.25" customHeight="1" x14ac:dyDescent="0.25">
      <c r="A151" s="4" t="s">
        <v>21</v>
      </c>
      <c r="B151" s="4" t="s">
        <v>38</v>
      </c>
      <c r="C151" s="4" t="s">
        <v>39</v>
      </c>
      <c r="D151" s="4" t="s">
        <v>37</v>
      </c>
      <c r="E151" s="4" t="s">
        <v>25</v>
      </c>
      <c r="F151" s="4" t="s">
        <v>56</v>
      </c>
      <c r="G151" s="4" t="s">
        <v>25</v>
      </c>
      <c r="H151" s="4" t="s">
        <v>33</v>
      </c>
      <c r="I151" s="5">
        <v>44531</v>
      </c>
      <c r="J151" s="6">
        <v>0</v>
      </c>
      <c r="K151" s="6">
        <v>0</v>
      </c>
      <c r="L151" s="6">
        <v>383.084</v>
      </c>
      <c r="M151" s="6">
        <v>214.41211480000001</v>
      </c>
      <c r="N151" s="6">
        <v>0</v>
      </c>
      <c r="O151" s="6">
        <v>0</v>
      </c>
      <c r="P151" s="6">
        <v>0</v>
      </c>
      <c r="Q151" s="4" t="s">
        <v>57</v>
      </c>
      <c r="R151" s="4">
        <v>0</v>
      </c>
      <c r="S151" s="4" t="s">
        <v>164</v>
      </c>
      <c r="U151" s="4">
        <v>0</v>
      </c>
      <c r="V151" s="4">
        <v>21</v>
      </c>
      <c r="W151" s="4">
        <v>0</v>
      </c>
    </row>
    <row r="152" spans="1:23" ht="11.25" customHeight="1" x14ac:dyDescent="0.25">
      <c r="A152" s="4" t="s">
        <v>21</v>
      </c>
      <c r="B152" s="4" t="s">
        <v>38</v>
      </c>
      <c r="C152" s="4" t="s">
        <v>39</v>
      </c>
      <c r="D152" s="4" t="s">
        <v>37</v>
      </c>
      <c r="E152" s="4" t="s">
        <v>25</v>
      </c>
      <c r="F152" s="4" t="s">
        <v>56</v>
      </c>
      <c r="G152" s="4" t="s">
        <v>25</v>
      </c>
      <c r="H152" s="4" t="s">
        <v>33</v>
      </c>
      <c r="I152" s="5">
        <v>44562</v>
      </c>
      <c r="J152" s="6">
        <v>0</v>
      </c>
      <c r="K152" s="6">
        <v>0</v>
      </c>
      <c r="L152" s="6">
        <v>410.00799999999998</v>
      </c>
      <c r="M152" s="6">
        <v>229.48147760000001</v>
      </c>
      <c r="N152" s="6">
        <v>0</v>
      </c>
      <c r="O152" s="6">
        <v>0</v>
      </c>
      <c r="P152" s="6">
        <v>0</v>
      </c>
      <c r="Q152" s="4" t="s">
        <v>57</v>
      </c>
      <c r="R152" s="4">
        <v>0</v>
      </c>
      <c r="S152" s="4" t="s">
        <v>165</v>
      </c>
      <c r="U152" s="4">
        <v>0</v>
      </c>
      <c r="V152" s="4">
        <v>21</v>
      </c>
      <c r="W152" s="4">
        <v>0</v>
      </c>
    </row>
    <row r="153" spans="1:23" ht="11.25" customHeight="1" x14ac:dyDescent="0.25">
      <c r="A153" s="4" t="s">
        <v>21</v>
      </c>
      <c r="B153" s="4" t="s">
        <v>38</v>
      </c>
      <c r="C153" s="4" t="s">
        <v>39</v>
      </c>
      <c r="D153" s="4" t="s">
        <v>37</v>
      </c>
      <c r="E153" s="4" t="s">
        <v>25</v>
      </c>
      <c r="F153" s="4" t="s">
        <v>56</v>
      </c>
      <c r="G153" s="4" t="s">
        <v>25</v>
      </c>
      <c r="H153" s="4" t="s">
        <v>33</v>
      </c>
      <c r="I153" s="5">
        <v>44593</v>
      </c>
      <c r="J153" s="6">
        <v>0</v>
      </c>
      <c r="K153" s="6">
        <v>0</v>
      </c>
      <c r="L153" s="6">
        <v>428.41199999999998</v>
      </c>
      <c r="M153" s="6">
        <v>239.7821964</v>
      </c>
      <c r="N153" s="6">
        <v>0</v>
      </c>
      <c r="O153" s="6">
        <v>0</v>
      </c>
      <c r="P153" s="6">
        <v>0</v>
      </c>
      <c r="Q153" s="4" t="s">
        <v>57</v>
      </c>
      <c r="R153" s="4">
        <v>0</v>
      </c>
      <c r="S153" s="4" t="s">
        <v>166</v>
      </c>
      <c r="U153" s="4">
        <v>0</v>
      </c>
      <c r="V153" s="4">
        <v>21</v>
      </c>
      <c r="W153" s="4">
        <v>0</v>
      </c>
    </row>
    <row r="154" spans="1:23" ht="11.25" customHeight="1" x14ac:dyDescent="0.25">
      <c r="A154" s="4" t="s">
        <v>21</v>
      </c>
      <c r="B154" s="4" t="s">
        <v>38</v>
      </c>
      <c r="C154" s="4" t="s">
        <v>39</v>
      </c>
      <c r="D154" s="4" t="s">
        <v>37</v>
      </c>
      <c r="E154" s="4" t="s">
        <v>25</v>
      </c>
      <c r="F154" s="4" t="s">
        <v>56</v>
      </c>
      <c r="G154" s="4" t="s">
        <v>25</v>
      </c>
      <c r="H154" s="4" t="s">
        <v>33</v>
      </c>
      <c r="I154" s="5">
        <v>44621</v>
      </c>
      <c r="J154" s="6">
        <v>0</v>
      </c>
      <c r="K154" s="6">
        <v>0</v>
      </c>
      <c r="L154" s="6">
        <v>492.738</v>
      </c>
      <c r="M154" s="6">
        <v>275.78545860000003</v>
      </c>
      <c r="N154" s="6">
        <v>0</v>
      </c>
      <c r="O154" s="6">
        <v>0</v>
      </c>
      <c r="P154" s="6">
        <v>0</v>
      </c>
      <c r="Q154" s="4" t="s">
        <v>57</v>
      </c>
      <c r="R154" s="4">
        <v>0</v>
      </c>
      <c r="S154" s="4" t="s">
        <v>167</v>
      </c>
      <c r="U154" s="4">
        <v>0</v>
      </c>
      <c r="V154" s="4">
        <v>21</v>
      </c>
      <c r="W154" s="4">
        <v>0</v>
      </c>
    </row>
    <row r="155" spans="1:23" ht="11.25" customHeight="1" x14ac:dyDescent="0.25">
      <c r="A155" s="4" t="s">
        <v>21</v>
      </c>
      <c r="B155" s="4" t="s">
        <v>38</v>
      </c>
      <c r="C155" s="4" t="s">
        <v>39</v>
      </c>
      <c r="D155" s="4" t="s">
        <v>37</v>
      </c>
      <c r="E155" s="4" t="s">
        <v>25</v>
      </c>
      <c r="F155" s="4" t="s">
        <v>56</v>
      </c>
      <c r="G155" s="4" t="s">
        <v>25</v>
      </c>
      <c r="H155" s="4" t="s">
        <v>33</v>
      </c>
      <c r="I155" s="5">
        <v>44652</v>
      </c>
      <c r="J155" s="6">
        <v>0</v>
      </c>
      <c r="K155" s="6">
        <v>0</v>
      </c>
      <c r="L155" s="6">
        <v>423.49700000000001</v>
      </c>
      <c r="M155" s="6">
        <v>237.03127090000001</v>
      </c>
      <c r="N155" s="6">
        <v>0</v>
      </c>
      <c r="O155" s="6">
        <v>0</v>
      </c>
      <c r="P155" s="6">
        <v>0</v>
      </c>
      <c r="Q155" s="4" t="s">
        <v>57</v>
      </c>
      <c r="R155" s="4">
        <v>0</v>
      </c>
      <c r="S155" s="4" t="s">
        <v>168</v>
      </c>
      <c r="U155" s="4">
        <v>0</v>
      </c>
      <c r="V155" s="4">
        <v>21</v>
      </c>
      <c r="W155" s="4">
        <v>0</v>
      </c>
    </row>
    <row r="156" spans="1:23" ht="11.25" customHeight="1" x14ac:dyDescent="0.25">
      <c r="A156" s="4" t="s">
        <v>21</v>
      </c>
      <c r="B156" s="4" t="s">
        <v>38</v>
      </c>
      <c r="C156" s="4" t="s">
        <v>39</v>
      </c>
      <c r="D156" s="4" t="s">
        <v>37</v>
      </c>
      <c r="E156" s="4" t="s">
        <v>25</v>
      </c>
      <c r="F156" s="4" t="s">
        <v>56</v>
      </c>
      <c r="G156" s="4" t="s">
        <v>25</v>
      </c>
      <c r="H156" s="4" t="s">
        <v>33</v>
      </c>
      <c r="I156" s="5">
        <v>44682</v>
      </c>
      <c r="J156" s="6">
        <v>0</v>
      </c>
      <c r="K156" s="6">
        <v>0</v>
      </c>
      <c r="L156" s="6">
        <v>495.89800000000002</v>
      </c>
      <c r="M156" s="6">
        <v>277.5541106</v>
      </c>
      <c r="N156" s="6">
        <v>0</v>
      </c>
      <c r="O156" s="6">
        <v>0</v>
      </c>
      <c r="P156" s="6">
        <v>0</v>
      </c>
      <c r="Q156" s="4" t="s">
        <v>57</v>
      </c>
      <c r="R156" s="4">
        <v>0</v>
      </c>
      <c r="S156" s="4" t="s">
        <v>169</v>
      </c>
      <c r="U156" s="4">
        <v>0</v>
      </c>
      <c r="V156" s="4">
        <v>21</v>
      </c>
      <c r="W156" s="4">
        <v>0</v>
      </c>
    </row>
    <row r="157" spans="1:23" ht="11.25" customHeight="1" x14ac:dyDescent="0.25">
      <c r="A157" s="4" t="s">
        <v>55</v>
      </c>
      <c r="B157" s="4" t="s">
        <v>38</v>
      </c>
      <c r="C157" s="4" t="s">
        <v>39</v>
      </c>
      <c r="D157" s="4" t="s">
        <v>37</v>
      </c>
      <c r="E157" s="4" t="s">
        <v>25</v>
      </c>
      <c r="F157" s="4" t="s">
        <v>56</v>
      </c>
      <c r="G157" s="4" t="s">
        <v>25</v>
      </c>
      <c r="H157" s="4" t="s">
        <v>33</v>
      </c>
      <c r="I157" s="5">
        <v>44713</v>
      </c>
      <c r="J157" s="6">
        <v>0</v>
      </c>
      <c r="K157" s="6">
        <v>0</v>
      </c>
      <c r="L157" s="6">
        <v>495.89800000000002</v>
      </c>
      <c r="M157" s="6">
        <v>277.5541106</v>
      </c>
      <c r="N157" s="6">
        <v>0</v>
      </c>
      <c r="O157" s="6">
        <v>0</v>
      </c>
      <c r="P157" s="6">
        <v>0</v>
      </c>
      <c r="Q157" s="4" t="s">
        <v>57</v>
      </c>
      <c r="R157" s="4">
        <v>0</v>
      </c>
      <c r="S157" s="4" t="s">
        <v>170</v>
      </c>
      <c r="U157" s="4">
        <v>0</v>
      </c>
      <c r="V157" s="4">
        <v>21</v>
      </c>
      <c r="W157" s="4">
        <v>0</v>
      </c>
    </row>
    <row r="158" spans="1:23" ht="11.25" customHeight="1" x14ac:dyDescent="0.25">
      <c r="A158" s="4" t="s">
        <v>21</v>
      </c>
      <c r="B158" s="4" t="s">
        <v>38</v>
      </c>
      <c r="C158" s="4" t="s">
        <v>39</v>
      </c>
      <c r="D158" s="4" t="s">
        <v>37</v>
      </c>
      <c r="E158" s="4" t="s">
        <v>25</v>
      </c>
      <c r="F158" s="4" t="s">
        <v>25</v>
      </c>
      <c r="G158" s="4" t="s">
        <v>25</v>
      </c>
      <c r="H158" s="4" t="s">
        <v>34</v>
      </c>
      <c r="I158" s="5">
        <v>44378</v>
      </c>
      <c r="J158" s="6">
        <v>0</v>
      </c>
      <c r="K158" s="6">
        <v>0</v>
      </c>
      <c r="L158" s="6">
        <v>953.23400000000004</v>
      </c>
      <c r="M158" s="6">
        <v>953.23400000000004</v>
      </c>
      <c r="N158" s="6">
        <v>953.23400000000004</v>
      </c>
      <c r="O158" s="6">
        <v>953.23400000000004</v>
      </c>
      <c r="P158" s="6">
        <v>0</v>
      </c>
      <c r="Q158" s="4" t="s">
        <v>26</v>
      </c>
      <c r="R158" s="4">
        <v>0</v>
      </c>
      <c r="S158" s="4" t="s">
        <v>135</v>
      </c>
      <c r="T158" s="4" t="s">
        <v>313</v>
      </c>
      <c r="U158" s="4">
        <v>0</v>
      </c>
      <c r="V158" s="4">
        <v>17</v>
      </c>
      <c r="W158" s="4">
        <v>78</v>
      </c>
    </row>
    <row r="159" spans="1:23" ht="11.25" customHeight="1" x14ac:dyDescent="0.25">
      <c r="A159" s="4" t="s">
        <v>27</v>
      </c>
      <c r="B159" s="4" t="s">
        <v>38</v>
      </c>
      <c r="C159" s="4" t="s">
        <v>39</v>
      </c>
      <c r="D159" s="4" t="s">
        <v>37</v>
      </c>
      <c r="E159" s="4" t="s">
        <v>25</v>
      </c>
      <c r="F159" s="4" t="s">
        <v>25</v>
      </c>
      <c r="G159" s="4" t="s">
        <v>25</v>
      </c>
      <c r="H159" s="4" t="s">
        <v>34</v>
      </c>
      <c r="I159" s="5">
        <v>44378</v>
      </c>
      <c r="J159" s="6">
        <v>0</v>
      </c>
      <c r="K159" s="6">
        <v>0</v>
      </c>
      <c r="L159" s="6">
        <v>86.888999999999996</v>
      </c>
      <c r="M159" s="6">
        <v>86.888999999999996</v>
      </c>
      <c r="N159" s="6">
        <v>86.888999999999996</v>
      </c>
      <c r="O159" s="6">
        <v>86.888999999999996</v>
      </c>
      <c r="P159" s="6">
        <v>0</v>
      </c>
      <c r="Q159" s="4" t="s">
        <v>26</v>
      </c>
      <c r="R159" s="4">
        <v>0</v>
      </c>
      <c r="S159" s="4" t="s">
        <v>135</v>
      </c>
      <c r="T159" s="4" t="s">
        <v>313</v>
      </c>
      <c r="U159" s="4">
        <v>0</v>
      </c>
      <c r="V159" s="4">
        <v>17</v>
      </c>
      <c r="W159" s="4">
        <v>78</v>
      </c>
    </row>
    <row r="160" spans="1:23" ht="11.25" customHeight="1" x14ac:dyDescent="0.25">
      <c r="A160" s="4" t="s">
        <v>21</v>
      </c>
      <c r="B160" s="4" t="s">
        <v>38</v>
      </c>
      <c r="C160" s="4" t="s">
        <v>39</v>
      </c>
      <c r="D160" s="4" t="s">
        <v>37</v>
      </c>
      <c r="E160" s="4" t="s">
        <v>25</v>
      </c>
      <c r="F160" s="4" t="s">
        <v>25</v>
      </c>
      <c r="G160" s="4" t="s">
        <v>25</v>
      </c>
      <c r="H160" s="4" t="s">
        <v>34</v>
      </c>
      <c r="I160" s="5">
        <v>44409</v>
      </c>
      <c r="J160" s="6">
        <v>0</v>
      </c>
      <c r="K160" s="6">
        <v>0</v>
      </c>
      <c r="L160" s="6">
        <v>806.63900000000001</v>
      </c>
      <c r="M160" s="6">
        <v>806.63900000000001</v>
      </c>
      <c r="N160" s="6">
        <v>806.63900000000001</v>
      </c>
      <c r="O160" s="6">
        <v>806.63900000000001</v>
      </c>
      <c r="P160" s="6">
        <v>0</v>
      </c>
      <c r="Q160" s="4" t="s">
        <v>26</v>
      </c>
      <c r="R160" s="4">
        <v>0</v>
      </c>
      <c r="S160" s="4" t="s">
        <v>136</v>
      </c>
      <c r="T160" s="4" t="s">
        <v>314</v>
      </c>
      <c r="U160" s="4">
        <v>0</v>
      </c>
      <c r="V160" s="4">
        <v>17</v>
      </c>
      <c r="W160" s="4">
        <v>78</v>
      </c>
    </row>
    <row r="161" spans="1:23" ht="11.25" customHeight="1" x14ac:dyDescent="0.25">
      <c r="A161" s="4" t="s">
        <v>27</v>
      </c>
      <c r="B161" s="4" t="s">
        <v>38</v>
      </c>
      <c r="C161" s="4" t="s">
        <v>39</v>
      </c>
      <c r="D161" s="4" t="s">
        <v>37</v>
      </c>
      <c r="E161" s="4" t="s">
        <v>25</v>
      </c>
      <c r="F161" s="4" t="s">
        <v>25</v>
      </c>
      <c r="G161" s="4" t="s">
        <v>25</v>
      </c>
      <c r="H161" s="4" t="s">
        <v>34</v>
      </c>
      <c r="I161" s="5">
        <v>44409</v>
      </c>
      <c r="J161" s="6">
        <v>0</v>
      </c>
      <c r="K161" s="6">
        <v>0</v>
      </c>
      <c r="L161" s="6">
        <v>78.623000000000005</v>
      </c>
      <c r="M161" s="6">
        <v>78.623000000000005</v>
      </c>
      <c r="N161" s="6">
        <v>78.623000000000005</v>
      </c>
      <c r="O161" s="6">
        <v>78.623000000000005</v>
      </c>
      <c r="P161" s="6">
        <v>0</v>
      </c>
      <c r="Q161" s="4" t="s">
        <v>26</v>
      </c>
      <c r="R161" s="4">
        <v>0</v>
      </c>
      <c r="S161" s="4" t="s">
        <v>136</v>
      </c>
      <c r="T161" s="4" t="s">
        <v>314</v>
      </c>
      <c r="U161" s="4">
        <v>0</v>
      </c>
      <c r="V161" s="4">
        <v>17</v>
      </c>
      <c r="W161" s="4">
        <v>78</v>
      </c>
    </row>
    <row r="162" spans="1:23" ht="11.25" customHeight="1" x14ac:dyDescent="0.25">
      <c r="A162" s="4" t="s">
        <v>21</v>
      </c>
      <c r="B162" s="4" t="s">
        <v>38</v>
      </c>
      <c r="C162" s="4" t="s">
        <v>39</v>
      </c>
      <c r="D162" s="4" t="s">
        <v>37</v>
      </c>
      <c r="E162" s="4" t="s">
        <v>25</v>
      </c>
      <c r="F162" s="4" t="s">
        <v>25</v>
      </c>
      <c r="G162" s="4" t="s">
        <v>25</v>
      </c>
      <c r="H162" s="4" t="s">
        <v>34</v>
      </c>
      <c r="I162" s="5">
        <v>44440</v>
      </c>
      <c r="J162" s="6">
        <v>0</v>
      </c>
      <c r="K162" s="6">
        <v>0</v>
      </c>
      <c r="L162" s="6">
        <v>779.10400000000004</v>
      </c>
      <c r="M162" s="6">
        <v>779.10400000000004</v>
      </c>
      <c r="N162" s="6">
        <v>779.10400000000004</v>
      </c>
      <c r="O162" s="6">
        <v>779.10400000000004</v>
      </c>
      <c r="P162" s="6">
        <v>0</v>
      </c>
      <c r="Q162" s="4" t="s">
        <v>26</v>
      </c>
      <c r="R162" s="4">
        <v>0</v>
      </c>
      <c r="S162" s="4" t="s">
        <v>137</v>
      </c>
      <c r="T162" s="4" t="s">
        <v>315</v>
      </c>
      <c r="U162" s="4">
        <v>0</v>
      </c>
      <c r="V162" s="4">
        <v>17</v>
      </c>
      <c r="W162" s="4">
        <v>78</v>
      </c>
    </row>
    <row r="163" spans="1:23" ht="11.25" customHeight="1" x14ac:dyDescent="0.25">
      <c r="A163" s="4" t="s">
        <v>27</v>
      </c>
      <c r="B163" s="4" t="s">
        <v>38</v>
      </c>
      <c r="C163" s="4" t="s">
        <v>39</v>
      </c>
      <c r="D163" s="4" t="s">
        <v>37</v>
      </c>
      <c r="E163" s="4" t="s">
        <v>25</v>
      </c>
      <c r="F163" s="4" t="s">
        <v>25</v>
      </c>
      <c r="G163" s="4" t="s">
        <v>25</v>
      </c>
      <c r="H163" s="4" t="s">
        <v>34</v>
      </c>
      <c r="I163" s="5">
        <v>44440</v>
      </c>
      <c r="J163" s="6">
        <v>0</v>
      </c>
      <c r="K163" s="6">
        <v>0</v>
      </c>
      <c r="L163" s="6">
        <v>67.760999999999996</v>
      </c>
      <c r="M163" s="6">
        <v>67.760999999999996</v>
      </c>
      <c r="N163" s="6">
        <v>67.760999999999996</v>
      </c>
      <c r="O163" s="6">
        <v>67.760999999999996</v>
      </c>
      <c r="P163" s="6">
        <v>0</v>
      </c>
      <c r="Q163" s="4" t="s">
        <v>26</v>
      </c>
      <c r="R163" s="4">
        <v>0</v>
      </c>
      <c r="S163" s="4" t="s">
        <v>137</v>
      </c>
      <c r="T163" s="4" t="s">
        <v>315</v>
      </c>
      <c r="U163" s="4">
        <v>0</v>
      </c>
      <c r="V163" s="4">
        <v>17</v>
      </c>
      <c r="W163" s="4">
        <v>78</v>
      </c>
    </row>
    <row r="164" spans="1:23" ht="11.25" customHeight="1" x14ac:dyDescent="0.25">
      <c r="A164" s="4" t="s">
        <v>21</v>
      </c>
      <c r="B164" s="4" t="s">
        <v>38</v>
      </c>
      <c r="C164" s="4" t="s">
        <v>39</v>
      </c>
      <c r="D164" s="4" t="s">
        <v>37</v>
      </c>
      <c r="E164" s="4" t="s">
        <v>25</v>
      </c>
      <c r="F164" s="4" t="s">
        <v>25</v>
      </c>
      <c r="G164" s="4" t="s">
        <v>25</v>
      </c>
      <c r="H164" s="4" t="s">
        <v>34</v>
      </c>
      <c r="I164" s="5">
        <v>44470</v>
      </c>
      <c r="J164" s="6">
        <v>0</v>
      </c>
      <c r="K164" s="6">
        <v>0</v>
      </c>
      <c r="L164" s="6">
        <v>797.78599999999994</v>
      </c>
      <c r="M164" s="6">
        <v>797.78599999999994</v>
      </c>
      <c r="N164" s="6">
        <v>797.78599999999994</v>
      </c>
      <c r="O164" s="6">
        <v>797.78599999999994</v>
      </c>
      <c r="P164" s="6">
        <v>0</v>
      </c>
      <c r="Q164" s="4" t="s">
        <v>26</v>
      </c>
      <c r="R164" s="4">
        <v>0</v>
      </c>
      <c r="S164" s="4" t="s">
        <v>138</v>
      </c>
      <c r="T164" s="4" t="s">
        <v>316</v>
      </c>
      <c r="U164" s="4">
        <v>0</v>
      </c>
      <c r="V164" s="4">
        <v>17</v>
      </c>
      <c r="W164" s="4">
        <v>78</v>
      </c>
    </row>
    <row r="165" spans="1:23" ht="11.25" customHeight="1" x14ac:dyDescent="0.25">
      <c r="A165" s="4" t="s">
        <v>27</v>
      </c>
      <c r="B165" s="4" t="s">
        <v>38</v>
      </c>
      <c r="C165" s="4" t="s">
        <v>39</v>
      </c>
      <c r="D165" s="4" t="s">
        <v>37</v>
      </c>
      <c r="E165" s="4" t="s">
        <v>25</v>
      </c>
      <c r="F165" s="4" t="s">
        <v>25</v>
      </c>
      <c r="G165" s="4" t="s">
        <v>25</v>
      </c>
      <c r="H165" s="4" t="s">
        <v>34</v>
      </c>
      <c r="I165" s="5">
        <v>44470</v>
      </c>
      <c r="J165" s="6">
        <v>0</v>
      </c>
      <c r="K165" s="6">
        <v>0</v>
      </c>
      <c r="L165" s="6">
        <v>34.271000000000001</v>
      </c>
      <c r="M165" s="6">
        <v>34.271000000000001</v>
      </c>
      <c r="N165" s="6">
        <v>34.271000000000001</v>
      </c>
      <c r="O165" s="6">
        <v>34.271000000000001</v>
      </c>
      <c r="P165" s="6">
        <v>0</v>
      </c>
      <c r="Q165" s="4" t="s">
        <v>26</v>
      </c>
      <c r="R165" s="4">
        <v>0</v>
      </c>
      <c r="S165" s="4" t="s">
        <v>138</v>
      </c>
      <c r="T165" s="4" t="s">
        <v>316</v>
      </c>
      <c r="U165" s="4">
        <v>0</v>
      </c>
      <c r="V165" s="4">
        <v>17</v>
      </c>
      <c r="W165" s="4">
        <v>78</v>
      </c>
    </row>
    <row r="166" spans="1:23" ht="11.25" customHeight="1" x14ac:dyDescent="0.25">
      <c r="A166" s="4" t="s">
        <v>21</v>
      </c>
      <c r="B166" s="4" t="s">
        <v>38</v>
      </c>
      <c r="C166" s="4" t="s">
        <v>39</v>
      </c>
      <c r="D166" s="4" t="s">
        <v>37</v>
      </c>
      <c r="E166" s="4" t="s">
        <v>25</v>
      </c>
      <c r="F166" s="4" t="s">
        <v>25</v>
      </c>
      <c r="G166" s="4" t="s">
        <v>25</v>
      </c>
      <c r="H166" s="4" t="s">
        <v>34</v>
      </c>
      <c r="I166" s="5">
        <v>44501</v>
      </c>
      <c r="J166" s="6">
        <v>0</v>
      </c>
      <c r="K166" s="6">
        <v>0</v>
      </c>
      <c r="L166" s="6">
        <v>666.92700000000002</v>
      </c>
      <c r="M166" s="6">
        <v>666.92700000000002</v>
      </c>
      <c r="N166" s="6">
        <v>666.92700000000002</v>
      </c>
      <c r="O166" s="6">
        <v>666.92700000000002</v>
      </c>
      <c r="P166" s="6">
        <v>0</v>
      </c>
      <c r="Q166" s="4" t="s">
        <v>26</v>
      </c>
      <c r="R166" s="4">
        <v>0</v>
      </c>
      <c r="S166" s="4" t="s">
        <v>139</v>
      </c>
      <c r="T166" s="4" t="s">
        <v>317</v>
      </c>
      <c r="U166" s="4">
        <v>0</v>
      </c>
      <c r="V166" s="4">
        <v>17</v>
      </c>
      <c r="W166" s="4">
        <v>78</v>
      </c>
    </row>
    <row r="167" spans="1:23" ht="11.25" customHeight="1" x14ac:dyDescent="0.25">
      <c r="A167" s="4" t="s">
        <v>27</v>
      </c>
      <c r="B167" s="4" t="s">
        <v>38</v>
      </c>
      <c r="C167" s="4" t="s">
        <v>39</v>
      </c>
      <c r="D167" s="4" t="s">
        <v>37</v>
      </c>
      <c r="E167" s="4" t="s">
        <v>25</v>
      </c>
      <c r="F167" s="4" t="s">
        <v>25</v>
      </c>
      <c r="G167" s="4" t="s">
        <v>25</v>
      </c>
      <c r="H167" s="4" t="s">
        <v>34</v>
      </c>
      <c r="I167" s="5">
        <v>44501</v>
      </c>
      <c r="J167" s="6">
        <v>0</v>
      </c>
      <c r="K167" s="6">
        <v>0</v>
      </c>
      <c r="L167" s="6">
        <v>48.011000000000003</v>
      </c>
      <c r="M167" s="6">
        <v>48.011000000000003</v>
      </c>
      <c r="N167" s="6">
        <v>48.011000000000003</v>
      </c>
      <c r="O167" s="6">
        <v>48.011000000000003</v>
      </c>
      <c r="P167" s="6">
        <v>0</v>
      </c>
      <c r="Q167" s="4" t="s">
        <v>26</v>
      </c>
      <c r="R167" s="4">
        <v>0</v>
      </c>
      <c r="S167" s="4" t="s">
        <v>139</v>
      </c>
      <c r="T167" s="4" t="s">
        <v>317</v>
      </c>
      <c r="U167" s="4">
        <v>0</v>
      </c>
      <c r="V167" s="4">
        <v>17</v>
      </c>
      <c r="W167" s="4">
        <v>78</v>
      </c>
    </row>
    <row r="168" spans="1:23" ht="11.25" customHeight="1" x14ac:dyDescent="0.25">
      <c r="A168" s="4" t="s">
        <v>21</v>
      </c>
      <c r="B168" s="4" t="s">
        <v>38</v>
      </c>
      <c r="C168" s="4" t="s">
        <v>39</v>
      </c>
      <c r="D168" s="4" t="s">
        <v>37</v>
      </c>
      <c r="E168" s="4" t="s">
        <v>25</v>
      </c>
      <c r="F168" s="4" t="s">
        <v>25</v>
      </c>
      <c r="G168" s="4" t="s">
        <v>25</v>
      </c>
      <c r="H168" s="4" t="s">
        <v>34</v>
      </c>
      <c r="I168" s="5">
        <v>44531</v>
      </c>
      <c r="J168" s="6">
        <v>0</v>
      </c>
      <c r="K168" s="6">
        <v>0</v>
      </c>
      <c r="L168" s="6">
        <v>649.78300000000002</v>
      </c>
      <c r="M168" s="6">
        <v>649.78300000000002</v>
      </c>
      <c r="N168" s="6">
        <v>649.78300000000002</v>
      </c>
      <c r="O168" s="6">
        <v>649.78300000000002</v>
      </c>
      <c r="P168" s="6">
        <v>0</v>
      </c>
      <c r="Q168" s="4" t="s">
        <v>26</v>
      </c>
      <c r="R168" s="4">
        <v>0</v>
      </c>
      <c r="S168" s="4" t="s">
        <v>140</v>
      </c>
      <c r="T168" s="4" t="s">
        <v>318</v>
      </c>
      <c r="U168" s="4">
        <v>0</v>
      </c>
      <c r="V168" s="4">
        <v>17</v>
      </c>
      <c r="W168" s="4">
        <v>78</v>
      </c>
    </row>
    <row r="169" spans="1:23" ht="11.25" customHeight="1" x14ac:dyDescent="0.25">
      <c r="A169" s="4" t="s">
        <v>27</v>
      </c>
      <c r="B169" s="4" t="s">
        <v>38</v>
      </c>
      <c r="C169" s="4" t="s">
        <v>39</v>
      </c>
      <c r="D169" s="4" t="s">
        <v>37</v>
      </c>
      <c r="E169" s="4" t="s">
        <v>25</v>
      </c>
      <c r="F169" s="4" t="s">
        <v>25</v>
      </c>
      <c r="G169" s="4" t="s">
        <v>25</v>
      </c>
      <c r="H169" s="4" t="s">
        <v>34</v>
      </c>
      <c r="I169" s="5">
        <v>44531</v>
      </c>
      <c r="J169" s="6">
        <v>0</v>
      </c>
      <c r="K169" s="6">
        <v>0</v>
      </c>
      <c r="L169" s="6">
        <v>44.158999999999999</v>
      </c>
      <c r="M169" s="6">
        <v>44.158999999999999</v>
      </c>
      <c r="N169" s="6">
        <v>44.158999999999999</v>
      </c>
      <c r="O169" s="6">
        <v>44.158999999999999</v>
      </c>
      <c r="P169" s="6">
        <v>0</v>
      </c>
      <c r="Q169" s="4" t="s">
        <v>26</v>
      </c>
      <c r="R169" s="4">
        <v>0</v>
      </c>
      <c r="S169" s="4" t="s">
        <v>140</v>
      </c>
      <c r="T169" s="4" t="s">
        <v>318</v>
      </c>
      <c r="U169" s="4">
        <v>0</v>
      </c>
      <c r="V169" s="4">
        <v>17</v>
      </c>
      <c r="W169" s="4">
        <v>78</v>
      </c>
    </row>
    <row r="170" spans="1:23" ht="11.25" customHeight="1" x14ac:dyDescent="0.25">
      <c r="A170" s="4" t="s">
        <v>21</v>
      </c>
      <c r="B170" s="4" t="s">
        <v>38</v>
      </c>
      <c r="C170" s="4" t="s">
        <v>39</v>
      </c>
      <c r="D170" s="4" t="s">
        <v>37</v>
      </c>
      <c r="E170" s="4" t="s">
        <v>25</v>
      </c>
      <c r="F170" s="4" t="s">
        <v>25</v>
      </c>
      <c r="G170" s="4" t="s">
        <v>25</v>
      </c>
      <c r="H170" s="4" t="s">
        <v>34</v>
      </c>
      <c r="I170" s="5">
        <v>44562</v>
      </c>
      <c r="J170" s="6">
        <v>0</v>
      </c>
      <c r="K170" s="6">
        <v>0</v>
      </c>
      <c r="L170" s="6">
        <v>573.60400000000004</v>
      </c>
      <c r="M170" s="6">
        <v>573.60400000000004</v>
      </c>
      <c r="N170" s="6">
        <v>573.60400000000004</v>
      </c>
      <c r="O170" s="6">
        <v>573.60400000000004</v>
      </c>
      <c r="P170" s="6">
        <v>0</v>
      </c>
      <c r="Q170" s="4" t="s">
        <v>26</v>
      </c>
      <c r="R170" s="4">
        <v>0</v>
      </c>
      <c r="S170" s="4" t="s">
        <v>141</v>
      </c>
      <c r="T170" s="4" t="s">
        <v>319</v>
      </c>
      <c r="U170" s="4">
        <v>0</v>
      </c>
      <c r="V170" s="4">
        <v>17</v>
      </c>
      <c r="W170" s="4">
        <v>78</v>
      </c>
    </row>
    <row r="171" spans="1:23" ht="11.25" customHeight="1" x14ac:dyDescent="0.25">
      <c r="A171" s="4" t="s">
        <v>27</v>
      </c>
      <c r="B171" s="4" t="s">
        <v>38</v>
      </c>
      <c r="C171" s="4" t="s">
        <v>39</v>
      </c>
      <c r="D171" s="4" t="s">
        <v>37</v>
      </c>
      <c r="E171" s="4" t="s">
        <v>25</v>
      </c>
      <c r="F171" s="4" t="s">
        <v>25</v>
      </c>
      <c r="G171" s="4" t="s">
        <v>25</v>
      </c>
      <c r="H171" s="4" t="s">
        <v>34</v>
      </c>
      <c r="I171" s="5">
        <v>44562</v>
      </c>
      <c r="J171" s="6">
        <v>0</v>
      </c>
      <c r="K171" s="6">
        <v>0</v>
      </c>
      <c r="L171" s="6">
        <v>52.064</v>
      </c>
      <c r="M171" s="6">
        <v>52.064</v>
      </c>
      <c r="N171" s="6">
        <v>52.064</v>
      </c>
      <c r="O171" s="6">
        <v>52.064</v>
      </c>
      <c r="P171" s="6">
        <v>0</v>
      </c>
      <c r="Q171" s="4" t="s">
        <v>26</v>
      </c>
      <c r="R171" s="4">
        <v>0</v>
      </c>
      <c r="S171" s="4" t="s">
        <v>141</v>
      </c>
      <c r="T171" s="4" t="s">
        <v>319</v>
      </c>
      <c r="U171" s="4">
        <v>0</v>
      </c>
      <c r="V171" s="4">
        <v>17</v>
      </c>
      <c r="W171" s="4">
        <v>78</v>
      </c>
    </row>
    <row r="172" spans="1:23" ht="11.25" customHeight="1" x14ac:dyDescent="0.25">
      <c r="A172" s="4" t="s">
        <v>21</v>
      </c>
      <c r="B172" s="4" t="s">
        <v>38</v>
      </c>
      <c r="C172" s="4" t="s">
        <v>39</v>
      </c>
      <c r="D172" s="4" t="s">
        <v>37</v>
      </c>
      <c r="E172" s="4" t="s">
        <v>25</v>
      </c>
      <c r="F172" s="4" t="s">
        <v>25</v>
      </c>
      <c r="G172" s="4" t="s">
        <v>25</v>
      </c>
      <c r="H172" s="4" t="s">
        <v>34</v>
      </c>
      <c r="I172" s="5">
        <v>44593</v>
      </c>
      <c r="J172" s="6">
        <v>0</v>
      </c>
      <c r="K172" s="6">
        <v>0</v>
      </c>
      <c r="L172" s="6">
        <v>334.14800000000002</v>
      </c>
      <c r="M172" s="6">
        <v>334.14800000000002</v>
      </c>
      <c r="N172" s="6">
        <v>334.14800000000002</v>
      </c>
      <c r="O172" s="6">
        <v>334.14800000000002</v>
      </c>
      <c r="P172" s="6">
        <v>0</v>
      </c>
      <c r="Q172" s="4" t="s">
        <v>26</v>
      </c>
      <c r="R172" s="4">
        <v>0</v>
      </c>
      <c r="S172" s="4" t="s">
        <v>142</v>
      </c>
      <c r="T172" s="4" t="s">
        <v>320</v>
      </c>
      <c r="U172" s="4">
        <v>0</v>
      </c>
      <c r="V172" s="4">
        <v>17</v>
      </c>
      <c r="W172" s="4">
        <v>78</v>
      </c>
    </row>
    <row r="173" spans="1:23" ht="11.25" customHeight="1" x14ac:dyDescent="0.25">
      <c r="A173" s="4" t="s">
        <v>27</v>
      </c>
      <c r="B173" s="4" t="s">
        <v>38</v>
      </c>
      <c r="C173" s="4" t="s">
        <v>39</v>
      </c>
      <c r="D173" s="4" t="s">
        <v>37</v>
      </c>
      <c r="E173" s="4" t="s">
        <v>25</v>
      </c>
      <c r="F173" s="4" t="s">
        <v>25</v>
      </c>
      <c r="G173" s="4" t="s">
        <v>25</v>
      </c>
      <c r="H173" s="4" t="s">
        <v>34</v>
      </c>
      <c r="I173" s="5">
        <v>44593</v>
      </c>
      <c r="J173" s="6">
        <v>0</v>
      </c>
      <c r="K173" s="6">
        <v>0</v>
      </c>
      <c r="L173" s="6">
        <v>84.363</v>
      </c>
      <c r="M173" s="6">
        <v>84.363</v>
      </c>
      <c r="N173" s="6">
        <v>84.363</v>
      </c>
      <c r="O173" s="6">
        <v>84.363</v>
      </c>
      <c r="P173" s="6">
        <v>0</v>
      </c>
      <c r="Q173" s="4" t="s">
        <v>26</v>
      </c>
      <c r="R173" s="4">
        <v>0</v>
      </c>
      <c r="S173" s="4" t="s">
        <v>142</v>
      </c>
      <c r="T173" s="4" t="s">
        <v>320</v>
      </c>
      <c r="U173" s="4">
        <v>0</v>
      </c>
      <c r="V173" s="4">
        <v>17</v>
      </c>
      <c r="W173" s="4">
        <v>78</v>
      </c>
    </row>
    <row r="174" spans="1:23" ht="11.25" customHeight="1" x14ac:dyDescent="0.25">
      <c r="A174" s="4" t="s">
        <v>21</v>
      </c>
      <c r="B174" s="4" t="s">
        <v>38</v>
      </c>
      <c r="C174" s="4" t="s">
        <v>39</v>
      </c>
      <c r="D174" s="4" t="s">
        <v>37</v>
      </c>
      <c r="E174" s="4" t="s">
        <v>25</v>
      </c>
      <c r="F174" s="4" t="s">
        <v>25</v>
      </c>
      <c r="G174" s="4" t="s">
        <v>25</v>
      </c>
      <c r="H174" s="4" t="s">
        <v>34</v>
      </c>
      <c r="I174" s="5">
        <v>44621</v>
      </c>
      <c r="J174" s="6">
        <v>0</v>
      </c>
      <c r="K174" s="6">
        <v>0</v>
      </c>
      <c r="L174" s="6">
        <v>376.52600000000001</v>
      </c>
      <c r="M174" s="6">
        <v>376.52600000000001</v>
      </c>
      <c r="N174" s="6">
        <v>376.52600000000001</v>
      </c>
      <c r="O174" s="6">
        <v>376.52600000000001</v>
      </c>
      <c r="P174" s="6">
        <v>0</v>
      </c>
      <c r="Q174" s="4" t="s">
        <v>26</v>
      </c>
      <c r="R174" s="4">
        <v>0</v>
      </c>
      <c r="S174" s="4" t="s">
        <v>143</v>
      </c>
      <c r="T174" s="4" t="s">
        <v>321</v>
      </c>
      <c r="U174" s="4">
        <v>0</v>
      </c>
      <c r="V174" s="4">
        <v>17</v>
      </c>
      <c r="W174" s="4">
        <v>78</v>
      </c>
    </row>
    <row r="175" spans="1:23" ht="11.25" customHeight="1" x14ac:dyDescent="0.25">
      <c r="A175" s="4" t="s">
        <v>27</v>
      </c>
      <c r="B175" s="4" t="s">
        <v>38</v>
      </c>
      <c r="C175" s="4" t="s">
        <v>39</v>
      </c>
      <c r="D175" s="4" t="s">
        <v>37</v>
      </c>
      <c r="E175" s="4" t="s">
        <v>25</v>
      </c>
      <c r="F175" s="4" t="s">
        <v>25</v>
      </c>
      <c r="G175" s="4" t="s">
        <v>25</v>
      </c>
      <c r="H175" s="4" t="s">
        <v>34</v>
      </c>
      <c r="I175" s="5">
        <v>44621</v>
      </c>
      <c r="J175" s="6">
        <v>0</v>
      </c>
      <c r="K175" s="6">
        <v>0</v>
      </c>
      <c r="L175" s="6">
        <v>136.93700000000001</v>
      </c>
      <c r="M175" s="6">
        <v>136.93700000000001</v>
      </c>
      <c r="N175" s="6">
        <v>136.93700000000001</v>
      </c>
      <c r="O175" s="6">
        <v>136.93700000000001</v>
      </c>
      <c r="P175" s="6">
        <v>0</v>
      </c>
      <c r="Q175" s="4" t="s">
        <v>26</v>
      </c>
      <c r="R175" s="4">
        <v>0</v>
      </c>
      <c r="S175" s="4" t="s">
        <v>143</v>
      </c>
      <c r="T175" s="4" t="s">
        <v>321</v>
      </c>
      <c r="U175" s="4">
        <v>0</v>
      </c>
      <c r="V175" s="4">
        <v>17</v>
      </c>
      <c r="W175" s="4">
        <v>78</v>
      </c>
    </row>
    <row r="176" spans="1:23" ht="11.25" customHeight="1" x14ac:dyDescent="0.25">
      <c r="A176" s="4" t="s">
        <v>21</v>
      </c>
      <c r="B176" s="4" t="s">
        <v>38</v>
      </c>
      <c r="C176" s="4" t="s">
        <v>39</v>
      </c>
      <c r="D176" s="4" t="s">
        <v>37</v>
      </c>
      <c r="E176" s="4" t="s">
        <v>25</v>
      </c>
      <c r="F176" s="4" t="s">
        <v>25</v>
      </c>
      <c r="G176" s="4" t="s">
        <v>25</v>
      </c>
      <c r="H176" s="4" t="s">
        <v>34</v>
      </c>
      <c r="I176" s="5">
        <v>44652</v>
      </c>
      <c r="J176" s="6">
        <v>0</v>
      </c>
      <c r="K176" s="6">
        <v>0</v>
      </c>
      <c r="L176" s="6">
        <v>311.97199999999998</v>
      </c>
      <c r="M176" s="6">
        <v>311.97199999999998</v>
      </c>
      <c r="N176" s="6">
        <v>311.97199999999998</v>
      </c>
      <c r="O176" s="6">
        <v>311.97199999999998</v>
      </c>
      <c r="P176" s="6">
        <v>0</v>
      </c>
      <c r="Q176" s="4" t="s">
        <v>26</v>
      </c>
      <c r="R176" s="4">
        <v>0</v>
      </c>
      <c r="S176" s="4" t="s">
        <v>144</v>
      </c>
      <c r="T176" s="4" t="s">
        <v>322</v>
      </c>
      <c r="U176" s="4">
        <v>0</v>
      </c>
      <c r="V176" s="4">
        <v>17</v>
      </c>
      <c r="W176" s="4">
        <v>78</v>
      </c>
    </row>
    <row r="177" spans="1:23" ht="11.25" customHeight="1" x14ac:dyDescent="0.25">
      <c r="A177" s="4" t="s">
        <v>27</v>
      </c>
      <c r="B177" s="4" t="s">
        <v>38</v>
      </c>
      <c r="C177" s="4" t="s">
        <v>39</v>
      </c>
      <c r="D177" s="4" t="s">
        <v>37</v>
      </c>
      <c r="E177" s="4" t="s">
        <v>25</v>
      </c>
      <c r="F177" s="4" t="s">
        <v>25</v>
      </c>
      <c r="G177" s="4" t="s">
        <v>25</v>
      </c>
      <c r="H177" s="4" t="s">
        <v>34</v>
      </c>
      <c r="I177" s="5">
        <v>44652</v>
      </c>
      <c r="J177" s="6">
        <v>0</v>
      </c>
      <c r="K177" s="6">
        <v>0</v>
      </c>
      <c r="L177" s="6">
        <v>86.587999999999994</v>
      </c>
      <c r="M177" s="6">
        <v>86.587999999999994</v>
      </c>
      <c r="N177" s="6">
        <v>86.587999999999994</v>
      </c>
      <c r="O177" s="6">
        <v>86.587999999999994</v>
      </c>
      <c r="P177" s="6">
        <v>0</v>
      </c>
      <c r="Q177" s="4" t="s">
        <v>26</v>
      </c>
      <c r="R177" s="4">
        <v>0</v>
      </c>
      <c r="S177" s="4" t="s">
        <v>144</v>
      </c>
      <c r="T177" s="4" t="s">
        <v>322</v>
      </c>
      <c r="U177" s="4">
        <v>0</v>
      </c>
      <c r="V177" s="4">
        <v>17</v>
      </c>
      <c r="W177" s="4">
        <v>78</v>
      </c>
    </row>
    <row r="178" spans="1:23" ht="11.25" customHeight="1" x14ac:dyDescent="0.25">
      <c r="A178" s="4" t="s">
        <v>21</v>
      </c>
      <c r="B178" s="4" t="s">
        <v>38</v>
      </c>
      <c r="C178" s="4" t="s">
        <v>39</v>
      </c>
      <c r="D178" s="4" t="s">
        <v>37</v>
      </c>
      <c r="E178" s="4" t="s">
        <v>25</v>
      </c>
      <c r="F178" s="4" t="s">
        <v>25</v>
      </c>
      <c r="G178" s="4" t="s">
        <v>25</v>
      </c>
      <c r="H178" s="4" t="s">
        <v>34</v>
      </c>
      <c r="I178" s="5">
        <v>44682</v>
      </c>
      <c r="J178" s="6">
        <v>0</v>
      </c>
      <c r="K178" s="6">
        <v>0</v>
      </c>
      <c r="L178" s="6">
        <v>344.964</v>
      </c>
      <c r="M178" s="6">
        <v>344.964</v>
      </c>
      <c r="N178" s="6">
        <v>344.964</v>
      </c>
      <c r="O178" s="6">
        <v>344.964</v>
      </c>
      <c r="P178" s="6">
        <v>0</v>
      </c>
      <c r="Q178" s="4" t="s">
        <v>26</v>
      </c>
      <c r="R178" s="4">
        <v>0</v>
      </c>
      <c r="S178" s="4" t="s">
        <v>145</v>
      </c>
      <c r="T178" s="4" t="s">
        <v>323</v>
      </c>
      <c r="U178" s="4">
        <v>0</v>
      </c>
      <c r="V178" s="4">
        <v>17</v>
      </c>
      <c r="W178" s="4">
        <v>78</v>
      </c>
    </row>
    <row r="179" spans="1:23" ht="11.25" customHeight="1" x14ac:dyDescent="0.25">
      <c r="A179" s="4" t="s">
        <v>27</v>
      </c>
      <c r="B179" s="4" t="s">
        <v>38</v>
      </c>
      <c r="C179" s="4" t="s">
        <v>39</v>
      </c>
      <c r="D179" s="4" t="s">
        <v>37</v>
      </c>
      <c r="E179" s="4" t="s">
        <v>25</v>
      </c>
      <c r="F179" s="4" t="s">
        <v>25</v>
      </c>
      <c r="G179" s="4" t="s">
        <v>25</v>
      </c>
      <c r="H179" s="4" t="s">
        <v>34</v>
      </c>
      <c r="I179" s="5">
        <v>44682</v>
      </c>
      <c r="J179" s="6">
        <v>0</v>
      </c>
      <c r="K179" s="6">
        <v>0</v>
      </c>
      <c r="L179" s="6">
        <v>121.572</v>
      </c>
      <c r="M179" s="6">
        <v>121.572</v>
      </c>
      <c r="N179" s="6">
        <v>121.572</v>
      </c>
      <c r="O179" s="6">
        <v>121.572</v>
      </c>
      <c r="P179" s="6">
        <v>0</v>
      </c>
      <c r="Q179" s="4" t="s">
        <v>26</v>
      </c>
      <c r="R179" s="4">
        <v>0</v>
      </c>
      <c r="S179" s="4" t="s">
        <v>145</v>
      </c>
      <c r="T179" s="4" t="s">
        <v>323</v>
      </c>
      <c r="U179" s="4">
        <v>0</v>
      </c>
      <c r="V179" s="4">
        <v>17</v>
      </c>
      <c r="W179" s="4">
        <v>78</v>
      </c>
    </row>
    <row r="180" spans="1:23" ht="11.25" customHeight="1" x14ac:dyDescent="0.25">
      <c r="A180" s="4" t="s">
        <v>55</v>
      </c>
      <c r="B180" s="4" t="s">
        <v>38</v>
      </c>
      <c r="C180" s="4" t="s">
        <v>39</v>
      </c>
      <c r="D180" s="4" t="s">
        <v>37</v>
      </c>
      <c r="E180" s="4" t="s">
        <v>25</v>
      </c>
      <c r="F180" s="4" t="s">
        <v>25</v>
      </c>
      <c r="G180" s="4" t="s">
        <v>25</v>
      </c>
      <c r="H180" s="4" t="s">
        <v>34</v>
      </c>
      <c r="I180" s="5">
        <v>44713</v>
      </c>
      <c r="J180" s="6">
        <v>0</v>
      </c>
      <c r="K180" s="6">
        <v>0</v>
      </c>
      <c r="L180" s="6">
        <v>344.964</v>
      </c>
      <c r="M180" s="6">
        <v>344.964</v>
      </c>
      <c r="N180" s="6">
        <v>344.964</v>
      </c>
      <c r="O180" s="6">
        <v>344.964</v>
      </c>
      <c r="P180" s="6">
        <v>0</v>
      </c>
      <c r="Q180" s="4" t="s">
        <v>26</v>
      </c>
      <c r="R180" s="4">
        <v>0</v>
      </c>
      <c r="S180" s="4" t="s">
        <v>146</v>
      </c>
      <c r="T180" s="4" t="s">
        <v>324</v>
      </c>
      <c r="U180" s="4">
        <v>0</v>
      </c>
      <c r="V180" s="4">
        <v>17</v>
      </c>
      <c r="W180" s="4">
        <v>78</v>
      </c>
    </row>
    <row r="181" spans="1:23" ht="11.25" customHeight="1" x14ac:dyDescent="0.25">
      <c r="A181" s="4" t="s">
        <v>55</v>
      </c>
      <c r="B181" s="4" t="s">
        <v>38</v>
      </c>
      <c r="C181" s="4" t="s">
        <v>39</v>
      </c>
      <c r="D181" s="4" t="s">
        <v>37</v>
      </c>
      <c r="E181" s="4" t="s">
        <v>25</v>
      </c>
      <c r="F181" s="4" t="s">
        <v>25</v>
      </c>
      <c r="G181" s="4" t="s">
        <v>25</v>
      </c>
      <c r="H181" s="4" t="s">
        <v>34</v>
      </c>
      <c r="I181" s="5">
        <v>44713</v>
      </c>
      <c r="J181" s="6">
        <v>0</v>
      </c>
      <c r="K181" s="6">
        <v>0</v>
      </c>
      <c r="L181" s="6">
        <v>121.572</v>
      </c>
      <c r="M181" s="6">
        <v>121.572</v>
      </c>
      <c r="N181" s="6">
        <v>121.572</v>
      </c>
      <c r="O181" s="6">
        <v>121.572</v>
      </c>
      <c r="P181" s="6">
        <v>0</v>
      </c>
      <c r="Q181" s="4" t="s">
        <v>26</v>
      </c>
      <c r="R181" s="4">
        <v>0</v>
      </c>
      <c r="S181" s="4" t="s">
        <v>146</v>
      </c>
      <c r="T181" s="4" t="s">
        <v>324</v>
      </c>
      <c r="U181" s="4">
        <v>0</v>
      </c>
      <c r="V181" s="4">
        <v>17</v>
      </c>
      <c r="W181" s="4">
        <v>78</v>
      </c>
    </row>
    <row r="182" spans="1:23" ht="11.25" customHeight="1" x14ac:dyDescent="0.25">
      <c r="A182" s="4" t="s">
        <v>21</v>
      </c>
      <c r="B182" s="4" t="s">
        <v>38</v>
      </c>
      <c r="C182" s="4" t="s">
        <v>39</v>
      </c>
      <c r="D182" s="4" t="s">
        <v>37</v>
      </c>
      <c r="E182" s="4" t="s">
        <v>25</v>
      </c>
      <c r="F182" s="4" t="s">
        <v>25</v>
      </c>
      <c r="G182" s="4" t="s">
        <v>25</v>
      </c>
      <c r="H182" s="4" t="s">
        <v>25</v>
      </c>
      <c r="I182" s="5">
        <v>44378</v>
      </c>
      <c r="J182" s="6">
        <v>4762</v>
      </c>
      <c r="K182" s="6">
        <v>4762</v>
      </c>
      <c r="L182" s="6">
        <v>0</v>
      </c>
      <c r="M182" s="6">
        <v>0</v>
      </c>
      <c r="N182" s="6">
        <v>0</v>
      </c>
      <c r="O182" s="6">
        <v>0</v>
      </c>
      <c r="P182" s="6">
        <v>28</v>
      </c>
      <c r="Q182" s="4" t="s">
        <v>26</v>
      </c>
      <c r="R182" s="4">
        <v>0</v>
      </c>
      <c r="S182" s="4" t="s">
        <v>147</v>
      </c>
      <c r="U182" s="4">
        <v>19</v>
      </c>
      <c r="V182" s="4">
        <v>0</v>
      </c>
      <c r="W182" s="4">
        <v>0</v>
      </c>
    </row>
    <row r="183" spans="1:23" ht="11.25" customHeight="1" x14ac:dyDescent="0.25">
      <c r="A183" s="4" t="s">
        <v>27</v>
      </c>
      <c r="B183" s="4" t="s">
        <v>38</v>
      </c>
      <c r="C183" s="4" t="s">
        <v>39</v>
      </c>
      <c r="D183" s="4" t="s">
        <v>37</v>
      </c>
      <c r="E183" s="4" t="s">
        <v>25</v>
      </c>
      <c r="F183" s="4" t="s">
        <v>25</v>
      </c>
      <c r="G183" s="4" t="s">
        <v>25</v>
      </c>
      <c r="H183" s="4" t="s">
        <v>25</v>
      </c>
      <c r="I183" s="5">
        <v>44378</v>
      </c>
      <c r="J183" s="6">
        <v>847</v>
      </c>
      <c r="K183" s="6">
        <v>847</v>
      </c>
      <c r="L183" s="6">
        <v>0</v>
      </c>
      <c r="M183" s="6">
        <v>0</v>
      </c>
      <c r="N183" s="6">
        <v>0</v>
      </c>
      <c r="O183" s="6">
        <v>0</v>
      </c>
      <c r="P183" s="6">
        <v>7</v>
      </c>
      <c r="Q183" s="4" t="s">
        <v>26</v>
      </c>
      <c r="R183" s="4">
        <v>0</v>
      </c>
      <c r="S183" s="4" t="s">
        <v>147</v>
      </c>
      <c r="U183" s="4">
        <v>19</v>
      </c>
      <c r="V183" s="4">
        <v>0</v>
      </c>
      <c r="W183" s="4">
        <v>0</v>
      </c>
    </row>
    <row r="184" spans="1:23" ht="11.25" customHeight="1" x14ac:dyDescent="0.25">
      <c r="A184" s="4" t="s">
        <v>21</v>
      </c>
      <c r="B184" s="4" t="s">
        <v>38</v>
      </c>
      <c r="C184" s="4" t="s">
        <v>39</v>
      </c>
      <c r="D184" s="4" t="s">
        <v>37</v>
      </c>
      <c r="E184" s="4" t="s">
        <v>25</v>
      </c>
      <c r="F184" s="4" t="s">
        <v>25</v>
      </c>
      <c r="G184" s="4" t="s">
        <v>25</v>
      </c>
      <c r="H184" s="4" t="s">
        <v>25</v>
      </c>
      <c r="I184" s="5">
        <v>44409</v>
      </c>
      <c r="J184" s="6">
        <v>4340</v>
      </c>
      <c r="K184" s="6">
        <v>4340</v>
      </c>
      <c r="L184" s="6">
        <v>0</v>
      </c>
      <c r="M184" s="6">
        <v>0</v>
      </c>
      <c r="N184" s="6">
        <v>0</v>
      </c>
      <c r="O184" s="6">
        <v>0</v>
      </c>
      <c r="P184" s="6">
        <v>27</v>
      </c>
      <c r="Q184" s="4" t="s">
        <v>26</v>
      </c>
      <c r="R184" s="4">
        <v>0</v>
      </c>
      <c r="S184" s="4" t="s">
        <v>148</v>
      </c>
      <c r="U184" s="4">
        <v>19</v>
      </c>
      <c r="V184" s="4">
        <v>0</v>
      </c>
      <c r="W184" s="4">
        <v>0</v>
      </c>
    </row>
    <row r="185" spans="1:23" ht="11.25" customHeight="1" x14ac:dyDescent="0.25">
      <c r="A185" s="4" t="s">
        <v>27</v>
      </c>
      <c r="B185" s="4" t="s">
        <v>38</v>
      </c>
      <c r="C185" s="4" t="s">
        <v>39</v>
      </c>
      <c r="D185" s="4" t="s">
        <v>37</v>
      </c>
      <c r="E185" s="4" t="s">
        <v>25</v>
      </c>
      <c r="F185" s="4" t="s">
        <v>25</v>
      </c>
      <c r="G185" s="4" t="s">
        <v>25</v>
      </c>
      <c r="H185" s="4" t="s">
        <v>25</v>
      </c>
      <c r="I185" s="5">
        <v>44409</v>
      </c>
      <c r="J185" s="6">
        <v>824</v>
      </c>
      <c r="K185" s="6">
        <v>824</v>
      </c>
      <c r="L185" s="6">
        <v>0</v>
      </c>
      <c r="M185" s="6">
        <v>0</v>
      </c>
      <c r="N185" s="6">
        <v>0</v>
      </c>
      <c r="O185" s="6">
        <v>0</v>
      </c>
      <c r="P185" s="6">
        <v>7</v>
      </c>
      <c r="Q185" s="4" t="s">
        <v>26</v>
      </c>
      <c r="R185" s="4">
        <v>0</v>
      </c>
      <c r="S185" s="4" t="s">
        <v>148</v>
      </c>
      <c r="U185" s="4">
        <v>19</v>
      </c>
      <c r="V185" s="4">
        <v>0</v>
      </c>
      <c r="W185" s="4">
        <v>0</v>
      </c>
    </row>
    <row r="186" spans="1:23" ht="11.25" customHeight="1" x14ac:dyDescent="0.25">
      <c r="A186" s="4" t="s">
        <v>21</v>
      </c>
      <c r="B186" s="4" t="s">
        <v>38</v>
      </c>
      <c r="C186" s="4" t="s">
        <v>39</v>
      </c>
      <c r="D186" s="4" t="s">
        <v>37</v>
      </c>
      <c r="E186" s="4" t="s">
        <v>25</v>
      </c>
      <c r="F186" s="4" t="s">
        <v>25</v>
      </c>
      <c r="G186" s="4" t="s">
        <v>25</v>
      </c>
      <c r="H186" s="4" t="s">
        <v>25</v>
      </c>
      <c r="I186" s="5">
        <v>44440</v>
      </c>
      <c r="J186" s="6">
        <v>4325</v>
      </c>
      <c r="K186" s="6">
        <v>4325</v>
      </c>
      <c r="L186" s="6">
        <v>0</v>
      </c>
      <c r="M186" s="6">
        <v>0</v>
      </c>
      <c r="N186" s="6">
        <v>0</v>
      </c>
      <c r="O186" s="6">
        <v>0</v>
      </c>
      <c r="P186" s="6">
        <v>27</v>
      </c>
      <c r="Q186" s="4" t="s">
        <v>26</v>
      </c>
      <c r="R186" s="4">
        <v>0</v>
      </c>
      <c r="S186" s="4" t="s">
        <v>149</v>
      </c>
      <c r="U186" s="4">
        <v>19</v>
      </c>
      <c r="V186" s="4">
        <v>0</v>
      </c>
      <c r="W186" s="4">
        <v>0</v>
      </c>
    </row>
    <row r="187" spans="1:23" ht="11.25" customHeight="1" x14ac:dyDescent="0.25">
      <c r="A187" s="4" t="s">
        <v>27</v>
      </c>
      <c r="B187" s="4" t="s">
        <v>38</v>
      </c>
      <c r="C187" s="4" t="s">
        <v>39</v>
      </c>
      <c r="D187" s="4" t="s">
        <v>37</v>
      </c>
      <c r="E187" s="4" t="s">
        <v>25</v>
      </c>
      <c r="F187" s="4" t="s">
        <v>25</v>
      </c>
      <c r="G187" s="4" t="s">
        <v>25</v>
      </c>
      <c r="H187" s="4" t="s">
        <v>25</v>
      </c>
      <c r="I187" s="5">
        <v>44440</v>
      </c>
      <c r="J187" s="6">
        <v>844</v>
      </c>
      <c r="K187" s="6">
        <v>844</v>
      </c>
      <c r="L187" s="6">
        <v>0</v>
      </c>
      <c r="M187" s="6">
        <v>0</v>
      </c>
      <c r="N187" s="6">
        <v>0</v>
      </c>
      <c r="O187" s="6">
        <v>0</v>
      </c>
      <c r="P187" s="6">
        <v>7</v>
      </c>
      <c r="Q187" s="4" t="s">
        <v>26</v>
      </c>
      <c r="R187" s="4">
        <v>0</v>
      </c>
      <c r="S187" s="4" t="s">
        <v>149</v>
      </c>
      <c r="U187" s="4">
        <v>19</v>
      </c>
      <c r="V187" s="4">
        <v>0</v>
      </c>
      <c r="W187" s="4">
        <v>0</v>
      </c>
    </row>
    <row r="188" spans="1:23" ht="11.25" customHeight="1" x14ac:dyDescent="0.25">
      <c r="A188" s="4" t="s">
        <v>21</v>
      </c>
      <c r="B188" s="4" t="s">
        <v>38</v>
      </c>
      <c r="C188" s="4" t="s">
        <v>39</v>
      </c>
      <c r="D188" s="4" t="s">
        <v>37</v>
      </c>
      <c r="E188" s="4" t="s">
        <v>25</v>
      </c>
      <c r="F188" s="4" t="s">
        <v>25</v>
      </c>
      <c r="G188" s="4" t="s">
        <v>25</v>
      </c>
      <c r="H188" s="4" t="s">
        <v>25</v>
      </c>
      <c r="I188" s="5">
        <v>44470</v>
      </c>
      <c r="J188" s="6">
        <v>4335</v>
      </c>
      <c r="K188" s="6">
        <v>4335</v>
      </c>
      <c r="L188" s="6">
        <v>0</v>
      </c>
      <c r="M188" s="6">
        <v>0</v>
      </c>
      <c r="N188" s="6">
        <v>0</v>
      </c>
      <c r="O188" s="6">
        <v>0</v>
      </c>
      <c r="P188" s="6">
        <v>27</v>
      </c>
      <c r="Q188" s="4" t="s">
        <v>26</v>
      </c>
      <c r="R188" s="4">
        <v>0</v>
      </c>
      <c r="S188" s="4" t="s">
        <v>150</v>
      </c>
      <c r="U188" s="4">
        <v>19</v>
      </c>
      <c r="V188" s="4">
        <v>0</v>
      </c>
      <c r="W188" s="4">
        <v>0</v>
      </c>
    </row>
    <row r="189" spans="1:23" ht="11.25" customHeight="1" x14ac:dyDescent="0.25">
      <c r="A189" s="4" t="s">
        <v>27</v>
      </c>
      <c r="B189" s="4" t="s">
        <v>38</v>
      </c>
      <c r="C189" s="4" t="s">
        <v>39</v>
      </c>
      <c r="D189" s="4" t="s">
        <v>37</v>
      </c>
      <c r="E189" s="4" t="s">
        <v>25</v>
      </c>
      <c r="F189" s="4" t="s">
        <v>25</v>
      </c>
      <c r="G189" s="4" t="s">
        <v>25</v>
      </c>
      <c r="H189" s="4" t="s">
        <v>25</v>
      </c>
      <c r="I189" s="5">
        <v>44470</v>
      </c>
      <c r="J189" s="6">
        <v>822</v>
      </c>
      <c r="K189" s="6">
        <v>822</v>
      </c>
      <c r="L189" s="6">
        <v>0</v>
      </c>
      <c r="M189" s="6">
        <v>0</v>
      </c>
      <c r="N189" s="6">
        <v>0</v>
      </c>
      <c r="O189" s="6">
        <v>0</v>
      </c>
      <c r="P189" s="6">
        <v>7</v>
      </c>
      <c r="Q189" s="4" t="s">
        <v>26</v>
      </c>
      <c r="R189" s="4">
        <v>0</v>
      </c>
      <c r="S189" s="4" t="s">
        <v>150</v>
      </c>
      <c r="U189" s="4">
        <v>19</v>
      </c>
      <c r="V189" s="4">
        <v>0</v>
      </c>
      <c r="W189" s="4">
        <v>0</v>
      </c>
    </row>
    <row r="190" spans="1:23" ht="11.25" customHeight="1" x14ac:dyDescent="0.25">
      <c r="A190" s="4" t="s">
        <v>21</v>
      </c>
      <c r="B190" s="4" t="s">
        <v>38</v>
      </c>
      <c r="C190" s="4" t="s">
        <v>39</v>
      </c>
      <c r="D190" s="4" t="s">
        <v>37</v>
      </c>
      <c r="E190" s="4" t="s">
        <v>25</v>
      </c>
      <c r="F190" s="4" t="s">
        <v>25</v>
      </c>
      <c r="G190" s="4" t="s">
        <v>25</v>
      </c>
      <c r="H190" s="4" t="s">
        <v>25</v>
      </c>
      <c r="I190" s="5">
        <v>44501</v>
      </c>
      <c r="J190" s="6">
        <v>3855</v>
      </c>
      <c r="K190" s="6">
        <v>3855</v>
      </c>
      <c r="L190" s="6">
        <v>0</v>
      </c>
      <c r="M190" s="6">
        <v>0</v>
      </c>
      <c r="N190" s="6">
        <v>0</v>
      </c>
      <c r="O190" s="6">
        <v>0</v>
      </c>
      <c r="P190" s="6">
        <v>25</v>
      </c>
      <c r="Q190" s="4" t="s">
        <v>26</v>
      </c>
      <c r="R190" s="4">
        <v>0</v>
      </c>
      <c r="S190" s="4" t="s">
        <v>151</v>
      </c>
      <c r="U190" s="4">
        <v>19</v>
      </c>
      <c r="V190" s="4">
        <v>0</v>
      </c>
      <c r="W190" s="4">
        <v>0</v>
      </c>
    </row>
    <row r="191" spans="1:23" ht="11.25" customHeight="1" x14ac:dyDescent="0.25">
      <c r="A191" s="4" t="s">
        <v>27</v>
      </c>
      <c r="B191" s="4" t="s">
        <v>38</v>
      </c>
      <c r="C191" s="4" t="s">
        <v>39</v>
      </c>
      <c r="D191" s="4" t="s">
        <v>37</v>
      </c>
      <c r="E191" s="4" t="s">
        <v>25</v>
      </c>
      <c r="F191" s="4" t="s">
        <v>25</v>
      </c>
      <c r="G191" s="4" t="s">
        <v>25</v>
      </c>
      <c r="H191" s="4" t="s">
        <v>25</v>
      </c>
      <c r="I191" s="5">
        <v>44501</v>
      </c>
      <c r="J191" s="6">
        <v>1074</v>
      </c>
      <c r="K191" s="6">
        <v>1074</v>
      </c>
      <c r="L191" s="6">
        <v>0</v>
      </c>
      <c r="M191" s="6">
        <v>0</v>
      </c>
      <c r="N191" s="6">
        <v>0</v>
      </c>
      <c r="O191" s="6">
        <v>0</v>
      </c>
      <c r="P191" s="6">
        <v>8</v>
      </c>
      <c r="Q191" s="4" t="s">
        <v>26</v>
      </c>
      <c r="R191" s="4">
        <v>0</v>
      </c>
      <c r="S191" s="4" t="s">
        <v>151</v>
      </c>
      <c r="U191" s="4">
        <v>19</v>
      </c>
      <c r="V191" s="4">
        <v>0</v>
      </c>
      <c r="W191" s="4">
        <v>0</v>
      </c>
    </row>
    <row r="192" spans="1:23" ht="11.25" customHeight="1" x14ac:dyDescent="0.25">
      <c r="A192" s="4" t="s">
        <v>21</v>
      </c>
      <c r="B192" s="4" t="s">
        <v>38</v>
      </c>
      <c r="C192" s="4" t="s">
        <v>39</v>
      </c>
      <c r="D192" s="4" t="s">
        <v>37</v>
      </c>
      <c r="E192" s="4" t="s">
        <v>25</v>
      </c>
      <c r="F192" s="4" t="s">
        <v>25</v>
      </c>
      <c r="G192" s="4" t="s">
        <v>25</v>
      </c>
      <c r="H192" s="4" t="s">
        <v>25</v>
      </c>
      <c r="I192" s="5">
        <v>44531</v>
      </c>
      <c r="J192" s="6">
        <v>3815</v>
      </c>
      <c r="K192" s="6">
        <v>3815</v>
      </c>
      <c r="L192" s="6">
        <v>0</v>
      </c>
      <c r="M192" s="6">
        <v>0</v>
      </c>
      <c r="N192" s="6">
        <v>0</v>
      </c>
      <c r="O192" s="6">
        <v>0</v>
      </c>
      <c r="P192" s="6">
        <v>24</v>
      </c>
      <c r="Q192" s="4" t="s">
        <v>26</v>
      </c>
      <c r="R192" s="4">
        <v>0</v>
      </c>
      <c r="S192" s="4" t="s">
        <v>152</v>
      </c>
      <c r="U192" s="4">
        <v>19</v>
      </c>
      <c r="V192" s="4">
        <v>0</v>
      </c>
      <c r="W192" s="4">
        <v>0</v>
      </c>
    </row>
    <row r="193" spans="1:23" ht="11.25" customHeight="1" x14ac:dyDescent="0.25">
      <c r="A193" s="4" t="s">
        <v>27</v>
      </c>
      <c r="B193" s="4" t="s">
        <v>38</v>
      </c>
      <c r="C193" s="4" t="s">
        <v>39</v>
      </c>
      <c r="D193" s="4" t="s">
        <v>37</v>
      </c>
      <c r="E193" s="4" t="s">
        <v>25</v>
      </c>
      <c r="F193" s="4" t="s">
        <v>25</v>
      </c>
      <c r="G193" s="4" t="s">
        <v>25</v>
      </c>
      <c r="H193" s="4" t="s">
        <v>25</v>
      </c>
      <c r="I193" s="5">
        <v>44531</v>
      </c>
      <c r="J193" s="6">
        <v>1199</v>
      </c>
      <c r="K193" s="6">
        <v>1199</v>
      </c>
      <c r="L193" s="6">
        <v>0</v>
      </c>
      <c r="M193" s="6">
        <v>0</v>
      </c>
      <c r="N193" s="6">
        <v>0</v>
      </c>
      <c r="O193" s="6">
        <v>0</v>
      </c>
      <c r="P193" s="6">
        <v>9</v>
      </c>
      <c r="Q193" s="4" t="s">
        <v>26</v>
      </c>
      <c r="R193" s="4">
        <v>0</v>
      </c>
      <c r="S193" s="4" t="s">
        <v>152</v>
      </c>
      <c r="U193" s="4">
        <v>19</v>
      </c>
      <c r="V193" s="4">
        <v>0</v>
      </c>
      <c r="W193" s="4">
        <v>0</v>
      </c>
    </row>
    <row r="194" spans="1:23" ht="11.25" customHeight="1" x14ac:dyDescent="0.25">
      <c r="A194" s="4" t="s">
        <v>21</v>
      </c>
      <c r="B194" s="4" t="s">
        <v>38</v>
      </c>
      <c r="C194" s="4" t="s">
        <v>39</v>
      </c>
      <c r="D194" s="4" t="s">
        <v>37</v>
      </c>
      <c r="E194" s="4" t="s">
        <v>25</v>
      </c>
      <c r="F194" s="4" t="s">
        <v>25</v>
      </c>
      <c r="G194" s="4" t="s">
        <v>25</v>
      </c>
      <c r="H194" s="4" t="s">
        <v>25</v>
      </c>
      <c r="I194" s="5">
        <v>44562</v>
      </c>
      <c r="J194" s="6">
        <v>3690</v>
      </c>
      <c r="K194" s="6">
        <v>3690</v>
      </c>
      <c r="L194" s="6">
        <v>0</v>
      </c>
      <c r="M194" s="6">
        <v>0</v>
      </c>
      <c r="N194" s="6">
        <v>0</v>
      </c>
      <c r="O194" s="6">
        <v>0</v>
      </c>
      <c r="P194" s="6">
        <v>24</v>
      </c>
      <c r="Q194" s="4" t="s">
        <v>26</v>
      </c>
      <c r="R194" s="4">
        <v>0</v>
      </c>
      <c r="S194" s="4" t="s">
        <v>153</v>
      </c>
      <c r="U194" s="4">
        <v>19</v>
      </c>
      <c r="V194" s="4">
        <v>0</v>
      </c>
      <c r="W194" s="4">
        <v>0</v>
      </c>
    </row>
    <row r="195" spans="1:23" ht="11.25" customHeight="1" x14ac:dyDescent="0.25">
      <c r="A195" s="4" t="s">
        <v>27</v>
      </c>
      <c r="B195" s="4" t="s">
        <v>38</v>
      </c>
      <c r="C195" s="4" t="s">
        <v>39</v>
      </c>
      <c r="D195" s="4" t="s">
        <v>37</v>
      </c>
      <c r="E195" s="4" t="s">
        <v>25</v>
      </c>
      <c r="F195" s="4" t="s">
        <v>25</v>
      </c>
      <c r="G195" s="4" t="s">
        <v>25</v>
      </c>
      <c r="H195" s="4" t="s">
        <v>25</v>
      </c>
      <c r="I195" s="5">
        <v>44562</v>
      </c>
      <c r="J195" s="6">
        <v>1139</v>
      </c>
      <c r="K195" s="6">
        <v>1139</v>
      </c>
      <c r="L195" s="6">
        <v>0</v>
      </c>
      <c r="M195" s="6">
        <v>0</v>
      </c>
      <c r="N195" s="6">
        <v>0</v>
      </c>
      <c r="O195" s="6">
        <v>0</v>
      </c>
      <c r="P195" s="6">
        <v>9</v>
      </c>
      <c r="Q195" s="4" t="s">
        <v>26</v>
      </c>
      <c r="R195" s="4">
        <v>0</v>
      </c>
      <c r="S195" s="4" t="s">
        <v>153</v>
      </c>
      <c r="U195" s="4">
        <v>19</v>
      </c>
      <c r="V195" s="4">
        <v>0</v>
      </c>
      <c r="W195" s="4">
        <v>0</v>
      </c>
    </row>
    <row r="196" spans="1:23" ht="11.25" customHeight="1" x14ac:dyDescent="0.25">
      <c r="A196" s="4" t="s">
        <v>21</v>
      </c>
      <c r="B196" s="4" t="s">
        <v>38</v>
      </c>
      <c r="C196" s="4" t="s">
        <v>39</v>
      </c>
      <c r="D196" s="4" t="s">
        <v>37</v>
      </c>
      <c r="E196" s="4" t="s">
        <v>25</v>
      </c>
      <c r="F196" s="4" t="s">
        <v>25</v>
      </c>
      <c r="G196" s="4" t="s">
        <v>25</v>
      </c>
      <c r="H196" s="4" t="s">
        <v>25</v>
      </c>
      <c r="I196" s="5">
        <v>44593</v>
      </c>
      <c r="J196" s="6">
        <v>2915</v>
      </c>
      <c r="K196" s="6">
        <v>2915</v>
      </c>
      <c r="L196" s="6">
        <v>0</v>
      </c>
      <c r="M196" s="6">
        <v>0</v>
      </c>
      <c r="N196" s="6">
        <v>0</v>
      </c>
      <c r="O196" s="6">
        <v>0</v>
      </c>
      <c r="P196" s="6">
        <v>23</v>
      </c>
      <c r="Q196" s="4" t="s">
        <v>26</v>
      </c>
      <c r="R196" s="4">
        <v>0</v>
      </c>
      <c r="S196" s="4" t="s">
        <v>154</v>
      </c>
      <c r="U196" s="4">
        <v>19</v>
      </c>
      <c r="V196" s="4">
        <v>0</v>
      </c>
      <c r="W196" s="4">
        <v>0</v>
      </c>
    </row>
    <row r="197" spans="1:23" ht="11.25" customHeight="1" x14ac:dyDescent="0.25">
      <c r="A197" s="4" t="s">
        <v>27</v>
      </c>
      <c r="B197" s="4" t="s">
        <v>38</v>
      </c>
      <c r="C197" s="4" t="s">
        <v>39</v>
      </c>
      <c r="D197" s="4" t="s">
        <v>37</v>
      </c>
      <c r="E197" s="4" t="s">
        <v>25</v>
      </c>
      <c r="F197" s="4" t="s">
        <v>25</v>
      </c>
      <c r="G197" s="4" t="s">
        <v>25</v>
      </c>
      <c r="H197" s="4" t="s">
        <v>25</v>
      </c>
      <c r="I197" s="5">
        <v>44593</v>
      </c>
      <c r="J197" s="6">
        <v>1169</v>
      </c>
      <c r="K197" s="6">
        <v>1169</v>
      </c>
      <c r="L197" s="6">
        <v>0</v>
      </c>
      <c r="M197" s="6">
        <v>0</v>
      </c>
      <c r="N197" s="6">
        <v>0</v>
      </c>
      <c r="O197" s="6">
        <v>0</v>
      </c>
      <c r="P197" s="6">
        <v>9</v>
      </c>
      <c r="Q197" s="4" t="s">
        <v>26</v>
      </c>
      <c r="R197" s="4">
        <v>0</v>
      </c>
      <c r="S197" s="4" t="s">
        <v>154</v>
      </c>
      <c r="U197" s="4">
        <v>19</v>
      </c>
      <c r="V197" s="4">
        <v>0</v>
      </c>
      <c r="W197" s="4">
        <v>0</v>
      </c>
    </row>
    <row r="198" spans="1:23" ht="11.25" customHeight="1" x14ac:dyDescent="0.25">
      <c r="A198" s="4" t="s">
        <v>21</v>
      </c>
      <c r="B198" s="4" t="s">
        <v>38</v>
      </c>
      <c r="C198" s="4" t="s">
        <v>39</v>
      </c>
      <c r="D198" s="4" t="s">
        <v>37</v>
      </c>
      <c r="E198" s="4" t="s">
        <v>25</v>
      </c>
      <c r="F198" s="4" t="s">
        <v>25</v>
      </c>
      <c r="G198" s="4" t="s">
        <v>25</v>
      </c>
      <c r="H198" s="4" t="s">
        <v>25</v>
      </c>
      <c r="I198" s="5">
        <v>44621</v>
      </c>
      <c r="J198" s="6">
        <v>2821</v>
      </c>
      <c r="K198" s="6">
        <v>2821</v>
      </c>
      <c r="L198" s="6">
        <v>0</v>
      </c>
      <c r="M198" s="6">
        <v>0</v>
      </c>
      <c r="N198" s="6">
        <v>0</v>
      </c>
      <c r="O198" s="6">
        <v>0</v>
      </c>
      <c r="P198" s="6">
        <v>23</v>
      </c>
      <c r="Q198" s="4" t="s">
        <v>26</v>
      </c>
      <c r="R198" s="4">
        <v>0</v>
      </c>
      <c r="S198" s="4" t="s">
        <v>155</v>
      </c>
      <c r="U198" s="4">
        <v>19</v>
      </c>
      <c r="V198" s="4">
        <v>0</v>
      </c>
      <c r="W198" s="4">
        <v>0</v>
      </c>
    </row>
    <row r="199" spans="1:23" ht="11.25" customHeight="1" x14ac:dyDescent="0.25">
      <c r="A199" s="4" t="s">
        <v>27</v>
      </c>
      <c r="B199" s="4" t="s">
        <v>38</v>
      </c>
      <c r="C199" s="4" t="s">
        <v>39</v>
      </c>
      <c r="D199" s="4" t="s">
        <v>37</v>
      </c>
      <c r="E199" s="4" t="s">
        <v>25</v>
      </c>
      <c r="F199" s="4" t="s">
        <v>25</v>
      </c>
      <c r="G199" s="4" t="s">
        <v>25</v>
      </c>
      <c r="H199" s="4" t="s">
        <v>25</v>
      </c>
      <c r="I199" s="5">
        <v>44621</v>
      </c>
      <c r="J199" s="6">
        <v>1283</v>
      </c>
      <c r="K199" s="6">
        <v>1283</v>
      </c>
      <c r="L199" s="6">
        <v>0</v>
      </c>
      <c r="M199" s="6">
        <v>0</v>
      </c>
      <c r="N199" s="6">
        <v>0</v>
      </c>
      <c r="O199" s="6">
        <v>0</v>
      </c>
      <c r="P199" s="6">
        <v>10</v>
      </c>
      <c r="Q199" s="4" t="s">
        <v>26</v>
      </c>
      <c r="R199" s="4">
        <v>0</v>
      </c>
      <c r="S199" s="4" t="s">
        <v>155</v>
      </c>
      <c r="U199" s="4">
        <v>19</v>
      </c>
      <c r="V199" s="4">
        <v>0</v>
      </c>
      <c r="W199" s="4">
        <v>0</v>
      </c>
    </row>
    <row r="200" spans="1:23" ht="11.25" customHeight="1" x14ac:dyDescent="0.25">
      <c r="A200" s="4" t="s">
        <v>21</v>
      </c>
      <c r="B200" s="4" t="s">
        <v>38</v>
      </c>
      <c r="C200" s="4" t="s">
        <v>39</v>
      </c>
      <c r="D200" s="4" t="s">
        <v>37</v>
      </c>
      <c r="E200" s="4" t="s">
        <v>25</v>
      </c>
      <c r="F200" s="4" t="s">
        <v>25</v>
      </c>
      <c r="G200" s="4" t="s">
        <v>25</v>
      </c>
      <c r="H200" s="4" t="s">
        <v>25</v>
      </c>
      <c r="I200" s="5">
        <v>44652</v>
      </c>
      <c r="J200" s="6">
        <v>3132</v>
      </c>
      <c r="K200" s="6">
        <v>3132</v>
      </c>
      <c r="L200" s="6">
        <v>0</v>
      </c>
      <c r="M200" s="6">
        <v>0</v>
      </c>
      <c r="N200" s="6">
        <v>0</v>
      </c>
      <c r="O200" s="6">
        <v>0</v>
      </c>
      <c r="P200" s="6">
        <v>23</v>
      </c>
      <c r="Q200" s="4" t="s">
        <v>26</v>
      </c>
      <c r="R200" s="4">
        <v>0</v>
      </c>
      <c r="S200" s="4" t="s">
        <v>156</v>
      </c>
      <c r="U200" s="4">
        <v>19</v>
      </c>
      <c r="V200" s="4">
        <v>0</v>
      </c>
      <c r="W200" s="4">
        <v>0</v>
      </c>
    </row>
    <row r="201" spans="1:23" ht="11.25" customHeight="1" x14ac:dyDescent="0.25">
      <c r="A201" s="4" t="s">
        <v>27</v>
      </c>
      <c r="B201" s="4" t="s">
        <v>38</v>
      </c>
      <c r="C201" s="4" t="s">
        <v>39</v>
      </c>
      <c r="D201" s="4" t="s">
        <v>37</v>
      </c>
      <c r="E201" s="4" t="s">
        <v>25</v>
      </c>
      <c r="F201" s="4" t="s">
        <v>25</v>
      </c>
      <c r="G201" s="4" t="s">
        <v>25</v>
      </c>
      <c r="H201" s="4" t="s">
        <v>25</v>
      </c>
      <c r="I201" s="5">
        <v>44652</v>
      </c>
      <c r="J201" s="6">
        <v>1318</v>
      </c>
      <c r="K201" s="6">
        <v>1318</v>
      </c>
      <c r="L201" s="6">
        <v>0</v>
      </c>
      <c r="M201" s="6">
        <v>0</v>
      </c>
      <c r="N201" s="6">
        <v>0</v>
      </c>
      <c r="O201" s="6">
        <v>0</v>
      </c>
      <c r="P201" s="6">
        <v>10</v>
      </c>
      <c r="Q201" s="4" t="s">
        <v>26</v>
      </c>
      <c r="R201" s="4">
        <v>0</v>
      </c>
      <c r="S201" s="4" t="s">
        <v>156</v>
      </c>
      <c r="U201" s="4">
        <v>19</v>
      </c>
      <c r="V201" s="4">
        <v>0</v>
      </c>
      <c r="W201" s="4">
        <v>0</v>
      </c>
    </row>
    <row r="202" spans="1:23" ht="11.25" customHeight="1" x14ac:dyDescent="0.25">
      <c r="A202" s="4" t="s">
        <v>21</v>
      </c>
      <c r="B202" s="4" t="s">
        <v>38</v>
      </c>
      <c r="C202" s="4" t="s">
        <v>39</v>
      </c>
      <c r="D202" s="4" t="s">
        <v>37</v>
      </c>
      <c r="E202" s="4" t="s">
        <v>25</v>
      </c>
      <c r="F202" s="4" t="s">
        <v>25</v>
      </c>
      <c r="G202" s="4" t="s">
        <v>25</v>
      </c>
      <c r="H202" s="4" t="s">
        <v>25</v>
      </c>
      <c r="I202" s="5">
        <v>44682</v>
      </c>
      <c r="J202" s="6">
        <v>3043</v>
      </c>
      <c r="K202" s="6">
        <v>3043</v>
      </c>
      <c r="L202" s="6">
        <v>0</v>
      </c>
      <c r="M202" s="6">
        <v>0</v>
      </c>
      <c r="N202" s="6">
        <v>0</v>
      </c>
      <c r="O202" s="6">
        <v>0</v>
      </c>
      <c r="P202" s="6">
        <v>22</v>
      </c>
      <c r="Q202" s="4" t="s">
        <v>26</v>
      </c>
      <c r="R202" s="4">
        <v>0</v>
      </c>
      <c r="S202" s="4" t="s">
        <v>157</v>
      </c>
      <c r="U202" s="4">
        <v>19</v>
      </c>
      <c r="V202" s="4">
        <v>0</v>
      </c>
      <c r="W202" s="4">
        <v>0</v>
      </c>
    </row>
    <row r="203" spans="1:23" ht="11.25" customHeight="1" x14ac:dyDescent="0.25">
      <c r="A203" s="4" t="s">
        <v>27</v>
      </c>
      <c r="B203" s="4" t="s">
        <v>38</v>
      </c>
      <c r="C203" s="4" t="s">
        <v>39</v>
      </c>
      <c r="D203" s="4" t="s">
        <v>37</v>
      </c>
      <c r="E203" s="4" t="s">
        <v>25</v>
      </c>
      <c r="F203" s="4" t="s">
        <v>25</v>
      </c>
      <c r="G203" s="4" t="s">
        <v>25</v>
      </c>
      <c r="H203" s="4" t="s">
        <v>25</v>
      </c>
      <c r="I203" s="5">
        <v>44682</v>
      </c>
      <c r="J203" s="6">
        <v>1372</v>
      </c>
      <c r="K203" s="6">
        <v>1372</v>
      </c>
      <c r="L203" s="6">
        <v>0</v>
      </c>
      <c r="M203" s="6">
        <v>0</v>
      </c>
      <c r="N203" s="6">
        <v>0</v>
      </c>
      <c r="O203" s="6">
        <v>0</v>
      </c>
      <c r="P203" s="6">
        <v>11</v>
      </c>
      <c r="Q203" s="4" t="s">
        <v>26</v>
      </c>
      <c r="R203" s="4">
        <v>0</v>
      </c>
      <c r="S203" s="4" t="s">
        <v>157</v>
      </c>
      <c r="U203" s="4">
        <v>19</v>
      </c>
      <c r="V203" s="4">
        <v>0</v>
      </c>
      <c r="W203" s="4">
        <v>0</v>
      </c>
    </row>
    <row r="204" spans="1:23" ht="11.25" customHeight="1" x14ac:dyDescent="0.25">
      <c r="A204" s="4" t="s">
        <v>55</v>
      </c>
      <c r="B204" s="4" t="s">
        <v>38</v>
      </c>
      <c r="C204" s="4" t="s">
        <v>39</v>
      </c>
      <c r="D204" s="4" t="s">
        <v>37</v>
      </c>
      <c r="E204" s="4" t="s">
        <v>25</v>
      </c>
      <c r="F204" s="4" t="s">
        <v>25</v>
      </c>
      <c r="G204" s="4" t="s">
        <v>25</v>
      </c>
      <c r="H204" s="4" t="s">
        <v>25</v>
      </c>
      <c r="I204" s="5">
        <v>44713</v>
      </c>
      <c r="J204" s="6">
        <v>3043</v>
      </c>
      <c r="K204" s="6">
        <v>3043</v>
      </c>
      <c r="L204" s="6">
        <v>0</v>
      </c>
      <c r="M204" s="6">
        <v>0</v>
      </c>
      <c r="N204" s="6">
        <v>0</v>
      </c>
      <c r="O204" s="6">
        <v>0</v>
      </c>
      <c r="P204" s="6">
        <v>22</v>
      </c>
      <c r="Q204" s="4" t="s">
        <v>26</v>
      </c>
      <c r="R204" s="4">
        <v>0</v>
      </c>
      <c r="S204" s="4" t="s">
        <v>158</v>
      </c>
      <c r="U204" s="4">
        <v>19</v>
      </c>
      <c r="V204" s="4">
        <v>0</v>
      </c>
      <c r="W204" s="4">
        <v>0</v>
      </c>
    </row>
    <row r="205" spans="1:23" ht="11.25" customHeight="1" x14ac:dyDescent="0.25">
      <c r="A205" s="4" t="s">
        <v>55</v>
      </c>
      <c r="B205" s="4" t="s">
        <v>38</v>
      </c>
      <c r="C205" s="4" t="s">
        <v>39</v>
      </c>
      <c r="D205" s="4" t="s">
        <v>37</v>
      </c>
      <c r="E205" s="4" t="s">
        <v>25</v>
      </c>
      <c r="F205" s="4" t="s">
        <v>25</v>
      </c>
      <c r="G205" s="4" t="s">
        <v>25</v>
      </c>
      <c r="H205" s="4" t="s">
        <v>25</v>
      </c>
      <c r="I205" s="5">
        <v>44713</v>
      </c>
      <c r="J205" s="6">
        <v>1372</v>
      </c>
      <c r="K205" s="6">
        <v>1372</v>
      </c>
      <c r="L205" s="6">
        <v>0</v>
      </c>
      <c r="M205" s="6">
        <v>0</v>
      </c>
      <c r="N205" s="6">
        <v>0</v>
      </c>
      <c r="O205" s="6">
        <v>0</v>
      </c>
      <c r="P205" s="6">
        <v>11</v>
      </c>
      <c r="Q205" s="4" t="s">
        <v>26</v>
      </c>
      <c r="R205" s="4">
        <v>0</v>
      </c>
      <c r="S205" s="4" t="s">
        <v>158</v>
      </c>
      <c r="U205" s="4">
        <v>19</v>
      </c>
      <c r="V205" s="4">
        <v>0</v>
      </c>
      <c r="W205" s="4">
        <v>0</v>
      </c>
    </row>
    <row r="206" spans="1:23" ht="11.25" customHeight="1" x14ac:dyDescent="0.25">
      <c r="A206" s="4" t="s">
        <v>21</v>
      </c>
      <c r="B206" s="4" t="s">
        <v>38</v>
      </c>
      <c r="C206" s="4" t="s">
        <v>39</v>
      </c>
      <c r="D206" s="4" t="s">
        <v>37</v>
      </c>
      <c r="E206" s="4" t="s">
        <v>25</v>
      </c>
      <c r="F206" s="4" t="s">
        <v>25</v>
      </c>
      <c r="G206" s="4" t="s">
        <v>25</v>
      </c>
      <c r="H206" s="4" t="s">
        <v>33</v>
      </c>
      <c r="I206" s="5">
        <v>44378</v>
      </c>
      <c r="J206" s="6">
        <v>0</v>
      </c>
      <c r="K206" s="6">
        <v>0</v>
      </c>
      <c r="L206" s="6">
        <v>71.120999999999995</v>
      </c>
      <c r="M206" s="6">
        <v>71.120999999999995</v>
      </c>
      <c r="N206" s="6">
        <v>71.120999999999995</v>
      </c>
      <c r="O206" s="6">
        <v>71.120999999999995</v>
      </c>
      <c r="P206" s="6">
        <v>0</v>
      </c>
      <c r="Q206" s="4" t="s">
        <v>26</v>
      </c>
      <c r="R206" s="4">
        <v>0</v>
      </c>
      <c r="S206" s="4" t="s">
        <v>159</v>
      </c>
      <c r="T206" s="4" t="s">
        <v>325</v>
      </c>
      <c r="U206" s="4">
        <v>0</v>
      </c>
      <c r="V206" s="4">
        <v>21</v>
      </c>
      <c r="W206" s="4">
        <v>66</v>
      </c>
    </row>
    <row r="207" spans="1:23" ht="11.25" customHeight="1" x14ac:dyDescent="0.25">
      <c r="A207" s="4" t="s">
        <v>27</v>
      </c>
      <c r="B207" s="4" t="s">
        <v>38</v>
      </c>
      <c r="C207" s="4" t="s">
        <v>39</v>
      </c>
      <c r="D207" s="4" t="s">
        <v>37</v>
      </c>
      <c r="E207" s="4" t="s">
        <v>25</v>
      </c>
      <c r="F207" s="4" t="s">
        <v>25</v>
      </c>
      <c r="G207" s="4" t="s">
        <v>25</v>
      </c>
      <c r="H207" s="4" t="s">
        <v>33</v>
      </c>
      <c r="I207" s="5">
        <v>44378</v>
      </c>
      <c r="J207" s="6">
        <v>0</v>
      </c>
      <c r="K207" s="6">
        <v>0</v>
      </c>
      <c r="L207" s="6">
        <v>9.6219999999999999</v>
      </c>
      <c r="M207" s="6">
        <v>9.6219999999999999</v>
      </c>
      <c r="N207" s="6">
        <v>9.6219999999999999</v>
      </c>
      <c r="O207" s="6">
        <v>9.6219999999999999</v>
      </c>
      <c r="P207" s="6">
        <v>0</v>
      </c>
      <c r="Q207" s="4" t="s">
        <v>26</v>
      </c>
      <c r="R207" s="4">
        <v>0</v>
      </c>
      <c r="S207" s="4" t="s">
        <v>159</v>
      </c>
      <c r="T207" s="4" t="s">
        <v>325</v>
      </c>
      <c r="U207" s="4">
        <v>0</v>
      </c>
      <c r="V207" s="4">
        <v>21</v>
      </c>
      <c r="W207" s="4">
        <v>66</v>
      </c>
    </row>
    <row r="208" spans="1:23" ht="11.25" customHeight="1" x14ac:dyDescent="0.25">
      <c r="A208" s="4" t="s">
        <v>21</v>
      </c>
      <c r="B208" s="4" t="s">
        <v>38</v>
      </c>
      <c r="C208" s="4" t="s">
        <v>39</v>
      </c>
      <c r="D208" s="4" t="s">
        <v>37</v>
      </c>
      <c r="E208" s="4" t="s">
        <v>25</v>
      </c>
      <c r="F208" s="4" t="s">
        <v>25</v>
      </c>
      <c r="G208" s="4" t="s">
        <v>25</v>
      </c>
      <c r="H208" s="4" t="s">
        <v>33</v>
      </c>
      <c r="I208" s="5">
        <v>44409</v>
      </c>
      <c r="J208" s="6">
        <v>0</v>
      </c>
      <c r="K208" s="6">
        <v>0</v>
      </c>
      <c r="L208" s="6">
        <v>65.450999999999993</v>
      </c>
      <c r="M208" s="6">
        <v>65.450999999999993</v>
      </c>
      <c r="N208" s="6">
        <v>65.450999999999993</v>
      </c>
      <c r="O208" s="6">
        <v>65.450999999999993</v>
      </c>
      <c r="P208" s="6">
        <v>0</v>
      </c>
      <c r="Q208" s="4" t="s">
        <v>26</v>
      </c>
      <c r="R208" s="4">
        <v>0</v>
      </c>
      <c r="S208" s="4" t="s">
        <v>160</v>
      </c>
      <c r="T208" s="4" t="s">
        <v>326</v>
      </c>
      <c r="U208" s="4">
        <v>0</v>
      </c>
      <c r="V208" s="4">
        <v>21</v>
      </c>
      <c r="W208" s="4">
        <v>66</v>
      </c>
    </row>
    <row r="209" spans="1:23" ht="11.25" customHeight="1" x14ac:dyDescent="0.25">
      <c r="A209" s="4" t="s">
        <v>27</v>
      </c>
      <c r="B209" s="4" t="s">
        <v>38</v>
      </c>
      <c r="C209" s="4" t="s">
        <v>39</v>
      </c>
      <c r="D209" s="4" t="s">
        <v>37</v>
      </c>
      <c r="E209" s="4" t="s">
        <v>25</v>
      </c>
      <c r="F209" s="4" t="s">
        <v>25</v>
      </c>
      <c r="G209" s="4" t="s">
        <v>25</v>
      </c>
      <c r="H209" s="4" t="s">
        <v>33</v>
      </c>
      <c r="I209" s="5">
        <v>44409</v>
      </c>
      <c r="J209" s="6">
        <v>0</v>
      </c>
      <c r="K209" s="6">
        <v>0</v>
      </c>
      <c r="L209" s="6">
        <v>6.7549999999999999</v>
      </c>
      <c r="M209" s="6">
        <v>6.7549999999999999</v>
      </c>
      <c r="N209" s="6">
        <v>6.7549999999999999</v>
      </c>
      <c r="O209" s="6">
        <v>6.7549999999999999</v>
      </c>
      <c r="P209" s="6">
        <v>0</v>
      </c>
      <c r="Q209" s="4" t="s">
        <v>26</v>
      </c>
      <c r="R209" s="4">
        <v>0</v>
      </c>
      <c r="S209" s="4" t="s">
        <v>160</v>
      </c>
      <c r="T209" s="4" t="s">
        <v>326</v>
      </c>
      <c r="U209" s="4">
        <v>0</v>
      </c>
      <c r="V209" s="4">
        <v>21</v>
      </c>
      <c r="W209" s="4">
        <v>66</v>
      </c>
    </row>
    <row r="210" spans="1:23" ht="11.25" customHeight="1" x14ac:dyDescent="0.25">
      <c r="A210" s="4" t="s">
        <v>21</v>
      </c>
      <c r="B210" s="4" t="s">
        <v>38</v>
      </c>
      <c r="C210" s="4" t="s">
        <v>39</v>
      </c>
      <c r="D210" s="4" t="s">
        <v>37</v>
      </c>
      <c r="E210" s="4" t="s">
        <v>25</v>
      </c>
      <c r="F210" s="4" t="s">
        <v>25</v>
      </c>
      <c r="G210" s="4" t="s">
        <v>25</v>
      </c>
      <c r="H210" s="4" t="s">
        <v>33</v>
      </c>
      <c r="I210" s="5">
        <v>44440</v>
      </c>
      <c r="J210" s="6">
        <v>0</v>
      </c>
      <c r="K210" s="6">
        <v>0</v>
      </c>
      <c r="L210" s="6">
        <v>65.378</v>
      </c>
      <c r="M210" s="6">
        <v>65.378</v>
      </c>
      <c r="N210" s="6">
        <v>65.378</v>
      </c>
      <c r="O210" s="6">
        <v>65.378</v>
      </c>
      <c r="P210" s="6">
        <v>0</v>
      </c>
      <c r="Q210" s="4" t="s">
        <v>26</v>
      </c>
      <c r="R210" s="4">
        <v>0</v>
      </c>
      <c r="S210" s="4" t="s">
        <v>161</v>
      </c>
      <c r="T210" s="4" t="s">
        <v>327</v>
      </c>
      <c r="U210" s="4">
        <v>0</v>
      </c>
      <c r="V210" s="4">
        <v>21</v>
      </c>
      <c r="W210" s="4">
        <v>66</v>
      </c>
    </row>
    <row r="211" spans="1:23" ht="11.25" customHeight="1" x14ac:dyDescent="0.25">
      <c r="A211" s="4" t="s">
        <v>27</v>
      </c>
      <c r="B211" s="4" t="s">
        <v>38</v>
      </c>
      <c r="C211" s="4" t="s">
        <v>39</v>
      </c>
      <c r="D211" s="4" t="s">
        <v>37</v>
      </c>
      <c r="E211" s="4" t="s">
        <v>25</v>
      </c>
      <c r="F211" s="4" t="s">
        <v>25</v>
      </c>
      <c r="G211" s="4" t="s">
        <v>25</v>
      </c>
      <c r="H211" s="4" t="s">
        <v>33</v>
      </c>
      <c r="I211" s="5">
        <v>44440</v>
      </c>
      <c r="J211" s="6">
        <v>0</v>
      </c>
      <c r="K211" s="6">
        <v>0</v>
      </c>
      <c r="L211" s="6">
        <v>4.8810000000000002</v>
      </c>
      <c r="M211" s="6">
        <v>4.8810000000000002</v>
      </c>
      <c r="N211" s="6">
        <v>4.8810000000000002</v>
      </c>
      <c r="O211" s="6">
        <v>4.8810000000000002</v>
      </c>
      <c r="P211" s="6">
        <v>0</v>
      </c>
      <c r="Q211" s="4" t="s">
        <v>26</v>
      </c>
      <c r="R211" s="4">
        <v>0</v>
      </c>
      <c r="S211" s="4" t="s">
        <v>161</v>
      </c>
      <c r="T211" s="4" t="s">
        <v>327</v>
      </c>
      <c r="U211" s="4">
        <v>0</v>
      </c>
      <c r="V211" s="4">
        <v>21</v>
      </c>
      <c r="W211" s="4">
        <v>66</v>
      </c>
    </row>
    <row r="212" spans="1:23" ht="11.25" customHeight="1" x14ac:dyDescent="0.25">
      <c r="A212" s="4" t="s">
        <v>21</v>
      </c>
      <c r="B212" s="4" t="s">
        <v>38</v>
      </c>
      <c r="C212" s="4" t="s">
        <v>39</v>
      </c>
      <c r="D212" s="4" t="s">
        <v>37</v>
      </c>
      <c r="E212" s="4" t="s">
        <v>25</v>
      </c>
      <c r="F212" s="4" t="s">
        <v>25</v>
      </c>
      <c r="G212" s="4" t="s">
        <v>25</v>
      </c>
      <c r="H212" s="4" t="s">
        <v>33</v>
      </c>
      <c r="I212" s="5">
        <v>44470</v>
      </c>
      <c r="J212" s="6">
        <v>0</v>
      </c>
      <c r="K212" s="6">
        <v>0</v>
      </c>
      <c r="L212" s="6">
        <v>65.012</v>
      </c>
      <c r="M212" s="6">
        <v>65.012</v>
      </c>
      <c r="N212" s="6">
        <v>65.012</v>
      </c>
      <c r="O212" s="6">
        <v>65.012</v>
      </c>
      <c r="P212" s="6">
        <v>0</v>
      </c>
      <c r="Q212" s="4" t="s">
        <v>26</v>
      </c>
      <c r="R212" s="4">
        <v>0</v>
      </c>
      <c r="S212" s="4" t="s">
        <v>162</v>
      </c>
      <c r="T212" s="4" t="s">
        <v>328</v>
      </c>
      <c r="U212" s="4">
        <v>0</v>
      </c>
      <c r="V212" s="4">
        <v>21</v>
      </c>
      <c r="W212" s="4">
        <v>66</v>
      </c>
    </row>
    <row r="213" spans="1:23" ht="11.25" customHeight="1" x14ac:dyDescent="0.25">
      <c r="A213" s="4" t="s">
        <v>27</v>
      </c>
      <c r="B213" s="4" t="s">
        <v>38</v>
      </c>
      <c r="C213" s="4" t="s">
        <v>39</v>
      </c>
      <c r="D213" s="4" t="s">
        <v>37</v>
      </c>
      <c r="E213" s="4" t="s">
        <v>25</v>
      </c>
      <c r="F213" s="4" t="s">
        <v>25</v>
      </c>
      <c r="G213" s="4" t="s">
        <v>25</v>
      </c>
      <c r="H213" s="4" t="s">
        <v>33</v>
      </c>
      <c r="I213" s="5">
        <v>44470</v>
      </c>
      <c r="J213" s="6">
        <v>0</v>
      </c>
      <c r="K213" s="6">
        <v>0</v>
      </c>
      <c r="L213" s="6">
        <v>2.9849999999999999</v>
      </c>
      <c r="M213" s="6">
        <v>2.9849999999999999</v>
      </c>
      <c r="N213" s="6">
        <v>2.9849999999999999</v>
      </c>
      <c r="O213" s="6">
        <v>2.9849999999999999</v>
      </c>
      <c r="P213" s="6">
        <v>0</v>
      </c>
      <c r="Q213" s="4" t="s">
        <v>26</v>
      </c>
      <c r="R213" s="4">
        <v>0</v>
      </c>
      <c r="S213" s="4" t="s">
        <v>162</v>
      </c>
      <c r="T213" s="4" t="s">
        <v>328</v>
      </c>
      <c r="U213" s="4">
        <v>0</v>
      </c>
      <c r="V213" s="4">
        <v>21</v>
      </c>
      <c r="W213" s="4">
        <v>66</v>
      </c>
    </row>
    <row r="214" spans="1:23" ht="11.25" customHeight="1" x14ac:dyDescent="0.25">
      <c r="A214" s="4" t="s">
        <v>21</v>
      </c>
      <c r="B214" s="4" t="s">
        <v>38</v>
      </c>
      <c r="C214" s="4" t="s">
        <v>39</v>
      </c>
      <c r="D214" s="4" t="s">
        <v>37</v>
      </c>
      <c r="E214" s="4" t="s">
        <v>25</v>
      </c>
      <c r="F214" s="4" t="s">
        <v>25</v>
      </c>
      <c r="G214" s="4" t="s">
        <v>25</v>
      </c>
      <c r="H214" s="4" t="s">
        <v>33</v>
      </c>
      <c r="I214" s="5">
        <v>44501</v>
      </c>
      <c r="J214" s="6">
        <v>0</v>
      </c>
      <c r="K214" s="6">
        <v>0</v>
      </c>
      <c r="L214" s="6">
        <v>48.618000000000002</v>
      </c>
      <c r="M214" s="6">
        <v>48.618000000000002</v>
      </c>
      <c r="N214" s="6">
        <v>48.618000000000002</v>
      </c>
      <c r="O214" s="6">
        <v>48.618000000000002</v>
      </c>
      <c r="P214" s="6">
        <v>0</v>
      </c>
      <c r="Q214" s="4" t="s">
        <v>26</v>
      </c>
      <c r="R214" s="4">
        <v>0</v>
      </c>
      <c r="S214" s="4" t="s">
        <v>163</v>
      </c>
      <c r="T214" s="4" t="s">
        <v>329</v>
      </c>
      <c r="U214" s="4">
        <v>0</v>
      </c>
      <c r="V214" s="4">
        <v>21</v>
      </c>
      <c r="W214" s="4">
        <v>66</v>
      </c>
    </row>
    <row r="215" spans="1:23" ht="11.25" customHeight="1" x14ac:dyDescent="0.25">
      <c r="A215" s="4" t="s">
        <v>27</v>
      </c>
      <c r="B215" s="4" t="s">
        <v>38</v>
      </c>
      <c r="C215" s="4" t="s">
        <v>39</v>
      </c>
      <c r="D215" s="4" t="s">
        <v>37</v>
      </c>
      <c r="E215" s="4" t="s">
        <v>25</v>
      </c>
      <c r="F215" s="4" t="s">
        <v>25</v>
      </c>
      <c r="G215" s="4" t="s">
        <v>25</v>
      </c>
      <c r="H215" s="4" t="s">
        <v>33</v>
      </c>
      <c r="I215" s="5">
        <v>44501</v>
      </c>
      <c r="J215" s="6">
        <v>0</v>
      </c>
      <c r="K215" s="6">
        <v>0</v>
      </c>
      <c r="L215" s="6">
        <v>5.08</v>
      </c>
      <c r="M215" s="6">
        <v>5.08</v>
      </c>
      <c r="N215" s="6">
        <v>5.08</v>
      </c>
      <c r="O215" s="6">
        <v>5.08</v>
      </c>
      <c r="P215" s="6">
        <v>0</v>
      </c>
      <c r="Q215" s="4" t="s">
        <v>26</v>
      </c>
      <c r="R215" s="4">
        <v>0</v>
      </c>
      <c r="S215" s="4" t="s">
        <v>163</v>
      </c>
      <c r="T215" s="4" t="s">
        <v>329</v>
      </c>
      <c r="U215" s="4">
        <v>0</v>
      </c>
      <c r="V215" s="4">
        <v>21</v>
      </c>
      <c r="W215" s="4">
        <v>66</v>
      </c>
    </row>
    <row r="216" spans="1:23" ht="11.25" customHeight="1" x14ac:dyDescent="0.25">
      <c r="A216" s="4" t="s">
        <v>21</v>
      </c>
      <c r="B216" s="4" t="s">
        <v>38</v>
      </c>
      <c r="C216" s="4" t="s">
        <v>39</v>
      </c>
      <c r="D216" s="4" t="s">
        <v>37</v>
      </c>
      <c r="E216" s="4" t="s">
        <v>25</v>
      </c>
      <c r="F216" s="4" t="s">
        <v>25</v>
      </c>
      <c r="G216" s="4" t="s">
        <v>25</v>
      </c>
      <c r="H216" s="4" t="s">
        <v>33</v>
      </c>
      <c r="I216" s="5">
        <v>44531</v>
      </c>
      <c r="J216" s="6">
        <v>0</v>
      </c>
      <c r="K216" s="6">
        <v>0</v>
      </c>
      <c r="L216" s="6">
        <v>46.613999999999997</v>
      </c>
      <c r="M216" s="6">
        <v>46.613999999999997</v>
      </c>
      <c r="N216" s="6">
        <v>46.613999999999997</v>
      </c>
      <c r="O216" s="6">
        <v>46.613999999999997</v>
      </c>
      <c r="P216" s="6">
        <v>0</v>
      </c>
      <c r="Q216" s="4" t="s">
        <v>26</v>
      </c>
      <c r="R216" s="4">
        <v>0</v>
      </c>
      <c r="S216" s="4" t="s">
        <v>164</v>
      </c>
      <c r="T216" s="4" t="s">
        <v>330</v>
      </c>
      <c r="U216" s="4">
        <v>0</v>
      </c>
      <c r="V216" s="4">
        <v>21</v>
      </c>
      <c r="W216" s="4">
        <v>66</v>
      </c>
    </row>
    <row r="217" spans="1:23" ht="11.25" customHeight="1" x14ac:dyDescent="0.25">
      <c r="A217" s="4" t="s">
        <v>27</v>
      </c>
      <c r="B217" s="4" t="s">
        <v>38</v>
      </c>
      <c r="C217" s="4" t="s">
        <v>39</v>
      </c>
      <c r="D217" s="4" t="s">
        <v>37</v>
      </c>
      <c r="E217" s="4" t="s">
        <v>25</v>
      </c>
      <c r="F217" s="4" t="s">
        <v>25</v>
      </c>
      <c r="G217" s="4" t="s">
        <v>25</v>
      </c>
      <c r="H217" s="4" t="s">
        <v>33</v>
      </c>
      <c r="I217" s="5">
        <v>44531</v>
      </c>
      <c r="J217" s="6">
        <v>0</v>
      </c>
      <c r="K217" s="6">
        <v>0</v>
      </c>
      <c r="L217" s="6">
        <v>3.5489999999999999</v>
      </c>
      <c r="M217" s="6">
        <v>3.5489999999999999</v>
      </c>
      <c r="N217" s="6">
        <v>3.5489999999999999</v>
      </c>
      <c r="O217" s="6">
        <v>3.5489999999999999</v>
      </c>
      <c r="P217" s="6">
        <v>0</v>
      </c>
      <c r="Q217" s="4" t="s">
        <v>26</v>
      </c>
      <c r="R217" s="4">
        <v>0</v>
      </c>
      <c r="S217" s="4" t="s">
        <v>164</v>
      </c>
      <c r="T217" s="4" t="s">
        <v>330</v>
      </c>
      <c r="U217" s="4">
        <v>0</v>
      </c>
      <c r="V217" s="4">
        <v>21</v>
      </c>
      <c r="W217" s="4">
        <v>66</v>
      </c>
    </row>
    <row r="218" spans="1:23" ht="11.25" customHeight="1" x14ac:dyDescent="0.25">
      <c r="A218" s="4" t="s">
        <v>21</v>
      </c>
      <c r="B218" s="4" t="s">
        <v>38</v>
      </c>
      <c r="C218" s="4" t="s">
        <v>39</v>
      </c>
      <c r="D218" s="4" t="s">
        <v>37</v>
      </c>
      <c r="E218" s="4" t="s">
        <v>25</v>
      </c>
      <c r="F218" s="4" t="s">
        <v>25</v>
      </c>
      <c r="G218" s="4" t="s">
        <v>25</v>
      </c>
      <c r="H218" s="4" t="s">
        <v>33</v>
      </c>
      <c r="I218" s="5">
        <v>44562</v>
      </c>
      <c r="J218" s="6">
        <v>0</v>
      </c>
      <c r="K218" s="6">
        <v>0</v>
      </c>
      <c r="L218" s="6">
        <v>42.738999999999997</v>
      </c>
      <c r="M218" s="6">
        <v>42.738999999999997</v>
      </c>
      <c r="N218" s="6">
        <v>42.738999999999997</v>
      </c>
      <c r="O218" s="6">
        <v>42.738999999999997</v>
      </c>
      <c r="P218" s="6">
        <v>0</v>
      </c>
      <c r="Q218" s="4" t="s">
        <v>26</v>
      </c>
      <c r="R218" s="4">
        <v>0</v>
      </c>
      <c r="S218" s="4" t="s">
        <v>165</v>
      </c>
      <c r="T218" s="4" t="s">
        <v>331</v>
      </c>
      <c r="U218" s="4">
        <v>0</v>
      </c>
      <c r="V218" s="4">
        <v>21</v>
      </c>
      <c r="W218" s="4">
        <v>66</v>
      </c>
    </row>
    <row r="219" spans="1:23" ht="11.25" customHeight="1" x14ac:dyDescent="0.25">
      <c r="A219" s="4" t="s">
        <v>27</v>
      </c>
      <c r="B219" s="4" t="s">
        <v>38</v>
      </c>
      <c r="C219" s="4" t="s">
        <v>39</v>
      </c>
      <c r="D219" s="4" t="s">
        <v>37</v>
      </c>
      <c r="E219" s="4" t="s">
        <v>25</v>
      </c>
      <c r="F219" s="4" t="s">
        <v>25</v>
      </c>
      <c r="G219" s="4" t="s">
        <v>25</v>
      </c>
      <c r="H219" s="4" t="s">
        <v>33</v>
      </c>
      <c r="I219" s="5">
        <v>44562</v>
      </c>
      <c r="J219" s="6">
        <v>0</v>
      </c>
      <c r="K219" s="6">
        <v>0</v>
      </c>
      <c r="L219" s="6">
        <v>6.5970000000000004</v>
      </c>
      <c r="M219" s="6">
        <v>6.5970000000000004</v>
      </c>
      <c r="N219" s="6">
        <v>6.5970000000000004</v>
      </c>
      <c r="O219" s="6">
        <v>6.5970000000000004</v>
      </c>
      <c r="P219" s="6">
        <v>0</v>
      </c>
      <c r="Q219" s="4" t="s">
        <v>26</v>
      </c>
      <c r="R219" s="4">
        <v>0</v>
      </c>
      <c r="S219" s="4" t="s">
        <v>165</v>
      </c>
      <c r="T219" s="4" t="s">
        <v>331</v>
      </c>
      <c r="U219" s="4">
        <v>0</v>
      </c>
      <c r="V219" s="4">
        <v>21</v>
      </c>
      <c r="W219" s="4">
        <v>66</v>
      </c>
    </row>
    <row r="220" spans="1:23" ht="11.25" customHeight="1" x14ac:dyDescent="0.25">
      <c r="A220" s="4" t="s">
        <v>21</v>
      </c>
      <c r="B220" s="4" t="s">
        <v>38</v>
      </c>
      <c r="C220" s="4" t="s">
        <v>39</v>
      </c>
      <c r="D220" s="4" t="s">
        <v>37</v>
      </c>
      <c r="E220" s="4" t="s">
        <v>25</v>
      </c>
      <c r="F220" s="4" t="s">
        <v>25</v>
      </c>
      <c r="G220" s="4" t="s">
        <v>25</v>
      </c>
      <c r="H220" s="4" t="s">
        <v>33</v>
      </c>
      <c r="I220" s="5">
        <v>44593</v>
      </c>
      <c r="J220" s="6">
        <v>0</v>
      </c>
      <c r="K220" s="6">
        <v>0</v>
      </c>
      <c r="L220" s="6">
        <v>21.945</v>
      </c>
      <c r="M220" s="6">
        <v>21.945</v>
      </c>
      <c r="N220" s="6">
        <v>21.945</v>
      </c>
      <c r="O220" s="6">
        <v>21.945</v>
      </c>
      <c r="P220" s="6">
        <v>0</v>
      </c>
      <c r="Q220" s="4" t="s">
        <v>26</v>
      </c>
      <c r="R220" s="4">
        <v>0</v>
      </c>
      <c r="S220" s="4" t="s">
        <v>166</v>
      </c>
      <c r="T220" s="4" t="s">
        <v>332</v>
      </c>
      <c r="U220" s="4">
        <v>0</v>
      </c>
      <c r="V220" s="4">
        <v>21</v>
      </c>
      <c r="W220" s="4">
        <v>66</v>
      </c>
    </row>
    <row r="221" spans="1:23" ht="11.25" customHeight="1" x14ac:dyDescent="0.25">
      <c r="A221" s="4" t="s">
        <v>27</v>
      </c>
      <c r="B221" s="4" t="s">
        <v>38</v>
      </c>
      <c r="C221" s="4" t="s">
        <v>39</v>
      </c>
      <c r="D221" s="4" t="s">
        <v>37</v>
      </c>
      <c r="E221" s="4" t="s">
        <v>25</v>
      </c>
      <c r="F221" s="4" t="s">
        <v>25</v>
      </c>
      <c r="G221" s="4" t="s">
        <v>25</v>
      </c>
      <c r="H221" s="4" t="s">
        <v>33</v>
      </c>
      <c r="I221" s="5">
        <v>44593</v>
      </c>
      <c r="J221" s="6">
        <v>0</v>
      </c>
      <c r="K221" s="6">
        <v>0</v>
      </c>
      <c r="L221" s="6">
        <v>5.7320000000000002</v>
      </c>
      <c r="M221" s="6">
        <v>5.7320000000000002</v>
      </c>
      <c r="N221" s="6">
        <v>5.7320000000000002</v>
      </c>
      <c r="O221" s="6">
        <v>5.7320000000000002</v>
      </c>
      <c r="P221" s="6">
        <v>0</v>
      </c>
      <c r="Q221" s="4" t="s">
        <v>26</v>
      </c>
      <c r="R221" s="4">
        <v>0</v>
      </c>
      <c r="S221" s="4" t="s">
        <v>166</v>
      </c>
      <c r="T221" s="4" t="s">
        <v>332</v>
      </c>
      <c r="U221" s="4">
        <v>0</v>
      </c>
      <c r="V221" s="4">
        <v>21</v>
      </c>
      <c r="W221" s="4">
        <v>66</v>
      </c>
    </row>
    <row r="222" spans="1:23" ht="11.25" customHeight="1" x14ac:dyDescent="0.25">
      <c r="A222" s="4" t="s">
        <v>21</v>
      </c>
      <c r="B222" s="4" t="s">
        <v>38</v>
      </c>
      <c r="C222" s="4" t="s">
        <v>39</v>
      </c>
      <c r="D222" s="4" t="s">
        <v>37</v>
      </c>
      <c r="E222" s="4" t="s">
        <v>25</v>
      </c>
      <c r="F222" s="4" t="s">
        <v>25</v>
      </c>
      <c r="G222" s="4" t="s">
        <v>25</v>
      </c>
      <c r="H222" s="4" t="s">
        <v>33</v>
      </c>
      <c r="I222" s="5">
        <v>44621</v>
      </c>
      <c r="J222" s="6">
        <v>0</v>
      </c>
      <c r="K222" s="6">
        <v>0</v>
      </c>
      <c r="L222" s="6">
        <v>26.539000000000001</v>
      </c>
      <c r="M222" s="6">
        <v>26.539000000000001</v>
      </c>
      <c r="N222" s="6">
        <v>26.539000000000001</v>
      </c>
      <c r="O222" s="6">
        <v>26.539000000000001</v>
      </c>
      <c r="P222" s="6">
        <v>0</v>
      </c>
      <c r="Q222" s="4" t="s">
        <v>26</v>
      </c>
      <c r="R222" s="4">
        <v>0</v>
      </c>
      <c r="S222" s="4" t="s">
        <v>167</v>
      </c>
      <c r="T222" s="4" t="s">
        <v>333</v>
      </c>
      <c r="U222" s="4">
        <v>0</v>
      </c>
      <c r="V222" s="4">
        <v>21</v>
      </c>
      <c r="W222" s="4">
        <v>66</v>
      </c>
    </row>
    <row r="223" spans="1:23" ht="11.25" customHeight="1" x14ac:dyDescent="0.25">
      <c r="A223" s="4" t="s">
        <v>27</v>
      </c>
      <c r="B223" s="4" t="s">
        <v>38</v>
      </c>
      <c r="C223" s="4" t="s">
        <v>39</v>
      </c>
      <c r="D223" s="4" t="s">
        <v>37</v>
      </c>
      <c r="E223" s="4" t="s">
        <v>25</v>
      </c>
      <c r="F223" s="4" t="s">
        <v>25</v>
      </c>
      <c r="G223" s="4" t="s">
        <v>25</v>
      </c>
      <c r="H223" s="4" t="s">
        <v>33</v>
      </c>
      <c r="I223" s="5">
        <v>44621</v>
      </c>
      <c r="J223" s="6">
        <v>0</v>
      </c>
      <c r="K223" s="6">
        <v>0</v>
      </c>
      <c r="L223" s="6">
        <v>12.698</v>
      </c>
      <c r="M223" s="6">
        <v>12.698</v>
      </c>
      <c r="N223" s="6">
        <v>12.698</v>
      </c>
      <c r="O223" s="6">
        <v>12.698</v>
      </c>
      <c r="P223" s="6">
        <v>0</v>
      </c>
      <c r="Q223" s="4" t="s">
        <v>26</v>
      </c>
      <c r="R223" s="4">
        <v>0</v>
      </c>
      <c r="S223" s="4" t="s">
        <v>167</v>
      </c>
      <c r="T223" s="4" t="s">
        <v>333</v>
      </c>
      <c r="U223" s="4">
        <v>0</v>
      </c>
      <c r="V223" s="4">
        <v>21</v>
      </c>
      <c r="W223" s="4">
        <v>66</v>
      </c>
    </row>
    <row r="224" spans="1:23" ht="11.25" customHeight="1" x14ac:dyDescent="0.25">
      <c r="A224" s="4" t="s">
        <v>21</v>
      </c>
      <c r="B224" s="4" t="s">
        <v>38</v>
      </c>
      <c r="C224" s="4" t="s">
        <v>39</v>
      </c>
      <c r="D224" s="4" t="s">
        <v>37</v>
      </c>
      <c r="E224" s="4" t="s">
        <v>25</v>
      </c>
      <c r="F224" s="4" t="s">
        <v>25</v>
      </c>
      <c r="G224" s="4" t="s">
        <v>25</v>
      </c>
      <c r="H224" s="4" t="s">
        <v>33</v>
      </c>
      <c r="I224" s="5">
        <v>44652</v>
      </c>
      <c r="J224" s="6">
        <v>0</v>
      </c>
      <c r="K224" s="6">
        <v>0</v>
      </c>
      <c r="L224" s="6">
        <v>19.462</v>
      </c>
      <c r="M224" s="6">
        <v>19.462</v>
      </c>
      <c r="N224" s="6">
        <v>19.462</v>
      </c>
      <c r="O224" s="6">
        <v>19.462</v>
      </c>
      <c r="P224" s="6">
        <v>0</v>
      </c>
      <c r="Q224" s="4" t="s">
        <v>26</v>
      </c>
      <c r="R224" s="4">
        <v>0</v>
      </c>
      <c r="S224" s="4" t="s">
        <v>168</v>
      </c>
      <c r="T224" s="4" t="s">
        <v>334</v>
      </c>
      <c r="U224" s="4">
        <v>0</v>
      </c>
      <c r="V224" s="4">
        <v>21</v>
      </c>
      <c r="W224" s="4">
        <v>66</v>
      </c>
    </row>
    <row r="225" spans="1:23" ht="11.25" customHeight="1" x14ac:dyDescent="0.25">
      <c r="A225" s="4" t="s">
        <v>27</v>
      </c>
      <c r="B225" s="4" t="s">
        <v>38</v>
      </c>
      <c r="C225" s="4" t="s">
        <v>39</v>
      </c>
      <c r="D225" s="4" t="s">
        <v>37</v>
      </c>
      <c r="E225" s="4" t="s">
        <v>25</v>
      </c>
      <c r="F225" s="4" t="s">
        <v>25</v>
      </c>
      <c r="G225" s="4" t="s">
        <v>25</v>
      </c>
      <c r="H225" s="4" t="s">
        <v>33</v>
      </c>
      <c r="I225" s="5">
        <v>44652</v>
      </c>
      <c r="J225" s="6">
        <v>0</v>
      </c>
      <c r="K225" s="6">
        <v>0</v>
      </c>
      <c r="L225" s="6">
        <v>5.8639999999999999</v>
      </c>
      <c r="M225" s="6">
        <v>5.8639999999999999</v>
      </c>
      <c r="N225" s="6">
        <v>5.8639999999999999</v>
      </c>
      <c r="O225" s="6">
        <v>5.8639999999999999</v>
      </c>
      <c r="P225" s="6">
        <v>0</v>
      </c>
      <c r="Q225" s="4" t="s">
        <v>26</v>
      </c>
      <c r="R225" s="4">
        <v>0</v>
      </c>
      <c r="S225" s="4" t="s">
        <v>168</v>
      </c>
      <c r="T225" s="4" t="s">
        <v>334</v>
      </c>
      <c r="U225" s="4">
        <v>0</v>
      </c>
      <c r="V225" s="4">
        <v>21</v>
      </c>
      <c r="W225" s="4">
        <v>66</v>
      </c>
    </row>
    <row r="226" spans="1:23" ht="11.25" customHeight="1" x14ac:dyDescent="0.25">
      <c r="A226" s="4" t="s">
        <v>21</v>
      </c>
      <c r="B226" s="4" t="s">
        <v>38</v>
      </c>
      <c r="C226" s="4" t="s">
        <v>39</v>
      </c>
      <c r="D226" s="4" t="s">
        <v>37</v>
      </c>
      <c r="E226" s="4" t="s">
        <v>25</v>
      </c>
      <c r="F226" s="4" t="s">
        <v>25</v>
      </c>
      <c r="G226" s="4" t="s">
        <v>25</v>
      </c>
      <c r="H226" s="4" t="s">
        <v>33</v>
      </c>
      <c r="I226" s="5">
        <v>44682</v>
      </c>
      <c r="J226" s="6">
        <v>0</v>
      </c>
      <c r="K226" s="6">
        <v>0</v>
      </c>
      <c r="L226" s="6">
        <v>21.788</v>
      </c>
      <c r="M226" s="6">
        <v>21.788</v>
      </c>
      <c r="N226" s="6">
        <v>21.788</v>
      </c>
      <c r="O226" s="6">
        <v>21.788</v>
      </c>
      <c r="P226" s="6">
        <v>0</v>
      </c>
      <c r="Q226" s="4" t="s">
        <v>26</v>
      </c>
      <c r="R226" s="4">
        <v>0</v>
      </c>
      <c r="S226" s="4" t="s">
        <v>169</v>
      </c>
      <c r="T226" s="4" t="s">
        <v>335</v>
      </c>
      <c r="U226" s="4">
        <v>0</v>
      </c>
      <c r="V226" s="4">
        <v>21</v>
      </c>
      <c r="W226" s="4">
        <v>66</v>
      </c>
    </row>
    <row r="227" spans="1:23" ht="11.25" customHeight="1" x14ac:dyDescent="0.25">
      <c r="A227" s="4" t="s">
        <v>27</v>
      </c>
      <c r="B227" s="4" t="s">
        <v>38</v>
      </c>
      <c r="C227" s="4" t="s">
        <v>39</v>
      </c>
      <c r="D227" s="4" t="s">
        <v>37</v>
      </c>
      <c r="E227" s="4" t="s">
        <v>25</v>
      </c>
      <c r="F227" s="4" t="s">
        <v>25</v>
      </c>
      <c r="G227" s="4" t="s">
        <v>25</v>
      </c>
      <c r="H227" s="4" t="s">
        <v>33</v>
      </c>
      <c r="I227" s="5">
        <v>44682</v>
      </c>
      <c r="J227" s="6">
        <v>0</v>
      </c>
      <c r="K227" s="6">
        <v>0</v>
      </c>
      <c r="L227" s="6">
        <v>10.202</v>
      </c>
      <c r="M227" s="6">
        <v>10.202</v>
      </c>
      <c r="N227" s="6">
        <v>10.202</v>
      </c>
      <c r="O227" s="6">
        <v>10.202</v>
      </c>
      <c r="P227" s="6">
        <v>0</v>
      </c>
      <c r="Q227" s="4" t="s">
        <v>26</v>
      </c>
      <c r="R227" s="4">
        <v>0</v>
      </c>
      <c r="S227" s="4" t="s">
        <v>169</v>
      </c>
      <c r="T227" s="4" t="s">
        <v>335</v>
      </c>
      <c r="U227" s="4">
        <v>0</v>
      </c>
      <c r="V227" s="4">
        <v>21</v>
      </c>
      <c r="W227" s="4">
        <v>66</v>
      </c>
    </row>
    <row r="228" spans="1:23" ht="11.25" customHeight="1" x14ac:dyDescent="0.25">
      <c r="A228" s="4" t="s">
        <v>55</v>
      </c>
      <c r="B228" s="4" t="s">
        <v>38</v>
      </c>
      <c r="C228" s="4" t="s">
        <v>39</v>
      </c>
      <c r="D228" s="4" t="s">
        <v>37</v>
      </c>
      <c r="E228" s="4" t="s">
        <v>25</v>
      </c>
      <c r="F228" s="4" t="s">
        <v>25</v>
      </c>
      <c r="G228" s="4" t="s">
        <v>25</v>
      </c>
      <c r="H228" s="4" t="s">
        <v>33</v>
      </c>
      <c r="I228" s="5">
        <v>44713</v>
      </c>
      <c r="J228" s="6">
        <v>0</v>
      </c>
      <c r="K228" s="6">
        <v>0</v>
      </c>
      <c r="L228" s="6">
        <v>21.788</v>
      </c>
      <c r="M228" s="6">
        <v>21.788</v>
      </c>
      <c r="N228" s="6">
        <v>21.788</v>
      </c>
      <c r="O228" s="6">
        <v>21.788</v>
      </c>
      <c r="P228" s="6">
        <v>0</v>
      </c>
      <c r="Q228" s="4" t="s">
        <v>26</v>
      </c>
      <c r="R228" s="4">
        <v>0</v>
      </c>
      <c r="S228" s="4" t="s">
        <v>170</v>
      </c>
      <c r="T228" s="4" t="s">
        <v>336</v>
      </c>
      <c r="U228" s="4">
        <v>0</v>
      </c>
      <c r="V228" s="4">
        <v>21</v>
      </c>
      <c r="W228" s="4">
        <v>66</v>
      </c>
    </row>
    <row r="229" spans="1:23" ht="11.25" customHeight="1" x14ac:dyDescent="0.25">
      <c r="A229" s="4" t="s">
        <v>55</v>
      </c>
      <c r="B229" s="4" t="s">
        <v>38</v>
      </c>
      <c r="C229" s="4" t="s">
        <v>39</v>
      </c>
      <c r="D229" s="4" t="s">
        <v>37</v>
      </c>
      <c r="E229" s="4" t="s">
        <v>25</v>
      </c>
      <c r="F229" s="4" t="s">
        <v>25</v>
      </c>
      <c r="G229" s="4" t="s">
        <v>25</v>
      </c>
      <c r="H229" s="4" t="s">
        <v>33</v>
      </c>
      <c r="I229" s="5">
        <v>44713</v>
      </c>
      <c r="J229" s="6">
        <v>0</v>
      </c>
      <c r="K229" s="6">
        <v>0</v>
      </c>
      <c r="L229" s="6">
        <v>10.202</v>
      </c>
      <c r="M229" s="6">
        <v>10.202</v>
      </c>
      <c r="N229" s="6">
        <v>10.202</v>
      </c>
      <c r="O229" s="6">
        <v>10.202</v>
      </c>
      <c r="P229" s="6">
        <v>0</v>
      </c>
      <c r="Q229" s="4" t="s">
        <v>26</v>
      </c>
      <c r="R229" s="4">
        <v>0</v>
      </c>
      <c r="S229" s="4" t="s">
        <v>170</v>
      </c>
      <c r="T229" s="4" t="s">
        <v>336</v>
      </c>
      <c r="U229" s="4">
        <v>0</v>
      </c>
      <c r="V229" s="4">
        <v>21</v>
      </c>
      <c r="W229" s="4">
        <v>66</v>
      </c>
    </row>
    <row r="230" spans="1:23" ht="11.25" customHeight="1" x14ac:dyDescent="0.25">
      <c r="A230" s="4" t="s">
        <v>21</v>
      </c>
      <c r="B230" s="4" t="s">
        <v>38</v>
      </c>
      <c r="C230" s="4" t="s">
        <v>39</v>
      </c>
      <c r="D230" s="4" t="s">
        <v>44</v>
      </c>
      <c r="E230" s="4" t="s">
        <v>25</v>
      </c>
      <c r="F230" s="4" t="s">
        <v>25</v>
      </c>
      <c r="G230" s="4" t="s">
        <v>25</v>
      </c>
      <c r="H230" s="4" t="s">
        <v>34</v>
      </c>
      <c r="I230" s="5">
        <v>44378</v>
      </c>
      <c r="J230" s="6">
        <v>0</v>
      </c>
      <c r="K230" s="6">
        <v>0</v>
      </c>
      <c r="L230" s="6">
        <v>42.008000000000003</v>
      </c>
      <c r="M230" s="6">
        <v>42.008000000000003</v>
      </c>
      <c r="N230" s="6">
        <v>42.008000000000003</v>
      </c>
      <c r="O230" s="6">
        <v>42.008000000000003</v>
      </c>
      <c r="P230" s="6">
        <v>0</v>
      </c>
      <c r="Q230" s="4" t="s">
        <v>26</v>
      </c>
      <c r="R230" s="4">
        <v>0</v>
      </c>
      <c r="S230" s="4" t="s">
        <v>135</v>
      </c>
      <c r="T230" s="4" t="s">
        <v>313</v>
      </c>
      <c r="U230" s="4">
        <v>0</v>
      </c>
      <c r="V230" s="4">
        <v>17</v>
      </c>
      <c r="W230" s="4">
        <v>78</v>
      </c>
    </row>
    <row r="231" spans="1:23" ht="11.25" customHeight="1" x14ac:dyDescent="0.25">
      <c r="A231" s="4" t="s">
        <v>21</v>
      </c>
      <c r="B231" s="4" t="s">
        <v>38</v>
      </c>
      <c r="C231" s="4" t="s">
        <v>39</v>
      </c>
      <c r="D231" s="4" t="s">
        <v>44</v>
      </c>
      <c r="E231" s="4" t="s">
        <v>25</v>
      </c>
      <c r="F231" s="4" t="s">
        <v>25</v>
      </c>
      <c r="G231" s="4" t="s">
        <v>25</v>
      </c>
      <c r="H231" s="4" t="s">
        <v>34</v>
      </c>
      <c r="I231" s="5">
        <v>44409</v>
      </c>
      <c r="J231" s="6">
        <v>0</v>
      </c>
      <c r="K231" s="6">
        <v>0</v>
      </c>
      <c r="L231" s="6">
        <v>36.357999999999997</v>
      </c>
      <c r="M231" s="6">
        <v>36.357999999999997</v>
      </c>
      <c r="N231" s="6">
        <v>36.357999999999997</v>
      </c>
      <c r="O231" s="6">
        <v>36.357999999999997</v>
      </c>
      <c r="P231" s="6">
        <v>0</v>
      </c>
      <c r="Q231" s="4" t="s">
        <v>26</v>
      </c>
      <c r="R231" s="4">
        <v>0</v>
      </c>
      <c r="S231" s="4" t="s">
        <v>136</v>
      </c>
      <c r="T231" s="4" t="s">
        <v>314</v>
      </c>
      <c r="U231" s="4">
        <v>0</v>
      </c>
      <c r="V231" s="4">
        <v>17</v>
      </c>
      <c r="W231" s="4">
        <v>78</v>
      </c>
    </row>
    <row r="232" spans="1:23" ht="11.25" customHeight="1" x14ac:dyDescent="0.25">
      <c r="A232" s="4" t="s">
        <v>21</v>
      </c>
      <c r="B232" s="4" t="s">
        <v>38</v>
      </c>
      <c r="C232" s="4" t="s">
        <v>39</v>
      </c>
      <c r="D232" s="4" t="s">
        <v>44</v>
      </c>
      <c r="E232" s="4" t="s">
        <v>25</v>
      </c>
      <c r="F232" s="4" t="s">
        <v>25</v>
      </c>
      <c r="G232" s="4" t="s">
        <v>25</v>
      </c>
      <c r="H232" s="4" t="s">
        <v>34</v>
      </c>
      <c r="I232" s="5">
        <v>44440</v>
      </c>
      <c r="J232" s="6">
        <v>0</v>
      </c>
      <c r="K232" s="6">
        <v>0</v>
      </c>
      <c r="L232" s="6">
        <v>29.413</v>
      </c>
      <c r="M232" s="6">
        <v>29.413</v>
      </c>
      <c r="N232" s="6">
        <v>29.413</v>
      </c>
      <c r="O232" s="6">
        <v>29.413</v>
      </c>
      <c r="P232" s="6">
        <v>0</v>
      </c>
      <c r="Q232" s="4" t="s">
        <v>26</v>
      </c>
      <c r="R232" s="4">
        <v>0</v>
      </c>
      <c r="S232" s="4" t="s">
        <v>137</v>
      </c>
      <c r="T232" s="4" t="s">
        <v>315</v>
      </c>
      <c r="U232" s="4">
        <v>0</v>
      </c>
      <c r="V232" s="4">
        <v>17</v>
      </c>
      <c r="W232" s="4">
        <v>78</v>
      </c>
    </row>
    <row r="233" spans="1:23" ht="11.25" customHeight="1" x14ac:dyDescent="0.25">
      <c r="A233" s="4" t="s">
        <v>21</v>
      </c>
      <c r="B233" s="4" t="s">
        <v>38</v>
      </c>
      <c r="C233" s="4" t="s">
        <v>39</v>
      </c>
      <c r="D233" s="4" t="s">
        <v>44</v>
      </c>
      <c r="E233" s="4" t="s">
        <v>25</v>
      </c>
      <c r="F233" s="4" t="s">
        <v>25</v>
      </c>
      <c r="G233" s="4" t="s">
        <v>25</v>
      </c>
      <c r="H233" s="4" t="s">
        <v>34</v>
      </c>
      <c r="I233" s="5">
        <v>44470</v>
      </c>
      <c r="J233" s="6">
        <v>0</v>
      </c>
      <c r="K233" s="6">
        <v>0</v>
      </c>
      <c r="L233" s="6">
        <v>30.995999999999999</v>
      </c>
      <c r="M233" s="6">
        <v>30.995999999999999</v>
      </c>
      <c r="N233" s="6">
        <v>30.995999999999999</v>
      </c>
      <c r="O233" s="6">
        <v>30.995999999999999</v>
      </c>
      <c r="P233" s="6">
        <v>0</v>
      </c>
      <c r="Q233" s="4" t="s">
        <v>26</v>
      </c>
      <c r="R233" s="4">
        <v>0</v>
      </c>
      <c r="S233" s="4" t="s">
        <v>138</v>
      </c>
      <c r="T233" s="4" t="s">
        <v>316</v>
      </c>
      <c r="U233" s="4">
        <v>0</v>
      </c>
      <c r="V233" s="4">
        <v>17</v>
      </c>
      <c r="W233" s="4">
        <v>78</v>
      </c>
    </row>
    <row r="234" spans="1:23" ht="11.25" customHeight="1" x14ac:dyDescent="0.25">
      <c r="A234" s="4" t="s">
        <v>21</v>
      </c>
      <c r="B234" s="4" t="s">
        <v>38</v>
      </c>
      <c r="C234" s="4" t="s">
        <v>39</v>
      </c>
      <c r="D234" s="4" t="s">
        <v>44</v>
      </c>
      <c r="E234" s="4" t="s">
        <v>25</v>
      </c>
      <c r="F234" s="4" t="s">
        <v>25</v>
      </c>
      <c r="G234" s="4" t="s">
        <v>25</v>
      </c>
      <c r="H234" s="4" t="s">
        <v>34</v>
      </c>
      <c r="I234" s="5">
        <v>44501</v>
      </c>
      <c r="J234" s="6">
        <v>0</v>
      </c>
      <c r="K234" s="6">
        <v>0</v>
      </c>
      <c r="L234" s="6">
        <v>44.531999999999996</v>
      </c>
      <c r="M234" s="6">
        <v>44.531999999999996</v>
      </c>
      <c r="N234" s="6">
        <v>44.531999999999996</v>
      </c>
      <c r="O234" s="6">
        <v>44.531999999999996</v>
      </c>
      <c r="P234" s="6">
        <v>0</v>
      </c>
      <c r="Q234" s="4" t="s">
        <v>26</v>
      </c>
      <c r="R234" s="4">
        <v>0</v>
      </c>
      <c r="S234" s="4" t="s">
        <v>139</v>
      </c>
      <c r="T234" s="4" t="s">
        <v>317</v>
      </c>
      <c r="U234" s="4">
        <v>0</v>
      </c>
      <c r="V234" s="4">
        <v>17</v>
      </c>
      <c r="W234" s="4">
        <v>78</v>
      </c>
    </row>
    <row r="235" spans="1:23" ht="11.25" customHeight="1" x14ac:dyDescent="0.25">
      <c r="A235" s="4" t="s">
        <v>21</v>
      </c>
      <c r="B235" s="4" t="s">
        <v>38</v>
      </c>
      <c r="C235" s="4" t="s">
        <v>39</v>
      </c>
      <c r="D235" s="4" t="s">
        <v>44</v>
      </c>
      <c r="E235" s="4" t="s">
        <v>25</v>
      </c>
      <c r="F235" s="4" t="s">
        <v>25</v>
      </c>
      <c r="G235" s="4" t="s">
        <v>25</v>
      </c>
      <c r="H235" s="4" t="s">
        <v>34</v>
      </c>
      <c r="I235" s="5">
        <v>44531</v>
      </c>
      <c r="J235" s="6">
        <v>0</v>
      </c>
      <c r="K235" s="6">
        <v>0</v>
      </c>
      <c r="L235" s="6">
        <v>64.831000000000003</v>
      </c>
      <c r="M235" s="6">
        <v>64.831000000000003</v>
      </c>
      <c r="N235" s="6">
        <v>64.831000000000003</v>
      </c>
      <c r="O235" s="6">
        <v>64.831000000000003</v>
      </c>
      <c r="P235" s="6">
        <v>0</v>
      </c>
      <c r="Q235" s="4" t="s">
        <v>26</v>
      </c>
      <c r="R235" s="4">
        <v>0</v>
      </c>
      <c r="S235" s="4" t="s">
        <v>140</v>
      </c>
      <c r="T235" s="4" t="s">
        <v>318</v>
      </c>
      <c r="U235" s="4">
        <v>0</v>
      </c>
      <c r="V235" s="4">
        <v>17</v>
      </c>
      <c r="W235" s="4">
        <v>78</v>
      </c>
    </row>
    <row r="236" spans="1:23" ht="11.25" customHeight="1" x14ac:dyDescent="0.25">
      <c r="A236" s="4" t="s">
        <v>21</v>
      </c>
      <c r="B236" s="4" t="s">
        <v>38</v>
      </c>
      <c r="C236" s="4" t="s">
        <v>39</v>
      </c>
      <c r="D236" s="4" t="s">
        <v>44</v>
      </c>
      <c r="E236" s="4" t="s">
        <v>25</v>
      </c>
      <c r="F236" s="4" t="s">
        <v>25</v>
      </c>
      <c r="G236" s="4" t="s">
        <v>25</v>
      </c>
      <c r="H236" s="4" t="s">
        <v>34</v>
      </c>
      <c r="I236" s="5">
        <v>44562</v>
      </c>
      <c r="J236" s="6">
        <v>0</v>
      </c>
      <c r="K236" s="6">
        <v>0</v>
      </c>
      <c r="L236" s="6">
        <v>64.921000000000006</v>
      </c>
      <c r="M236" s="6">
        <v>64.921000000000006</v>
      </c>
      <c r="N236" s="6">
        <v>64.921000000000006</v>
      </c>
      <c r="O236" s="6">
        <v>64.921000000000006</v>
      </c>
      <c r="P236" s="6">
        <v>0</v>
      </c>
      <c r="Q236" s="4" t="s">
        <v>26</v>
      </c>
      <c r="R236" s="4">
        <v>0</v>
      </c>
      <c r="S236" s="4" t="s">
        <v>141</v>
      </c>
      <c r="T236" s="4" t="s">
        <v>319</v>
      </c>
      <c r="U236" s="4">
        <v>0</v>
      </c>
      <c r="V236" s="4">
        <v>17</v>
      </c>
      <c r="W236" s="4">
        <v>78</v>
      </c>
    </row>
    <row r="237" spans="1:23" ht="11.25" customHeight="1" x14ac:dyDescent="0.25">
      <c r="A237" s="4" t="s">
        <v>21</v>
      </c>
      <c r="B237" s="4" t="s">
        <v>38</v>
      </c>
      <c r="C237" s="4" t="s">
        <v>39</v>
      </c>
      <c r="D237" s="4" t="s">
        <v>44</v>
      </c>
      <c r="E237" s="4" t="s">
        <v>25</v>
      </c>
      <c r="F237" s="4" t="s">
        <v>25</v>
      </c>
      <c r="G237" s="4" t="s">
        <v>25</v>
      </c>
      <c r="H237" s="4" t="s">
        <v>34</v>
      </c>
      <c r="I237" s="5">
        <v>44593</v>
      </c>
      <c r="J237" s="6">
        <v>0</v>
      </c>
      <c r="K237" s="6">
        <v>0</v>
      </c>
      <c r="L237" s="6">
        <v>68.201999999999998</v>
      </c>
      <c r="M237" s="6">
        <v>68.201999999999998</v>
      </c>
      <c r="N237" s="6">
        <v>68.201999999999998</v>
      </c>
      <c r="O237" s="6">
        <v>68.201999999999998</v>
      </c>
      <c r="P237" s="6">
        <v>0</v>
      </c>
      <c r="Q237" s="4" t="s">
        <v>26</v>
      </c>
      <c r="R237" s="4">
        <v>0</v>
      </c>
      <c r="S237" s="4" t="s">
        <v>142</v>
      </c>
      <c r="T237" s="4" t="s">
        <v>320</v>
      </c>
      <c r="U237" s="4">
        <v>0</v>
      </c>
      <c r="V237" s="4">
        <v>17</v>
      </c>
      <c r="W237" s="4">
        <v>78</v>
      </c>
    </row>
    <row r="238" spans="1:23" ht="11.25" customHeight="1" x14ac:dyDescent="0.25">
      <c r="A238" s="4" t="s">
        <v>21</v>
      </c>
      <c r="B238" s="4" t="s">
        <v>38</v>
      </c>
      <c r="C238" s="4" t="s">
        <v>39</v>
      </c>
      <c r="D238" s="4" t="s">
        <v>44</v>
      </c>
      <c r="E238" s="4" t="s">
        <v>25</v>
      </c>
      <c r="F238" s="4" t="s">
        <v>25</v>
      </c>
      <c r="G238" s="4" t="s">
        <v>25</v>
      </c>
      <c r="H238" s="4" t="s">
        <v>34</v>
      </c>
      <c r="I238" s="5">
        <v>44621</v>
      </c>
      <c r="J238" s="6">
        <v>0</v>
      </c>
      <c r="K238" s="6">
        <v>0</v>
      </c>
      <c r="L238" s="6">
        <v>71.442999999999998</v>
      </c>
      <c r="M238" s="6">
        <v>71.442999999999998</v>
      </c>
      <c r="N238" s="6">
        <v>71.442999999999998</v>
      </c>
      <c r="O238" s="6">
        <v>71.442999999999998</v>
      </c>
      <c r="P238" s="6">
        <v>0</v>
      </c>
      <c r="Q238" s="4" t="s">
        <v>26</v>
      </c>
      <c r="R238" s="4">
        <v>0</v>
      </c>
      <c r="S238" s="4" t="s">
        <v>143</v>
      </c>
      <c r="T238" s="4" t="s">
        <v>321</v>
      </c>
      <c r="U238" s="4">
        <v>0</v>
      </c>
      <c r="V238" s="4">
        <v>17</v>
      </c>
      <c r="W238" s="4">
        <v>78</v>
      </c>
    </row>
    <row r="239" spans="1:23" ht="11.25" customHeight="1" x14ac:dyDescent="0.25">
      <c r="A239" s="4" t="s">
        <v>21</v>
      </c>
      <c r="B239" s="4" t="s">
        <v>38</v>
      </c>
      <c r="C239" s="4" t="s">
        <v>39</v>
      </c>
      <c r="D239" s="4" t="s">
        <v>44</v>
      </c>
      <c r="E239" s="4" t="s">
        <v>25</v>
      </c>
      <c r="F239" s="4" t="s">
        <v>25</v>
      </c>
      <c r="G239" s="4" t="s">
        <v>25</v>
      </c>
      <c r="H239" s="4" t="s">
        <v>34</v>
      </c>
      <c r="I239" s="5">
        <v>44652</v>
      </c>
      <c r="J239" s="6">
        <v>0</v>
      </c>
      <c r="K239" s="6">
        <v>0</v>
      </c>
      <c r="L239" s="6">
        <v>46.636000000000003</v>
      </c>
      <c r="M239" s="6">
        <v>46.636000000000003</v>
      </c>
      <c r="N239" s="6">
        <v>46.636000000000003</v>
      </c>
      <c r="O239" s="6">
        <v>46.636000000000003</v>
      </c>
      <c r="P239" s="6">
        <v>0</v>
      </c>
      <c r="Q239" s="4" t="s">
        <v>26</v>
      </c>
      <c r="R239" s="4">
        <v>0</v>
      </c>
      <c r="S239" s="4" t="s">
        <v>144</v>
      </c>
      <c r="T239" s="4" t="s">
        <v>322</v>
      </c>
      <c r="U239" s="4">
        <v>0</v>
      </c>
      <c r="V239" s="4">
        <v>17</v>
      </c>
      <c r="W239" s="4">
        <v>78</v>
      </c>
    </row>
    <row r="240" spans="1:23" ht="11.25" customHeight="1" x14ac:dyDescent="0.25">
      <c r="A240" s="4" t="s">
        <v>21</v>
      </c>
      <c r="B240" s="4" t="s">
        <v>38</v>
      </c>
      <c r="C240" s="4" t="s">
        <v>39</v>
      </c>
      <c r="D240" s="4" t="s">
        <v>44</v>
      </c>
      <c r="E240" s="4" t="s">
        <v>25</v>
      </c>
      <c r="F240" s="4" t="s">
        <v>25</v>
      </c>
      <c r="G240" s="4" t="s">
        <v>25</v>
      </c>
      <c r="H240" s="4" t="s">
        <v>34</v>
      </c>
      <c r="I240" s="5">
        <v>44682</v>
      </c>
      <c r="J240" s="6">
        <v>0</v>
      </c>
      <c r="K240" s="6">
        <v>0</v>
      </c>
      <c r="L240" s="6">
        <v>61.941000000000003</v>
      </c>
      <c r="M240" s="6">
        <v>61.941000000000003</v>
      </c>
      <c r="N240" s="6">
        <v>61.941000000000003</v>
      </c>
      <c r="O240" s="6">
        <v>61.941000000000003</v>
      </c>
      <c r="P240" s="6">
        <v>0</v>
      </c>
      <c r="Q240" s="4" t="s">
        <v>26</v>
      </c>
      <c r="R240" s="4">
        <v>0</v>
      </c>
      <c r="S240" s="4" t="s">
        <v>145</v>
      </c>
      <c r="T240" s="4" t="s">
        <v>323</v>
      </c>
      <c r="U240" s="4">
        <v>0</v>
      </c>
      <c r="V240" s="4">
        <v>17</v>
      </c>
      <c r="W240" s="4">
        <v>78</v>
      </c>
    </row>
    <row r="241" spans="1:23" ht="11.25" customHeight="1" x14ac:dyDescent="0.25">
      <c r="A241" s="4" t="s">
        <v>55</v>
      </c>
      <c r="B241" s="4" t="s">
        <v>38</v>
      </c>
      <c r="C241" s="4" t="s">
        <v>39</v>
      </c>
      <c r="D241" s="4" t="s">
        <v>44</v>
      </c>
      <c r="E241" s="4" t="s">
        <v>25</v>
      </c>
      <c r="F241" s="4" t="s">
        <v>25</v>
      </c>
      <c r="G241" s="4" t="s">
        <v>25</v>
      </c>
      <c r="H241" s="4" t="s">
        <v>34</v>
      </c>
      <c r="I241" s="5">
        <v>44713</v>
      </c>
      <c r="J241" s="6">
        <v>0</v>
      </c>
      <c r="K241" s="6">
        <v>0</v>
      </c>
      <c r="L241" s="6">
        <v>61.941000000000003</v>
      </c>
      <c r="M241" s="6">
        <v>61.941000000000003</v>
      </c>
      <c r="N241" s="6">
        <v>61.941000000000003</v>
      </c>
      <c r="O241" s="6">
        <v>61.941000000000003</v>
      </c>
      <c r="P241" s="6">
        <v>0</v>
      </c>
      <c r="Q241" s="4" t="s">
        <v>26</v>
      </c>
      <c r="R241" s="4">
        <v>0</v>
      </c>
      <c r="S241" s="4" t="s">
        <v>146</v>
      </c>
      <c r="T241" s="4" t="s">
        <v>324</v>
      </c>
      <c r="U241" s="4">
        <v>0</v>
      </c>
      <c r="V241" s="4">
        <v>17</v>
      </c>
      <c r="W241" s="4">
        <v>78</v>
      </c>
    </row>
    <row r="242" spans="1:23" ht="11.25" customHeight="1" x14ac:dyDescent="0.25">
      <c r="A242" s="4" t="s">
        <v>21</v>
      </c>
      <c r="B242" s="4" t="s">
        <v>38</v>
      </c>
      <c r="C242" s="4" t="s">
        <v>39</v>
      </c>
      <c r="D242" s="4" t="s">
        <v>44</v>
      </c>
      <c r="E242" s="4" t="s">
        <v>25</v>
      </c>
      <c r="F242" s="4" t="s">
        <v>25</v>
      </c>
      <c r="G242" s="4" t="s">
        <v>25</v>
      </c>
      <c r="H242" s="4" t="s">
        <v>25</v>
      </c>
      <c r="I242" s="5">
        <v>44378</v>
      </c>
      <c r="J242" s="6">
        <v>485</v>
      </c>
      <c r="K242" s="6">
        <v>485</v>
      </c>
      <c r="L242" s="6">
        <v>0</v>
      </c>
      <c r="M242" s="6">
        <v>0</v>
      </c>
      <c r="N242" s="6">
        <v>0</v>
      </c>
      <c r="O242" s="6">
        <v>0</v>
      </c>
      <c r="P242" s="6">
        <v>8</v>
      </c>
      <c r="Q242" s="4" t="s">
        <v>26</v>
      </c>
      <c r="R242" s="4">
        <v>0</v>
      </c>
      <c r="S242" s="4" t="s">
        <v>147</v>
      </c>
      <c r="U242" s="4">
        <v>19</v>
      </c>
      <c r="V242" s="4">
        <v>0</v>
      </c>
      <c r="W242" s="4">
        <v>0</v>
      </c>
    </row>
    <row r="243" spans="1:23" ht="11.25" customHeight="1" x14ac:dyDescent="0.25">
      <c r="A243" s="4" t="s">
        <v>21</v>
      </c>
      <c r="B243" s="4" t="s">
        <v>38</v>
      </c>
      <c r="C243" s="4" t="s">
        <v>39</v>
      </c>
      <c r="D243" s="4" t="s">
        <v>44</v>
      </c>
      <c r="E243" s="4" t="s">
        <v>25</v>
      </c>
      <c r="F243" s="4" t="s">
        <v>25</v>
      </c>
      <c r="G243" s="4" t="s">
        <v>25</v>
      </c>
      <c r="H243" s="4" t="s">
        <v>25</v>
      </c>
      <c r="I243" s="5">
        <v>44409</v>
      </c>
      <c r="J243" s="6">
        <v>485</v>
      </c>
      <c r="K243" s="6">
        <v>485</v>
      </c>
      <c r="L243" s="6">
        <v>0</v>
      </c>
      <c r="M243" s="6">
        <v>0</v>
      </c>
      <c r="N243" s="6">
        <v>0</v>
      </c>
      <c r="O243" s="6">
        <v>0</v>
      </c>
      <c r="P243" s="6">
        <v>8</v>
      </c>
      <c r="Q243" s="4" t="s">
        <v>26</v>
      </c>
      <c r="R243" s="4">
        <v>0</v>
      </c>
      <c r="S243" s="4" t="s">
        <v>148</v>
      </c>
      <c r="U243" s="4">
        <v>19</v>
      </c>
      <c r="V243" s="4">
        <v>0</v>
      </c>
      <c r="W243" s="4">
        <v>0</v>
      </c>
    </row>
    <row r="244" spans="1:23" ht="11.25" customHeight="1" x14ac:dyDescent="0.25">
      <c r="A244" s="4" t="s">
        <v>21</v>
      </c>
      <c r="B244" s="4" t="s">
        <v>38</v>
      </c>
      <c r="C244" s="4" t="s">
        <v>39</v>
      </c>
      <c r="D244" s="4" t="s">
        <v>44</v>
      </c>
      <c r="E244" s="4" t="s">
        <v>25</v>
      </c>
      <c r="F244" s="4" t="s">
        <v>25</v>
      </c>
      <c r="G244" s="4" t="s">
        <v>25</v>
      </c>
      <c r="H244" s="4" t="s">
        <v>25</v>
      </c>
      <c r="I244" s="5">
        <v>44440</v>
      </c>
      <c r="J244" s="6">
        <v>485</v>
      </c>
      <c r="K244" s="6">
        <v>485</v>
      </c>
      <c r="L244" s="6">
        <v>0</v>
      </c>
      <c r="M244" s="6">
        <v>0</v>
      </c>
      <c r="N244" s="6">
        <v>0</v>
      </c>
      <c r="O244" s="6">
        <v>0</v>
      </c>
      <c r="P244" s="6">
        <v>8</v>
      </c>
      <c r="Q244" s="4" t="s">
        <v>26</v>
      </c>
      <c r="R244" s="4">
        <v>0</v>
      </c>
      <c r="S244" s="4" t="s">
        <v>149</v>
      </c>
      <c r="U244" s="4">
        <v>19</v>
      </c>
      <c r="V244" s="4">
        <v>0</v>
      </c>
      <c r="W244" s="4">
        <v>0</v>
      </c>
    </row>
    <row r="245" spans="1:23" ht="11.25" customHeight="1" x14ac:dyDescent="0.25">
      <c r="A245" s="4" t="s">
        <v>21</v>
      </c>
      <c r="B245" s="4" t="s">
        <v>38</v>
      </c>
      <c r="C245" s="4" t="s">
        <v>39</v>
      </c>
      <c r="D245" s="4" t="s">
        <v>44</v>
      </c>
      <c r="E245" s="4" t="s">
        <v>25</v>
      </c>
      <c r="F245" s="4" t="s">
        <v>25</v>
      </c>
      <c r="G245" s="4" t="s">
        <v>25</v>
      </c>
      <c r="H245" s="4" t="s">
        <v>25</v>
      </c>
      <c r="I245" s="5">
        <v>44470</v>
      </c>
      <c r="J245" s="6">
        <v>485</v>
      </c>
      <c r="K245" s="6">
        <v>485</v>
      </c>
      <c r="L245" s="6">
        <v>0</v>
      </c>
      <c r="M245" s="6">
        <v>0</v>
      </c>
      <c r="N245" s="6">
        <v>0</v>
      </c>
      <c r="O245" s="6">
        <v>0</v>
      </c>
      <c r="P245" s="6">
        <v>8</v>
      </c>
      <c r="Q245" s="4" t="s">
        <v>26</v>
      </c>
      <c r="R245" s="4">
        <v>0</v>
      </c>
      <c r="S245" s="4" t="s">
        <v>150</v>
      </c>
      <c r="U245" s="4">
        <v>19</v>
      </c>
      <c r="V245" s="4">
        <v>0</v>
      </c>
      <c r="W245" s="4">
        <v>0</v>
      </c>
    </row>
    <row r="246" spans="1:23" ht="11.25" customHeight="1" x14ac:dyDescent="0.25">
      <c r="A246" s="4" t="s">
        <v>21</v>
      </c>
      <c r="B246" s="4" t="s">
        <v>38</v>
      </c>
      <c r="C246" s="4" t="s">
        <v>39</v>
      </c>
      <c r="D246" s="4" t="s">
        <v>44</v>
      </c>
      <c r="E246" s="4" t="s">
        <v>25</v>
      </c>
      <c r="F246" s="4" t="s">
        <v>25</v>
      </c>
      <c r="G246" s="4" t="s">
        <v>25</v>
      </c>
      <c r="H246" s="4" t="s">
        <v>25</v>
      </c>
      <c r="I246" s="5">
        <v>44501</v>
      </c>
      <c r="J246" s="6">
        <v>485</v>
      </c>
      <c r="K246" s="6">
        <v>485</v>
      </c>
      <c r="L246" s="6">
        <v>0</v>
      </c>
      <c r="M246" s="6">
        <v>0</v>
      </c>
      <c r="N246" s="6">
        <v>0</v>
      </c>
      <c r="O246" s="6">
        <v>0</v>
      </c>
      <c r="P246" s="6">
        <v>8</v>
      </c>
      <c r="Q246" s="4" t="s">
        <v>26</v>
      </c>
      <c r="R246" s="4">
        <v>0</v>
      </c>
      <c r="S246" s="4" t="s">
        <v>151</v>
      </c>
      <c r="U246" s="4">
        <v>19</v>
      </c>
      <c r="V246" s="4">
        <v>0</v>
      </c>
      <c r="W246" s="4">
        <v>0</v>
      </c>
    </row>
    <row r="247" spans="1:23" ht="11.25" customHeight="1" x14ac:dyDescent="0.25">
      <c r="A247" s="4" t="s">
        <v>21</v>
      </c>
      <c r="B247" s="4" t="s">
        <v>38</v>
      </c>
      <c r="C247" s="4" t="s">
        <v>39</v>
      </c>
      <c r="D247" s="4" t="s">
        <v>44</v>
      </c>
      <c r="E247" s="4" t="s">
        <v>25</v>
      </c>
      <c r="F247" s="4" t="s">
        <v>25</v>
      </c>
      <c r="G247" s="4" t="s">
        <v>25</v>
      </c>
      <c r="H247" s="4" t="s">
        <v>25</v>
      </c>
      <c r="I247" s="5">
        <v>44531</v>
      </c>
      <c r="J247" s="6">
        <v>610</v>
      </c>
      <c r="K247" s="6">
        <v>610</v>
      </c>
      <c r="L247" s="6">
        <v>0</v>
      </c>
      <c r="M247" s="6">
        <v>0</v>
      </c>
      <c r="N247" s="6">
        <v>0</v>
      </c>
      <c r="O247" s="6">
        <v>0</v>
      </c>
      <c r="P247" s="6">
        <v>9</v>
      </c>
      <c r="Q247" s="4" t="s">
        <v>26</v>
      </c>
      <c r="R247" s="4">
        <v>0</v>
      </c>
      <c r="S247" s="4" t="s">
        <v>152</v>
      </c>
      <c r="U247" s="4">
        <v>19</v>
      </c>
      <c r="V247" s="4">
        <v>0</v>
      </c>
      <c r="W247" s="4">
        <v>0</v>
      </c>
    </row>
    <row r="248" spans="1:23" ht="11.25" customHeight="1" x14ac:dyDescent="0.25">
      <c r="A248" s="4" t="s">
        <v>21</v>
      </c>
      <c r="B248" s="4" t="s">
        <v>38</v>
      </c>
      <c r="C248" s="4" t="s">
        <v>39</v>
      </c>
      <c r="D248" s="4" t="s">
        <v>44</v>
      </c>
      <c r="E248" s="4" t="s">
        <v>25</v>
      </c>
      <c r="F248" s="4" t="s">
        <v>25</v>
      </c>
      <c r="G248" s="4" t="s">
        <v>25</v>
      </c>
      <c r="H248" s="4" t="s">
        <v>25</v>
      </c>
      <c r="I248" s="5">
        <v>44562</v>
      </c>
      <c r="J248" s="6">
        <v>611</v>
      </c>
      <c r="K248" s="6">
        <v>611</v>
      </c>
      <c r="L248" s="6">
        <v>0</v>
      </c>
      <c r="M248" s="6">
        <v>0</v>
      </c>
      <c r="N248" s="6">
        <v>0</v>
      </c>
      <c r="O248" s="6">
        <v>0</v>
      </c>
      <c r="P248" s="6">
        <v>9</v>
      </c>
      <c r="Q248" s="4" t="s">
        <v>26</v>
      </c>
      <c r="R248" s="4">
        <v>0</v>
      </c>
      <c r="S248" s="4" t="s">
        <v>153</v>
      </c>
      <c r="U248" s="4">
        <v>19</v>
      </c>
      <c r="V248" s="4">
        <v>0</v>
      </c>
      <c r="W248" s="4">
        <v>0</v>
      </c>
    </row>
    <row r="249" spans="1:23" ht="11.25" customHeight="1" x14ac:dyDescent="0.25">
      <c r="A249" s="4" t="s">
        <v>21</v>
      </c>
      <c r="B249" s="4" t="s">
        <v>38</v>
      </c>
      <c r="C249" s="4" t="s">
        <v>39</v>
      </c>
      <c r="D249" s="4" t="s">
        <v>44</v>
      </c>
      <c r="E249" s="4" t="s">
        <v>25</v>
      </c>
      <c r="F249" s="4" t="s">
        <v>25</v>
      </c>
      <c r="G249" s="4" t="s">
        <v>25</v>
      </c>
      <c r="H249" s="4" t="s">
        <v>25</v>
      </c>
      <c r="I249" s="5">
        <v>44593</v>
      </c>
      <c r="J249" s="6">
        <v>647</v>
      </c>
      <c r="K249" s="6">
        <v>647</v>
      </c>
      <c r="L249" s="6">
        <v>0</v>
      </c>
      <c r="M249" s="6">
        <v>0</v>
      </c>
      <c r="N249" s="6">
        <v>0</v>
      </c>
      <c r="O249" s="6">
        <v>0</v>
      </c>
      <c r="P249" s="6">
        <v>9</v>
      </c>
      <c r="Q249" s="4" t="s">
        <v>26</v>
      </c>
      <c r="R249" s="4">
        <v>0</v>
      </c>
      <c r="S249" s="4" t="s">
        <v>154</v>
      </c>
      <c r="U249" s="4">
        <v>19</v>
      </c>
      <c r="V249" s="4">
        <v>0</v>
      </c>
      <c r="W249" s="4">
        <v>0</v>
      </c>
    </row>
    <row r="250" spans="1:23" ht="11.25" customHeight="1" x14ac:dyDescent="0.25">
      <c r="A250" s="4" t="s">
        <v>21</v>
      </c>
      <c r="B250" s="4" t="s">
        <v>38</v>
      </c>
      <c r="C250" s="4" t="s">
        <v>39</v>
      </c>
      <c r="D250" s="4" t="s">
        <v>44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44621</v>
      </c>
      <c r="J250" s="6">
        <v>680</v>
      </c>
      <c r="K250" s="6">
        <v>680</v>
      </c>
      <c r="L250" s="6">
        <v>0</v>
      </c>
      <c r="M250" s="6">
        <v>0</v>
      </c>
      <c r="N250" s="6">
        <v>0</v>
      </c>
      <c r="O250" s="6">
        <v>0</v>
      </c>
      <c r="P250" s="6">
        <v>9</v>
      </c>
      <c r="Q250" s="4" t="s">
        <v>26</v>
      </c>
      <c r="R250" s="4">
        <v>0</v>
      </c>
      <c r="S250" s="4" t="s">
        <v>155</v>
      </c>
      <c r="U250" s="4">
        <v>19</v>
      </c>
      <c r="V250" s="4">
        <v>0</v>
      </c>
      <c r="W250" s="4">
        <v>0</v>
      </c>
    </row>
    <row r="251" spans="1:23" ht="11.25" customHeight="1" x14ac:dyDescent="0.25">
      <c r="A251" s="4" t="s">
        <v>21</v>
      </c>
      <c r="B251" s="4" t="s">
        <v>38</v>
      </c>
      <c r="C251" s="4" t="s">
        <v>39</v>
      </c>
      <c r="D251" s="4" t="s">
        <v>44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44652</v>
      </c>
      <c r="J251" s="6">
        <v>605</v>
      </c>
      <c r="K251" s="6">
        <v>605</v>
      </c>
      <c r="L251" s="6">
        <v>0</v>
      </c>
      <c r="M251" s="6">
        <v>0</v>
      </c>
      <c r="N251" s="6">
        <v>0</v>
      </c>
      <c r="O251" s="6">
        <v>0</v>
      </c>
      <c r="P251" s="6">
        <v>9</v>
      </c>
      <c r="Q251" s="4" t="s">
        <v>26</v>
      </c>
      <c r="R251" s="4">
        <v>0</v>
      </c>
      <c r="S251" s="4" t="s">
        <v>156</v>
      </c>
      <c r="U251" s="4">
        <v>19</v>
      </c>
      <c r="V251" s="4">
        <v>0</v>
      </c>
      <c r="W251" s="4">
        <v>0</v>
      </c>
    </row>
    <row r="252" spans="1:23" ht="11.25" customHeight="1" x14ac:dyDescent="0.25">
      <c r="A252" s="4" t="s">
        <v>21</v>
      </c>
      <c r="B252" s="4" t="s">
        <v>38</v>
      </c>
      <c r="C252" s="4" t="s">
        <v>39</v>
      </c>
      <c r="D252" s="4" t="s">
        <v>44</v>
      </c>
      <c r="E252" s="4" t="s">
        <v>25</v>
      </c>
      <c r="F252" s="4" t="s">
        <v>25</v>
      </c>
      <c r="G252" s="4" t="s">
        <v>25</v>
      </c>
      <c r="H252" s="4" t="s">
        <v>25</v>
      </c>
      <c r="I252" s="5">
        <v>44682</v>
      </c>
      <c r="J252" s="6">
        <v>605</v>
      </c>
      <c r="K252" s="6">
        <v>605</v>
      </c>
      <c r="L252" s="6">
        <v>0</v>
      </c>
      <c r="M252" s="6">
        <v>0</v>
      </c>
      <c r="N252" s="6">
        <v>0</v>
      </c>
      <c r="O252" s="6">
        <v>0</v>
      </c>
      <c r="P252" s="6">
        <v>9</v>
      </c>
      <c r="Q252" s="4" t="s">
        <v>26</v>
      </c>
      <c r="R252" s="4">
        <v>0</v>
      </c>
      <c r="S252" s="4" t="s">
        <v>157</v>
      </c>
      <c r="U252" s="4">
        <v>19</v>
      </c>
      <c r="V252" s="4">
        <v>0</v>
      </c>
      <c r="W252" s="4">
        <v>0</v>
      </c>
    </row>
    <row r="253" spans="1:23" ht="11.25" customHeight="1" x14ac:dyDescent="0.25">
      <c r="A253" s="4" t="s">
        <v>55</v>
      </c>
      <c r="B253" s="4" t="s">
        <v>38</v>
      </c>
      <c r="C253" s="4" t="s">
        <v>39</v>
      </c>
      <c r="D253" s="4" t="s">
        <v>44</v>
      </c>
      <c r="E253" s="4" t="s">
        <v>25</v>
      </c>
      <c r="F253" s="4" t="s">
        <v>25</v>
      </c>
      <c r="G253" s="4" t="s">
        <v>25</v>
      </c>
      <c r="H253" s="4" t="s">
        <v>25</v>
      </c>
      <c r="I253" s="5">
        <v>44713</v>
      </c>
      <c r="J253" s="6">
        <v>605</v>
      </c>
      <c r="K253" s="6">
        <v>605</v>
      </c>
      <c r="L253" s="6">
        <v>0</v>
      </c>
      <c r="M253" s="6">
        <v>0</v>
      </c>
      <c r="N253" s="6">
        <v>0</v>
      </c>
      <c r="O253" s="6">
        <v>0</v>
      </c>
      <c r="P253" s="6">
        <v>9</v>
      </c>
      <c r="Q253" s="4" t="s">
        <v>26</v>
      </c>
      <c r="R253" s="4">
        <v>0</v>
      </c>
      <c r="S253" s="4" t="s">
        <v>158</v>
      </c>
      <c r="U253" s="4">
        <v>19</v>
      </c>
      <c r="V253" s="4">
        <v>0</v>
      </c>
      <c r="W253" s="4">
        <v>0</v>
      </c>
    </row>
    <row r="254" spans="1:23" ht="11.25" customHeight="1" x14ac:dyDescent="0.25">
      <c r="A254" s="4" t="s">
        <v>21</v>
      </c>
      <c r="B254" s="4" t="s">
        <v>38</v>
      </c>
      <c r="C254" s="4" t="s">
        <v>39</v>
      </c>
      <c r="D254" s="4" t="s">
        <v>44</v>
      </c>
      <c r="E254" s="4" t="s">
        <v>25</v>
      </c>
      <c r="F254" s="4" t="s">
        <v>25</v>
      </c>
      <c r="G254" s="4" t="s">
        <v>25</v>
      </c>
      <c r="H254" s="4" t="s">
        <v>33</v>
      </c>
      <c r="I254" s="5">
        <v>44378</v>
      </c>
      <c r="J254" s="6">
        <v>0</v>
      </c>
      <c r="K254" s="6">
        <v>0</v>
      </c>
      <c r="L254" s="6">
        <v>2.4729999999999999</v>
      </c>
      <c r="M254" s="6">
        <v>2.4729999999999999</v>
      </c>
      <c r="N254" s="6">
        <v>2.4729999999999999</v>
      </c>
      <c r="O254" s="6">
        <v>2.4729999999999999</v>
      </c>
      <c r="P254" s="6">
        <v>0</v>
      </c>
      <c r="Q254" s="4" t="s">
        <v>26</v>
      </c>
      <c r="R254" s="4">
        <v>0</v>
      </c>
      <c r="S254" s="4" t="s">
        <v>159</v>
      </c>
      <c r="T254" s="4" t="s">
        <v>325</v>
      </c>
      <c r="U254" s="4">
        <v>0</v>
      </c>
      <c r="V254" s="4">
        <v>21</v>
      </c>
      <c r="W254" s="4">
        <v>66</v>
      </c>
    </row>
    <row r="255" spans="1:23" ht="11.25" customHeight="1" x14ac:dyDescent="0.25">
      <c r="A255" s="4" t="s">
        <v>21</v>
      </c>
      <c r="B255" s="4" t="s">
        <v>38</v>
      </c>
      <c r="C255" s="4" t="s">
        <v>39</v>
      </c>
      <c r="D255" s="4" t="s">
        <v>44</v>
      </c>
      <c r="E255" s="4" t="s">
        <v>25</v>
      </c>
      <c r="F255" s="4" t="s">
        <v>25</v>
      </c>
      <c r="G255" s="4" t="s">
        <v>25</v>
      </c>
      <c r="H255" s="4" t="s">
        <v>33</v>
      </c>
      <c r="I255" s="5">
        <v>44409</v>
      </c>
      <c r="J255" s="6">
        <v>0</v>
      </c>
      <c r="K255" s="6">
        <v>0</v>
      </c>
      <c r="L255" s="6">
        <v>2.4609999999999999</v>
      </c>
      <c r="M255" s="6">
        <v>2.4609999999999999</v>
      </c>
      <c r="N255" s="6">
        <v>2.4609999999999999</v>
      </c>
      <c r="O255" s="6">
        <v>2.4609999999999999</v>
      </c>
      <c r="P255" s="6">
        <v>0</v>
      </c>
      <c r="Q255" s="4" t="s">
        <v>26</v>
      </c>
      <c r="R255" s="4">
        <v>0</v>
      </c>
      <c r="S255" s="4" t="s">
        <v>160</v>
      </c>
      <c r="T255" s="4" t="s">
        <v>326</v>
      </c>
      <c r="U255" s="4">
        <v>0</v>
      </c>
      <c r="V255" s="4">
        <v>21</v>
      </c>
      <c r="W255" s="4">
        <v>66</v>
      </c>
    </row>
    <row r="256" spans="1:23" ht="11.25" customHeight="1" x14ac:dyDescent="0.25">
      <c r="A256" s="4" t="s">
        <v>21</v>
      </c>
      <c r="B256" s="4" t="s">
        <v>38</v>
      </c>
      <c r="C256" s="4" t="s">
        <v>39</v>
      </c>
      <c r="D256" s="4" t="s">
        <v>44</v>
      </c>
      <c r="E256" s="4" t="s">
        <v>25</v>
      </c>
      <c r="F256" s="4" t="s">
        <v>25</v>
      </c>
      <c r="G256" s="4" t="s">
        <v>25</v>
      </c>
      <c r="H256" s="4" t="s">
        <v>33</v>
      </c>
      <c r="I256" s="5">
        <v>44440</v>
      </c>
      <c r="J256" s="6">
        <v>0</v>
      </c>
      <c r="K256" s="6">
        <v>0</v>
      </c>
      <c r="L256" s="6">
        <v>2.4380000000000002</v>
      </c>
      <c r="M256" s="6">
        <v>2.4380000000000002</v>
      </c>
      <c r="N256" s="6">
        <v>2.4380000000000002</v>
      </c>
      <c r="O256" s="6">
        <v>2.4380000000000002</v>
      </c>
      <c r="P256" s="6">
        <v>0</v>
      </c>
      <c r="Q256" s="4" t="s">
        <v>26</v>
      </c>
      <c r="R256" s="4">
        <v>0</v>
      </c>
      <c r="S256" s="4" t="s">
        <v>161</v>
      </c>
      <c r="T256" s="4" t="s">
        <v>327</v>
      </c>
      <c r="U256" s="4">
        <v>0</v>
      </c>
      <c r="V256" s="4">
        <v>21</v>
      </c>
      <c r="W256" s="4">
        <v>66</v>
      </c>
    </row>
    <row r="257" spans="1:23" ht="11.25" customHeight="1" x14ac:dyDescent="0.25">
      <c r="A257" s="4" t="s">
        <v>21</v>
      </c>
      <c r="B257" s="4" t="s">
        <v>38</v>
      </c>
      <c r="C257" s="4" t="s">
        <v>39</v>
      </c>
      <c r="D257" s="4" t="s">
        <v>44</v>
      </c>
      <c r="E257" s="4" t="s">
        <v>25</v>
      </c>
      <c r="F257" s="4" t="s">
        <v>25</v>
      </c>
      <c r="G257" s="4" t="s">
        <v>25</v>
      </c>
      <c r="H257" s="4" t="s">
        <v>33</v>
      </c>
      <c r="I257" s="5">
        <v>44470</v>
      </c>
      <c r="J257" s="6">
        <v>0</v>
      </c>
      <c r="K257" s="6">
        <v>0</v>
      </c>
      <c r="L257" s="6">
        <v>2.3929999999999998</v>
      </c>
      <c r="M257" s="6">
        <v>2.3929999999999998</v>
      </c>
      <c r="N257" s="6">
        <v>2.3929999999999998</v>
      </c>
      <c r="O257" s="6">
        <v>2.3929999999999998</v>
      </c>
      <c r="P257" s="6">
        <v>0</v>
      </c>
      <c r="Q257" s="4" t="s">
        <v>26</v>
      </c>
      <c r="R257" s="4">
        <v>0</v>
      </c>
      <c r="S257" s="4" t="s">
        <v>162</v>
      </c>
      <c r="T257" s="4" t="s">
        <v>328</v>
      </c>
      <c r="U257" s="4">
        <v>0</v>
      </c>
      <c r="V257" s="4">
        <v>21</v>
      </c>
      <c r="W257" s="4">
        <v>66</v>
      </c>
    </row>
    <row r="258" spans="1:23" ht="11.25" customHeight="1" x14ac:dyDescent="0.25">
      <c r="A258" s="4" t="s">
        <v>21</v>
      </c>
      <c r="B258" s="4" t="s">
        <v>38</v>
      </c>
      <c r="C258" s="4" t="s">
        <v>39</v>
      </c>
      <c r="D258" s="4" t="s">
        <v>44</v>
      </c>
      <c r="E258" s="4" t="s">
        <v>25</v>
      </c>
      <c r="F258" s="4" t="s">
        <v>25</v>
      </c>
      <c r="G258" s="4" t="s">
        <v>25</v>
      </c>
      <c r="H258" s="4" t="s">
        <v>33</v>
      </c>
      <c r="I258" s="5">
        <v>44501</v>
      </c>
      <c r="J258" s="6">
        <v>0</v>
      </c>
      <c r="K258" s="6">
        <v>0</v>
      </c>
      <c r="L258" s="6">
        <v>3.4860000000000002</v>
      </c>
      <c r="M258" s="6">
        <v>3.4860000000000002</v>
      </c>
      <c r="N258" s="6">
        <v>3.4860000000000002</v>
      </c>
      <c r="O258" s="6">
        <v>3.4860000000000002</v>
      </c>
      <c r="P258" s="6">
        <v>0</v>
      </c>
      <c r="Q258" s="4" t="s">
        <v>26</v>
      </c>
      <c r="R258" s="4">
        <v>0</v>
      </c>
      <c r="S258" s="4" t="s">
        <v>163</v>
      </c>
      <c r="T258" s="4" t="s">
        <v>329</v>
      </c>
      <c r="U258" s="4">
        <v>0</v>
      </c>
      <c r="V258" s="4">
        <v>21</v>
      </c>
      <c r="W258" s="4">
        <v>66</v>
      </c>
    </row>
    <row r="259" spans="1:23" ht="11.25" customHeight="1" x14ac:dyDescent="0.25">
      <c r="A259" s="4" t="s">
        <v>21</v>
      </c>
      <c r="B259" s="4" t="s">
        <v>38</v>
      </c>
      <c r="C259" s="4" t="s">
        <v>39</v>
      </c>
      <c r="D259" s="4" t="s">
        <v>44</v>
      </c>
      <c r="E259" s="4" t="s">
        <v>25</v>
      </c>
      <c r="F259" s="4" t="s">
        <v>25</v>
      </c>
      <c r="G259" s="4" t="s">
        <v>25</v>
      </c>
      <c r="H259" s="4" t="s">
        <v>33</v>
      </c>
      <c r="I259" s="5">
        <v>44531</v>
      </c>
      <c r="J259" s="6">
        <v>0</v>
      </c>
      <c r="K259" s="6">
        <v>0</v>
      </c>
      <c r="L259" s="6">
        <v>4.6760000000000002</v>
      </c>
      <c r="M259" s="6">
        <v>4.6760000000000002</v>
      </c>
      <c r="N259" s="6">
        <v>4.6760000000000002</v>
      </c>
      <c r="O259" s="6">
        <v>4.6760000000000002</v>
      </c>
      <c r="P259" s="6">
        <v>0</v>
      </c>
      <c r="Q259" s="4" t="s">
        <v>26</v>
      </c>
      <c r="R259" s="4">
        <v>0</v>
      </c>
      <c r="S259" s="4" t="s">
        <v>164</v>
      </c>
      <c r="T259" s="4" t="s">
        <v>330</v>
      </c>
      <c r="U259" s="4">
        <v>0</v>
      </c>
      <c r="V259" s="4">
        <v>21</v>
      </c>
      <c r="W259" s="4">
        <v>66</v>
      </c>
    </row>
    <row r="260" spans="1:23" ht="11.25" customHeight="1" x14ac:dyDescent="0.25">
      <c r="A260" s="4" t="s">
        <v>21</v>
      </c>
      <c r="B260" s="4" t="s">
        <v>38</v>
      </c>
      <c r="C260" s="4" t="s">
        <v>39</v>
      </c>
      <c r="D260" s="4" t="s">
        <v>44</v>
      </c>
      <c r="E260" s="4" t="s">
        <v>25</v>
      </c>
      <c r="F260" s="4" t="s">
        <v>25</v>
      </c>
      <c r="G260" s="4" t="s">
        <v>25</v>
      </c>
      <c r="H260" s="4" t="s">
        <v>33</v>
      </c>
      <c r="I260" s="5">
        <v>44562</v>
      </c>
      <c r="J260" s="6">
        <v>0</v>
      </c>
      <c r="K260" s="6">
        <v>0</v>
      </c>
      <c r="L260" s="6">
        <v>4.0830000000000002</v>
      </c>
      <c r="M260" s="6">
        <v>4.0830000000000002</v>
      </c>
      <c r="N260" s="6">
        <v>4.0830000000000002</v>
      </c>
      <c r="O260" s="6">
        <v>4.0830000000000002</v>
      </c>
      <c r="P260" s="6">
        <v>0</v>
      </c>
      <c r="Q260" s="4" t="s">
        <v>26</v>
      </c>
      <c r="R260" s="4">
        <v>0</v>
      </c>
      <c r="S260" s="4" t="s">
        <v>165</v>
      </c>
      <c r="T260" s="4" t="s">
        <v>331</v>
      </c>
      <c r="U260" s="4">
        <v>0</v>
      </c>
      <c r="V260" s="4">
        <v>21</v>
      </c>
      <c r="W260" s="4">
        <v>66</v>
      </c>
    </row>
    <row r="261" spans="1:23" ht="11.25" customHeight="1" x14ac:dyDescent="0.25">
      <c r="A261" s="4" t="s">
        <v>21</v>
      </c>
      <c r="B261" s="4" t="s">
        <v>38</v>
      </c>
      <c r="C261" s="4" t="s">
        <v>39</v>
      </c>
      <c r="D261" s="4" t="s">
        <v>44</v>
      </c>
      <c r="E261" s="4" t="s">
        <v>25</v>
      </c>
      <c r="F261" s="4" t="s">
        <v>25</v>
      </c>
      <c r="G261" s="4" t="s">
        <v>25</v>
      </c>
      <c r="H261" s="4" t="s">
        <v>33</v>
      </c>
      <c r="I261" s="5">
        <v>44593</v>
      </c>
      <c r="J261" s="6">
        <v>0</v>
      </c>
      <c r="K261" s="6">
        <v>0</v>
      </c>
      <c r="L261" s="6">
        <v>5.4509999999999996</v>
      </c>
      <c r="M261" s="6">
        <v>5.4509999999999996</v>
      </c>
      <c r="N261" s="6">
        <v>5.4509999999999996</v>
      </c>
      <c r="O261" s="6">
        <v>5.4509999999999996</v>
      </c>
      <c r="P261" s="6">
        <v>0</v>
      </c>
      <c r="Q261" s="4" t="s">
        <v>26</v>
      </c>
      <c r="R261" s="4">
        <v>0</v>
      </c>
      <c r="S261" s="4" t="s">
        <v>166</v>
      </c>
      <c r="T261" s="4" t="s">
        <v>332</v>
      </c>
      <c r="U261" s="4">
        <v>0</v>
      </c>
      <c r="V261" s="4">
        <v>21</v>
      </c>
      <c r="W261" s="4">
        <v>66</v>
      </c>
    </row>
    <row r="262" spans="1:23" ht="11.25" customHeight="1" x14ac:dyDescent="0.25">
      <c r="A262" s="4" t="s">
        <v>21</v>
      </c>
      <c r="B262" s="4" t="s">
        <v>38</v>
      </c>
      <c r="C262" s="4" t="s">
        <v>39</v>
      </c>
      <c r="D262" s="4" t="s">
        <v>44</v>
      </c>
      <c r="E262" s="4" t="s">
        <v>25</v>
      </c>
      <c r="F262" s="4" t="s">
        <v>25</v>
      </c>
      <c r="G262" s="4" t="s">
        <v>25</v>
      </c>
      <c r="H262" s="4" t="s">
        <v>33</v>
      </c>
      <c r="I262" s="5">
        <v>44621</v>
      </c>
      <c r="J262" s="6">
        <v>0</v>
      </c>
      <c r="K262" s="6">
        <v>0</v>
      </c>
      <c r="L262" s="6">
        <v>8.0389999999999997</v>
      </c>
      <c r="M262" s="6">
        <v>8.0389999999999997</v>
      </c>
      <c r="N262" s="6">
        <v>8.0389999999999997</v>
      </c>
      <c r="O262" s="6">
        <v>8.0389999999999997</v>
      </c>
      <c r="P262" s="6">
        <v>0</v>
      </c>
      <c r="Q262" s="4" t="s">
        <v>26</v>
      </c>
      <c r="R262" s="4">
        <v>0</v>
      </c>
      <c r="S262" s="4" t="s">
        <v>167</v>
      </c>
      <c r="T262" s="4" t="s">
        <v>333</v>
      </c>
      <c r="U262" s="4">
        <v>0</v>
      </c>
      <c r="V262" s="4">
        <v>21</v>
      </c>
      <c r="W262" s="4">
        <v>66</v>
      </c>
    </row>
    <row r="263" spans="1:23" ht="11.25" customHeight="1" x14ac:dyDescent="0.25">
      <c r="A263" s="4" t="s">
        <v>21</v>
      </c>
      <c r="B263" s="4" t="s">
        <v>38</v>
      </c>
      <c r="C263" s="4" t="s">
        <v>39</v>
      </c>
      <c r="D263" s="4" t="s">
        <v>44</v>
      </c>
      <c r="E263" s="4" t="s">
        <v>25</v>
      </c>
      <c r="F263" s="4" t="s">
        <v>25</v>
      </c>
      <c r="G263" s="4" t="s">
        <v>25</v>
      </c>
      <c r="H263" s="4" t="s">
        <v>33</v>
      </c>
      <c r="I263" s="5">
        <v>44652</v>
      </c>
      <c r="J263" s="6">
        <v>0</v>
      </c>
      <c r="K263" s="6">
        <v>0</v>
      </c>
      <c r="L263" s="6">
        <v>5.1769999999999996</v>
      </c>
      <c r="M263" s="6">
        <v>5.1769999999999996</v>
      </c>
      <c r="N263" s="6">
        <v>5.1769999999999996</v>
      </c>
      <c r="O263" s="6">
        <v>5.1769999999999996</v>
      </c>
      <c r="P263" s="6">
        <v>0</v>
      </c>
      <c r="Q263" s="4" t="s">
        <v>26</v>
      </c>
      <c r="R263" s="4">
        <v>0</v>
      </c>
      <c r="S263" s="4" t="s">
        <v>168</v>
      </c>
      <c r="T263" s="4" t="s">
        <v>334</v>
      </c>
      <c r="U263" s="4">
        <v>0</v>
      </c>
      <c r="V263" s="4">
        <v>21</v>
      </c>
      <c r="W263" s="4">
        <v>66</v>
      </c>
    </row>
    <row r="264" spans="1:23" ht="11.25" customHeight="1" x14ac:dyDescent="0.25">
      <c r="A264" s="4" t="s">
        <v>21</v>
      </c>
      <c r="B264" s="4" t="s">
        <v>38</v>
      </c>
      <c r="C264" s="4" t="s">
        <v>39</v>
      </c>
      <c r="D264" s="4" t="s">
        <v>44</v>
      </c>
      <c r="E264" s="4" t="s">
        <v>25</v>
      </c>
      <c r="F264" s="4" t="s">
        <v>25</v>
      </c>
      <c r="G264" s="4" t="s">
        <v>25</v>
      </c>
      <c r="H264" s="4" t="s">
        <v>33</v>
      </c>
      <c r="I264" s="5">
        <v>44682</v>
      </c>
      <c r="J264" s="6">
        <v>0</v>
      </c>
      <c r="K264" s="6">
        <v>0</v>
      </c>
      <c r="L264" s="6">
        <v>6.2240000000000002</v>
      </c>
      <c r="M264" s="6">
        <v>6.2240000000000002</v>
      </c>
      <c r="N264" s="6">
        <v>6.2240000000000002</v>
      </c>
      <c r="O264" s="6">
        <v>6.2240000000000002</v>
      </c>
      <c r="P264" s="6">
        <v>0</v>
      </c>
      <c r="Q264" s="4" t="s">
        <v>26</v>
      </c>
      <c r="R264" s="4">
        <v>0</v>
      </c>
      <c r="S264" s="4" t="s">
        <v>169</v>
      </c>
      <c r="T264" s="4" t="s">
        <v>335</v>
      </c>
      <c r="U264" s="4">
        <v>0</v>
      </c>
      <c r="V264" s="4">
        <v>21</v>
      </c>
      <c r="W264" s="4">
        <v>66</v>
      </c>
    </row>
    <row r="265" spans="1:23" ht="11.25" customHeight="1" x14ac:dyDescent="0.25">
      <c r="A265" s="4" t="s">
        <v>55</v>
      </c>
      <c r="B265" s="4" t="s">
        <v>38</v>
      </c>
      <c r="C265" s="4" t="s">
        <v>39</v>
      </c>
      <c r="D265" s="4" t="s">
        <v>44</v>
      </c>
      <c r="E265" s="4" t="s">
        <v>25</v>
      </c>
      <c r="F265" s="4" t="s">
        <v>25</v>
      </c>
      <c r="G265" s="4" t="s">
        <v>25</v>
      </c>
      <c r="H265" s="4" t="s">
        <v>33</v>
      </c>
      <c r="I265" s="5">
        <v>44713</v>
      </c>
      <c r="J265" s="6">
        <v>0</v>
      </c>
      <c r="K265" s="6">
        <v>0</v>
      </c>
      <c r="L265" s="6">
        <v>6.2240000000000002</v>
      </c>
      <c r="M265" s="6">
        <v>6.2240000000000002</v>
      </c>
      <c r="N265" s="6">
        <v>6.2240000000000002</v>
      </c>
      <c r="O265" s="6">
        <v>6.2240000000000002</v>
      </c>
      <c r="P265" s="6">
        <v>0</v>
      </c>
      <c r="Q265" s="4" t="s">
        <v>26</v>
      </c>
      <c r="R265" s="4">
        <v>0</v>
      </c>
      <c r="S265" s="4" t="s">
        <v>170</v>
      </c>
      <c r="T265" s="4" t="s">
        <v>336</v>
      </c>
      <c r="U265" s="4">
        <v>0</v>
      </c>
      <c r="V265" s="4">
        <v>21</v>
      </c>
      <c r="W265" s="4">
        <v>66</v>
      </c>
    </row>
    <row r="266" spans="1:23" ht="11.25" customHeight="1" x14ac:dyDescent="0.25">
      <c r="A266" s="4" t="s">
        <v>21</v>
      </c>
      <c r="B266" s="4" t="s">
        <v>38</v>
      </c>
      <c r="C266" s="4" t="s">
        <v>39</v>
      </c>
      <c r="D266" s="4" t="s">
        <v>43</v>
      </c>
      <c r="E266" s="4" t="s">
        <v>52</v>
      </c>
      <c r="F266" s="4" t="s">
        <v>54</v>
      </c>
      <c r="G266" s="4" t="s">
        <v>25</v>
      </c>
      <c r="H266" s="4" t="s">
        <v>34</v>
      </c>
      <c r="I266" s="5">
        <v>44378</v>
      </c>
      <c r="J266" s="6">
        <v>0</v>
      </c>
      <c r="K266" s="6">
        <v>0</v>
      </c>
      <c r="L266" s="6">
        <v>0.152</v>
      </c>
      <c r="M266" s="6">
        <v>4.5600000000000002E-2</v>
      </c>
      <c r="N266" s="6">
        <v>0.152</v>
      </c>
      <c r="O266" s="6">
        <v>4.5600000000000002E-2</v>
      </c>
      <c r="P266" s="6">
        <v>0</v>
      </c>
      <c r="Q266" s="4" t="s">
        <v>26</v>
      </c>
      <c r="R266" s="4">
        <v>0</v>
      </c>
      <c r="S266" s="4" t="s">
        <v>135</v>
      </c>
      <c r="T266" s="4" t="s">
        <v>313</v>
      </c>
      <c r="U266" s="4">
        <v>0</v>
      </c>
      <c r="V266" s="4">
        <v>17</v>
      </c>
      <c r="W266" s="4">
        <v>78</v>
      </c>
    </row>
    <row r="267" spans="1:23" ht="11.25" customHeight="1" x14ac:dyDescent="0.25">
      <c r="A267" s="4" t="s">
        <v>21</v>
      </c>
      <c r="B267" s="4" t="s">
        <v>38</v>
      </c>
      <c r="C267" s="4" t="s">
        <v>39</v>
      </c>
      <c r="D267" s="4" t="s">
        <v>43</v>
      </c>
      <c r="E267" s="4" t="s">
        <v>52</v>
      </c>
      <c r="F267" s="4" t="s">
        <v>54</v>
      </c>
      <c r="G267" s="4" t="s">
        <v>25</v>
      </c>
      <c r="H267" s="4" t="s">
        <v>34</v>
      </c>
      <c r="I267" s="5">
        <v>44409</v>
      </c>
      <c r="J267" s="6">
        <v>0</v>
      </c>
      <c r="K267" s="6">
        <v>0</v>
      </c>
      <c r="L267" s="6">
        <v>0.182</v>
      </c>
      <c r="M267" s="6">
        <v>5.4600000000000003E-2</v>
      </c>
      <c r="N267" s="6">
        <v>0.182</v>
      </c>
      <c r="O267" s="6">
        <v>5.4600000000000003E-2</v>
      </c>
      <c r="P267" s="6">
        <v>0</v>
      </c>
      <c r="Q267" s="4" t="s">
        <v>26</v>
      </c>
      <c r="R267" s="4">
        <v>0</v>
      </c>
      <c r="S267" s="4" t="s">
        <v>136</v>
      </c>
      <c r="T267" s="4" t="s">
        <v>314</v>
      </c>
      <c r="U267" s="4">
        <v>0</v>
      </c>
      <c r="V267" s="4">
        <v>17</v>
      </c>
      <c r="W267" s="4">
        <v>78</v>
      </c>
    </row>
    <row r="268" spans="1:23" ht="11.25" customHeight="1" x14ac:dyDescent="0.25">
      <c r="A268" s="4" t="s">
        <v>21</v>
      </c>
      <c r="B268" s="4" t="s">
        <v>38</v>
      </c>
      <c r="C268" s="4" t="s">
        <v>39</v>
      </c>
      <c r="D268" s="4" t="s">
        <v>43</v>
      </c>
      <c r="E268" s="4" t="s">
        <v>52</v>
      </c>
      <c r="F268" s="4" t="s">
        <v>54</v>
      </c>
      <c r="G268" s="4" t="s">
        <v>25</v>
      </c>
      <c r="H268" s="4" t="s">
        <v>34</v>
      </c>
      <c r="I268" s="5">
        <v>44440</v>
      </c>
      <c r="J268" s="6">
        <v>0</v>
      </c>
      <c r="K268" s="6">
        <v>0</v>
      </c>
      <c r="L268" s="6">
        <v>0.06</v>
      </c>
      <c r="M268" s="6">
        <v>1.7999999999999999E-2</v>
      </c>
      <c r="N268" s="6">
        <v>0.06</v>
      </c>
      <c r="O268" s="6">
        <v>1.7999999999999999E-2</v>
      </c>
      <c r="P268" s="6">
        <v>0</v>
      </c>
      <c r="Q268" s="4" t="s">
        <v>26</v>
      </c>
      <c r="R268" s="4">
        <v>0</v>
      </c>
      <c r="S268" s="4" t="s">
        <v>137</v>
      </c>
      <c r="T268" s="4" t="s">
        <v>315</v>
      </c>
      <c r="U268" s="4">
        <v>0</v>
      </c>
      <c r="V268" s="4">
        <v>17</v>
      </c>
      <c r="W268" s="4">
        <v>78</v>
      </c>
    </row>
    <row r="269" spans="1:23" ht="11.25" customHeight="1" x14ac:dyDescent="0.25">
      <c r="A269" s="4" t="s">
        <v>21</v>
      </c>
      <c r="B269" s="4" t="s">
        <v>38</v>
      </c>
      <c r="C269" s="4" t="s">
        <v>39</v>
      </c>
      <c r="D269" s="4" t="s">
        <v>43</v>
      </c>
      <c r="E269" s="4" t="s">
        <v>52</v>
      </c>
      <c r="F269" s="4" t="s">
        <v>54</v>
      </c>
      <c r="G269" s="4" t="s">
        <v>25</v>
      </c>
      <c r="H269" s="4" t="s">
        <v>34</v>
      </c>
      <c r="I269" s="5">
        <v>44470</v>
      </c>
      <c r="J269" s="6">
        <v>0</v>
      </c>
      <c r="K269" s="6">
        <v>0</v>
      </c>
      <c r="L269" s="6">
        <v>7.3</v>
      </c>
      <c r="M269" s="6">
        <v>2.19</v>
      </c>
      <c r="N269" s="6">
        <v>7.3</v>
      </c>
      <c r="O269" s="6">
        <v>2.19</v>
      </c>
      <c r="P269" s="6">
        <v>0</v>
      </c>
      <c r="Q269" s="4" t="s">
        <v>26</v>
      </c>
      <c r="R269" s="4">
        <v>0</v>
      </c>
      <c r="S269" s="4" t="s">
        <v>138</v>
      </c>
      <c r="T269" s="4" t="s">
        <v>316</v>
      </c>
      <c r="U269" s="4">
        <v>0</v>
      </c>
      <c r="V269" s="4">
        <v>17</v>
      </c>
      <c r="W269" s="4">
        <v>78</v>
      </c>
    </row>
    <row r="270" spans="1:23" ht="11.25" customHeight="1" x14ac:dyDescent="0.25">
      <c r="A270" s="4" t="s">
        <v>21</v>
      </c>
      <c r="B270" s="4" t="s">
        <v>38</v>
      </c>
      <c r="C270" s="4" t="s">
        <v>39</v>
      </c>
      <c r="D270" s="4" t="s">
        <v>43</v>
      </c>
      <c r="E270" s="4" t="s">
        <v>52</v>
      </c>
      <c r="F270" s="4" t="s">
        <v>54</v>
      </c>
      <c r="G270" s="4" t="s">
        <v>25</v>
      </c>
      <c r="H270" s="4" t="s">
        <v>34</v>
      </c>
      <c r="I270" s="5">
        <v>44501</v>
      </c>
      <c r="J270" s="6">
        <v>0</v>
      </c>
      <c r="K270" s="6">
        <v>0</v>
      </c>
      <c r="L270" s="6">
        <v>28.536999999999999</v>
      </c>
      <c r="M270" s="6">
        <v>8.5610999999999997</v>
      </c>
      <c r="N270" s="6">
        <v>28.536999999999999</v>
      </c>
      <c r="O270" s="6">
        <v>8.5610999999999997</v>
      </c>
      <c r="P270" s="6">
        <v>0</v>
      </c>
      <c r="Q270" s="4" t="s">
        <v>26</v>
      </c>
      <c r="R270" s="4">
        <v>0</v>
      </c>
      <c r="S270" s="4" t="s">
        <v>139</v>
      </c>
      <c r="T270" s="4" t="s">
        <v>317</v>
      </c>
      <c r="U270" s="4">
        <v>0</v>
      </c>
      <c r="V270" s="4">
        <v>17</v>
      </c>
      <c r="W270" s="4">
        <v>78</v>
      </c>
    </row>
    <row r="271" spans="1:23" ht="11.25" customHeight="1" x14ac:dyDescent="0.25">
      <c r="A271" s="4" t="s">
        <v>21</v>
      </c>
      <c r="B271" s="4" t="s">
        <v>38</v>
      </c>
      <c r="C271" s="4" t="s">
        <v>39</v>
      </c>
      <c r="D271" s="4" t="s">
        <v>43</v>
      </c>
      <c r="E271" s="4" t="s">
        <v>52</v>
      </c>
      <c r="F271" s="4" t="s">
        <v>54</v>
      </c>
      <c r="G271" s="4" t="s">
        <v>25</v>
      </c>
      <c r="H271" s="4" t="s">
        <v>34</v>
      </c>
      <c r="I271" s="5">
        <v>44531</v>
      </c>
      <c r="J271" s="6">
        <v>0</v>
      </c>
      <c r="K271" s="6">
        <v>0</v>
      </c>
      <c r="L271" s="6">
        <v>63.548999999999999</v>
      </c>
      <c r="M271" s="6">
        <v>19.064699999999998</v>
      </c>
      <c r="N271" s="6">
        <v>63.548999999999999</v>
      </c>
      <c r="O271" s="6">
        <v>19.064699999999998</v>
      </c>
      <c r="P271" s="6">
        <v>0</v>
      </c>
      <c r="Q271" s="4" t="s">
        <v>26</v>
      </c>
      <c r="R271" s="4">
        <v>0</v>
      </c>
      <c r="S271" s="4" t="s">
        <v>140</v>
      </c>
      <c r="T271" s="4" t="s">
        <v>318</v>
      </c>
      <c r="U271" s="4">
        <v>0</v>
      </c>
      <c r="V271" s="4">
        <v>17</v>
      </c>
      <c r="W271" s="4">
        <v>78</v>
      </c>
    </row>
    <row r="272" spans="1:23" ht="11.25" customHeight="1" x14ac:dyDescent="0.25">
      <c r="A272" s="4" t="s">
        <v>21</v>
      </c>
      <c r="B272" s="4" t="s">
        <v>38</v>
      </c>
      <c r="C272" s="4" t="s">
        <v>39</v>
      </c>
      <c r="D272" s="4" t="s">
        <v>43</v>
      </c>
      <c r="E272" s="4" t="s">
        <v>52</v>
      </c>
      <c r="F272" s="4" t="s">
        <v>54</v>
      </c>
      <c r="G272" s="4" t="s">
        <v>25</v>
      </c>
      <c r="H272" s="4" t="s">
        <v>34</v>
      </c>
      <c r="I272" s="5">
        <v>44562</v>
      </c>
      <c r="J272" s="6">
        <v>0</v>
      </c>
      <c r="K272" s="6">
        <v>0</v>
      </c>
      <c r="L272" s="6">
        <v>37.036999999999999</v>
      </c>
      <c r="M272" s="6">
        <v>11.1111</v>
      </c>
      <c r="N272" s="6">
        <v>37.036999999999999</v>
      </c>
      <c r="O272" s="6">
        <v>11.1111</v>
      </c>
      <c r="P272" s="6">
        <v>0</v>
      </c>
      <c r="Q272" s="4" t="s">
        <v>26</v>
      </c>
      <c r="R272" s="4">
        <v>0</v>
      </c>
      <c r="S272" s="4" t="s">
        <v>141</v>
      </c>
      <c r="T272" s="4" t="s">
        <v>319</v>
      </c>
      <c r="U272" s="4">
        <v>0</v>
      </c>
      <c r="V272" s="4">
        <v>17</v>
      </c>
      <c r="W272" s="4">
        <v>78</v>
      </c>
    </row>
    <row r="273" spans="1:23" ht="11.25" customHeight="1" x14ac:dyDescent="0.25">
      <c r="A273" s="4" t="s">
        <v>21</v>
      </c>
      <c r="B273" s="4" t="s">
        <v>38</v>
      </c>
      <c r="C273" s="4" t="s">
        <v>39</v>
      </c>
      <c r="D273" s="4" t="s">
        <v>43</v>
      </c>
      <c r="E273" s="4" t="s">
        <v>52</v>
      </c>
      <c r="F273" s="4" t="s">
        <v>54</v>
      </c>
      <c r="G273" s="4" t="s">
        <v>25</v>
      </c>
      <c r="H273" s="4" t="s">
        <v>34</v>
      </c>
      <c r="I273" s="5">
        <v>44593</v>
      </c>
      <c r="J273" s="6">
        <v>0</v>
      </c>
      <c r="K273" s="6">
        <v>0</v>
      </c>
      <c r="L273" s="6">
        <v>32.451999999999998</v>
      </c>
      <c r="M273" s="6">
        <v>9.7355999999999998</v>
      </c>
      <c r="N273" s="6">
        <v>32.451999999999998</v>
      </c>
      <c r="O273" s="6">
        <v>9.7355999999999998</v>
      </c>
      <c r="P273" s="6">
        <v>0</v>
      </c>
      <c r="Q273" s="4" t="s">
        <v>26</v>
      </c>
      <c r="R273" s="4">
        <v>0</v>
      </c>
      <c r="S273" s="4" t="s">
        <v>142</v>
      </c>
      <c r="T273" s="4" t="s">
        <v>320</v>
      </c>
      <c r="U273" s="4">
        <v>0</v>
      </c>
      <c r="V273" s="4">
        <v>17</v>
      </c>
      <c r="W273" s="4">
        <v>78</v>
      </c>
    </row>
    <row r="274" spans="1:23" ht="11.25" customHeight="1" x14ac:dyDescent="0.25">
      <c r="A274" s="4" t="s">
        <v>21</v>
      </c>
      <c r="B274" s="4" t="s">
        <v>38</v>
      </c>
      <c r="C274" s="4" t="s">
        <v>39</v>
      </c>
      <c r="D274" s="4" t="s">
        <v>43</v>
      </c>
      <c r="E274" s="4" t="s">
        <v>52</v>
      </c>
      <c r="F274" s="4" t="s">
        <v>54</v>
      </c>
      <c r="G274" s="4" t="s">
        <v>25</v>
      </c>
      <c r="H274" s="4" t="s">
        <v>34</v>
      </c>
      <c r="I274" s="5">
        <v>44621</v>
      </c>
      <c r="J274" s="6">
        <v>0</v>
      </c>
      <c r="K274" s="6">
        <v>0</v>
      </c>
      <c r="L274" s="6">
        <v>0.38200000000000001</v>
      </c>
      <c r="M274" s="6">
        <v>0.11459999999999999</v>
      </c>
      <c r="N274" s="6">
        <v>0.38200000000000001</v>
      </c>
      <c r="O274" s="6">
        <v>0.11459999999999999</v>
      </c>
      <c r="P274" s="6">
        <v>0</v>
      </c>
      <c r="Q274" s="4" t="s">
        <v>26</v>
      </c>
      <c r="R274" s="4">
        <v>0</v>
      </c>
      <c r="S274" s="4" t="s">
        <v>143</v>
      </c>
      <c r="T274" s="4" t="s">
        <v>321</v>
      </c>
      <c r="U274" s="4">
        <v>0</v>
      </c>
      <c r="V274" s="4">
        <v>17</v>
      </c>
      <c r="W274" s="4">
        <v>78</v>
      </c>
    </row>
    <row r="275" spans="1:23" ht="11.25" customHeight="1" x14ac:dyDescent="0.25">
      <c r="A275" s="4" t="s">
        <v>21</v>
      </c>
      <c r="B275" s="4" t="s">
        <v>38</v>
      </c>
      <c r="C275" s="4" t="s">
        <v>39</v>
      </c>
      <c r="D275" s="4" t="s">
        <v>43</v>
      </c>
      <c r="E275" s="4" t="s">
        <v>52</v>
      </c>
      <c r="F275" s="4" t="s">
        <v>54</v>
      </c>
      <c r="G275" s="4" t="s">
        <v>25</v>
      </c>
      <c r="H275" s="4" t="s">
        <v>34</v>
      </c>
      <c r="I275" s="5">
        <v>44652</v>
      </c>
      <c r="J275" s="6">
        <v>0</v>
      </c>
      <c r="K275" s="6">
        <v>0</v>
      </c>
      <c r="L275" s="6">
        <v>1.601</v>
      </c>
      <c r="M275" s="6">
        <v>0.4803</v>
      </c>
      <c r="N275" s="6">
        <v>1.601</v>
      </c>
      <c r="O275" s="6">
        <v>0.4803</v>
      </c>
      <c r="P275" s="6">
        <v>0</v>
      </c>
      <c r="Q275" s="4" t="s">
        <v>26</v>
      </c>
      <c r="R275" s="4">
        <v>0</v>
      </c>
      <c r="S275" s="4" t="s">
        <v>144</v>
      </c>
      <c r="T275" s="4" t="s">
        <v>322</v>
      </c>
      <c r="U275" s="4">
        <v>0</v>
      </c>
      <c r="V275" s="4">
        <v>17</v>
      </c>
      <c r="W275" s="4">
        <v>78</v>
      </c>
    </row>
    <row r="276" spans="1:23" ht="11.25" customHeight="1" x14ac:dyDescent="0.25">
      <c r="A276" s="4" t="s">
        <v>21</v>
      </c>
      <c r="B276" s="4" t="s">
        <v>38</v>
      </c>
      <c r="C276" s="4" t="s">
        <v>39</v>
      </c>
      <c r="D276" s="4" t="s">
        <v>43</v>
      </c>
      <c r="E276" s="4" t="s">
        <v>52</v>
      </c>
      <c r="F276" s="4" t="s">
        <v>54</v>
      </c>
      <c r="G276" s="4" t="s">
        <v>25</v>
      </c>
      <c r="H276" s="4" t="s">
        <v>34</v>
      </c>
      <c r="I276" s="5">
        <v>44682</v>
      </c>
      <c r="J276" s="6">
        <v>0</v>
      </c>
      <c r="K276" s="6">
        <v>0</v>
      </c>
      <c r="L276" s="6">
        <v>1.696</v>
      </c>
      <c r="M276" s="6">
        <v>0.50880000000000003</v>
      </c>
      <c r="N276" s="6">
        <v>1.696</v>
      </c>
      <c r="O276" s="6">
        <v>0.50880000000000003</v>
      </c>
      <c r="P276" s="6">
        <v>0</v>
      </c>
      <c r="Q276" s="4" t="s">
        <v>26</v>
      </c>
      <c r="R276" s="4">
        <v>0</v>
      </c>
      <c r="S276" s="4" t="s">
        <v>145</v>
      </c>
      <c r="T276" s="4" t="s">
        <v>323</v>
      </c>
      <c r="U276" s="4">
        <v>0</v>
      </c>
      <c r="V276" s="4">
        <v>17</v>
      </c>
      <c r="W276" s="4">
        <v>78</v>
      </c>
    </row>
    <row r="277" spans="1:23" ht="11.25" customHeight="1" x14ac:dyDescent="0.25">
      <c r="A277" s="4" t="s">
        <v>55</v>
      </c>
      <c r="B277" s="4" t="s">
        <v>38</v>
      </c>
      <c r="C277" s="4" t="s">
        <v>39</v>
      </c>
      <c r="D277" s="4" t="s">
        <v>43</v>
      </c>
      <c r="E277" s="4" t="s">
        <v>52</v>
      </c>
      <c r="F277" s="4" t="s">
        <v>54</v>
      </c>
      <c r="G277" s="4" t="s">
        <v>25</v>
      </c>
      <c r="H277" s="4" t="s">
        <v>34</v>
      </c>
      <c r="I277" s="5">
        <v>44713</v>
      </c>
      <c r="J277" s="6">
        <v>0</v>
      </c>
      <c r="K277" s="6">
        <v>0</v>
      </c>
      <c r="L277" s="6">
        <v>1.696</v>
      </c>
      <c r="M277" s="6">
        <v>0.50880000000000003</v>
      </c>
      <c r="N277" s="6">
        <v>1.696</v>
      </c>
      <c r="O277" s="6">
        <v>0.50880000000000003</v>
      </c>
      <c r="P277" s="6">
        <v>0</v>
      </c>
      <c r="Q277" s="4" t="s">
        <v>26</v>
      </c>
      <c r="R277" s="4">
        <v>0</v>
      </c>
      <c r="S277" s="4" t="s">
        <v>146</v>
      </c>
      <c r="T277" s="4" t="s">
        <v>324</v>
      </c>
      <c r="U277" s="4">
        <v>0</v>
      </c>
      <c r="V277" s="4">
        <v>17</v>
      </c>
      <c r="W277" s="4">
        <v>78</v>
      </c>
    </row>
    <row r="278" spans="1:23" ht="11.25" customHeight="1" x14ac:dyDescent="0.25">
      <c r="A278" s="4" t="s">
        <v>21</v>
      </c>
      <c r="B278" s="4" t="s">
        <v>38</v>
      </c>
      <c r="C278" s="4" t="s">
        <v>39</v>
      </c>
      <c r="D278" s="4" t="s">
        <v>43</v>
      </c>
      <c r="E278" s="4" t="s">
        <v>52</v>
      </c>
      <c r="F278" s="4" t="s">
        <v>25</v>
      </c>
      <c r="G278" s="4" t="s">
        <v>25</v>
      </c>
      <c r="H278" s="4" t="s">
        <v>34</v>
      </c>
      <c r="I278" s="5">
        <v>44378</v>
      </c>
      <c r="J278" s="6">
        <v>0</v>
      </c>
      <c r="K278" s="6">
        <v>0</v>
      </c>
      <c r="L278" s="6">
        <v>4.133</v>
      </c>
      <c r="M278" s="6">
        <v>3.9676799999999997</v>
      </c>
      <c r="N278" s="6">
        <v>4.133</v>
      </c>
      <c r="O278" s="6">
        <v>3.9676799999999997</v>
      </c>
      <c r="P278" s="6">
        <v>0</v>
      </c>
      <c r="Q278" s="4" t="s">
        <v>26</v>
      </c>
      <c r="R278" s="4">
        <v>0</v>
      </c>
      <c r="S278" s="4" t="s">
        <v>135</v>
      </c>
      <c r="T278" s="4" t="s">
        <v>313</v>
      </c>
      <c r="U278" s="4">
        <v>0</v>
      </c>
      <c r="V278" s="4">
        <v>17</v>
      </c>
      <c r="W278" s="4">
        <v>78</v>
      </c>
    </row>
    <row r="279" spans="1:23" ht="11.25" customHeight="1" x14ac:dyDescent="0.25">
      <c r="A279" s="4" t="s">
        <v>21</v>
      </c>
      <c r="B279" s="4" t="s">
        <v>38</v>
      </c>
      <c r="C279" s="4" t="s">
        <v>39</v>
      </c>
      <c r="D279" s="4" t="s">
        <v>43</v>
      </c>
      <c r="E279" s="4" t="s">
        <v>52</v>
      </c>
      <c r="F279" s="4" t="s">
        <v>25</v>
      </c>
      <c r="G279" s="4" t="s">
        <v>25</v>
      </c>
      <c r="H279" s="4" t="s">
        <v>34</v>
      </c>
      <c r="I279" s="5">
        <v>44409</v>
      </c>
      <c r="J279" s="6">
        <v>0</v>
      </c>
      <c r="K279" s="6">
        <v>0</v>
      </c>
      <c r="L279" s="6">
        <v>1.1839999999999999</v>
      </c>
      <c r="M279" s="6">
        <v>1.1366400000000001</v>
      </c>
      <c r="N279" s="6">
        <v>1.1839999999999999</v>
      </c>
      <c r="O279" s="6">
        <v>1.1366400000000001</v>
      </c>
      <c r="P279" s="6">
        <v>0</v>
      </c>
      <c r="Q279" s="4" t="s">
        <v>26</v>
      </c>
      <c r="R279" s="4">
        <v>0</v>
      </c>
      <c r="S279" s="4" t="s">
        <v>136</v>
      </c>
      <c r="T279" s="4" t="s">
        <v>314</v>
      </c>
      <c r="U279" s="4">
        <v>0</v>
      </c>
      <c r="V279" s="4">
        <v>17</v>
      </c>
      <c r="W279" s="4">
        <v>78</v>
      </c>
    </row>
    <row r="280" spans="1:23" ht="11.25" customHeight="1" x14ac:dyDescent="0.25">
      <c r="A280" s="4" t="s">
        <v>21</v>
      </c>
      <c r="B280" s="4" t="s">
        <v>38</v>
      </c>
      <c r="C280" s="4" t="s">
        <v>39</v>
      </c>
      <c r="D280" s="4" t="s">
        <v>43</v>
      </c>
      <c r="E280" s="4" t="s">
        <v>52</v>
      </c>
      <c r="F280" s="4" t="s">
        <v>25</v>
      </c>
      <c r="G280" s="4" t="s">
        <v>25</v>
      </c>
      <c r="H280" s="4" t="s">
        <v>34</v>
      </c>
      <c r="I280" s="5">
        <v>44440</v>
      </c>
      <c r="J280" s="6">
        <v>0</v>
      </c>
      <c r="K280" s="6">
        <v>0</v>
      </c>
      <c r="L280" s="6">
        <v>5.3810000000000002</v>
      </c>
      <c r="M280" s="6">
        <v>5.1657599999999997</v>
      </c>
      <c r="N280" s="6">
        <v>5.3810000000000002</v>
      </c>
      <c r="O280" s="6">
        <v>5.1657599999999997</v>
      </c>
      <c r="P280" s="6">
        <v>0</v>
      </c>
      <c r="Q280" s="4" t="s">
        <v>26</v>
      </c>
      <c r="R280" s="4">
        <v>0</v>
      </c>
      <c r="S280" s="4" t="s">
        <v>137</v>
      </c>
      <c r="T280" s="4" t="s">
        <v>315</v>
      </c>
      <c r="U280" s="4">
        <v>0</v>
      </c>
      <c r="V280" s="4">
        <v>17</v>
      </c>
      <c r="W280" s="4">
        <v>78</v>
      </c>
    </row>
    <row r="281" spans="1:23" ht="11.25" customHeight="1" x14ac:dyDescent="0.25">
      <c r="A281" s="4" t="s">
        <v>21</v>
      </c>
      <c r="B281" s="4" t="s">
        <v>38</v>
      </c>
      <c r="C281" s="4" t="s">
        <v>39</v>
      </c>
      <c r="D281" s="4" t="s">
        <v>43</v>
      </c>
      <c r="E281" s="4" t="s">
        <v>52</v>
      </c>
      <c r="F281" s="4" t="s">
        <v>25</v>
      </c>
      <c r="G281" s="4" t="s">
        <v>25</v>
      </c>
      <c r="H281" s="4" t="s">
        <v>34</v>
      </c>
      <c r="I281" s="5">
        <v>44470</v>
      </c>
      <c r="J281" s="6">
        <v>0</v>
      </c>
      <c r="K281" s="6">
        <v>0</v>
      </c>
      <c r="L281" s="6">
        <v>6.93</v>
      </c>
      <c r="M281" s="6">
        <v>6.6528</v>
      </c>
      <c r="N281" s="6">
        <v>6.93</v>
      </c>
      <c r="O281" s="6">
        <v>6.6528</v>
      </c>
      <c r="P281" s="6">
        <v>0</v>
      </c>
      <c r="Q281" s="4" t="s">
        <v>26</v>
      </c>
      <c r="R281" s="4">
        <v>0</v>
      </c>
      <c r="S281" s="4" t="s">
        <v>138</v>
      </c>
      <c r="T281" s="4" t="s">
        <v>316</v>
      </c>
      <c r="U281" s="4">
        <v>0</v>
      </c>
      <c r="V281" s="4">
        <v>17</v>
      </c>
      <c r="W281" s="4">
        <v>78</v>
      </c>
    </row>
    <row r="282" spans="1:23" ht="11.25" customHeight="1" x14ac:dyDescent="0.25">
      <c r="A282" s="4" t="s">
        <v>21</v>
      </c>
      <c r="B282" s="4" t="s">
        <v>38</v>
      </c>
      <c r="C282" s="4" t="s">
        <v>39</v>
      </c>
      <c r="D282" s="4" t="s">
        <v>43</v>
      </c>
      <c r="E282" s="4" t="s">
        <v>52</v>
      </c>
      <c r="F282" s="4" t="s">
        <v>25</v>
      </c>
      <c r="G282" s="4" t="s">
        <v>25</v>
      </c>
      <c r="H282" s="4" t="s">
        <v>34</v>
      </c>
      <c r="I282" s="5">
        <v>44501</v>
      </c>
      <c r="J282" s="6">
        <v>0</v>
      </c>
      <c r="K282" s="6">
        <v>0</v>
      </c>
      <c r="L282" s="6">
        <v>35.174999999999997</v>
      </c>
      <c r="M282" s="6">
        <v>33.768000000000001</v>
      </c>
      <c r="N282" s="6">
        <v>35.174999999999997</v>
      </c>
      <c r="O282" s="6">
        <v>33.768000000000001</v>
      </c>
      <c r="P282" s="6">
        <v>0</v>
      </c>
      <c r="Q282" s="4" t="s">
        <v>26</v>
      </c>
      <c r="R282" s="4">
        <v>0</v>
      </c>
      <c r="S282" s="4" t="s">
        <v>139</v>
      </c>
      <c r="T282" s="4" t="s">
        <v>317</v>
      </c>
      <c r="U282" s="4">
        <v>0</v>
      </c>
      <c r="V282" s="4">
        <v>17</v>
      </c>
      <c r="W282" s="4">
        <v>78</v>
      </c>
    </row>
    <row r="283" spans="1:23" ht="11.25" customHeight="1" x14ac:dyDescent="0.25">
      <c r="A283" s="4" t="s">
        <v>21</v>
      </c>
      <c r="B283" s="4" t="s">
        <v>38</v>
      </c>
      <c r="C283" s="4" t="s">
        <v>39</v>
      </c>
      <c r="D283" s="4" t="s">
        <v>43</v>
      </c>
      <c r="E283" s="4" t="s">
        <v>52</v>
      </c>
      <c r="F283" s="4" t="s">
        <v>25</v>
      </c>
      <c r="G283" s="4" t="s">
        <v>25</v>
      </c>
      <c r="H283" s="4" t="s">
        <v>34</v>
      </c>
      <c r="I283" s="5">
        <v>44531</v>
      </c>
      <c r="J283" s="6">
        <v>0</v>
      </c>
      <c r="K283" s="6">
        <v>0</v>
      </c>
      <c r="L283" s="6">
        <v>59.996000000000002</v>
      </c>
      <c r="M283" s="6">
        <v>57.596159999999998</v>
      </c>
      <c r="N283" s="6">
        <v>59.996000000000002</v>
      </c>
      <c r="O283" s="6">
        <v>57.596159999999998</v>
      </c>
      <c r="P283" s="6">
        <v>0</v>
      </c>
      <c r="Q283" s="4" t="s">
        <v>26</v>
      </c>
      <c r="R283" s="4">
        <v>0</v>
      </c>
      <c r="S283" s="4" t="s">
        <v>140</v>
      </c>
      <c r="T283" s="4" t="s">
        <v>318</v>
      </c>
      <c r="U283" s="4">
        <v>0</v>
      </c>
      <c r="V283" s="4">
        <v>17</v>
      </c>
      <c r="W283" s="4">
        <v>78</v>
      </c>
    </row>
    <row r="284" spans="1:23" ht="11.25" customHeight="1" x14ac:dyDescent="0.25">
      <c r="A284" s="4" t="s">
        <v>21</v>
      </c>
      <c r="B284" s="4" t="s">
        <v>38</v>
      </c>
      <c r="C284" s="4" t="s">
        <v>39</v>
      </c>
      <c r="D284" s="4" t="s">
        <v>43</v>
      </c>
      <c r="E284" s="4" t="s">
        <v>52</v>
      </c>
      <c r="F284" s="4" t="s">
        <v>25</v>
      </c>
      <c r="G284" s="4" t="s">
        <v>25</v>
      </c>
      <c r="H284" s="4" t="s">
        <v>34</v>
      </c>
      <c r="I284" s="5">
        <v>44562</v>
      </c>
      <c r="J284" s="6">
        <v>0</v>
      </c>
      <c r="K284" s="6">
        <v>0</v>
      </c>
      <c r="L284" s="6">
        <v>56.631</v>
      </c>
      <c r="M284" s="6">
        <v>54.365760000000002</v>
      </c>
      <c r="N284" s="6">
        <v>56.631</v>
      </c>
      <c r="O284" s="6">
        <v>54.365760000000002</v>
      </c>
      <c r="P284" s="6">
        <v>0</v>
      </c>
      <c r="Q284" s="4" t="s">
        <v>26</v>
      </c>
      <c r="R284" s="4">
        <v>0</v>
      </c>
      <c r="S284" s="4" t="s">
        <v>141</v>
      </c>
      <c r="T284" s="4" t="s">
        <v>319</v>
      </c>
      <c r="U284" s="4">
        <v>0</v>
      </c>
      <c r="V284" s="4">
        <v>17</v>
      </c>
      <c r="W284" s="4">
        <v>78</v>
      </c>
    </row>
    <row r="285" spans="1:23" ht="11.25" customHeight="1" x14ac:dyDescent="0.25">
      <c r="A285" s="4" t="s">
        <v>21</v>
      </c>
      <c r="B285" s="4" t="s">
        <v>38</v>
      </c>
      <c r="C285" s="4" t="s">
        <v>39</v>
      </c>
      <c r="D285" s="4" t="s">
        <v>43</v>
      </c>
      <c r="E285" s="4" t="s">
        <v>52</v>
      </c>
      <c r="F285" s="4" t="s">
        <v>25</v>
      </c>
      <c r="G285" s="4" t="s">
        <v>25</v>
      </c>
      <c r="H285" s="4" t="s">
        <v>34</v>
      </c>
      <c r="I285" s="5">
        <v>44593</v>
      </c>
      <c r="J285" s="6">
        <v>0</v>
      </c>
      <c r="K285" s="6">
        <v>0</v>
      </c>
      <c r="L285" s="6">
        <v>30.75</v>
      </c>
      <c r="M285" s="6">
        <v>29.52</v>
      </c>
      <c r="N285" s="6">
        <v>30.75</v>
      </c>
      <c r="O285" s="6">
        <v>29.52</v>
      </c>
      <c r="P285" s="6">
        <v>0</v>
      </c>
      <c r="Q285" s="4" t="s">
        <v>26</v>
      </c>
      <c r="R285" s="4">
        <v>0</v>
      </c>
      <c r="S285" s="4" t="s">
        <v>142</v>
      </c>
      <c r="T285" s="4" t="s">
        <v>320</v>
      </c>
      <c r="U285" s="4">
        <v>0</v>
      </c>
      <c r="V285" s="4">
        <v>17</v>
      </c>
      <c r="W285" s="4">
        <v>78</v>
      </c>
    </row>
    <row r="286" spans="1:23" ht="11.25" customHeight="1" x14ac:dyDescent="0.25">
      <c r="A286" s="4" t="s">
        <v>21</v>
      </c>
      <c r="B286" s="4" t="s">
        <v>38</v>
      </c>
      <c r="C286" s="4" t="s">
        <v>39</v>
      </c>
      <c r="D286" s="4" t="s">
        <v>43</v>
      </c>
      <c r="E286" s="4" t="s">
        <v>52</v>
      </c>
      <c r="F286" s="4" t="s">
        <v>25</v>
      </c>
      <c r="G286" s="4" t="s">
        <v>25</v>
      </c>
      <c r="H286" s="4" t="s">
        <v>34</v>
      </c>
      <c r="I286" s="5">
        <v>44621</v>
      </c>
      <c r="J286" s="6">
        <v>0</v>
      </c>
      <c r="K286" s="6">
        <v>0</v>
      </c>
      <c r="L286" s="6">
        <v>0.42399999999999999</v>
      </c>
      <c r="M286" s="6">
        <v>0.40704000000000001</v>
      </c>
      <c r="N286" s="6">
        <v>0.42399999999999999</v>
      </c>
      <c r="O286" s="6">
        <v>0.40704000000000001</v>
      </c>
      <c r="P286" s="6">
        <v>0</v>
      </c>
      <c r="Q286" s="4" t="s">
        <v>26</v>
      </c>
      <c r="R286" s="4">
        <v>0</v>
      </c>
      <c r="S286" s="4" t="s">
        <v>143</v>
      </c>
      <c r="T286" s="4" t="s">
        <v>321</v>
      </c>
      <c r="U286" s="4">
        <v>0</v>
      </c>
      <c r="V286" s="4">
        <v>17</v>
      </c>
      <c r="W286" s="4">
        <v>78</v>
      </c>
    </row>
    <row r="287" spans="1:23" ht="11.25" customHeight="1" x14ac:dyDescent="0.25">
      <c r="A287" s="4" t="s">
        <v>21</v>
      </c>
      <c r="B287" s="4" t="s">
        <v>38</v>
      </c>
      <c r="C287" s="4" t="s">
        <v>39</v>
      </c>
      <c r="D287" s="4" t="s">
        <v>43</v>
      </c>
      <c r="E287" s="4" t="s">
        <v>52</v>
      </c>
      <c r="F287" s="4" t="s">
        <v>25</v>
      </c>
      <c r="G287" s="4" t="s">
        <v>25</v>
      </c>
      <c r="H287" s="4" t="s">
        <v>34</v>
      </c>
      <c r="I287" s="5">
        <v>44652</v>
      </c>
      <c r="J287" s="6">
        <v>0</v>
      </c>
      <c r="K287" s="6">
        <v>0</v>
      </c>
      <c r="L287" s="6">
        <v>2.1419999999999999</v>
      </c>
      <c r="M287" s="6">
        <v>2.0563199999999999</v>
      </c>
      <c r="N287" s="6">
        <v>2.1419999999999999</v>
      </c>
      <c r="O287" s="6">
        <v>2.0563199999999999</v>
      </c>
      <c r="P287" s="6">
        <v>0</v>
      </c>
      <c r="Q287" s="4" t="s">
        <v>26</v>
      </c>
      <c r="R287" s="4">
        <v>0</v>
      </c>
      <c r="S287" s="4" t="s">
        <v>144</v>
      </c>
      <c r="T287" s="4" t="s">
        <v>322</v>
      </c>
      <c r="U287" s="4">
        <v>0</v>
      </c>
      <c r="V287" s="4">
        <v>17</v>
      </c>
      <c r="W287" s="4">
        <v>78</v>
      </c>
    </row>
    <row r="288" spans="1:23" ht="11.25" customHeight="1" x14ac:dyDescent="0.25">
      <c r="A288" s="4" t="s">
        <v>21</v>
      </c>
      <c r="B288" s="4" t="s">
        <v>38</v>
      </c>
      <c r="C288" s="4" t="s">
        <v>39</v>
      </c>
      <c r="D288" s="4" t="s">
        <v>43</v>
      </c>
      <c r="E288" s="4" t="s">
        <v>52</v>
      </c>
      <c r="F288" s="4" t="s">
        <v>25</v>
      </c>
      <c r="G288" s="4" t="s">
        <v>25</v>
      </c>
      <c r="H288" s="4" t="s">
        <v>34</v>
      </c>
      <c r="I288" s="5">
        <v>44682</v>
      </c>
      <c r="J288" s="6">
        <v>0</v>
      </c>
      <c r="K288" s="6">
        <v>0</v>
      </c>
      <c r="L288" s="6">
        <v>3.1789999999999998</v>
      </c>
      <c r="M288" s="6">
        <v>3.0518399999999999</v>
      </c>
      <c r="N288" s="6">
        <v>3.1789999999999998</v>
      </c>
      <c r="O288" s="6">
        <v>3.0518399999999999</v>
      </c>
      <c r="P288" s="6">
        <v>0</v>
      </c>
      <c r="Q288" s="4" t="s">
        <v>26</v>
      </c>
      <c r="R288" s="4">
        <v>0</v>
      </c>
      <c r="S288" s="4" t="s">
        <v>145</v>
      </c>
      <c r="T288" s="4" t="s">
        <v>323</v>
      </c>
      <c r="U288" s="4">
        <v>0</v>
      </c>
      <c r="V288" s="4">
        <v>17</v>
      </c>
      <c r="W288" s="4">
        <v>78</v>
      </c>
    </row>
    <row r="289" spans="1:23" ht="11.25" customHeight="1" x14ac:dyDescent="0.25">
      <c r="A289" s="4" t="s">
        <v>55</v>
      </c>
      <c r="B289" s="4" t="s">
        <v>38</v>
      </c>
      <c r="C289" s="4" t="s">
        <v>39</v>
      </c>
      <c r="D289" s="4" t="s">
        <v>43</v>
      </c>
      <c r="E289" s="4" t="s">
        <v>52</v>
      </c>
      <c r="F289" s="4" t="s">
        <v>25</v>
      </c>
      <c r="G289" s="4" t="s">
        <v>25</v>
      </c>
      <c r="H289" s="4" t="s">
        <v>34</v>
      </c>
      <c r="I289" s="5">
        <v>44713</v>
      </c>
      <c r="J289" s="6">
        <v>0</v>
      </c>
      <c r="K289" s="6">
        <v>0</v>
      </c>
      <c r="L289" s="6">
        <v>3.1789999999999998</v>
      </c>
      <c r="M289" s="6">
        <v>3.0518399999999999</v>
      </c>
      <c r="N289" s="6">
        <v>3.1789999999999998</v>
      </c>
      <c r="O289" s="6">
        <v>3.0518399999999999</v>
      </c>
      <c r="P289" s="6">
        <v>0</v>
      </c>
      <c r="Q289" s="4" t="s">
        <v>26</v>
      </c>
      <c r="R289" s="4">
        <v>0</v>
      </c>
      <c r="S289" s="4" t="s">
        <v>146</v>
      </c>
      <c r="T289" s="4" t="s">
        <v>324</v>
      </c>
      <c r="U289" s="4">
        <v>0</v>
      </c>
      <c r="V289" s="4">
        <v>17</v>
      </c>
      <c r="W289" s="4">
        <v>78</v>
      </c>
    </row>
    <row r="290" spans="1:23" ht="11.25" customHeight="1" x14ac:dyDescent="0.25">
      <c r="A290" s="4" t="s">
        <v>21</v>
      </c>
      <c r="B290" s="4" t="s">
        <v>38</v>
      </c>
      <c r="C290" s="4" t="s">
        <v>39</v>
      </c>
      <c r="D290" s="4" t="s">
        <v>43</v>
      </c>
      <c r="E290" s="4" t="s">
        <v>52</v>
      </c>
      <c r="F290" s="4" t="s">
        <v>25</v>
      </c>
      <c r="G290" s="4" t="s">
        <v>25</v>
      </c>
      <c r="H290" s="4" t="s">
        <v>25</v>
      </c>
      <c r="I290" s="5">
        <v>44378</v>
      </c>
      <c r="J290" s="6">
        <v>981</v>
      </c>
      <c r="K290" s="6">
        <v>941.76</v>
      </c>
      <c r="L290" s="6">
        <v>0</v>
      </c>
      <c r="M290" s="6">
        <v>0</v>
      </c>
      <c r="N290" s="6">
        <v>0</v>
      </c>
      <c r="O290" s="6">
        <v>0</v>
      </c>
      <c r="P290" s="6">
        <v>3</v>
      </c>
      <c r="Q290" s="4" t="s">
        <v>26</v>
      </c>
      <c r="R290" s="4">
        <v>0</v>
      </c>
      <c r="S290" s="4" t="s">
        <v>147</v>
      </c>
      <c r="U290" s="4">
        <v>19</v>
      </c>
      <c r="V290" s="4">
        <v>0</v>
      </c>
      <c r="W290" s="4">
        <v>0</v>
      </c>
    </row>
    <row r="291" spans="1:23" ht="11.25" customHeight="1" x14ac:dyDescent="0.25">
      <c r="A291" s="4" t="s">
        <v>21</v>
      </c>
      <c r="B291" s="4" t="s">
        <v>38</v>
      </c>
      <c r="C291" s="4" t="s">
        <v>39</v>
      </c>
      <c r="D291" s="4" t="s">
        <v>43</v>
      </c>
      <c r="E291" s="4" t="s">
        <v>52</v>
      </c>
      <c r="F291" s="4" t="s">
        <v>25</v>
      </c>
      <c r="G291" s="4" t="s">
        <v>25</v>
      </c>
      <c r="H291" s="4" t="s">
        <v>25</v>
      </c>
      <c r="I291" s="5">
        <v>44409</v>
      </c>
      <c r="J291" s="6">
        <v>175</v>
      </c>
      <c r="K291" s="6">
        <v>168</v>
      </c>
      <c r="L291" s="6">
        <v>0</v>
      </c>
      <c r="M291" s="6">
        <v>0</v>
      </c>
      <c r="N291" s="6">
        <v>0</v>
      </c>
      <c r="O291" s="6">
        <v>0</v>
      </c>
      <c r="P291" s="6">
        <v>3</v>
      </c>
      <c r="Q291" s="4" t="s">
        <v>26</v>
      </c>
      <c r="R291" s="4">
        <v>0</v>
      </c>
      <c r="S291" s="4" t="s">
        <v>148</v>
      </c>
      <c r="U291" s="4">
        <v>19</v>
      </c>
      <c r="V291" s="4">
        <v>0</v>
      </c>
      <c r="W291" s="4">
        <v>0</v>
      </c>
    </row>
    <row r="292" spans="1:23" ht="11.25" customHeight="1" x14ac:dyDescent="0.25">
      <c r="A292" s="4" t="s">
        <v>21</v>
      </c>
      <c r="B292" s="4" t="s">
        <v>38</v>
      </c>
      <c r="C292" s="4" t="s">
        <v>39</v>
      </c>
      <c r="D292" s="4" t="s">
        <v>43</v>
      </c>
      <c r="E292" s="4" t="s">
        <v>52</v>
      </c>
      <c r="F292" s="4" t="s">
        <v>25</v>
      </c>
      <c r="G292" s="4" t="s">
        <v>25</v>
      </c>
      <c r="H292" s="4" t="s">
        <v>25</v>
      </c>
      <c r="I292" s="5">
        <v>44440</v>
      </c>
      <c r="J292" s="6">
        <v>1001</v>
      </c>
      <c r="K292" s="6">
        <v>960.96</v>
      </c>
      <c r="L292" s="6">
        <v>0</v>
      </c>
      <c r="M292" s="6">
        <v>0</v>
      </c>
      <c r="N292" s="6">
        <v>0</v>
      </c>
      <c r="O292" s="6">
        <v>0</v>
      </c>
      <c r="P292" s="6">
        <v>3</v>
      </c>
      <c r="Q292" s="4" t="s">
        <v>26</v>
      </c>
      <c r="R292" s="4">
        <v>0</v>
      </c>
      <c r="S292" s="4" t="s">
        <v>149</v>
      </c>
      <c r="U292" s="4">
        <v>19</v>
      </c>
      <c r="V292" s="4">
        <v>0</v>
      </c>
      <c r="W292" s="4">
        <v>0</v>
      </c>
    </row>
    <row r="293" spans="1:23" ht="11.25" customHeight="1" x14ac:dyDescent="0.25">
      <c r="A293" s="4" t="s">
        <v>21</v>
      </c>
      <c r="B293" s="4" t="s">
        <v>38</v>
      </c>
      <c r="C293" s="4" t="s">
        <v>39</v>
      </c>
      <c r="D293" s="4" t="s">
        <v>43</v>
      </c>
      <c r="E293" s="4" t="s">
        <v>52</v>
      </c>
      <c r="F293" s="4" t="s">
        <v>25</v>
      </c>
      <c r="G293" s="4" t="s">
        <v>25</v>
      </c>
      <c r="H293" s="4" t="s">
        <v>25</v>
      </c>
      <c r="I293" s="5">
        <v>44470</v>
      </c>
      <c r="J293" s="6">
        <v>345</v>
      </c>
      <c r="K293" s="6">
        <v>331.2</v>
      </c>
      <c r="L293" s="6">
        <v>0</v>
      </c>
      <c r="M293" s="6">
        <v>0</v>
      </c>
      <c r="N293" s="6">
        <v>0</v>
      </c>
      <c r="O293" s="6">
        <v>0</v>
      </c>
      <c r="P293" s="6">
        <v>3</v>
      </c>
      <c r="Q293" s="4" t="s">
        <v>26</v>
      </c>
      <c r="R293" s="4">
        <v>0</v>
      </c>
      <c r="S293" s="4" t="s">
        <v>150</v>
      </c>
      <c r="U293" s="4">
        <v>19</v>
      </c>
      <c r="V293" s="4">
        <v>0</v>
      </c>
      <c r="W293" s="4">
        <v>0</v>
      </c>
    </row>
    <row r="294" spans="1:23" ht="11.25" customHeight="1" x14ac:dyDescent="0.25">
      <c r="A294" s="4" t="s">
        <v>21</v>
      </c>
      <c r="B294" s="4" t="s">
        <v>38</v>
      </c>
      <c r="C294" s="4" t="s">
        <v>39</v>
      </c>
      <c r="D294" s="4" t="s">
        <v>43</v>
      </c>
      <c r="E294" s="4" t="s">
        <v>52</v>
      </c>
      <c r="F294" s="4" t="s">
        <v>25</v>
      </c>
      <c r="G294" s="4" t="s">
        <v>25</v>
      </c>
      <c r="H294" s="4" t="s">
        <v>25</v>
      </c>
      <c r="I294" s="5">
        <v>44501</v>
      </c>
      <c r="J294" s="6">
        <v>381</v>
      </c>
      <c r="K294" s="6">
        <v>365.76</v>
      </c>
      <c r="L294" s="6">
        <v>0</v>
      </c>
      <c r="M294" s="6">
        <v>0</v>
      </c>
      <c r="N294" s="6">
        <v>0</v>
      </c>
      <c r="O294" s="6">
        <v>0</v>
      </c>
      <c r="P294" s="6">
        <v>3</v>
      </c>
      <c r="Q294" s="4" t="s">
        <v>26</v>
      </c>
      <c r="R294" s="4">
        <v>0</v>
      </c>
      <c r="S294" s="4" t="s">
        <v>151</v>
      </c>
      <c r="U294" s="4">
        <v>19</v>
      </c>
      <c r="V294" s="4">
        <v>0</v>
      </c>
      <c r="W294" s="4">
        <v>0</v>
      </c>
    </row>
    <row r="295" spans="1:23" ht="11.25" customHeight="1" x14ac:dyDescent="0.25">
      <c r="A295" s="4" t="s">
        <v>21</v>
      </c>
      <c r="B295" s="4" t="s">
        <v>38</v>
      </c>
      <c r="C295" s="4" t="s">
        <v>39</v>
      </c>
      <c r="D295" s="4" t="s">
        <v>43</v>
      </c>
      <c r="E295" s="4" t="s">
        <v>52</v>
      </c>
      <c r="F295" s="4" t="s">
        <v>25</v>
      </c>
      <c r="G295" s="4" t="s">
        <v>25</v>
      </c>
      <c r="H295" s="4" t="s">
        <v>25</v>
      </c>
      <c r="I295" s="5">
        <v>44531</v>
      </c>
      <c r="J295" s="6">
        <v>927</v>
      </c>
      <c r="K295" s="6">
        <v>889.92</v>
      </c>
      <c r="L295" s="6">
        <v>0</v>
      </c>
      <c r="M295" s="6">
        <v>0</v>
      </c>
      <c r="N295" s="6">
        <v>0</v>
      </c>
      <c r="O295" s="6">
        <v>0</v>
      </c>
      <c r="P295" s="6">
        <v>3</v>
      </c>
      <c r="Q295" s="4" t="s">
        <v>26</v>
      </c>
      <c r="R295" s="4">
        <v>0</v>
      </c>
      <c r="S295" s="4" t="s">
        <v>152</v>
      </c>
      <c r="U295" s="4">
        <v>19</v>
      </c>
      <c r="V295" s="4">
        <v>0</v>
      </c>
      <c r="W295" s="4">
        <v>0</v>
      </c>
    </row>
    <row r="296" spans="1:23" ht="11.25" customHeight="1" x14ac:dyDescent="0.25">
      <c r="A296" s="4" t="s">
        <v>21</v>
      </c>
      <c r="B296" s="4" t="s">
        <v>38</v>
      </c>
      <c r="C296" s="4" t="s">
        <v>39</v>
      </c>
      <c r="D296" s="4" t="s">
        <v>43</v>
      </c>
      <c r="E296" s="4" t="s">
        <v>52</v>
      </c>
      <c r="F296" s="4" t="s">
        <v>25</v>
      </c>
      <c r="G296" s="4" t="s">
        <v>25</v>
      </c>
      <c r="H296" s="4" t="s">
        <v>25</v>
      </c>
      <c r="I296" s="5">
        <v>44562</v>
      </c>
      <c r="J296" s="6">
        <v>635</v>
      </c>
      <c r="K296" s="6">
        <v>609.6</v>
      </c>
      <c r="L296" s="6">
        <v>0</v>
      </c>
      <c r="M296" s="6">
        <v>0</v>
      </c>
      <c r="N296" s="6">
        <v>0</v>
      </c>
      <c r="O296" s="6">
        <v>0</v>
      </c>
      <c r="P296" s="6">
        <v>3</v>
      </c>
      <c r="Q296" s="4" t="s">
        <v>26</v>
      </c>
      <c r="R296" s="4">
        <v>0</v>
      </c>
      <c r="S296" s="4" t="s">
        <v>153</v>
      </c>
      <c r="U296" s="4">
        <v>19</v>
      </c>
      <c r="V296" s="4">
        <v>0</v>
      </c>
      <c r="W296" s="4">
        <v>0</v>
      </c>
    </row>
    <row r="297" spans="1:23" ht="11.25" customHeight="1" x14ac:dyDescent="0.25">
      <c r="A297" s="4" t="s">
        <v>21</v>
      </c>
      <c r="B297" s="4" t="s">
        <v>38</v>
      </c>
      <c r="C297" s="4" t="s">
        <v>39</v>
      </c>
      <c r="D297" s="4" t="s">
        <v>43</v>
      </c>
      <c r="E297" s="4" t="s">
        <v>52</v>
      </c>
      <c r="F297" s="4" t="s">
        <v>25</v>
      </c>
      <c r="G297" s="4" t="s">
        <v>25</v>
      </c>
      <c r="H297" s="4" t="s">
        <v>25</v>
      </c>
      <c r="I297" s="5">
        <v>44593</v>
      </c>
      <c r="J297" s="6">
        <v>589</v>
      </c>
      <c r="K297" s="6">
        <v>565.44000000000005</v>
      </c>
      <c r="L297" s="6">
        <v>0</v>
      </c>
      <c r="M297" s="6">
        <v>0</v>
      </c>
      <c r="N297" s="6">
        <v>0</v>
      </c>
      <c r="O297" s="6">
        <v>0</v>
      </c>
      <c r="P297" s="6">
        <v>3</v>
      </c>
      <c r="Q297" s="4" t="s">
        <v>26</v>
      </c>
      <c r="R297" s="4">
        <v>0</v>
      </c>
      <c r="S297" s="4" t="s">
        <v>154</v>
      </c>
      <c r="U297" s="4">
        <v>19</v>
      </c>
      <c r="V297" s="4">
        <v>0</v>
      </c>
      <c r="W297" s="4">
        <v>0</v>
      </c>
    </row>
    <row r="298" spans="1:23" ht="11.25" customHeight="1" x14ac:dyDescent="0.25">
      <c r="A298" s="4" t="s">
        <v>21</v>
      </c>
      <c r="B298" s="4" t="s">
        <v>38</v>
      </c>
      <c r="C298" s="4" t="s">
        <v>39</v>
      </c>
      <c r="D298" s="4" t="s">
        <v>43</v>
      </c>
      <c r="E298" s="4" t="s">
        <v>52</v>
      </c>
      <c r="F298" s="4" t="s">
        <v>25</v>
      </c>
      <c r="G298" s="4" t="s">
        <v>25</v>
      </c>
      <c r="H298" s="4" t="s">
        <v>25</v>
      </c>
      <c r="I298" s="5">
        <v>44621</v>
      </c>
      <c r="J298" s="6">
        <v>102</v>
      </c>
      <c r="K298" s="6">
        <v>97.92</v>
      </c>
      <c r="L298" s="6">
        <v>0</v>
      </c>
      <c r="M298" s="6">
        <v>0</v>
      </c>
      <c r="N298" s="6">
        <v>0</v>
      </c>
      <c r="O298" s="6">
        <v>0</v>
      </c>
      <c r="P298" s="6">
        <v>3</v>
      </c>
      <c r="Q298" s="4" t="s">
        <v>26</v>
      </c>
      <c r="R298" s="4">
        <v>0</v>
      </c>
      <c r="S298" s="4" t="s">
        <v>155</v>
      </c>
      <c r="U298" s="4">
        <v>19</v>
      </c>
      <c r="V298" s="4">
        <v>0</v>
      </c>
      <c r="W298" s="4">
        <v>0</v>
      </c>
    </row>
    <row r="299" spans="1:23" ht="11.25" customHeight="1" x14ac:dyDescent="0.25">
      <c r="A299" s="4" t="s">
        <v>21</v>
      </c>
      <c r="B299" s="4" t="s">
        <v>38</v>
      </c>
      <c r="C299" s="4" t="s">
        <v>39</v>
      </c>
      <c r="D299" s="4" t="s">
        <v>43</v>
      </c>
      <c r="E299" s="4" t="s">
        <v>52</v>
      </c>
      <c r="F299" s="4" t="s">
        <v>25</v>
      </c>
      <c r="G299" s="4" t="s">
        <v>25</v>
      </c>
      <c r="H299" s="4" t="s">
        <v>25</v>
      </c>
      <c r="I299" s="5">
        <v>44652</v>
      </c>
      <c r="J299" s="6">
        <v>172</v>
      </c>
      <c r="K299" s="6">
        <v>165.12</v>
      </c>
      <c r="L299" s="6">
        <v>0</v>
      </c>
      <c r="M299" s="6">
        <v>0</v>
      </c>
      <c r="N299" s="6">
        <v>0</v>
      </c>
      <c r="O299" s="6">
        <v>0</v>
      </c>
      <c r="P299" s="6">
        <v>3</v>
      </c>
      <c r="Q299" s="4" t="s">
        <v>26</v>
      </c>
      <c r="R299" s="4">
        <v>0</v>
      </c>
      <c r="S299" s="4" t="s">
        <v>156</v>
      </c>
      <c r="U299" s="4">
        <v>19</v>
      </c>
      <c r="V299" s="4">
        <v>0</v>
      </c>
      <c r="W299" s="4">
        <v>0</v>
      </c>
    </row>
    <row r="300" spans="1:23" ht="11.25" customHeight="1" x14ac:dyDescent="0.25">
      <c r="A300" s="4" t="s">
        <v>21</v>
      </c>
      <c r="B300" s="4" t="s">
        <v>38</v>
      </c>
      <c r="C300" s="4" t="s">
        <v>39</v>
      </c>
      <c r="D300" s="4" t="s">
        <v>43</v>
      </c>
      <c r="E300" s="4" t="s">
        <v>52</v>
      </c>
      <c r="F300" s="4" t="s">
        <v>25</v>
      </c>
      <c r="G300" s="4" t="s">
        <v>25</v>
      </c>
      <c r="H300" s="4" t="s">
        <v>25</v>
      </c>
      <c r="I300" s="5">
        <v>44682</v>
      </c>
      <c r="J300" s="6">
        <v>177</v>
      </c>
      <c r="K300" s="6">
        <v>169.92</v>
      </c>
      <c r="L300" s="6">
        <v>0</v>
      </c>
      <c r="M300" s="6">
        <v>0</v>
      </c>
      <c r="N300" s="6">
        <v>0</v>
      </c>
      <c r="O300" s="6">
        <v>0</v>
      </c>
      <c r="P300" s="6">
        <v>3</v>
      </c>
      <c r="Q300" s="4" t="s">
        <v>26</v>
      </c>
      <c r="R300" s="4">
        <v>0</v>
      </c>
      <c r="S300" s="4" t="s">
        <v>157</v>
      </c>
      <c r="U300" s="4">
        <v>19</v>
      </c>
      <c r="V300" s="4">
        <v>0</v>
      </c>
      <c r="W300" s="4">
        <v>0</v>
      </c>
    </row>
    <row r="301" spans="1:23" ht="11.25" customHeight="1" x14ac:dyDescent="0.25">
      <c r="A301" s="4" t="s">
        <v>55</v>
      </c>
      <c r="B301" s="4" t="s">
        <v>38</v>
      </c>
      <c r="C301" s="4" t="s">
        <v>39</v>
      </c>
      <c r="D301" s="4" t="s">
        <v>43</v>
      </c>
      <c r="E301" s="4" t="s">
        <v>52</v>
      </c>
      <c r="F301" s="4" t="s">
        <v>25</v>
      </c>
      <c r="G301" s="4" t="s">
        <v>25</v>
      </c>
      <c r="H301" s="4" t="s">
        <v>25</v>
      </c>
      <c r="I301" s="5">
        <v>44713</v>
      </c>
      <c r="J301" s="6">
        <v>177</v>
      </c>
      <c r="K301" s="6">
        <v>169.92</v>
      </c>
      <c r="L301" s="6">
        <v>0</v>
      </c>
      <c r="M301" s="6">
        <v>0</v>
      </c>
      <c r="N301" s="6">
        <v>0</v>
      </c>
      <c r="O301" s="6">
        <v>0</v>
      </c>
      <c r="P301" s="6">
        <v>3</v>
      </c>
      <c r="Q301" s="4" t="s">
        <v>26</v>
      </c>
      <c r="R301" s="4">
        <v>0</v>
      </c>
      <c r="S301" s="4" t="s">
        <v>158</v>
      </c>
      <c r="U301" s="4">
        <v>19</v>
      </c>
      <c r="V301" s="4">
        <v>0</v>
      </c>
      <c r="W301" s="4">
        <v>0</v>
      </c>
    </row>
    <row r="302" spans="1:23" ht="11.25" customHeight="1" x14ac:dyDescent="0.25">
      <c r="A302" s="4" t="s">
        <v>21</v>
      </c>
      <c r="B302" s="4" t="s">
        <v>38</v>
      </c>
      <c r="C302" s="4" t="s">
        <v>39</v>
      </c>
      <c r="D302" s="4" t="s">
        <v>43</v>
      </c>
      <c r="E302" s="4" t="s">
        <v>52</v>
      </c>
      <c r="F302" s="4" t="s">
        <v>25</v>
      </c>
      <c r="G302" s="4" t="s">
        <v>25</v>
      </c>
      <c r="H302" s="4" t="s">
        <v>33</v>
      </c>
      <c r="I302" s="5">
        <v>44378</v>
      </c>
      <c r="J302" s="6">
        <v>0</v>
      </c>
      <c r="K302" s="6">
        <v>0</v>
      </c>
      <c r="L302" s="6">
        <v>5.0999999999999997E-2</v>
      </c>
      <c r="M302" s="6">
        <v>4.8959999999999997E-2</v>
      </c>
      <c r="N302" s="6">
        <v>5.0999999999999997E-2</v>
      </c>
      <c r="O302" s="6">
        <v>4.8959999999999997E-2</v>
      </c>
      <c r="P302" s="6">
        <v>0</v>
      </c>
      <c r="Q302" s="4" t="s">
        <v>26</v>
      </c>
      <c r="R302" s="4">
        <v>0</v>
      </c>
      <c r="S302" s="4" t="s">
        <v>159</v>
      </c>
      <c r="T302" s="4" t="s">
        <v>325</v>
      </c>
      <c r="U302" s="4">
        <v>0</v>
      </c>
      <c r="V302" s="4">
        <v>21</v>
      </c>
      <c r="W302" s="4">
        <v>66</v>
      </c>
    </row>
    <row r="303" spans="1:23" ht="11.25" customHeight="1" x14ac:dyDescent="0.25">
      <c r="A303" s="4" t="s">
        <v>21</v>
      </c>
      <c r="B303" s="4" t="s">
        <v>38</v>
      </c>
      <c r="C303" s="4" t="s">
        <v>39</v>
      </c>
      <c r="D303" s="4" t="s">
        <v>43</v>
      </c>
      <c r="E303" s="4" t="s">
        <v>52</v>
      </c>
      <c r="F303" s="4" t="s">
        <v>25</v>
      </c>
      <c r="G303" s="4" t="s">
        <v>25</v>
      </c>
      <c r="H303" s="4" t="s">
        <v>33</v>
      </c>
      <c r="I303" s="5">
        <v>44409</v>
      </c>
      <c r="J303" s="6">
        <v>0</v>
      </c>
      <c r="K303" s="6">
        <v>0</v>
      </c>
      <c r="L303" s="6">
        <v>5.0999999999999997E-2</v>
      </c>
      <c r="M303" s="6">
        <v>4.8959999999999997E-2</v>
      </c>
      <c r="N303" s="6">
        <v>5.0999999999999997E-2</v>
      </c>
      <c r="O303" s="6">
        <v>4.8959999999999997E-2</v>
      </c>
      <c r="P303" s="6">
        <v>0</v>
      </c>
      <c r="Q303" s="4" t="s">
        <v>26</v>
      </c>
      <c r="R303" s="4">
        <v>0</v>
      </c>
      <c r="S303" s="4" t="s">
        <v>160</v>
      </c>
      <c r="T303" s="4" t="s">
        <v>326</v>
      </c>
      <c r="U303" s="4">
        <v>0</v>
      </c>
      <c r="V303" s="4">
        <v>21</v>
      </c>
      <c r="W303" s="4">
        <v>66</v>
      </c>
    </row>
    <row r="304" spans="1:23" ht="11.25" customHeight="1" x14ac:dyDescent="0.25">
      <c r="A304" s="4" t="s">
        <v>21</v>
      </c>
      <c r="B304" s="4" t="s">
        <v>38</v>
      </c>
      <c r="C304" s="4" t="s">
        <v>39</v>
      </c>
      <c r="D304" s="4" t="s">
        <v>43</v>
      </c>
      <c r="E304" s="4" t="s">
        <v>52</v>
      </c>
      <c r="F304" s="4" t="s">
        <v>25</v>
      </c>
      <c r="G304" s="4" t="s">
        <v>25</v>
      </c>
      <c r="H304" s="4" t="s">
        <v>33</v>
      </c>
      <c r="I304" s="5">
        <v>44440</v>
      </c>
      <c r="J304" s="6">
        <v>0</v>
      </c>
      <c r="K304" s="6">
        <v>0</v>
      </c>
      <c r="L304" s="6">
        <v>5.1999999999999998E-2</v>
      </c>
      <c r="M304" s="6">
        <v>4.9919999999999999E-2</v>
      </c>
      <c r="N304" s="6">
        <v>5.1999999999999998E-2</v>
      </c>
      <c r="O304" s="6">
        <v>4.9919999999999999E-2</v>
      </c>
      <c r="P304" s="6">
        <v>0</v>
      </c>
      <c r="Q304" s="4" t="s">
        <v>26</v>
      </c>
      <c r="R304" s="4">
        <v>0</v>
      </c>
      <c r="S304" s="4" t="s">
        <v>161</v>
      </c>
      <c r="T304" s="4" t="s">
        <v>327</v>
      </c>
      <c r="U304" s="4">
        <v>0</v>
      </c>
      <c r="V304" s="4">
        <v>21</v>
      </c>
      <c r="W304" s="4">
        <v>66</v>
      </c>
    </row>
    <row r="305" spans="1:23" ht="11.25" customHeight="1" x14ac:dyDescent="0.25">
      <c r="A305" s="4" t="s">
        <v>21</v>
      </c>
      <c r="B305" s="4" t="s">
        <v>38</v>
      </c>
      <c r="C305" s="4" t="s">
        <v>39</v>
      </c>
      <c r="D305" s="4" t="s">
        <v>43</v>
      </c>
      <c r="E305" s="4" t="s">
        <v>52</v>
      </c>
      <c r="F305" s="4" t="s">
        <v>25</v>
      </c>
      <c r="G305" s="4" t="s">
        <v>25</v>
      </c>
      <c r="H305" s="4" t="s">
        <v>33</v>
      </c>
      <c r="I305" s="5">
        <v>44470</v>
      </c>
      <c r="J305" s="6">
        <v>0</v>
      </c>
      <c r="K305" s="6">
        <v>0</v>
      </c>
      <c r="L305" s="6">
        <v>7.2999999999999995E-2</v>
      </c>
      <c r="M305" s="6">
        <v>7.0080000000000003E-2</v>
      </c>
      <c r="N305" s="6">
        <v>7.2999999999999995E-2</v>
      </c>
      <c r="O305" s="6">
        <v>7.0080000000000003E-2</v>
      </c>
      <c r="P305" s="6">
        <v>0</v>
      </c>
      <c r="Q305" s="4" t="s">
        <v>26</v>
      </c>
      <c r="R305" s="4">
        <v>0</v>
      </c>
      <c r="S305" s="4" t="s">
        <v>162</v>
      </c>
      <c r="T305" s="4" t="s">
        <v>328</v>
      </c>
      <c r="U305" s="4">
        <v>0</v>
      </c>
      <c r="V305" s="4">
        <v>21</v>
      </c>
      <c r="W305" s="4">
        <v>66</v>
      </c>
    </row>
    <row r="306" spans="1:23" ht="11.25" customHeight="1" x14ac:dyDescent="0.25">
      <c r="A306" s="4" t="s">
        <v>21</v>
      </c>
      <c r="B306" s="4" t="s">
        <v>38</v>
      </c>
      <c r="C306" s="4" t="s">
        <v>39</v>
      </c>
      <c r="D306" s="4" t="s">
        <v>43</v>
      </c>
      <c r="E306" s="4" t="s">
        <v>52</v>
      </c>
      <c r="F306" s="4" t="s">
        <v>25</v>
      </c>
      <c r="G306" s="4" t="s">
        <v>25</v>
      </c>
      <c r="H306" s="4" t="s">
        <v>33</v>
      </c>
      <c r="I306" s="5">
        <v>44501</v>
      </c>
      <c r="J306" s="6">
        <v>0</v>
      </c>
      <c r="K306" s="6">
        <v>0</v>
      </c>
      <c r="L306" s="6">
        <v>3.5999999999999997E-2</v>
      </c>
      <c r="M306" s="6">
        <v>3.456E-2</v>
      </c>
      <c r="N306" s="6">
        <v>3.5999999999999997E-2</v>
      </c>
      <c r="O306" s="6">
        <v>3.456E-2</v>
      </c>
      <c r="P306" s="6">
        <v>0</v>
      </c>
      <c r="Q306" s="4" t="s">
        <v>26</v>
      </c>
      <c r="R306" s="4">
        <v>0</v>
      </c>
      <c r="S306" s="4" t="s">
        <v>163</v>
      </c>
      <c r="T306" s="4" t="s">
        <v>329</v>
      </c>
      <c r="U306" s="4">
        <v>0</v>
      </c>
      <c r="V306" s="4">
        <v>21</v>
      </c>
      <c r="W306" s="4">
        <v>66</v>
      </c>
    </row>
    <row r="307" spans="1:23" ht="11.25" customHeight="1" x14ac:dyDescent="0.25">
      <c r="A307" s="4" t="s">
        <v>21</v>
      </c>
      <c r="B307" s="4" t="s">
        <v>38</v>
      </c>
      <c r="C307" s="4" t="s">
        <v>39</v>
      </c>
      <c r="D307" s="4" t="s">
        <v>43</v>
      </c>
      <c r="E307" s="4" t="s">
        <v>52</v>
      </c>
      <c r="F307" s="4" t="s">
        <v>25</v>
      </c>
      <c r="G307" s="4" t="s">
        <v>25</v>
      </c>
      <c r="H307" s="4" t="s">
        <v>33</v>
      </c>
      <c r="I307" s="5">
        <v>44531</v>
      </c>
      <c r="J307" s="6">
        <v>0</v>
      </c>
      <c r="K307" s="6">
        <v>0</v>
      </c>
      <c r="L307" s="6">
        <v>6.9000000000000006E-2</v>
      </c>
      <c r="M307" s="6">
        <v>6.6239999999999993E-2</v>
      </c>
      <c r="N307" s="6">
        <v>6.9000000000000006E-2</v>
      </c>
      <c r="O307" s="6">
        <v>6.6239999999999993E-2</v>
      </c>
      <c r="P307" s="6">
        <v>0</v>
      </c>
      <c r="Q307" s="4" t="s">
        <v>26</v>
      </c>
      <c r="R307" s="4">
        <v>0</v>
      </c>
      <c r="S307" s="4" t="s">
        <v>164</v>
      </c>
      <c r="T307" s="4" t="s">
        <v>330</v>
      </c>
      <c r="U307" s="4">
        <v>0</v>
      </c>
      <c r="V307" s="4">
        <v>21</v>
      </c>
      <c r="W307" s="4">
        <v>66</v>
      </c>
    </row>
    <row r="308" spans="1:23" ht="11.25" customHeight="1" x14ac:dyDescent="0.25">
      <c r="A308" s="4" t="s">
        <v>21</v>
      </c>
      <c r="B308" s="4" t="s">
        <v>38</v>
      </c>
      <c r="C308" s="4" t="s">
        <v>39</v>
      </c>
      <c r="D308" s="4" t="s">
        <v>43</v>
      </c>
      <c r="E308" s="4" t="s">
        <v>52</v>
      </c>
      <c r="F308" s="4" t="s">
        <v>25</v>
      </c>
      <c r="G308" s="4" t="s">
        <v>25</v>
      </c>
      <c r="H308" s="4" t="s">
        <v>33</v>
      </c>
      <c r="I308" s="5">
        <v>44562</v>
      </c>
      <c r="J308" s="6">
        <v>0</v>
      </c>
      <c r="K308" s="6">
        <v>0</v>
      </c>
      <c r="L308" s="6">
        <v>0.153</v>
      </c>
      <c r="M308" s="6">
        <v>0.14688000000000001</v>
      </c>
      <c r="N308" s="6">
        <v>0.153</v>
      </c>
      <c r="O308" s="6">
        <v>0.14688000000000001</v>
      </c>
      <c r="P308" s="6">
        <v>0</v>
      </c>
      <c r="Q308" s="4" t="s">
        <v>26</v>
      </c>
      <c r="R308" s="4">
        <v>0</v>
      </c>
      <c r="S308" s="4" t="s">
        <v>165</v>
      </c>
      <c r="T308" s="4" t="s">
        <v>331</v>
      </c>
      <c r="U308" s="4">
        <v>0</v>
      </c>
      <c r="V308" s="4">
        <v>21</v>
      </c>
      <c r="W308" s="4">
        <v>66</v>
      </c>
    </row>
    <row r="309" spans="1:23" ht="11.25" customHeight="1" x14ac:dyDescent="0.25">
      <c r="A309" s="4" t="s">
        <v>21</v>
      </c>
      <c r="B309" s="4" t="s">
        <v>38</v>
      </c>
      <c r="C309" s="4" t="s">
        <v>39</v>
      </c>
      <c r="D309" s="4" t="s">
        <v>43</v>
      </c>
      <c r="E309" s="4" t="s">
        <v>52</v>
      </c>
      <c r="F309" s="4" t="s">
        <v>25</v>
      </c>
      <c r="G309" s="4" t="s">
        <v>25</v>
      </c>
      <c r="H309" s="4" t="s">
        <v>33</v>
      </c>
      <c r="I309" s="5">
        <v>44593</v>
      </c>
      <c r="J309" s="6">
        <v>0</v>
      </c>
      <c r="K309" s="6">
        <v>0</v>
      </c>
      <c r="L309" s="6">
        <v>0.125</v>
      </c>
      <c r="M309" s="6">
        <v>0.12</v>
      </c>
      <c r="N309" s="6">
        <v>0.125</v>
      </c>
      <c r="O309" s="6">
        <v>0.12</v>
      </c>
      <c r="P309" s="6">
        <v>0</v>
      </c>
      <c r="Q309" s="4" t="s">
        <v>26</v>
      </c>
      <c r="R309" s="4">
        <v>0</v>
      </c>
      <c r="S309" s="4" t="s">
        <v>166</v>
      </c>
      <c r="T309" s="4" t="s">
        <v>332</v>
      </c>
      <c r="U309" s="4">
        <v>0</v>
      </c>
      <c r="V309" s="4">
        <v>21</v>
      </c>
      <c r="W309" s="4">
        <v>66</v>
      </c>
    </row>
    <row r="310" spans="1:23" ht="11.25" customHeight="1" x14ac:dyDescent="0.25">
      <c r="A310" s="4" t="s">
        <v>21</v>
      </c>
      <c r="B310" s="4" t="s">
        <v>38</v>
      </c>
      <c r="C310" s="4" t="s">
        <v>39</v>
      </c>
      <c r="D310" s="4" t="s">
        <v>43</v>
      </c>
      <c r="E310" s="4" t="s">
        <v>52</v>
      </c>
      <c r="F310" s="4" t="s">
        <v>25</v>
      </c>
      <c r="G310" s="4" t="s">
        <v>25</v>
      </c>
      <c r="H310" s="4" t="s">
        <v>33</v>
      </c>
      <c r="I310" s="5">
        <v>44621</v>
      </c>
      <c r="J310" s="6">
        <v>0</v>
      </c>
      <c r="K310" s="6">
        <v>0</v>
      </c>
      <c r="L310" s="6">
        <v>6.8000000000000005E-2</v>
      </c>
      <c r="M310" s="6">
        <v>6.5280000000000005E-2</v>
      </c>
      <c r="N310" s="6">
        <v>6.8000000000000005E-2</v>
      </c>
      <c r="O310" s="6">
        <v>6.5280000000000005E-2</v>
      </c>
      <c r="P310" s="6">
        <v>0</v>
      </c>
      <c r="Q310" s="4" t="s">
        <v>26</v>
      </c>
      <c r="R310" s="4">
        <v>0</v>
      </c>
      <c r="S310" s="4" t="s">
        <v>167</v>
      </c>
      <c r="T310" s="4" t="s">
        <v>333</v>
      </c>
      <c r="U310" s="4">
        <v>0</v>
      </c>
      <c r="V310" s="4">
        <v>21</v>
      </c>
      <c r="W310" s="4">
        <v>66</v>
      </c>
    </row>
    <row r="311" spans="1:23" ht="11.25" customHeight="1" x14ac:dyDescent="0.25">
      <c r="A311" s="4" t="s">
        <v>21</v>
      </c>
      <c r="B311" s="4" t="s">
        <v>38</v>
      </c>
      <c r="C311" s="4" t="s">
        <v>39</v>
      </c>
      <c r="D311" s="4" t="s">
        <v>43</v>
      </c>
      <c r="E311" s="4" t="s">
        <v>52</v>
      </c>
      <c r="F311" s="4" t="s">
        <v>25</v>
      </c>
      <c r="G311" s="4" t="s">
        <v>25</v>
      </c>
      <c r="H311" s="4" t="s">
        <v>33</v>
      </c>
      <c r="I311" s="5">
        <v>44652</v>
      </c>
      <c r="J311" s="6">
        <v>0</v>
      </c>
      <c r="K311" s="6">
        <v>0</v>
      </c>
      <c r="L311" s="6">
        <v>9.5000000000000001E-2</v>
      </c>
      <c r="M311" s="6">
        <v>9.1200000000000003E-2</v>
      </c>
      <c r="N311" s="6">
        <v>9.5000000000000001E-2</v>
      </c>
      <c r="O311" s="6">
        <v>9.1200000000000003E-2</v>
      </c>
      <c r="P311" s="6">
        <v>0</v>
      </c>
      <c r="Q311" s="4" t="s">
        <v>26</v>
      </c>
      <c r="R311" s="4">
        <v>0</v>
      </c>
      <c r="S311" s="4" t="s">
        <v>168</v>
      </c>
      <c r="T311" s="4" t="s">
        <v>334</v>
      </c>
      <c r="U311" s="4">
        <v>0</v>
      </c>
      <c r="V311" s="4">
        <v>21</v>
      </c>
      <c r="W311" s="4">
        <v>66</v>
      </c>
    </row>
    <row r="312" spans="1:23" ht="11.25" customHeight="1" x14ac:dyDescent="0.25">
      <c r="A312" s="4" t="s">
        <v>21</v>
      </c>
      <c r="B312" s="4" t="s">
        <v>38</v>
      </c>
      <c r="C312" s="4" t="s">
        <v>39</v>
      </c>
      <c r="D312" s="4" t="s">
        <v>43</v>
      </c>
      <c r="E312" s="4" t="s">
        <v>52</v>
      </c>
      <c r="F312" s="4" t="s">
        <v>25</v>
      </c>
      <c r="G312" s="4" t="s">
        <v>25</v>
      </c>
      <c r="H312" s="4" t="s">
        <v>33</v>
      </c>
      <c r="I312" s="5">
        <v>44682</v>
      </c>
      <c r="J312" s="6">
        <v>0</v>
      </c>
      <c r="K312" s="6">
        <v>0</v>
      </c>
      <c r="L312" s="6">
        <v>0.111</v>
      </c>
      <c r="M312" s="6">
        <v>0.10656</v>
      </c>
      <c r="N312" s="6">
        <v>0.111</v>
      </c>
      <c r="O312" s="6">
        <v>0.10656</v>
      </c>
      <c r="P312" s="6">
        <v>0</v>
      </c>
      <c r="Q312" s="4" t="s">
        <v>26</v>
      </c>
      <c r="R312" s="4">
        <v>0</v>
      </c>
      <c r="S312" s="4" t="s">
        <v>169</v>
      </c>
      <c r="T312" s="4" t="s">
        <v>335</v>
      </c>
      <c r="U312" s="4">
        <v>0</v>
      </c>
      <c r="V312" s="4">
        <v>21</v>
      </c>
      <c r="W312" s="4">
        <v>66</v>
      </c>
    </row>
    <row r="313" spans="1:23" ht="11.25" customHeight="1" x14ac:dyDescent="0.25">
      <c r="A313" s="4" t="s">
        <v>55</v>
      </c>
      <c r="B313" s="4" t="s">
        <v>38</v>
      </c>
      <c r="C313" s="4" t="s">
        <v>39</v>
      </c>
      <c r="D313" s="4" t="s">
        <v>43</v>
      </c>
      <c r="E313" s="4" t="s">
        <v>52</v>
      </c>
      <c r="F313" s="4" t="s">
        <v>25</v>
      </c>
      <c r="G313" s="4" t="s">
        <v>25</v>
      </c>
      <c r="H313" s="4" t="s">
        <v>33</v>
      </c>
      <c r="I313" s="5">
        <v>44713</v>
      </c>
      <c r="J313" s="6">
        <v>0</v>
      </c>
      <c r="K313" s="6">
        <v>0</v>
      </c>
      <c r="L313" s="6">
        <v>0.111</v>
      </c>
      <c r="M313" s="6">
        <v>0.10656</v>
      </c>
      <c r="N313" s="6">
        <v>0.111</v>
      </c>
      <c r="O313" s="6">
        <v>0.10656</v>
      </c>
      <c r="P313" s="6">
        <v>0</v>
      </c>
      <c r="Q313" s="4" t="s">
        <v>26</v>
      </c>
      <c r="R313" s="4">
        <v>0</v>
      </c>
      <c r="S313" s="4" t="s">
        <v>170</v>
      </c>
      <c r="T313" s="4" t="s">
        <v>336</v>
      </c>
      <c r="U313" s="4">
        <v>0</v>
      </c>
      <c r="V313" s="4">
        <v>21</v>
      </c>
      <c r="W313" s="4">
        <v>66</v>
      </c>
    </row>
    <row r="314" spans="1:23" ht="11.25" customHeight="1" x14ac:dyDescent="0.25">
      <c r="A314" s="4" t="s">
        <v>21</v>
      </c>
      <c r="B314" s="4" t="s">
        <v>38</v>
      </c>
      <c r="C314" s="4" t="s">
        <v>39</v>
      </c>
      <c r="D314" s="4" t="s">
        <v>43</v>
      </c>
      <c r="E314" s="4" t="s">
        <v>25</v>
      </c>
      <c r="F314" s="4" t="s">
        <v>25</v>
      </c>
      <c r="G314" s="4" t="s">
        <v>25</v>
      </c>
      <c r="H314" s="4" t="s">
        <v>34</v>
      </c>
      <c r="I314" s="5">
        <v>44378</v>
      </c>
      <c r="J314" s="6">
        <v>0</v>
      </c>
      <c r="K314" s="6">
        <v>0</v>
      </c>
      <c r="L314" s="6">
        <v>82.04</v>
      </c>
      <c r="M314" s="6">
        <v>78.758400000000009</v>
      </c>
      <c r="N314" s="6">
        <v>82.04</v>
      </c>
      <c r="O314" s="6">
        <v>78.758400000000009</v>
      </c>
      <c r="P314" s="6">
        <v>0</v>
      </c>
      <c r="Q314" s="4" t="s">
        <v>26</v>
      </c>
      <c r="R314" s="4">
        <v>0</v>
      </c>
      <c r="S314" s="4" t="s">
        <v>135</v>
      </c>
      <c r="T314" s="4" t="s">
        <v>313</v>
      </c>
      <c r="U314" s="4">
        <v>0</v>
      </c>
      <c r="V314" s="4">
        <v>17</v>
      </c>
      <c r="W314" s="4">
        <v>78</v>
      </c>
    </row>
    <row r="315" spans="1:23" ht="11.25" customHeight="1" x14ac:dyDescent="0.25">
      <c r="A315" s="4" t="s">
        <v>21</v>
      </c>
      <c r="B315" s="4" t="s">
        <v>38</v>
      </c>
      <c r="C315" s="4" t="s">
        <v>39</v>
      </c>
      <c r="D315" s="4" t="s">
        <v>43</v>
      </c>
      <c r="E315" s="4" t="s">
        <v>25</v>
      </c>
      <c r="F315" s="4" t="s">
        <v>25</v>
      </c>
      <c r="G315" s="4" t="s">
        <v>25</v>
      </c>
      <c r="H315" s="4" t="s">
        <v>34</v>
      </c>
      <c r="I315" s="5">
        <v>44409</v>
      </c>
      <c r="J315" s="6">
        <v>0</v>
      </c>
      <c r="K315" s="6">
        <v>0</v>
      </c>
      <c r="L315" s="6">
        <v>76.536000000000001</v>
      </c>
      <c r="M315" s="6">
        <v>73.474559999999997</v>
      </c>
      <c r="N315" s="6">
        <v>76.536000000000001</v>
      </c>
      <c r="O315" s="6">
        <v>73.474559999999997</v>
      </c>
      <c r="P315" s="6">
        <v>0</v>
      </c>
      <c r="Q315" s="4" t="s">
        <v>26</v>
      </c>
      <c r="R315" s="4">
        <v>0</v>
      </c>
      <c r="S315" s="4" t="s">
        <v>136</v>
      </c>
      <c r="T315" s="4" t="s">
        <v>314</v>
      </c>
      <c r="U315" s="4">
        <v>0</v>
      </c>
      <c r="V315" s="4">
        <v>17</v>
      </c>
      <c r="W315" s="4">
        <v>78</v>
      </c>
    </row>
    <row r="316" spans="1:23" ht="11.25" customHeight="1" x14ac:dyDescent="0.25">
      <c r="A316" s="4" t="s">
        <v>21</v>
      </c>
      <c r="B316" s="4" t="s">
        <v>38</v>
      </c>
      <c r="C316" s="4" t="s">
        <v>39</v>
      </c>
      <c r="D316" s="4" t="s">
        <v>43</v>
      </c>
      <c r="E316" s="4" t="s">
        <v>25</v>
      </c>
      <c r="F316" s="4" t="s">
        <v>25</v>
      </c>
      <c r="G316" s="4" t="s">
        <v>25</v>
      </c>
      <c r="H316" s="4" t="s">
        <v>34</v>
      </c>
      <c r="I316" s="5">
        <v>44440</v>
      </c>
      <c r="J316" s="6">
        <v>0</v>
      </c>
      <c r="K316" s="6">
        <v>0</v>
      </c>
      <c r="L316" s="6">
        <v>74.075999999999993</v>
      </c>
      <c r="M316" s="6">
        <v>71.112960000000001</v>
      </c>
      <c r="N316" s="6">
        <v>74.075999999999993</v>
      </c>
      <c r="O316" s="6">
        <v>71.112960000000001</v>
      </c>
      <c r="P316" s="6">
        <v>0</v>
      </c>
      <c r="Q316" s="4" t="s">
        <v>26</v>
      </c>
      <c r="R316" s="4">
        <v>0</v>
      </c>
      <c r="S316" s="4" t="s">
        <v>137</v>
      </c>
      <c r="T316" s="4" t="s">
        <v>315</v>
      </c>
      <c r="U316" s="4">
        <v>0</v>
      </c>
      <c r="V316" s="4">
        <v>17</v>
      </c>
      <c r="W316" s="4">
        <v>78</v>
      </c>
    </row>
    <row r="317" spans="1:23" ht="11.25" customHeight="1" x14ac:dyDescent="0.25">
      <c r="A317" s="4" t="s">
        <v>21</v>
      </c>
      <c r="B317" s="4" t="s">
        <v>38</v>
      </c>
      <c r="C317" s="4" t="s">
        <v>39</v>
      </c>
      <c r="D317" s="4" t="s">
        <v>43</v>
      </c>
      <c r="E317" s="4" t="s">
        <v>25</v>
      </c>
      <c r="F317" s="4" t="s">
        <v>25</v>
      </c>
      <c r="G317" s="4" t="s">
        <v>25</v>
      </c>
      <c r="H317" s="4" t="s">
        <v>34</v>
      </c>
      <c r="I317" s="5">
        <v>44470</v>
      </c>
      <c r="J317" s="6">
        <v>0</v>
      </c>
      <c r="K317" s="6">
        <v>0</v>
      </c>
      <c r="L317" s="6">
        <v>79.597999999999999</v>
      </c>
      <c r="M317" s="6">
        <v>76.414079999999998</v>
      </c>
      <c r="N317" s="6">
        <v>79.597999999999999</v>
      </c>
      <c r="O317" s="6">
        <v>76.414079999999998</v>
      </c>
      <c r="P317" s="6">
        <v>0</v>
      </c>
      <c r="Q317" s="4" t="s">
        <v>26</v>
      </c>
      <c r="R317" s="4">
        <v>0</v>
      </c>
      <c r="S317" s="4" t="s">
        <v>138</v>
      </c>
      <c r="T317" s="4" t="s">
        <v>316</v>
      </c>
      <c r="U317" s="4">
        <v>0</v>
      </c>
      <c r="V317" s="4">
        <v>17</v>
      </c>
      <c r="W317" s="4">
        <v>78</v>
      </c>
    </row>
    <row r="318" spans="1:23" ht="11.25" customHeight="1" x14ac:dyDescent="0.25">
      <c r="A318" s="4" t="s">
        <v>21</v>
      </c>
      <c r="B318" s="4" t="s">
        <v>38</v>
      </c>
      <c r="C318" s="4" t="s">
        <v>39</v>
      </c>
      <c r="D318" s="4" t="s">
        <v>43</v>
      </c>
      <c r="E318" s="4" t="s">
        <v>25</v>
      </c>
      <c r="F318" s="4" t="s">
        <v>25</v>
      </c>
      <c r="G318" s="4" t="s">
        <v>25</v>
      </c>
      <c r="H318" s="4" t="s">
        <v>34</v>
      </c>
      <c r="I318" s="5">
        <v>44501</v>
      </c>
      <c r="J318" s="6">
        <v>0</v>
      </c>
      <c r="K318" s="6">
        <v>0</v>
      </c>
      <c r="L318" s="6">
        <v>105.44</v>
      </c>
      <c r="M318" s="6">
        <v>101.22239999999999</v>
      </c>
      <c r="N318" s="6">
        <v>105.44</v>
      </c>
      <c r="O318" s="6">
        <v>101.22239999999999</v>
      </c>
      <c r="P318" s="6">
        <v>0</v>
      </c>
      <c r="Q318" s="4" t="s">
        <v>26</v>
      </c>
      <c r="R318" s="4">
        <v>0</v>
      </c>
      <c r="S318" s="4" t="s">
        <v>139</v>
      </c>
      <c r="T318" s="4" t="s">
        <v>317</v>
      </c>
      <c r="U318" s="4">
        <v>0</v>
      </c>
      <c r="V318" s="4">
        <v>17</v>
      </c>
      <c r="W318" s="4">
        <v>78</v>
      </c>
    </row>
    <row r="319" spans="1:23" ht="11.25" customHeight="1" x14ac:dyDescent="0.25">
      <c r="A319" s="4" t="s">
        <v>21</v>
      </c>
      <c r="B319" s="4" t="s">
        <v>38</v>
      </c>
      <c r="C319" s="4" t="s">
        <v>39</v>
      </c>
      <c r="D319" s="4" t="s">
        <v>43</v>
      </c>
      <c r="E319" s="4" t="s">
        <v>25</v>
      </c>
      <c r="F319" s="4" t="s">
        <v>25</v>
      </c>
      <c r="G319" s="4" t="s">
        <v>25</v>
      </c>
      <c r="H319" s="4" t="s">
        <v>34</v>
      </c>
      <c r="I319" s="5">
        <v>44531</v>
      </c>
      <c r="J319" s="6">
        <v>0</v>
      </c>
      <c r="K319" s="6">
        <v>0</v>
      </c>
      <c r="L319" s="6">
        <v>85.52</v>
      </c>
      <c r="M319" s="6">
        <v>82.099199999999996</v>
      </c>
      <c r="N319" s="6">
        <v>85.52</v>
      </c>
      <c r="O319" s="6">
        <v>82.099199999999996</v>
      </c>
      <c r="P319" s="6">
        <v>0</v>
      </c>
      <c r="Q319" s="4" t="s">
        <v>26</v>
      </c>
      <c r="R319" s="4">
        <v>0</v>
      </c>
      <c r="S319" s="4" t="s">
        <v>140</v>
      </c>
      <c r="T319" s="4" t="s">
        <v>318</v>
      </c>
      <c r="U319" s="4">
        <v>0</v>
      </c>
      <c r="V319" s="4">
        <v>17</v>
      </c>
      <c r="W319" s="4">
        <v>78</v>
      </c>
    </row>
    <row r="320" spans="1:23" ht="11.25" customHeight="1" x14ac:dyDescent="0.25">
      <c r="A320" s="4" t="s">
        <v>21</v>
      </c>
      <c r="B320" s="4" t="s">
        <v>38</v>
      </c>
      <c r="C320" s="4" t="s">
        <v>39</v>
      </c>
      <c r="D320" s="4" t="s">
        <v>43</v>
      </c>
      <c r="E320" s="4" t="s">
        <v>25</v>
      </c>
      <c r="F320" s="4" t="s">
        <v>25</v>
      </c>
      <c r="G320" s="4" t="s">
        <v>25</v>
      </c>
      <c r="H320" s="4" t="s">
        <v>34</v>
      </c>
      <c r="I320" s="5">
        <v>44562</v>
      </c>
      <c r="J320" s="6">
        <v>0</v>
      </c>
      <c r="K320" s="6">
        <v>0</v>
      </c>
      <c r="L320" s="6">
        <v>110.642</v>
      </c>
      <c r="M320" s="6">
        <v>106.21632</v>
      </c>
      <c r="N320" s="6">
        <v>110.642</v>
      </c>
      <c r="O320" s="6">
        <v>106.21632</v>
      </c>
      <c r="P320" s="6">
        <v>0</v>
      </c>
      <c r="Q320" s="4" t="s">
        <v>26</v>
      </c>
      <c r="R320" s="4">
        <v>0</v>
      </c>
      <c r="S320" s="4" t="s">
        <v>141</v>
      </c>
      <c r="T320" s="4" t="s">
        <v>319</v>
      </c>
      <c r="U320" s="4">
        <v>0</v>
      </c>
      <c r="V320" s="4">
        <v>17</v>
      </c>
      <c r="W320" s="4">
        <v>78</v>
      </c>
    </row>
    <row r="321" spans="1:23" ht="11.25" customHeight="1" x14ac:dyDescent="0.25">
      <c r="A321" s="4" t="s">
        <v>21</v>
      </c>
      <c r="B321" s="4" t="s">
        <v>38</v>
      </c>
      <c r="C321" s="4" t="s">
        <v>39</v>
      </c>
      <c r="D321" s="4" t="s">
        <v>43</v>
      </c>
      <c r="E321" s="4" t="s">
        <v>25</v>
      </c>
      <c r="F321" s="4" t="s">
        <v>25</v>
      </c>
      <c r="G321" s="4" t="s">
        <v>25</v>
      </c>
      <c r="H321" s="4" t="s">
        <v>34</v>
      </c>
      <c r="I321" s="5">
        <v>44593</v>
      </c>
      <c r="J321" s="6">
        <v>0</v>
      </c>
      <c r="K321" s="6">
        <v>0</v>
      </c>
      <c r="L321" s="6">
        <v>104.31</v>
      </c>
      <c r="M321" s="6">
        <v>100.13760000000001</v>
      </c>
      <c r="N321" s="6">
        <v>104.31</v>
      </c>
      <c r="O321" s="6">
        <v>100.13760000000001</v>
      </c>
      <c r="P321" s="6">
        <v>0</v>
      </c>
      <c r="Q321" s="4" t="s">
        <v>26</v>
      </c>
      <c r="R321" s="4">
        <v>0</v>
      </c>
      <c r="S321" s="4" t="s">
        <v>142</v>
      </c>
      <c r="T321" s="4" t="s">
        <v>320</v>
      </c>
      <c r="U321" s="4">
        <v>0</v>
      </c>
      <c r="V321" s="4">
        <v>17</v>
      </c>
      <c r="W321" s="4">
        <v>78</v>
      </c>
    </row>
    <row r="322" spans="1:23" ht="11.25" customHeight="1" x14ac:dyDescent="0.25">
      <c r="A322" s="4" t="s">
        <v>21</v>
      </c>
      <c r="B322" s="4" t="s">
        <v>38</v>
      </c>
      <c r="C322" s="4" t="s">
        <v>39</v>
      </c>
      <c r="D322" s="4" t="s">
        <v>43</v>
      </c>
      <c r="E322" s="4" t="s">
        <v>25</v>
      </c>
      <c r="F322" s="4" t="s">
        <v>25</v>
      </c>
      <c r="G322" s="4" t="s">
        <v>25</v>
      </c>
      <c r="H322" s="4" t="s">
        <v>34</v>
      </c>
      <c r="I322" s="5">
        <v>44621</v>
      </c>
      <c r="J322" s="6">
        <v>0</v>
      </c>
      <c r="K322" s="6">
        <v>0</v>
      </c>
      <c r="L322" s="6">
        <v>115.179</v>
      </c>
      <c r="M322" s="6">
        <v>110.57183999999999</v>
      </c>
      <c r="N322" s="6">
        <v>115.179</v>
      </c>
      <c r="O322" s="6">
        <v>110.57183999999999</v>
      </c>
      <c r="P322" s="6">
        <v>0</v>
      </c>
      <c r="Q322" s="4" t="s">
        <v>26</v>
      </c>
      <c r="R322" s="4">
        <v>0</v>
      </c>
      <c r="S322" s="4" t="s">
        <v>143</v>
      </c>
      <c r="T322" s="4" t="s">
        <v>321</v>
      </c>
      <c r="U322" s="4">
        <v>0</v>
      </c>
      <c r="V322" s="4">
        <v>17</v>
      </c>
      <c r="W322" s="4">
        <v>78</v>
      </c>
    </row>
    <row r="323" spans="1:23" ht="11.25" customHeight="1" x14ac:dyDescent="0.25">
      <c r="A323" s="4" t="s">
        <v>21</v>
      </c>
      <c r="B323" s="4" t="s">
        <v>38</v>
      </c>
      <c r="C323" s="4" t="s">
        <v>39</v>
      </c>
      <c r="D323" s="4" t="s">
        <v>43</v>
      </c>
      <c r="E323" s="4" t="s">
        <v>25</v>
      </c>
      <c r="F323" s="4" t="s">
        <v>25</v>
      </c>
      <c r="G323" s="4" t="s">
        <v>25</v>
      </c>
      <c r="H323" s="4" t="s">
        <v>34</v>
      </c>
      <c r="I323" s="5">
        <v>44652</v>
      </c>
      <c r="J323" s="6">
        <v>0</v>
      </c>
      <c r="K323" s="6">
        <v>0</v>
      </c>
      <c r="L323" s="6">
        <v>144.667</v>
      </c>
      <c r="M323" s="6">
        <v>138.88032000000001</v>
      </c>
      <c r="N323" s="6">
        <v>144.667</v>
      </c>
      <c r="O323" s="6">
        <v>138.88032000000001</v>
      </c>
      <c r="P323" s="6">
        <v>0</v>
      </c>
      <c r="Q323" s="4" t="s">
        <v>26</v>
      </c>
      <c r="R323" s="4">
        <v>0</v>
      </c>
      <c r="S323" s="4" t="s">
        <v>144</v>
      </c>
      <c r="T323" s="4" t="s">
        <v>322</v>
      </c>
      <c r="U323" s="4">
        <v>0</v>
      </c>
      <c r="V323" s="4">
        <v>17</v>
      </c>
      <c r="W323" s="4">
        <v>78</v>
      </c>
    </row>
    <row r="324" spans="1:23" ht="11.25" customHeight="1" x14ac:dyDescent="0.25">
      <c r="A324" s="4" t="s">
        <v>21</v>
      </c>
      <c r="B324" s="4" t="s">
        <v>38</v>
      </c>
      <c r="C324" s="4" t="s">
        <v>39</v>
      </c>
      <c r="D324" s="4" t="s">
        <v>43</v>
      </c>
      <c r="E324" s="4" t="s">
        <v>25</v>
      </c>
      <c r="F324" s="4" t="s">
        <v>25</v>
      </c>
      <c r="G324" s="4" t="s">
        <v>25</v>
      </c>
      <c r="H324" s="4" t="s">
        <v>34</v>
      </c>
      <c r="I324" s="5">
        <v>44682</v>
      </c>
      <c r="J324" s="6">
        <v>0</v>
      </c>
      <c r="K324" s="6">
        <v>0</v>
      </c>
      <c r="L324" s="6">
        <v>117.187</v>
      </c>
      <c r="M324" s="6">
        <v>112.49952</v>
      </c>
      <c r="N324" s="6">
        <v>117.187</v>
      </c>
      <c r="O324" s="6">
        <v>112.49952</v>
      </c>
      <c r="P324" s="6">
        <v>0</v>
      </c>
      <c r="Q324" s="4" t="s">
        <v>26</v>
      </c>
      <c r="R324" s="4">
        <v>0</v>
      </c>
      <c r="S324" s="4" t="s">
        <v>145</v>
      </c>
      <c r="T324" s="4" t="s">
        <v>323</v>
      </c>
      <c r="U324" s="4">
        <v>0</v>
      </c>
      <c r="V324" s="4">
        <v>17</v>
      </c>
      <c r="W324" s="4">
        <v>78</v>
      </c>
    </row>
    <row r="325" spans="1:23" ht="11.25" customHeight="1" x14ac:dyDescent="0.25">
      <c r="A325" s="4" t="s">
        <v>55</v>
      </c>
      <c r="B325" s="4" t="s">
        <v>38</v>
      </c>
      <c r="C325" s="4" t="s">
        <v>39</v>
      </c>
      <c r="D325" s="4" t="s">
        <v>43</v>
      </c>
      <c r="E325" s="4" t="s">
        <v>25</v>
      </c>
      <c r="F325" s="4" t="s">
        <v>25</v>
      </c>
      <c r="G325" s="4" t="s">
        <v>25</v>
      </c>
      <c r="H325" s="4" t="s">
        <v>34</v>
      </c>
      <c r="I325" s="5">
        <v>44713</v>
      </c>
      <c r="J325" s="6">
        <v>0</v>
      </c>
      <c r="K325" s="6">
        <v>0</v>
      </c>
      <c r="L325" s="6">
        <v>117.187</v>
      </c>
      <c r="M325" s="6">
        <v>112.49952</v>
      </c>
      <c r="N325" s="6">
        <v>117.187</v>
      </c>
      <c r="O325" s="6">
        <v>112.49952</v>
      </c>
      <c r="P325" s="6">
        <v>0</v>
      </c>
      <c r="Q325" s="4" t="s">
        <v>26</v>
      </c>
      <c r="R325" s="4">
        <v>0</v>
      </c>
      <c r="S325" s="4" t="s">
        <v>146</v>
      </c>
      <c r="T325" s="4" t="s">
        <v>324</v>
      </c>
      <c r="U325" s="4">
        <v>0</v>
      </c>
      <c r="V325" s="4">
        <v>17</v>
      </c>
      <c r="W325" s="4">
        <v>78</v>
      </c>
    </row>
    <row r="326" spans="1:23" ht="11.25" customHeight="1" x14ac:dyDescent="0.25">
      <c r="A326" s="4" t="s">
        <v>21</v>
      </c>
      <c r="B326" s="4" t="s">
        <v>38</v>
      </c>
      <c r="C326" s="4" t="s">
        <v>39</v>
      </c>
      <c r="D326" s="4" t="s">
        <v>43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44378</v>
      </c>
      <c r="J326" s="6">
        <v>518</v>
      </c>
      <c r="K326" s="6">
        <v>497.28</v>
      </c>
      <c r="L326" s="6">
        <v>0</v>
      </c>
      <c r="M326" s="6">
        <v>0</v>
      </c>
      <c r="N326" s="6">
        <v>0</v>
      </c>
      <c r="O326" s="6">
        <v>0</v>
      </c>
      <c r="P326" s="6">
        <v>5</v>
      </c>
      <c r="Q326" s="4" t="s">
        <v>26</v>
      </c>
      <c r="R326" s="4">
        <v>0</v>
      </c>
      <c r="S326" s="4" t="s">
        <v>147</v>
      </c>
      <c r="U326" s="4">
        <v>19</v>
      </c>
      <c r="V326" s="4">
        <v>0</v>
      </c>
      <c r="W326" s="4">
        <v>0</v>
      </c>
    </row>
    <row r="327" spans="1:23" ht="11.25" customHeight="1" x14ac:dyDescent="0.25">
      <c r="A327" s="4" t="s">
        <v>21</v>
      </c>
      <c r="B327" s="4" t="s">
        <v>38</v>
      </c>
      <c r="C327" s="4" t="s">
        <v>39</v>
      </c>
      <c r="D327" s="4" t="s">
        <v>43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44409</v>
      </c>
      <c r="J327" s="6">
        <v>380</v>
      </c>
      <c r="K327" s="6">
        <v>364.8</v>
      </c>
      <c r="L327" s="6">
        <v>0</v>
      </c>
      <c r="M327" s="6">
        <v>0</v>
      </c>
      <c r="N327" s="6">
        <v>0</v>
      </c>
      <c r="O327" s="6">
        <v>0</v>
      </c>
      <c r="P327" s="6">
        <v>5</v>
      </c>
      <c r="Q327" s="4" t="s">
        <v>26</v>
      </c>
      <c r="R327" s="4">
        <v>0</v>
      </c>
      <c r="S327" s="4" t="s">
        <v>148</v>
      </c>
      <c r="U327" s="4">
        <v>19</v>
      </c>
      <c r="V327" s="4">
        <v>0</v>
      </c>
      <c r="W327" s="4">
        <v>0</v>
      </c>
    </row>
    <row r="328" spans="1:23" ht="11.25" customHeight="1" x14ac:dyDescent="0.25">
      <c r="A328" s="4" t="s">
        <v>21</v>
      </c>
      <c r="B328" s="4" t="s">
        <v>38</v>
      </c>
      <c r="C328" s="4" t="s">
        <v>39</v>
      </c>
      <c r="D328" s="4" t="s">
        <v>43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44440</v>
      </c>
      <c r="J328" s="6">
        <v>321</v>
      </c>
      <c r="K328" s="6">
        <v>308.16000000000003</v>
      </c>
      <c r="L328" s="6">
        <v>0</v>
      </c>
      <c r="M328" s="6">
        <v>0</v>
      </c>
      <c r="N328" s="6">
        <v>0</v>
      </c>
      <c r="O328" s="6">
        <v>0</v>
      </c>
      <c r="P328" s="6">
        <v>5</v>
      </c>
      <c r="Q328" s="4" t="s">
        <v>26</v>
      </c>
      <c r="R328" s="4">
        <v>0</v>
      </c>
      <c r="S328" s="4" t="s">
        <v>149</v>
      </c>
      <c r="U328" s="4">
        <v>19</v>
      </c>
      <c r="V328" s="4">
        <v>0</v>
      </c>
      <c r="W328" s="4">
        <v>0</v>
      </c>
    </row>
    <row r="329" spans="1:23" ht="11.25" customHeight="1" x14ac:dyDescent="0.25">
      <c r="A329" s="4" t="s">
        <v>21</v>
      </c>
      <c r="B329" s="4" t="s">
        <v>38</v>
      </c>
      <c r="C329" s="4" t="s">
        <v>39</v>
      </c>
      <c r="D329" s="4" t="s">
        <v>43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44470</v>
      </c>
      <c r="J329" s="6">
        <v>450</v>
      </c>
      <c r="K329" s="6">
        <v>432</v>
      </c>
      <c r="L329" s="6">
        <v>0</v>
      </c>
      <c r="M329" s="6">
        <v>0</v>
      </c>
      <c r="N329" s="6">
        <v>0</v>
      </c>
      <c r="O329" s="6">
        <v>0</v>
      </c>
      <c r="P329" s="6">
        <v>5</v>
      </c>
      <c r="Q329" s="4" t="s">
        <v>26</v>
      </c>
      <c r="R329" s="4">
        <v>0</v>
      </c>
      <c r="S329" s="4" t="s">
        <v>150</v>
      </c>
      <c r="U329" s="4">
        <v>19</v>
      </c>
      <c r="V329" s="4">
        <v>0</v>
      </c>
      <c r="W329" s="4">
        <v>0</v>
      </c>
    </row>
    <row r="330" spans="1:23" ht="11.25" customHeight="1" x14ac:dyDescent="0.25">
      <c r="A330" s="4" t="s">
        <v>21</v>
      </c>
      <c r="B330" s="4" t="s">
        <v>38</v>
      </c>
      <c r="C330" s="4" t="s">
        <v>39</v>
      </c>
      <c r="D330" s="4" t="s">
        <v>43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44501</v>
      </c>
      <c r="J330" s="6">
        <v>537</v>
      </c>
      <c r="K330" s="6">
        <v>515.52</v>
      </c>
      <c r="L330" s="6">
        <v>0</v>
      </c>
      <c r="M330" s="6">
        <v>0</v>
      </c>
      <c r="N330" s="6">
        <v>0</v>
      </c>
      <c r="O330" s="6">
        <v>0</v>
      </c>
      <c r="P330" s="6">
        <v>5</v>
      </c>
      <c r="Q330" s="4" t="s">
        <v>26</v>
      </c>
      <c r="R330" s="4">
        <v>0</v>
      </c>
      <c r="S330" s="4" t="s">
        <v>151</v>
      </c>
      <c r="U330" s="4">
        <v>19</v>
      </c>
      <c r="V330" s="4">
        <v>0</v>
      </c>
      <c r="W330" s="4">
        <v>0</v>
      </c>
    </row>
    <row r="331" spans="1:23" ht="11.25" customHeight="1" x14ac:dyDescent="0.25">
      <c r="A331" s="4" t="s">
        <v>21</v>
      </c>
      <c r="B331" s="4" t="s">
        <v>38</v>
      </c>
      <c r="C331" s="4" t="s">
        <v>39</v>
      </c>
      <c r="D331" s="4" t="s">
        <v>43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44531</v>
      </c>
      <c r="J331" s="6">
        <v>404</v>
      </c>
      <c r="K331" s="6">
        <v>387.84</v>
      </c>
      <c r="L331" s="6">
        <v>0</v>
      </c>
      <c r="M331" s="6">
        <v>0</v>
      </c>
      <c r="N331" s="6">
        <v>0</v>
      </c>
      <c r="O331" s="6">
        <v>0</v>
      </c>
      <c r="P331" s="6">
        <v>5</v>
      </c>
      <c r="Q331" s="4" t="s">
        <v>26</v>
      </c>
      <c r="R331" s="4">
        <v>0</v>
      </c>
      <c r="S331" s="4" t="s">
        <v>152</v>
      </c>
      <c r="U331" s="4">
        <v>19</v>
      </c>
      <c r="V331" s="4">
        <v>0</v>
      </c>
      <c r="W331" s="4">
        <v>0</v>
      </c>
    </row>
    <row r="332" spans="1:23" ht="11.25" customHeight="1" x14ac:dyDescent="0.25">
      <c r="A332" s="4" t="s">
        <v>21</v>
      </c>
      <c r="B332" s="4" t="s">
        <v>38</v>
      </c>
      <c r="C332" s="4" t="s">
        <v>39</v>
      </c>
      <c r="D332" s="4" t="s">
        <v>43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44562</v>
      </c>
      <c r="J332" s="6">
        <v>525</v>
      </c>
      <c r="K332" s="6">
        <v>504</v>
      </c>
      <c r="L332" s="6">
        <v>0</v>
      </c>
      <c r="M332" s="6">
        <v>0</v>
      </c>
      <c r="N332" s="6">
        <v>0</v>
      </c>
      <c r="O332" s="6">
        <v>0</v>
      </c>
      <c r="P332" s="6">
        <v>5</v>
      </c>
      <c r="Q332" s="4" t="s">
        <v>26</v>
      </c>
      <c r="R332" s="4">
        <v>0</v>
      </c>
      <c r="S332" s="4" t="s">
        <v>153</v>
      </c>
      <c r="U332" s="4">
        <v>19</v>
      </c>
      <c r="V332" s="4">
        <v>0</v>
      </c>
      <c r="W332" s="4">
        <v>0</v>
      </c>
    </row>
    <row r="333" spans="1:23" ht="11.25" customHeight="1" x14ac:dyDescent="0.25">
      <c r="A333" s="4" t="s">
        <v>21</v>
      </c>
      <c r="B333" s="4" t="s">
        <v>38</v>
      </c>
      <c r="C333" s="4" t="s">
        <v>39</v>
      </c>
      <c r="D333" s="4" t="s">
        <v>43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44593</v>
      </c>
      <c r="J333" s="6">
        <v>595</v>
      </c>
      <c r="K333" s="6">
        <v>571.20000000000005</v>
      </c>
      <c r="L333" s="6">
        <v>0</v>
      </c>
      <c r="M333" s="6">
        <v>0</v>
      </c>
      <c r="N333" s="6">
        <v>0</v>
      </c>
      <c r="O333" s="6">
        <v>0</v>
      </c>
      <c r="P333" s="6">
        <v>5</v>
      </c>
      <c r="Q333" s="4" t="s">
        <v>26</v>
      </c>
      <c r="R333" s="4">
        <v>0</v>
      </c>
      <c r="S333" s="4" t="s">
        <v>154</v>
      </c>
      <c r="U333" s="4">
        <v>19</v>
      </c>
      <c r="V333" s="4">
        <v>0</v>
      </c>
      <c r="W333" s="4">
        <v>0</v>
      </c>
    </row>
    <row r="334" spans="1:23" ht="11.25" customHeight="1" x14ac:dyDescent="0.25">
      <c r="A334" s="4" t="s">
        <v>21</v>
      </c>
      <c r="B334" s="4" t="s">
        <v>38</v>
      </c>
      <c r="C334" s="4" t="s">
        <v>39</v>
      </c>
      <c r="D334" s="4" t="s">
        <v>43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44621</v>
      </c>
      <c r="J334" s="6">
        <v>737</v>
      </c>
      <c r="K334" s="6">
        <v>707.52</v>
      </c>
      <c r="L334" s="6">
        <v>0</v>
      </c>
      <c r="M334" s="6">
        <v>0</v>
      </c>
      <c r="N334" s="6">
        <v>0</v>
      </c>
      <c r="O334" s="6">
        <v>0</v>
      </c>
      <c r="P334" s="6">
        <v>5</v>
      </c>
      <c r="Q334" s="4" t="s">
        <v>26</v>
      </c>
      <c r="R334" s="4">
        <v>0</v>
      </c>
      <c r="S334" s="4" t="s">
        <v>155</v>
      </c>
      <c r="U334" s="4">
        <v>19</v>
      </c>
      <c r="V334" s="4">
        <v>0</v>
      </c>
      <c r="W334" s="4">
        <v>0</v>
      </c>
    </row>
    <row r="335" spans="1:23" ht="11.25" customHeight="1" x14ac:dyDescent="0.25">
      <c r="A335" s="4" t="s">
        <v>21</v>
      </c>
      <c r="B335" s="4" t="s">
        <v>38</v>
      </c>
      <c r="C335" s="4" t="s">
        <v>39</v>
      </c>
      <c r="D335" s="4" t="s">
        <v>43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44652</v>
      </c>
      <c r="J335" s="6">
        <v>810</v>
      </c>
      <c r="K335" s="6">
        <v>777.6</v>
      </c>
      <c r="L335" s="6">
        <v>0</v>
      </c>
      <c r="M335" s="6">
        <v>0</v>
      </c>
      <c r="N335" s="6">
        <v>0</v>
      </c>
      <c r="O335" s="6">
        <v>0</v>
      </c>
      <c r="P335" s="6">
        <v>5</v>
      </c>
      <c r="Q335" s="4" t="s">
        <v>26</v>
      </c>
      <c r="R335" s="4">
        <v>0</v>
      </c>
      <c r="S335" s="4" t="s">
        <v>156</v>
      </c>
      <c r="U335" s="4">
        <v>19</v>
      </c>
      <c r="V335" s="4">
        <v>0</v>
      </c>
      <c r="W335" s="4">
        <v>0</v>
      </c>
    </row>
    <row r="336" spans="1:23" ht="11.25" customHeight="1" x14ac:dyDescent="0.25">
      <c r="A336" s="4" t="s">
        <v>21</v>
      </c>
      <c r="B336" s="4" t="s">
        <v>38</v>
      </c>
      <c r="C336" s="4" t="s">
        <v>39</v>
      </c>
      <c r="D336" s="4" t="s">
        <v>43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44682</v>
      </c>
      <c r="J336" s="6">
        <v>773</v>
      </c>
      <c r="K336" s="6">
        <v>742.08</v>
      </c>
      <c r="L336" s="6">
        <v>0</v>
      </c>
      <c r="M336" s="6">
        <v>0</v>
      </c>
      <c r="N336" s="6">
        <v>0</v>
      </c>
      <c r="O336" s="6">
        <v>0</v>
      </c>
      <c r="P336" s="6">
        <v>5</v>
      </c>
      <c r="Q336" s="4" t="s">
        <v>26</v>
      </c>
      <c r="R336" s="4">
        <v>0</v>
      </c>
      <c r="S336" s="4" t="s">
        <v>157</v>
      </c>
      <c r="U336" s="4">
        <v>19</v>
      </c>
      <c r="V336" s="4">
        <v>0</v>
      </c>
      <c r="W336" s="4">
        <v>0</v>
      </c>
    </row>
    <row r="337" spans="1:23" ht="11.25" customHeight="1" x14ac:dyDescent="0.25">
      <c r="A337" s="4" t="s">
        <v>55</v>
      </c>
      <c r="B337" s="4" t="s">
        <v>38</v>
      </c>
      <c r="C337" s="4" t="s">
        <v>39</v>
      </c>
      <c r="D337" s="4" t="s">
        <v>43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44713</v>
      </c>
      <c r="J337" s="6">
        <v>773</v>
      </c>
      <c r="K337" s="6">
        <v>742.08</v>
      </c>
      <c r="L337" s="6">
        <v>0</v>
      </c>
      <c r="M337" s="6">
        <v>0</v>
      </c>
      <c r="N337" s="6">
        <v>0</v>
      </c>
      <c r="O337" s="6">
        <v>0</v>
      </c>
      <c r="P337" s="6">
        <v>5</v>
      </c>
      <c r="Q337" s="4" t="s">
        <v>26</v>
      </c>
      <c r="R337" s="4">
        <v>0</v>
      </c>
      <c r="S337" s="4" t="s">
        <v>158</v>
      </c>
      <c r="U337" s="4">
        <v>19</v>
      </c>
      <c r="V337" s="4">
        <v>0</v>
      </c>
      <c r="W337" s="4">
        <v>0</v>
      </c>
    </row>
    <row r="338" spans="1:23" ht="11.25" customHeight="1" x14ac:dyDescent="0.25">
      <c r="A338" s="4" t="s">
        <v>21</v>
      </c>
      <c r="B338" s="4" t="s">
        <v>38</v>
      </c>
      <c r="C338" s="4" t="s">
        <v>39</v>
      </c>
      <c r="D338" s="4" t="s">
        <v>43</v>
      </c>
      <c r="E338" s="4" t="s">
        <v>25</v>
      </c>
      <c r="F338" s="4" t="s">
        <v>25</v>
      </c>
      <c r="G338" s="4" t="s">
        <v>25</v>
      </c>
      <c r="H338" s="4" t="s">
        <v>33</v>
      </c>
      <c r="I338" s="5">
        <v>44378</v>
      </c>
      <c r="J338" s="6">
        <v>0</v>
      </c>
      <c r="K338" s="6">
        <v>0</v>
      </c>
      <c r="L338" s="6">
        <v>3.0960000000000001</v>
      </c>
      <c r="M338" s="6">
        <v>2.9721600000000001</v>
      </c>
      <c r="N338" s="6">
        <v>3.0960000000000001</v>
      </c>
      <c r="O338" s="6">
        <v>2.9721600000000001</v>
      </c>
      <c r="P338" s="6">
        <v>0</v>
      </c>
      <c r="Q338" s="4" t="s">
        <v>26</v>
      </c>
      <c r="R338" s="4">
        <v>0</v>
      </c>
      <c r="S338" s="4" t="s">
        <v>159</v>
      </c>
      <c r="T338" s="4" t="s">
        <v>325</v>
      </c>
      <c r="U338" s="4">
        <v>0</v>
      </c>
      <c r="V338" s="4">
        <v>21</v>
      </c>
      <c r="W338" s="4">
        <v>66</v>
      </c>
    </row>
    <row r="339" spans="1:23" ht="11.25" customHeight="1" x14ac:dyDescent="0.25">
      <c r="A339" s="4" t="s">
        <v>21</v>
      </c>
      <c r="B339" s="4" t="s">
        <v>38</v>
      </c>
      <c r="C339" s="4" t="s">
        <v>39</v>
      </c>
      <c r="D339" s="4" t="s">
        <v>43</v>
      </c>
      <c r="E339" s="4" t="s">
        <v>25</v>
      </c>
      <c r="F339" s="4" t="s">
        <v>25</v>
      </c>
      <c r="G339" s="4" t="s">
        <v>25</v>
      </c>
      <c r="H339" s="4" t="s">
        <v>33</v>
      </c>
      <c r="I339" s="5">
        <v>44409</v>
      </c>
      <c r="J339" s="6">
        <v>0</v>
      </c>
      <c r="K339" s="6">
        <v>0</v>
      </c>
      <c r="L339" s="6">
        <v>3.1389999999999998</v>
      </c>
      <c r="M339" s="6">
        <v>3.0134400000000001</v>
      </c>
      <c r="N339" s="6">
        <v>3.1389999999999998</v>
      </c>
      <c r="O339" s="6">
        <v>3.0134400000000001</v>
      </c>
      <c r="P339" s="6">
        <v>0</v>
      </c>
      <c r="Q339" s="4" t="s">
        <v>26</v>
      </c>
      <c r="R339" s="4">
        <v>0</v>
      </c>
      <c r="S339" s="4" t="s">
        <v>160</v>
      </c>
      <c r="T339" s="4" t="s">
        <v>326</v>
      </c>
      <c r="U339" s="4">
        <v>0</v>
      </c>
      <c r="V339" s="4">
        <v>21</v>
      </c>
      <c r="W339" s="4">
        <v>66</v>
      </c>
    </row>
    <row r="340" spans="1:23" ht="11.25" customHeight="1" x14ac:dyDescent="0.25">
      <c r="A340" s="4" t="s">
        <v>21</v>
      </c>
      <c r="B340" s="4" t="s">
        <v>38</v>
      </c>
      <c r="C340" s="4" t="s">
        <v>39</v>
      </c>
      <c r="D340" s="4" t="s">
        <v>43</v>
      </c>
      <c r="E340" s="4" t="s">
        <v>25</v>
      </c>
      <c r="F340" s="4" t="s">
        <v>25</v>
      </c>
      <c r="G340" s="4" t="s">
        <v>25</v>
      </c>
      <c r="H340" s="4" t="s">
        <v>33</v>
      </c>
      <c r="I340" s="5">
        <v>44440</v>
      </c>
      <c r="J340" s="6">
        <v>0</v>
      </c>
      <c r="K340" s="6">
        <v>0</v>
      </c>
      <c r="L340" s="6">
        <v>3.145</v>
      </c>
      <c r="M340" s="6">
        <v>3.0192000000000001</v>
      </c>
      <c r="N340" s="6">
        <v>3.145</v>
      </c>
      <c r="O340" s="6">
        <v>3.0192000000000001</v>
      </c>
      <c r="P340" s="6">
        <v>0</v>
      </c>
      <c r="Q340" s="4" t="s">
        <v>26</v>
      </c>
      <c r="R340" s="4">
        <v>0</v>
      </c>
      <c r="S340" s="4" t="s">
        <v>161</v>
      </c>
      <c r="T340" s="4" t="s">
        <v>327</v>
      </c>
      <c r="U340" s="4">
        <v>0</v>
      </c>
      <c r="V340" s="4">
        <v>21</v>
      </c>
      <c r="W340" s="4">
        <v>66</v>
      </c>
    </row>
    <row r="341" spans="1:23" ht="11.25" customHeight="1" x14ac:dyDescent="0.25">
      <c r="A341" s="4" t="s">
        <v>21</v>
      </c>
      <c r="B341" s="4" t="s">
        <v>38</v>
      </c>
      <c r="C341" s="4" t="s">
        <v>39</v>
      </c>
      <c r="D341" s="4" t="s">
        <v>43</v>
      </c>
      <c r="E341" s="4" t="s">
        <v>25</v>
      </c>
      <c r="F341" s="4" t="s">
        <v>25</v>
      </c>
      <c r="G341" s="4" t="s">
        <v>25</v>
      </c>
      <c r="H341" s="4" t="s">
        <v>33</v>
      </c>
      <c r="I341" s="5">
        <v>44470</v>
      </c>
      <c r="J341" s="6">
        <v>0</v>
      </c>
      <c r="K341" s="6">
        <v>0</v>
      </c>
      <c r="L341" s="6">
        <v>7.8280000000000003</v>
      </c>
      <c r="M341" s="6">
        <v>7.5148799999999998</v>
      </c>
      <c r="N341" s="6">
        <v>7.8280000000000003</v>
      </c>
      <c r="O341" s="6">
        <v>7.5148799999999998</v>
      </c>
      <c r="P341" s="6">
        <v>0</v>
      </c>
      <c r="Q341" s="4" t="s">
        <v>26</v>
      </c>
      <c r="R341" s="4">
        <v>0</v>
      </c>
      <c r="S341" s="4" t="s">
        <v>162</v>
      </c>
      <c r="T341" s="4" t="s">
        <v>328</v>
      </c>
      <c r="U341" s="4">
        <v>0</v>
      </c>
      <c r="V341" s="4">
        <v>21</v>
      </c>
      <c r="W341" s="4">
        <v>66</v>
      </c>
    </row>
    <row r="342" spans="1:23" ht="11.25" customHeight="1" x14ac:dyDescent="0.25">
      <c r="A342" s="4" t="s">
        <v>21</v>
      </c>
      <c r="B342" s="4" t="s">
        <v>38</v>
      </c>
      <c r="C342" s="4" t="s">
        <v>39</v>
      </c>
      <c r="D342" s="4" t="s">
        <v>43</v>
      </c>
      <c r="E342" s="4" t="s">
        <v>25</v>
      </c>
      <c r="F342" s="4" t="s">
        <v>25</v>
      </c>
      <c r="G342" s="4" t="s">
        <v>25</v>
      </c>
      <c r="H342" s="4" t="s">
        <v>33</v>
      </c>
      <c r="I342" s="5">
        <v>44501</v>
      </c>
      <c r="J342" s="6">
        <v>0</v>
      </c>
      <c r="K342" s="6">
        <v>0</v>
      </c>
      <c r="L342" s="6">
        <v>9.3659999999999997</v>
      </c>
      <c r="M342" s="6">
        <v>8.9913600000000002</v>
      </c>
      <c r="N342" s="6">
        <v>9.3659999999999997</v>
      </c>
      <c r="O342" s="6">
        <v>8.9913600000000002</v>
      </c>
      <c r="P342" s="6">
        <v>0</v>
      </c>
      <c r="Q342" s="4" t="s">
        <v>26</v>
      </c>
      <c r="R342" s="4">
        <v>0</v>
      </c>
      <c r="S342" s="4" t="s">
        <v>163</v>
      </c>
      <c r="T342" s="4" t="s">
        <v>329</v>
      </c>
      <c r="U342" s="4">
        <v>0</v>
      </c>
      <c r="V342" s="4">
        <v>21</v>
      </c>
      <c r="W342" s="4">
        <v>66</v>
      </c>
    </row>
    <row r="343" spans="1:23" ht="11.25" customHeight="1" x14ac:dyDescent="0.25">
      <c r="A343" s="4" t="s">
        <v>21</v>
      </c>
      <c r="B343" s="4" t="s">
        <v>38</v>
      </c>
      <c r="C343" s="4" t="s">
        <v>39</v>
      </c>
      <c r="D343" s="4" t="s">
        <v>43</v>
      </c>
      <c r="E343" s="4" t="s">
        <v>25</v>
      </c>
      <c r="F343" s="4" t="s">
        <v>25</v>
      </c>
      <c r="G343" s="4" t="s">
        <v>25</v>
      </c>
      <c r="H343" s="4" t="s">
        <v>33</v>
      </c>
      <c r="I343" s="5">
        <v>44531</v>
      </c>
      <c r="J343" s="6">
        <v>0</v>
      </c>
      <c r="K343" s="6">
        <v>0</v>
      </c>
      <c r="L343" s="6">
        <v>3.806</v>
      </c>
      <c r="M343" s="6">
        <v>3.6537600000000001</v>
      </c>
      <c r="N343" s="6">
        <v>3.806</v>
      </c>
      <c r="O343" s="6">
        <v>3.6537600000000001</v>
      </c>
      <c r="P343" s="6">
        <v>0</v>
      </c>
      <c r="Q343" s="4" t="s">
        <v>26</v>
      </c>
      <c r="R343" s="4">
        <v>0</v>
      </c>
      <c r="S343" s="4" t="s">
        <v>164</v>
      </c>
      <c r="T343" s="4" t="s">
        <v>330</v>
      </c>
      <c r="U343" s="4">
        <v>0</v>
      </c>
      <c r="V343" s="4">
        <v>21</v>
      </c>
      <c r="W343" s="4">
        <v>66</v>
      </c>
    </row>
    <row r="344" spans="1:23" ht="11.25" customHeight="1" x14ac:dyDescent="0.25">
      <c r="A344" s="4" t="s">
        <v>21</v>
      </c>
      <c r="B344" s="4" t="s">
        <v>38</v>
      </c>
      <c r="C344" s="4" t="s">
        <v>39</v>
      </c>
      <c r="D344" s="4" t="s">
        <v>43</v>
      </c>
      <c r="E344" s="4" t="s">
        <v>25</v>
      </c>
      <c r="F344" s="4" t="s">
        <v>25</v>
      </c>
      <c r="G344" s="4" t="s">
        <v>25</v>
      </c>
      <c r="H344" s="4" t="s">
        <v>33</v>
      </c>
      <c r="I344" s="5">
        <v>44562</v>
      </c>
      <c r="J344" s="6">
        <v>0</v>
      </c>
      <c r="K344" s="6">
        <v>0</v>
      </c>
      <c r="L344" s="6">
        <v>6.9459999999999997</v>
      </c>
      <c r="M344" s="6">
        <v>6.6681600000000003</v>
      </c>
      <c r="N344" s="6">
        <v>6.9459999999999997</v>
      </c>
      <c r="O344" s="6">
        <v>6.6681600000000003</v>
      </c>
      <c r="P344" s="6">
        <v>0</v>
      </c>
      <c r="Q344" s="4" t="s">
        <v>26</v>
      </c>
      <c r="R344" s="4">
        <v>0</v>
      </c>
      <c r="S344" s="4" t="s">
        <v>165</v>
      </c>
      <c r="T344" s="4" t="s">
        <v>331</v>
      </c>
      <c r="U344" s="4">
        <v>0</v>
      </c>
      <c r="V344" s="4">
        <v>21</v>
      </c>
      <c r="W344" s="4">
        <v>66</v>
      </c>
    </row>
    <row r="345" spans="1:23" ht="11.25" customHeight="1" x14ac:dyDescent="0.25">
      <c r="A345" s="4" t="s">
        <v>21</v>
      </c>
      <c r="B345" s="4" t="s">
        <v>38</v>
      </c>
      <c r="C345" s="4" t="s">
        <v>39</v>
      </c>
      <c r="D345" s="4" t="s">
        <v>43</v>
      </c>
      <c r="E345" s="4" t="s">
        <v>25</v>
      </c>
      <c r="F345" s="4" t="s">
        <v>25</v>
      </c>
      <c r="G345" s="4" t="s">
        <v>25</v>
      </c>
      <c r="H345" s="4" t="s">
        <v>33</v>
      </c>
      <c r="I345" s="5">
        <v>44593</v>
      </c>
      <c r="J345" s="6">
        <v>0</v>
      </c>
      <c r="K345" s="6">
        <v>0</v>
      </c>
      <c r="L345" s="6">
        <v>7.7380000000000004</v>
      </c>
      <c r="M345" s="6">
        <v>7.4284800000000004</v>
      </c>
      <c r="N345" s="6">
        <v>7.7380000000000004</v>
      </c>
      <c r="O345" s="6">
        <v>7.4284800000000004</v>
      </c>
      <c r="P345" s="6">
        <v>0</v>
      </c>
      <c r="Q345" s="4" t="s">
        <v>26</v>
      </c>
      <c r="R345" s="4">
        <v>0</v>
      </c>
      <c r="S345" s="4" t="s">
        <v>166</v>
      </c>
      <c r="T345" s="4" t="s">
        <v>332</v>
      </c>
      <c r="U345" s="4">
        <v>0</v>
      </c>
      <c r="V345" s="4">
        <v>21</v>
      </c>
      <c r="W345" s="4">
        <v>66</v>
      </c>
    </row>
    <row r="346" spans="1:23" ht="11.25" customHeight="1" x14ac:dyDescent="0.25">
      <c r="A346" s="4" t="s">
        <v>21</v>
      </c>
      <c r="B346" s="4" t="s">
        <v>38</v>
      </c>
      <c r="C346" s="4" t="s">
        <v>39</v>
      </c>
      <c r="D346" s="4" t="s">
        <v>43</v>
      </c>
      <c r="E346" s="4" t="s">
        <v>25</v>
      </c>
      <c r="F346" s="4" t="s">
        <v>25</v>
      </c>
      <c r="G346" s="4" t="s">
        <v>25</v>
      </c>
      <c r="H346" s="4" t="s">
        <v>33</v>
      </c>
      <c r="I346" s="5">
        <v>44621</v>
      </c>
      <c r="J346" s="6">
        <v>0</v>
      </c>
      <c r="K346" s="6">
        <v>0</v>
      </c>
      <c r="L346" s="6">
        <v>12.128</v>
      </c>
      <c r="M346" s="6">
        <v>11.64288</v>
      </c>
      <c r="N346" s="6">
        <v>12.128</v>
      </c>
      <c r="O346" s="6">
        <v>11.64288</v>
      </c>
      <c r="P346" s="6">
        <v>0</v>
      </c>
      <c r="Q346" s="4" t="s">
        <v>26</v>
      </c>
      <c r="R346" s="4">
        <v>0</v>
      </c>
      <c r="S346" s="4" t="s">
        <v>167</v>
      </c>
      <c r="T346" s="4" t="s">
        <v>333</v>
      </c>
      <c r="U346" s="4">
        <v>0</v>
      </c>
      <c r="V346" s="4">
        <v>21</v>
      </c>
      <c r="W346" s="4">
        <v>66</v>
      </c>
    </row>
    <row r="347" spans="1:23" ht="11.25" customHeight="1" x14ac:dyDescent="0.25">
      <c r="A347" s="4" t="s">
        <v>21</v>
      </c>
      <c r="B347" s="4" t="s">
        <v>38</v>
      </c>
      <c r="C347" s="4" t="s">
        <v>39</v>
      </c>
      <c r="D347" s="4" t="s">
        <v>43</v>
      </c>
      <c r="E347" s="4" t="s">
        <v>25</v>
      </c>
      <c r="F347" s="4" t="s">
        <v>25</v>
      </c>
      <c r="G347" s="4" t="s">
        <v>25</v>
      </c>
      <c r="H347" s="4" t="s">
        <v>33</v>
      </c>
      <c r="I347" s="5">
        <v>44652</v>
      </c>
      <c r="J347" s="6">
        <v>0</v>
      </c>
      <c r="K347" s="6">
        <v>0</v>
      </c>
      <c r="L347" s="6">
        <v>13.789</v>
      </c>
      <c r="M347" s="6">
        <v>13.237439999999999</v>
      </c>
      <c r="N347" s="6">
        <v>13.789</v>
      </c>
      <c r="O347" s="6">
        <v>13.237439999999999</v>
      </c>
      <c r="P347" s="6">
        <v>0</v>
      </c>
      <c r="Q347" s="4" t="s">
        <v>26</v>
      </c>
      <c r="R347" s="4">
        <v>0</v>
      </c>
      <c r="S347" s="4" t="s">
        <v>168</v>
      </c>
      <c r="T347" s="4" t="s">
        <v>334</v>
      </c>
      <c r="U347" s="4">
        <v>0</v>
      </c>
      <c r="V347" s="4">
        <v>21</v>
      </c>
      <c r="W347" s="4">
        <v>66</v>
      </c>
    </row>
    <row r="348" spans="1:23" ht="11.25" customHeight="1" x14ac:dyDescent="0.25">
      <c r="A348" s="4" t="s">
        <v>21</v>
      </c>
      <c r="B348" s="4" t="s">
        <v>38</v>
      </c>
      <c r="C348" s="4" t="s">
        <v>39</v>
      </c>
      <c r="D348" s="4" t="s">
        <v>43</v>
      </c>
      <c r="E348" s="4" t="s">
        <v>25</v>
      </c>
      <c r="F348" s="4" t="s">
        <v>25</v>
      </c>
      <c r="G348" s="4" t="s">
        <v>25</v>
      </c>
      <c r="H348" s="4" t="s">
        <v>33</v>
      </c>
      <c r="I348" s="5">
        <v>44682</v>
      </c>
      <c r="J348" s="6">
        <v>0</v>
      </c>
      <c r="K348" s="6">
        <v>0</v>
      </c>
      <c r="L348" s="6">
        <v>8.1319999999999997</v>
      </c>
      <c r="M348" s="6">
        <v>7.8067200000000003</v>
      </c>
      <c r="N348" s="6">
        <v>8.1319999999999997</v>
      </c>
      <c r="O348" s="6">
        <v>7.8067200000000003</v>
      </c>
      <c r="P348" s="6">
        <v>0</v>
      </c>
      <c r="Q348" s="4" t="s">
        <v>26</v>
      </c>
      <c r="R348" s="4">
        <v>0</v>
      </c>
      <c r="S348" s="4" t="s">
        <v>169</v>
      </c>
      <c r="T348" s="4" t="s">
        <v>335</v>
      </c>
      <c r="U348" s="4">
        <v>0</v>
      </c>
      <c r="V348" s="4">
        <v>21</v>
      </c>
      <c r="W348" s="4">
        <v>66</v>
      </c>
    </row>
    <row r="349" spans="1:23" ht="11.25" customHeight="1" x14ac:dyDescent="0.25">
      <c r="A349" s="4" t="s">
        <v>55</v>
      </c>
      <c r="B349" s="4" t="s">
        <v>38</v>
      </c>
      <c r="C349" s="4" t="s">
        <v>39</v>
      </c>
      <c r="D349" s="4" t="s">
        <v>43</v>
      </c>
      <c r="E349" s="4" t="s">
        <v>25</v>
      </c>
      <c r="F349" s="4" t="s">
        <v>25</v>
      </c>
      <c r="G349" s="4" t="s">
        <v>25</v>
      </c>
      <c r="H349" s="4" t="s">
        <v>33</v>
      </c>
      <c r="I349" s="5">
        <v>44713</v>
      </c>
      <c r="J349" s="6">
        <v>0</v>
      </c>
      <c r="K349" s="6">
        <v>0</v>
      </c>
      <c r="L349" s="6">
        <v>8.1319999999999997</v>
      </c>
      <c r="M349" s="6">
        <v>7.8067200000000003</v>
      </c>
      <c r="N349" s="6">
        <v>8.1319999999999997</v>
      </c>
      <c r="O349" s="6">
        <v>7.8067200000000003</v>
      </c>
      <c r="P349" s="6">
        <v>0</v>
      </c>
      <c r="Q349" s="4" t="s">
        <v>26</v>
      </c>
      <c r="R349" s="4">
        <v>0</v>
      </c>
      <c r="S349" s="4" t="s">
        <v>170</v>
      </c>
      <c r="T349" s="4" t="s">
        <v>336</v>
      </c>
      <c r="U349" s="4">
        <v>0</v>
      </c>
      <c r="V349" s="4">
        <v>21</v>
      </c>
      <c r="W349" s="4">
        <v>66</v>
      </c>
    </row>
    <row r="350" spans="1:23" ht="11.25" customHeight="1" x14ac:dyDescent="0.25">
      <c r="A350" s="4" t="s">
        <v>21</v>
      </c>
      <c r="B350" s="4" t="s">
        <v>22</v>
      </c>
      <c r="C350" s="4" t="s">
        <v>32</v>
      </c>
      <c r="D350" s="4" t="s">
        <v>24</v>
      </c>
      <c r="E350" s="4" t="s">
        <v>24</v>
      </c>
      <c r="F350" s="4" t="s">
        <v>25</v>
      </c>
      <c r="G350" s="4" t="s">
        <v>25</v>
      </c>
      <c r="H350" s="4" t="s">
        <v>34</v>
      </c>
      <c r="I350" s="5">
        <v>44378</v>
      </c>
      <c r="J350" s="6">
        <v>0</v>
      </c>
      <c r="K350" s="6">
        <v>0</v>
      </c>
      <c r="L350" s="6">
        <v>2.1110000000000002</v>
      </c>
      <c r="M350" s="6">
        <v>2.1110000000000002</v>
      </c>
      <c r="N350" s="6">
        <v>2.1110000000000002</v>
      </c>
      <c r="O350" s="6">
        <v>2.1110000000000002</v>
      </c>
      <c r="P350" s="6">
        <v>0</v>
      </c>
      <c r="Q350" s="4" t="s">
        <v>26</v>
      </c>
      <c r="R350" s="4">
        <v>0</v>
      </c>
      <c r="S350" s="4" t="s">
        <v>171</v>
      </c>
      <c r="T350" s="4" t="s">
        <v>341</v>
      </c>
      <c r="U350" s="4">
        <v>0</v>
      </c>
      <c r="V350" s="4">
        <v>2</v>
      </c>
      <c r="W350" s="4">
        <v>37</v>
      </c>
    </row>
    <row r="351" spans="1:23" ht="11.25" customHeight="1" x14ac:dyDescent="0.25">
      <c r="A351" s="4" t="s">
        <v>21</v>
      </c>
      <c r="B351" s="4" t="s">
        <v>22</v>
      </c>
      <c r="C351" s="4" t="s">
        <v>32</v>
      </c>
      <c r="D351" s="4" t="s">
        <v>24</v>
      </c>
      <c r="E351" s="4" t="s">
        <v>24</v>
      </c>
      <c r="F351" s="4" t="s">
        <v>25</v>
      </c>
      <c r="G351" s="4" t="s">
        <v>25</v>
      </c>
      <c r="H351" s="4" t="s">
        <v>34</v>
      </c>
      <c r="I351" s="5">
        <v>44409</v>
      </c>
      <c r="J351" s="6">
        <v>0</v>
      </c>
      <c r="K351" s="6">
        <v>0</v>
      </c>
      <c r="L351" s="6">
        <v>1.8939999999999999</v>
      </c>
      <c r="M351" s="6">
        <v>1.8939999999999999</v>
      </c>
      <c r="N351" s="6">
        <v>1.8939999999999999</v>
      </c>
      <c r="O351" s="6">
        <v>1.8939999999999999</v>
      </c>
      <c r="P351" s="6">
        <v>0</v>
      </c>
      <c r="Q351" s="4" t="s">
        <v>26</v>
      </c>
      <c r="R351" s="4">
        <v>0</v>
      </c>
      <c r="S351" s="4" t="s">
        <v>172</v>
      </c>
      <c r="T351" s="4" t="s">
        <v>342</v>
      </c>
      <c r="U351" s="4">
        <v>0</v>
      </c>
      <c r="V351" s="4">
        <v>2</v>
      </c>
      <c r="W351" s="4">
        <v>37</v>
      </c>
    </row>
    <row r="352" spans="1:23" ht="11.25" customHeight="1" x14ac:dyDescent="0.25">
      <c r="A352" s="4" t="s">
        <v>21</v>
      </c>
      <c r="B352" s="4" t="s">
        <v>22</v>
      </c>
      <c r="C352" s="4" t="s">
        <v>32</v>
      </c>
      <c r="D352" s="4" t="s">
        <v>24</v>
      </c>
      <c r="E352" s="4" t="s">
        <v>24</v>
      </c>
      <c r="F352" s="4" t="s">
        <v>25</v>
      </c>
      <c r="G352" s="4" t="s">
        <v>25</v>
      </c>
      <c r="H352" s="4" t="s">
        <v>34</v>
      </c>
      <c r="I352" s="5">
        <v>44440</v>
      </c>
      <c r="J352" s="6">
        <v>0</v>
      </c>
      <c r="K352" s="6">
        <v>0</v>
      </c>
      <c r="L352" s="6">
        <v>1.3680000000000001</v>
      </c>
      <c r="M352" s="6">
        <v>1.3680000000000001</v>
      </c>
      <c r="N352" s="6">
        <v>1.3680000000000001</v>
      </c>
      <c r="O352" s="6">
        <v>1.3680000000000001</v>
      </c>
      <c r="P352" s="6">
        <v>0</v>
      </c>
      <c r="Q352" s="4" t="s">
        <v>26</v>
      </c>
      <c r="R352" s="4">
        <v>0</v>
      </c>
      <c r="S352" s="4" t="s">
        <v>173</v>
      </c>
      <c r="T352" s="4" t="s">
        <v>343</v>
      </c>
      <c r="U352" s="4">
        <v>0</v>
      </c>
      <c r="V352" s="4">
        <v>2</v>
      </c>
      <c r="W352" s="4">
        <v>37</v>
      </c>
    </row>
    <row r="353" spans="1:23" ht="11.25" customHeight="1" x14ac:dyDescent="0.25">
      <c r="A353" s="4" t="s">
        <v>21</v>
      </c>
      <c r="B353" s="4" t="s">
        <v>22</v>
      </c>
      <c r="C353" s="4" t="s">
        <v>32</v>
      </c>
      <c r="D353" s="4" t="s">
        <v>24</v>
      </c>
      <c r="E353" s="4" t="s">
        <v>24</v>
      </c>
      <c r="F353" s="4" t="s">
        <v>25</v>
      </c>
      <c r="G353" s="4" t="s">
        <v>25</v>
      </c>
      <c r="H353" s="4" t="s">
        <v>34</v>
      </c>
      <c r="I353" s="5">
        <v>44470</v>
      </c>
      <c r="J353" s="6">
        <v>0</v>
      </c>
      <c r="K353" s="6">
        <v>0</v>
      </c>
      <c r="L353" s="6">
        <v>1.0580000000000001</v>
      </c>
      <c r="M353" s="6">
        <v>1.0580000000000001</v>
      </c>
      <c r="N353" s="6">
        <v>1.0580000000000001</v>
      </c>
      <c r="O353" s="6">
        <v>1.0580000000000001</v>
      </c>
      <c r="P353" s="6">
        <v>0</v>
      </c>
      <c r="Q353" s="4" t="s">
        <v>26</v>
      </c>
      <c r="R353" s="4">
        <v>0</v>
      </c>
      <c r="S353" s="4" t="s">
        <v>174</v>
      </c>
      <c r="T353" s="4" t="s">
        <v>344</v>
      </c>
      <c r="U353" s="4">
        <v>0</v>
      </c>
      <c r="V353" s="4">
        <v>2</v>
      </c>
      <c r="W353" s="4">
        <v>37</v>
      </c>
    </row>
    <row r="354" spans="1:23" ht="11.25" customHeight="1" x14ac:dyDescent="0.25">
      <c r="A354" s="4" t="s">
        <v>21</v>
      </c>
      <c r="B354" s="4" t="s">
        <v>22</v>
      </c>
      <c r="C354" s="4" t="s">
        <v>32</v>
      </c>
      <c r="D354" s="4" t="s">
        <v>24</v>
      </c>
      <c r="E354" s="4" t="s">
        <v>24</v>
      </c>
      <c r="F354" s="4" t="s">
        <v>25</v>
      </c>
      <c r="G354" s="4" t="s">
        <v>25</v>
      </c>
      <c r="H354" s="4" t="s">
        <v>34</v>
      </c>
      <c r="I354" s="5">
        <v>44501</v>
      </c>
      <c r="J354" s="6">
        <v>0</v>
      </c>
      <c r="K354" s="6">
        <v>0</v>
      </c>
      <c r="L354" s="6">
        <v>1.204</v>
      </c>
      <c r="M354" s="6">
        <v>1.204</v>
      </c>
      <c r="N354" s="6">
        <v>1.204</v>
      </c>
      <c r="O354" s="6">
        <v>1.204</v>
      </c>
      <c r="P354" s="6">
        <v>0</v>
      </c>
      <c r="Q354" s="4" t="s">
        <v>26</v>
      </c>
      <c r="R354" s="4">
        <v>0</v>
      </c>
      <c r="S354" s="4" t="s">
        <v>175</v>
      </c>
      <c r="T354" s="4" t="s">
        <v>345</v>
      </c>
      <c r="U354" s="4">
        <v>0</v>
      </c>
      <c r="V354" s="4">
        <v>2</v>
      </c>
      <c r="W354" s="4">
        <v>37</v>
      </c>
    </row>
    <row r="355" spans="1:23" ht="11.25" customHeight="1" x14ac:dyDescent="0.25">
      <c r="A355" s="4" t="s">
        <v>21</v>
      </c>
      <c r="B355" s="4" t="s">
        <v>22</v>
      </c>
      <c r="C355" s="4" t="s">
        <v>32</v>
      </c>
      <c r="D355" s="4" t="s">
        <v>24</v>
      </c>
      <c r="E355" s="4" t="s">
        <v>24</v>
      </c>
      <c r="F355" s="4" t="s">
        <v>25</v>
      </c>
      <c r="G355" s="4" t="s">
        <v>25</v>
      </c>
      <c r="H355" s="4" t="s">
        <v>34</v>
      </c>
      <c r="I355" s="5">
        <v>44531</v>
      </c>
      <c r="J355" s="6">
        <v>0</v>
      </c>
      <c r="K355" s="6">
        <v>0</v>
      </c>
      <c r="L355" s="6">
        <v>1.3480000000000001</v>
      </c>
      <c r="M355" s="6">
        <v>1.3480000000000001</v>
      </c>
      <c r="N355" s="6">
        <v>1.3480000000000001</v>
      </c>
      <c r="O355" s="6">
        <v>1.3480000000000001</v>
      </c>
      <c r="P355" s="6">
        <v>0</v>
      </c>
      <c r="Q355" s="4" t="s">
        <v>26</v>
      </c>
      <c r="R355" s="4">
        <v>0</v>
      </c>
      <c r="S355" s="4" t="s">
        <v>176</v>
      </c>
      <c r="T355" s="4" t="s">
        <v>346</v>
      </c>
      <c r="U355" s="4">
        <v>0</v>
      </c>
      <c r="V355" s="4">
        <v>2</v>
      </c>
      <c r="W355" s="4">
        <v>37</v>
      </c>
    </row>
    <row r="356" spans="1:23" ht="11.25" customHeight="1" x14ac:dyDescent="0.25">
      <c r="A356" s="4" t="s">
        <v>21</v>
      </c>
      <c r="B356" s="4" t="s">
        <v>22</v>
      </c>
      <c r="C356" s="4" t="s">
        <v>32</v>
      </c>
      <c r="D356" s="4" t="s">
        <v>24</v>
      </c>
      <c r="E356" s="4" t="s">
        <v>24</v>
      </c>
      <c r="F356" s="4" t="s">
        <v>25</v>
      </c>
      <c r="G356" s="4" t="s">
        <v>25</v>
      </c>
      <c r="H356" s="4" t="s">
        <v>34</v>
      </c>
      <c r="I356" s="5">
        <v>44562</v>
      </c>
      <c r="J356" s="6">
        <v>0</v>
      </c>
      <c r="K356" s="6">
        <v>0</v>
      </c>
      <c r="L356" s="6">
        <v>1.6739999999999999</v>
      </c>
      <c r="M356" s="6">
        <v>1.6739999999999999</v>
      </c>
      <c r="N356" s="6">
        <v>1.6739999999999999</v>
      </c>
      <c r="O356" s="6">
        <v>1.6739999999999999</v>
      </c>
      <c r="P356" s="6">
        <v>0</v>
      </c>
      <c r="Q356" s="4" t="s">
        <v>26</v>
      </c>
      <c r="R356" s="4">
        <v>0</v>
      </c>
      <c r="S356" s="4" t="s">
        <v>177</v>
      </c>
      <c r="T356" s="4" t="s">
        <v>347</v>
      </c>
      <c r="U356" s="4">
        <v>0</v>
      </c>
      <c r="V356" s="4">
        <v>2</v>
      </c>
      <c r="W356" s="4">
        <v>37</v>
      </c>
    </row>
    <row r="357" spans="1:23" ht="11.25" customHeight="1" x14ac:dyDescent="0.25">
      <c r="A357" s="4" t="s">
        <v>21</v>
      </c>
      <c r="B357" s="4" t="s">
        <v>22</v>
      </c>
      <c r="C357" s="4" t="s">
        <v>32</v>
      </c>
      <c r="D357" s="4" t="s">
        <v>24</v>
      </c>
      <c r="E357" s="4" t="s">
        <v>24</v>
      </c>
      <c r="F357" s="4" t="s">
        <v>25</v>
      </c>
      <c r="G357" s="4" t="s">
        <v>25</v>
      </c>
      <c r="H357" s="4" t="s">
        <v>34</v>
      </c>
      <c r="I357" s="5">
        <v>44593</v>
      </c>
      <c r="J357" s="6">
        <v>0</v>
      </c>
      <c r="K357" s="6">
        <v>0</v>
      </c>
      <c r="L357" s="6">
        <v>1.49</v>
      </c>
      <c r="M357" s="6">
        <v>1.49</v>
      </c>
      <c r="N357" s="6">
        <v>1.49</v>
      </c>
      <c r="O357" s="6">
        <v>1.49</v>
      </c>
      <c r="P357" s="6">
        <v>0</v>
      </c>
      <c r="Q357" s="4" t="s">
        <v>26</v>
      </c>
      <c r="R357" s="4">
        <v>0</v>
      </c>
      <c r="S357" s="4" t="s">
        <v>178</v>
      </c>
      <c r="T357" s="4" t="s">
        <v>348</v>
      </c>
      <c r="U357" s="4">
        <v>0</v>
      </c>
      <c r="V357" s="4">
        <v>2</v>
      </c>
      <c r="W357" s="4">
        <v>37</v>
      </c>
    </row>
    <row r="358" spans="1:23" ht="11.25" customHeight="1" x14ac:dyDescent="0.25">
      <c r="A358" s="4" t="s">
        <v>21</v>
      </c>
      <c r="B358" s="4" t="s">
        <v>22</v>
      </c>
      <c r="C358" s="4" t="s">
        <v>32</v>
      </c>
      <c r="D358" s="4" t="s">
        <v>24</v>
      </c>
      <c r="E358" s="4" t="s">
        <v>24</v>
      </c>
      <c r="F358" s="4" t="s">
        <v>25</v>
      </c>
      <c r="G358" s="4" t="s">
        <v>25</v>
      </c>
      <c r="H358" s="4" t="s">
        <v>34</v>
      </c>
      <c r="I358" s="5">
        <v>44621</v>
      </c>
      <c r="J358" s="6">
        <v>0</v>
      </c>
      <c r="K358" s="6">
        <v>0</v>
      </c>
      <c r="L358" s="6">
        <v>1.5249999999999999</v>
      </c>
      <c r="M358" s="6">
        <v>1.5249999999999999</v>
      </c>
      <c r="N358" s="6">
        <v>1.5249999999999999</v>
      </c>
      <c r="O358" s="6">
        <v>1.5249999999999999</v>
      </c>
      <c r="P358" s="6">
        <v>0</v>
      </c>
      <c r="Q358" s="4" t="s">
        <v>26</v>
      </c>
      <c r="R358" s="4">
        <v>0</v>
      </c>
      <c r="S358" s="4" t="s">
        <v>179</v>
      </c>
      <c r="T358" s="4" t="s">
        <v>349</v>
      </c>
      <c r="U358" s="4">
        <v>0</v>
      </c>
      <c r="V358" s="4">
        <v>2</v>
      </c>
      <c r="W358" s="4">
        <v>37</v>
      </c>
    </row>
    <row r="359" spans="1:23" ht="11.25" customHeight="1" x14ac:dyDescent="0.25">
      <c r="A359" s="4" t="s">
        <v>21</v>
      </c>
      <c r="B359" s="4" t="s">
        <v>22</v>
      </c>
      <c r="C359" s="4" t="s">
        <v>32</v>
      </c>
      <c r="D359" s="4" t="s">
        <v>24</v>
      </c>
      <c r="E359" s="4" t="s">
        <v>24</v>
      </c>
      <c r="F359" s="4" t="s">
        <v>25</v>
      </c>
      <c r="G359" s="4" t="s">
        <v>25</v>
      </c>
      <c r="H359" s="4" t="s">
        <v>34</v>
      </c>
      <c r="I359" s="5">
        <v>44652</v>
      </c>
      <c r="J359" s="6">
        <v>0</v>
      </c>
      <c r="K359" s="6">
        <v>0</v>
      </c>
      <c r="L359" s="6">
        <v>0.93600000000000005</v>
      </c>
      <c r="M359" s="6">
        <v>0.93600000000000005</v>
      </c>
      <c r="N359" s="6">
        <v>0.93600000000000005</v>
      </c>
      <c r="O359" s="6">
        <v>0.93600000000000005</v>
      </c>
      <c r="P359" s="6">
        <v>0</v>
      </c>
      <c r="Q359" s="4" t="s">
        <v>26</v>
      </c>
      <c r="R359" s="4">
        <v>0</v>
      </c>
      <c r="S359" s="4" t="s">
        <v>180</v>
      </c>
      <c r="T359" s="4" t="s">
        <v>350</v>
      </c>
      <c r="U359" s="4">
        <v>0</v>
      </c>
      <c r="V359" s="4">
        <v>2</v>
      </c>
      <c r="W359" s="4">
        <v>37</v>
      </c>
    </row>
    <row r="360" spans="1:23" ht="11.25" customHeight="1" x14ac:dyDescent="0.25">
      <c r="A360" s="4" t="s">
        <v>21</v>
      </c>
      <c r="B360" s="4" t="s">
        <v>22</v>
      </c>
      <c r="C360" s="4" t="s">
        <v>32</v>
      </c>
      <c r="D360" s="4" t="s">
        <v>24</v>
      </c>
      <c r="E360" s="4" t="s">
        <v>24</v>
      </c>
      <c r="F360" s="4" t="s">
        <v>25</v>
      </c>
      <c r="G360" s="4" t="s">
        <v>25</v>
      </c>
      <c r="H360" s="4" t="s">
        <v>34</v>
      </c>
      <c r="I360" s="5">
        <v>44682</v>
      </c>
      <c r="J360" s="6">
        <v>0</v>
      </c>
      <c r="K360" s="6">
        <v>0</v>
      </c>
      <c r="L360" s="6">
        <v>1.093</v>
      </c>
      <c r="M360" s="6">
        <v>1.093</v>
      </c>
      <c r="N360" s="6">
        <v>1.093</v>
      </c>
      <c r="O360" s="6">
        <v>1.093</v>
      </c>
      <c r="P360" s="6">
        <v>0</v>
      </c>
      <c r="Q360" s="4" t="s">
        <v>26</v>
      </c>
      <c r="R360" s="4">
        <v>0</v>
      </c>
      <c r="S360" s="4" t="s">
        <v>181</v>
      </c>
      <c r="T360" s="4" t="s">
        <v>351</v>
      </c>
      <c r="U360" s="4">
        <v>0</v>
      </c>
      <c r="V360" s="4">
        <v>2</v>
      </c>
      <c r="W360" s="4">
        <v>37</v>
      </c>
    </row>
    <row r="361" spans="1:23" ht="11.25" customHeight="1" x14ac:dyDescent="0.25">
      <c r="A361" s="4" t="s">
        <v>55</v>
      </c>
      <c r="B361" s="4" t="s">
        <v>22</v>
      </c>
      <c r="C361" s="4" t="s">
        <v>32</v>
      </c>
      <c r="D361" s="4" t="s">
        <v>24</v>
      </c>
      <c r="E361" s="4" t="s">
        <v>24</v>
      </c>
      <c r="F361" s="4" t="s">
        <v>25</v>
      </c>
      <c r="G361" s="4" t="s">
        <v>25</v>
      </c>
      <c r="H361" s="4" t="s">
        <v>34</v>
      </c>
      <c r="I361" s="5">
        <v>44713</v>
      </c>
      <c r="J361" s="6">
        <v>0</v>
      </c>
      <c r="K361" s="6">
        <v>0</v>
      </c>
      <c r="L361" s="6">
        <v>1.093</v>
      </c>
      <c r="M361" s="6">
        <v>1.093</v>
      </c>
      <c r="N361" s="6">
        <v>1.093</v>
      </c>
      <c r="O361" s="6">
        <v>1.093</v>
      </c>
      <c r="P361" s="6">
        <v>0</v>
      </c>
      <c r="Q361" s="4" t="s">
        <v>26</v>
      </c>
      <c r="R361" s="4">
        <v>0</v>
      </c>
      <c r="S361" s="4" t="s">
        <v>182</v>
      </c>
      <c r="T361" s="4" t="s">
        <v>352</v>
      </c>
      <c r="U361" s="4">
        <v>0</v>
      </c>
      <c r="V361" s="4">
        <v>2</v>
      </c>
      <c r="W361" s="4">
        <v>37</v>
      </c>
    </row>
    <row r="362" spans="1:23" ht="11.25" customHeight="1" x14ac:dyDescent="0.25">
      <c r="A362" s="4" t="s">
        <v>21</v>
      </c>
      <c r="B362" s="4" t="s">
        <v>22</v>
      </c>
      <c r="C362" s="4" t="s">
        <v>32</v>
      </c>
      <c r="D362" s="4" t="s">
        <v>24</v>
      </c>
      <c r="E362" s="4" t="s">
        <v>24</v>
      </c>
      <c r="F362" s="4" t="s">
        <v>25</v>
      </c>
      <c r="G362" s="4" t="s">
        <v>25</v>
      </c>
      <c r="H362" s="4" t="s">
        <v>35</v>
      </c>
      <c r="I362" s="5">
        <v>44378</v>
      </c>
      <c r="J362" s="6">
        <v>0</v>
      </c>
      <c r="K362" s="6">
        <v>0</v>
      </c>
      <c r="L362" s="6">
        <v>0.192</v>
      </c>
      <c r="M362" s="6">
        <v>0.192</v>
      </c>
      <c r="N362" s="6">
        <v>0.192</v>
      </c>
      <c r="O362" s="6">
        <v>0.192</v>
      </c>
      <c r="P362" s="6">
        <v>0</v>
      </c>
      <c r="Q362" s="4" t="s">
        <v>26</v>
      </c>
      <c r="R362" s="4">
        <v>0</v>
      </c>
      <c r="S362" s="4" t="s">
        <v>183</v>
      </c>
      <c r="T362" s="4" t="s">
        <v>353</v>
      </c>
      <c r="U362" s="4">
        <v>0</v>
      </c>
      <c r="V362" s="4">
        <v>9</v>
      </c>
      <c r="W362" s="4">
        <v>46</v>
      </c>
    </row>
    <row r="363" spans="1:23" ht="11.25" customHeight="1" x14ac:dyDescent="0.25">
      <c r="A363" s="4" t="s">
        <v>21</v>
      </c>
      <c r="B363" s="4" t="s">
        <v>22</v>
      </c>
      <c r="C363" s="4" t="s">
        <v>32</v>
      </c>
      <c r="D363" s="4" t="s">
        <v>24</v>
      </c>
      <c r="E363" s="4" t="s">
        <v>24</v>
      </c>
      <c r="F363" s="4" t="s">
        <v>25</v>
      </c>
      <c r="G363" s="4" t="s">
        <v>25</v>
      </c>
      <c r="H363" s="4" t="s">
        <v>35</v>
      </c>
      <c r="I363" s="5">
        <v>44409</v>
      </c>
      <c r="J363" s="6">
        <v>0</v>
      </c>
      <c r="K363" s="6">
        <v>0</v>
      </c>
      <c r="L363" s="6">
        <v>0.184</v>
      </c>
      <c r="M363" s="6">
        <v>0.184</v>
      </c>
      <c r="N363" s="6">
        <v>0.184</v>
      </c>
      <c r="O363" s="6">
        <v>0.184</v>
      </c>
      <c r="P363" s="6">
        <v>0</v>
      </c>
      <c r="Q363" s="4" t="s">
        <v>26</v>
      </c>
      <c r="R363" s="4">
        <v>0</v>
      </c>
      <c r="S363" s="4" t="s">
        <v>184</v>
      </c>
      <c r="T363" s="4" t="s">
        <v>354</v>
      </c>
      <c r="U363" s="4">
        <v>0</v>
      </c>
      <c r="V363" s="4">
        <v>9</v>
      </c>
      <c r="W363" s="4">
        <v>46</v>
      </c>
    </row>
    <row r="364" spans="1:23" ht="11.25" customHeight="1" x14ac:dyDescent="0.25">
      <c r="A364" s="4" t="s">
        <v>21</v>
      </c>
      <c r="B364" s="4" t="s">
        <v>22</v>
      </c>
      <c r="C364" s="4" t="s">
        <v>32</v>
      </c>
      <c r="D364" s="4" t="s">
        <v>24</v>
      </c>
      <c r="E364" s="4" t="s">
        <v>24</v>
      </c>
      <c r="F364" s="4" t="s">
        <v>25</v>
      </c>
      <c r="G364" s="4" t="s">
        <v>25</v>
      </c>
      <c r="H364" s="4" t="s">
        <v>35</v>
      </c>
      <c r="I364" s="5">
        <v>44440</v>
      </c>
      <c r="J364" s="6">
        <v>0</v>
      </c>
      <c r="K364" s="6">
        <v>0</v>
      </c>
      <c r="L364" s="6">
        <v>0.123</v>
      </c>
      <c r="M364" s="6">
        <v>0.123</v>
      </c>
      <c r="N364" s="6">
        <v>0.123</v>
      </c>
      <c r="O364" s="6">
        <v>0.123</v>
      </c>
      <c r="P364" s="6">
        <v>0</v>
      </c>
      <c r="Q364" s="4" t="s">
        <v>26</v>
      </c>
      <c r="R364" s="4">
        <v>0</v>
      </c>
      <c r="S364" s="4" t="s">
        <v>185</v>
      </c>
      <c r="T364" s="4" t="s">
        <v>355</v>
      </c>
      <c r="U364" s="4">
        <v>0</v>
      </c>
      <c r="V364" s="4">
        <v>9</v>
      </c>
      <c r="W364" s="4">
        <v>46</v>
      </c>
    </row>
    <row r="365" spans="1:23" ht="11.25" customHeight="1" x14ac:dyDescent="0.25">
      <c r="A365" s="4" t="s">
        <v>21</v>
      </c>
      <c r="B365" s="4" t="s">
        <v>22</v>
      </c>
      <c r="C365" s="4" t="s">
        <v>32</v>
      </c>
      <c r="D365" s="4" t="s">
        <v>24</v>
      </c>
      <c r="E365" s="4" t="s">
        <v>24</v>
      </c>
      <c r="F365" s="4" t="s">
        <v>25</v>
      </c>
      <c r="G365" s="4" t="s">
        <v>25</v>
      </c>
      <c r="H365" s="4" t="s">
        <v>35</v>
      </c>
      <c r="I365" s="5">
        <v>44470</v>
      </c>
      <c r="J365" s="6">
        <v>0</v>
      </c>
      <c r="K365" s="6">
        <v>0</v>
      </c>
      <c r="L365" s="6">
        <v>0.105</v>
      </c>
      <c r="M365" s="6">
        <v>0.105</v>
      </c>
      <c r="N365" s="6">
        <v>0.105</v>
      </c>
      <c r="O365" s="6">
        <v>0.105</v>
      </c>
      <c r="P365" s="6">
        <v>0</v>
      </c>
      <c r="Q365" s="4" t="s">
        <v>26</v>
      </c>
      <c r="R365" s="4">
        <v>0</v>
      </c>
      <c r="S365" s="4" t="s">
        <v>186</v>
      </c>
      <c r="T365" s="4" t="s">
        <v>356</v>
      </c>
      <c r="U365" s="4">
        <v>0</v>
      </c>
      <c r="V365" s="4">
        <v>9</v>
      </c>
      <c r="W365" s="4">
        <v>46</v>
      </c>
    </row>
    <row r="366" spans="1:23" ht="11.25" customHeight="1" x14ac:dyDescent="0.25">
      <c r="A366" s="4" t="s">
        <v>21</v>
      </c>
      <c r="B366" s="4" t="s">
        <v>22</v>
      </c>
      <c r="C366" s="4" t="s">
        <v>32</v>
      </c>
      <c r="D366" s="4" t="s">
        <v>24</v>
      </c>
      <c r="E366" s="4" t="s">
        <v>24</v>
      </c>
      <c r="F366" s="4" t="s">
        <v>25</v>
      </c>
      <c r="G366" s="4" t="s">
        <v>25</v>
      </c>
      <c r="H366" s="4" t="s">
        <v>35</v>
      </c>
      <c r="I366" s="5">
        <v>44501</v>
      </c>
      <c r="J366" s="6">
        <v>0</v>
      </c>
      <c r="K366" s="6">
        <v>0</v>
      </c>
      <c r="L366" s="6">
        <v>9.7000000000000003E-2</v>
      </c>
      <c r="M366" s="6">
        <v>9.7000000000000003E-2</v>
      </c>
      <c r="N366" s="6">
        <v>9.7000000000000003E-2</v>
      </c>
      <c r="O366" s="6">
        <v>9.7000000000000003E-2</v>
      </c>
      <c r="P366" s="6">
        <v>0</v>
      </c>
      <c r="Q366" s="4" t="s">
        <v>26</v>
      </c>
      <c r="R366" s="4">
        <v>0</v>
      </c>
      <c r="S366" s="4" t="s">
        <v>187</v>
      </c>
      <c r="T366" s="4" t="s">
        <v>357</v>
      </c>
      <c r="U366" s="4">
        <v>0</v>
      </c>
      <c r="V366" s="4">
        <v>9</v>
      </c>
      <c r="W366" s="4">
        <v>46</v>
      </c>
    </row>
    <row r="367" spans="1:23" ht="11.25" customHeight="1" x14ac:dyDescent="0.25">
      <c r="A367" s="4" t="s">
        <v>21</v>
      </c>
      <c r="B367" s="4" t="s">
        <v>22</v>
      </c>
      <c r="C367" s="4" t="s">
        <v>32</v>
      </c>
      <c r="D367" s="4" t="s">
        <v>24</v>
      </c>
      <c r="E367" s="4" t="s">
        <v>24</v>
      </c>
      <c r="F367" s="4" t="s">
        <v>25</v>
      </c>
      <c r="G367" s="4" t="s">
        <v>25</v>
      </c>
      <c r="H367" s="4" t="s">
        <v>35</v>
      </c>
      <c r="I367" s="5">
        <v>44531</v>
      </c>
      <c r="J367" s="6">
        <v>0</v>
      </c>
      <c r="K367" s="6">
        <v>0</v>
      </c>
      <c r="L367" s="6">
        <v>0.108</v>
      </c>
      <c r="M367" s="6">
        <v>0.108</v>
      </c>
      <c r="N367" s="6">
        <v>0.108</v>
      </c>
      <c r="O367" s="6">
        <v>0.108</v>
      </c>
      <c r="P367" s="6">
        <v>0</v>
      </c>
      <c r="Q367" s="4" t="s">
        <v>26</v>
      </c>
      <c r="R367" s="4">
        <v>0</v>
      </c>
      <c r="S367" s="4" t="s">
        <v>188</v>
      </c>
      <c r="T367" s="4" t="s">
        <v>358</v>
      </c>
      <c r="U367" s="4">
        <v>0</v>
      </c>
      <c r="V367" s="4">
        <v>9</v>
      </c>
      <c r="W367" s="4">
        <v>46</v>
      </c>
    </row>
    <row r="368" spans="1:23" ht="11.25" customHeight="1" x14ac:dyDescent="0.25">
      <c r="A368" s="4" t="s">
        <v>21</v>
      </c>
      <c r="B368" s="4" t="s">
        <v>22</v>
      </c>
      <c r="C368" s="4" t="s">
        <v>32</v>
      </c>
      <c r="D368" s="4" t="s">
        <v>24</v>
      </c>
      <c r="E368" s="4" t="s">
        <v>24</v>
      </c>
      <c r="F368" s="4" t="s">
        <v>25</v>
      </c>
      <c r="G368" s="4" t="s">
        <v>25</v>
      </c>
      <c r="H368" s="4" t="s">
        <v>35</v>
      </c>
      <c r="I368" s="5">
        <v>44562</v>
      </c>
      <c r="J368" s="6">
        <v>0</v>
      </c>
      <c r="K368" s="6">
        <v>0</v>
      </c>
      <c r="L368" s="6">
        <v>0.16300000000000001</v>
      </c>
      <c r="M368" s="6">
        <v>0.16300000000000001</v>
      </c>
      <c r="N368" s="6">
        <v>0.16300000000000001</v>
      </c>
      <c r="O368" s="6">
        <v>0.16300000000000001</v>
      </c>
      <c r="P368" s="6">
        <v>0</v>
      </c>
      <c r="Q368" s="4" t="s">
        <v>26</v>
      </c>
      <c r="R368" s="4">
        <v>0</v>
      </c>
      <c r="S368" s="4" t="s">
        <v>189</v>
      </c>
      <c r="T368" s="4" t="s">
        <v>359</v>
      </c>
      <c r="U368" s="4">
        <v>0</v>
      </c>
      <c r="V368" s="4">
        <v>9</v>
      </c>
      <c r="W368" s="4">
        <v>46</v>
      </c>
    </row>
    <row r="369" spans="1:23" ht="11.25" customHeight="1" x14ac:dyDescent="0.25">
      <c r="A369" s="4" t="s">
        <v>21</v>
      </c>
      <c r="B369" s="4" t="s">
        <v>22</v>
      </c>
      <c r="C369" s="4" t="s">
        <v>32</v>
      </c>
      <c r="D369" s="4" t="s">
        <v>24</v>
      </c>
      <c r="E369" s="4" t="s">
        <v>24</v>
      </c>
      <c r="F369" s="4" t="s">
        <v>25</v>
      </c>
      <c r="G369" s="4" t="s">
        <v>25</v>
      </c>
      <c r="H369" s="4" t="s">
        <v>35</v>
      </c>
      <c r="I369" s="5">
        <v>44593</v>
      </c>
      <c r="J369" s="6">
        <v>0</v>
      </c>
      <c r="K369" s="6">
        <v>0</v>
      </c>
      <c r="L369" s="6">
        <v>0.13200000000000001</v>
      </c>
      <c r="M369" s="6">
        <v>0.13200000000000001</v>
      </c>
      <c r="N369" s="6">
        <v>0.13200000000000001</v>
      </c>
      <c r="O369" s="6">
        <v>0.13200000000000001</v>
      </c>
      <c r="P369" s="6">
        <v>0</v>
      </c>
      <c r="Q369" s="4" t="s">
        <v>26</v>
      </c>
      <c r="R369" s="4">
        <v>0</v>
      </c>
      <c r="S369" s="4" t="s">
        <v>190</v>
      </c>
      <c r="T369" s="4" t="s">
        <v>360</v>
      </c>
      <c r="U369" s="4">
        <v>0</v>
      </c>
      <c r="V369" s="4">
        <v>9</v>
      </c>
      <c r="W369" s="4">
        <v>46</v>
      </c>
    </row>
    <row r="370" spans="1:23" ht="11.25" customHeight="1" x14ac:dyDescent="0.25">
      <c r="A370" s="4" t="s">
        <v>21</v>
      </c>
      <c r="B370" s="4" t="s">
        <v>22</v>
      </c>
      <c r="C370" s="4" t="s">
        <v>32</v>
      </c>
      <c r="D370" s="4" t="s">
        <v>24</v>
      </c>
      <c r="E370" s="4" t="s">
        <v>24</v>
      </c>
      <c r="F370" s="4" t="s">
        <v>25</v>
      </c>
      <c r="G370" s="4" t="s">
        <v>25</v>
      </c>
      <c r="H370" s="4" t="s">
        <v>35</v>
      </c>
      <c r="I370" s="5">
        <v>44621</v>
      </c>
      <c r="J370" s="6">
        <v>0</v>
      </c>
      <c r="K370" s="6">
        <v>0</v>
      </c>
      <c r="L370" s="6">
        <v>0.14899999999999999</v>
      </c>
      <c r="M370" s="6">
        <v>0.14899999999999999</v>
      </c>
      <c r="N370" s="6">
        <v>0.14899999999999999</v>
      </c>
      <c r="O370" s="6">
        <v>0.14899999999999999</v>
      </c>
      <c r="P370" s="6">
        <v>0</v>
      </c>
      <c r="Q370" s="4" t="s">
        <v>26</v>
      </c>
      <c r="R370" s="4">
        <v>0</v>
      </c>
      <c r="S370" s="4" t="s">
        <v>191</v>
      </c>
      <c r="T370" s="4" t="s">
        <v>361</v>
      </c>
      <c r="U370" s="4">
        <v>0</v>
      </c>
      <c r="V370" s="4">
        <v>9</v>
      </c>
      <c r="W370" s="4">
        <v>46</v>
      </c>
    </row>
    <row r="371" spans="1:23" ht="11.25" customHeight="1" x14ac:dyDescent="0.25">
      <c r="A371" s="4" t="s">
        <v>21</v>
      </c>
      <c r="B371" s="4" t="s">
        <v>22</v>
      </c>
      <c r="C371" s="4" t="s">
        <v>32</v>
      </c>
      <c r="D371" s="4" t="s">
        <v>24</v>
      </c>
      <c r="E371" s="4" t="s">
        <v>24</v>
      </c>
      <c r="F371" s="4" t="s">
        <v>25</v>
      </c>
      <c r="G371" s="4" t="s">
        <v>25</v>
      </c>
      <c r="H371" s="4" t="s">
        <v>35</v>
      </c>
      <c r="I371" s="5">
        <v>44652</v>
      </c>
      <c r="J371" s="6">
        <v>0</v>
      </c>
      <c r="K371" s="6">
        <v>0</v>
      </c>
      <c r="L371" s="6">
        <v>8.4000000000000005E-2</v>
      </c>
      <c r="M371" s="6">
        <v>8.4000000000000005E-2</v>
      </c>
      <c r="N371" s="6">
        <v>8.4000000000000005E-2</v>
      </c>
      <c r="O371" s="6">
        <v>8.4000000000000005E-2</v>
      </c>
      <c r="P371" s="6">
        <v>0</v>
      </c>
      <c r="Q371" s="4" t="s">
        <v>26</v>
      </c>
      <c r="R371" s="4">
        <v>0</v>
      </c>
      <c r="S371" s="4" t="s">
        <v>192</v>
      </c>
      <c r="T371" s="4" t="s">
        <v>362</v>
      </c>
      <c r="U371" s="4">
        <v>0</v>
      </c>
      <c r="V371" s="4">
        <v>9</v>
      </c>
      <c r="W371" s="4">
        <v>46</v>
      </c>
    </row>
    <row r="372" spans="1:23" ht="11.25" customHeight="1" x14ac:dyDescent="0.25">
      <c r="A372" s="4" t="s">
        <v>21</v>
      </c>
      <c r="B372" s="4" t="s">
        <v>22</v>
      </c>
      <c r="C372" s="4" t="s">
        <v>32</v>
      </c>
      <c r="D372" s="4" t="s">
        <v>24</v>
      </c>
      <c r="E372" s="4" t="s">
        <v>24</v>
      </c>
      <c r="F372" s="4" t="s">
        <v>25</v>
      </c>
      <c r="G372" s="4" t="s">
        <v>25</v>
      </c>
      <c r="H372" s="4" t="s">
        <v>35</v>
      </c>
      <c r="I372" s="5">
        <v>44682</v>
      </c>
      <c r="J372" s="6">
        <v>0</v>
      </c>
      <c r="K372" s="6">
        <v>0</v>
      </c>
      <c r="L372" s="6">
        <v>0.32500000000000001</v>
      </c>
      <c r="M372" s="6">
        <v>0.32500000000000001</v>
      </c>
      <c r="N372" s="6">
        <v>0.32500000000000001</v>
      </c>
      <c r="O372" s="6">
        <v>0.32500000000000001</v>
      </c>
      <c r="P372" s="6">
        <v>0</v>
      </c>
      <c r="Q372" s="4" t="s">
        <v>26</v>
      </c>
      <c r="R372" s="4">
        <v>0</v>
      </c>
      <c r="S372" s="4" t="s">
        <v>193</v>
      </c>
      <c r="T372" s="4" t="s">
        <v>363</v>
      </c>
      <c r="U372" s="4">
        <v>0</v>
      </c>
      <c r="V372" s="4">
        <v>9</v>
      </c>
      <c r="W372" s="4">
        <v>46</v>
      </c>
    </row>
    <row r="373" spans="1:23" ht="11.25" customHeight="1" x14ac:dyDescent="0.25">
      <c r="A373" s="4" t="s">
        <v>55</v>
      </c>
      <c r="B373" s="4" t="s">
        <v>22</v>
      </c>
      <c r="C373" s="4" t="s">
        <v>32</v>
      </c>
      <c r="D373" s="4" t="s">
        <v>24</v>
      </c>
      <c r="E373" s="4" t="s">
        <v>24</v>
      </c>
      <c r="F373" s="4" t="s">
        <v>25</v>
      </c>
      <c r="G373" s="4" t="s">
        <v>25</v>
      </c>
      <c r="H373" s="4" t="s">
        <v>35</v>
      </c>
      <c r="I373" s="5">
        <v>44713</v>
      </c>
      <c r="J373" s="6">
        <v>0</v>
      </c>
      <c r="K373" s="6">
        <v>0</v>
      </c>
      <c r="L373" s="6">
        <v>0.32500000000000001</v>
      </c>
      <c r="M373" s="6">
        <v>0.32500000000000001</v>
      </c>
      <c r="N373" s="6">
        <v>0.32500000000000001</v>
      </c>
      <c r="O373" s="6">
        <v>0.32500000000000001</v>
      </c>
      <c r="P373" s="6">
        <v>0</v>
      </c>
      <c r="Q373" s="4" t="s">
        <v>26</v>
      </c>
      <c r="R373" s="4">
        <v>0</v>
      </c>
      <c r="S373" s="4" t="s">
        <v>194</v>
      </c>
      <c r="T373" s="4" t="s">
        <v>364</v>
      </c>
      <c r="U373" s="4">
        <v>0</v>
      </c>
      <c r="V373" s="4">
        <v>9</v>
      </c>
      <c r="W373" s="4">
        <v>46</v>
      </c>
    </row>
    <row r="374" spans="1:23" ht="11.25" customHeight="1" x14ac:dyDescent="0.25">
      <c r="A374" s="4" t="s">
        <v>21</v>
      </c>
      <c r="B374" s="4" t="s">
        <v>22</v>
      </c>
      <c r="C374" s="4" t="s">
        <v>32</v>
      </c>
      <c r="D374" s="4" t="s">
        <v>24</v>
      </c>
      <c r="E374" s="4" t="s">
        <v>24</v>
      </c>
      <c r="F374" s="4" t="s">
        <v>25</v>
      </c>
      <c r="G374" s="4" t="s">
        <v>25</v>
      </c>
      <c r="H374" s="4" t="s">
        <v>33</v>
      </c>
      <c r="I374" s="5">
        <v>44378</v>
      </c>
      <c r="J374" s="6">
        <v>0</v>
      </c>
      <c r="K374" s="6">
        <v>0</v>
      </c>
      <c r="L374" s="6">
        <v>0.32800000000000001</v>
      </c>
      <c r="M374" s="6">
        <v>0.32800000000000001</v>
      </c>
      <c r="N374" s="6">
        <v>0.32800000000000001</v>
      </c>
      <c r="O374" s="6">
        <v>0.32800000000000001</v>
      </c>
      <c r="P374" s="6">
        <v>0</v>
      </c>
      <c r="Q374" s="4" t="s">
        <v>26</v>
      </c>
      <c r="R374" s="4">
        <v>0</v>
      </c>
      <c r="S374" s="4" t="s">
        <v>195</v>
      </c>
      <c r="T374" s="4" t="s">
        <v>365</v>
      </c>
      <c r="U374" s="4">
        <v>0</v>
      </c>
      <c r="V374" s="4">
        <v>15</v>
      </c>
      <c r="W374" s="4">
        <v>69</v>
      </c>
    </row>
    <row r="375" spans="1:23" ht="11.25" customHeight="1" x14ac:dyDescent="0.25">
      <c r="A375" s="4" t="s">
        <v>21</v>
      </c>
      <c r="B375" s="4" t="s">
        <v>22</v>
      </c>
      <c r="C375" s="4" t="s">
        <v>32</v>
      </c>
      <c r="D375" s="4" t="s">
        <v>24</v>
      </c>
      <c r="E375" s="4" t="s">
        <v>24</v>
      </c>
      <c r="F375" s="4" t="s">
        <v>25</v>
      </c>
      <c r="G375" s="4" t="s">
        <v>25</v>
      </c>
      <c r="H375" s="4" t="s">
        <v>33</v>
      </c>
      <c r="I375" s="5">
        <v>44409</v>
      </c>
      <c r="J375" s="6">
        <v>0</v>
      </c>
      <c r="K375" s="6">
        <v>0</v>
      </c>
      <c r="L375" s="6">
        <v>0.30399999999999999</v>
      </c>
      <c r="M375" s="6">
        <v>0.30399999999999999</v>
      </c>
      <c r="N375" s="6">
        <v>0.30399999999999999</v>
      </c>
      <c r="O375" s="6">
        <v>0.30399999999999999</v>
      </c>
      <c r="P375" s="6">
        <v>0</v>
      </c>
      <c r="Q375" s="4" t="s">
        <v>26</v>
      </c>
      <c r="R375" s="4">
        <v>0</v>
      </c>
      <c r="S375" s="4" t="s">
        <v>196</v>
      </c>
      <c r="T375" s="4" t="s">
        <v>366</v>
      </c>
      <c r="U375" s="4">
        <v>0</v>
      </c>
      <c r="V375" s="4">
        <v>15</v>
      </c>
      <c r="W375" s="4">
        <v>69</v>
      </c>
    </row>
    <row r="376" spans="1:23" ht="11.25" customHeight="1" x14ac:dyDescent="0.25">
      <c r="A376" s="4" t="s">
        <v>21</v>
      </c>
      <c r="B376" s="4" t="s">
        <v>22</v>
      </c>
      <c r="C376" s="4" t="s">
        <v>32</v>
      </c>
      <c r="D376" s="4" t="s">
        <v>24</v>
      </c>
      <c r="E376" s="4" t="s">
        <v>24</v>
      </c>
      <c r="F376" s="4" t="s">
        <v>25</v>
      </c>
      <c r="G376" s="4" t="s">
        <v>25</v>
      </c>
      <c r="H376" s="4" t="s">
        <v>33</v>
      </c>
      <c r="I376" s="5">
        <v>44440</v>
      </c>
      <c r="J376" s="6">
        <v>0</v>
      </c>
      <c r="K376" s="6">
        <v>0</v>
      </c>
      <c r="L376" s="6">
        <v>0.223</v>
      </c>
      <c r="M376" s="6">
        <v>0.223</v>
      </c>
      <c r="N376" s="6">
        <v>0.223</v>
      </c>
      <c r="O376" s="6">
        <v>0.223</v>
      </c>
      <c r="P376" s="6">
        <v>0</v>
      </c>
      <c r="Q376" s="4" t="s">
        <v>26</v>
      </c>
      <c r="R376" s="4">
        <v>0</v>
      </c>
      <c r="S376" s="4" t="s">
        <v>197</v>
      </c>
      <c r="T376" s="4" t="s">
        <v>367</v>
      </c>
      <c r="U376" s="4">
        <v>0</v>
      </c>
      <c r="V376" s="4">
        <v>15</v>
      </c>
      <c r="W376" s="4">
        <v>69</v>
      </c>
    </row>
    <row r="377" spans="1:23" ht="11.25" customHeight="1" x14ac:dyDescent="0.25">
      <c r="A377" s="4" t="s">
        <v>21</v>
      </c>
      <c r="B377" s="4" t="s">
        <v>22</v>
      </c>
      <c r="C377" s="4" t="s">
        <v>32</v>
      </c>
      <c r="D377" s="4" t="s">
        <v>24</v>
      </c>
      <c r="E377" s="4" t="s">
        <v>24</v>
      </c>
      <c r="F377" s="4" t="s">
        <v>25</v>
      </c>
      <c r="G377" s="4" t="s">
        <v>25</v>
      </c>
      <c r="H377" s="4" t="s">
        <v>33</v>
      </c>
      <c r="I377" s="5">
        <v>44470</v>
      </c>
      <c r="J377" s="6">
        <v>0</v>
      </c>
      <c r="K377" s="6">
        <v>0</v>
      </c>
      <c r="L377" s="6">
        <v>0.192</v>
      </c>
      <c r="M377" s="6">
        <v>0.192</v>
      </c>
      <c r="N377" s="6">
        <v>0.192</v>
      </c>
      <c r="O377" s="6">
        <v>0.192</v>
      </c>
      <c r="P377" s="6">
        <v>0</v>
      </c>
      <c r="Q377" s="4" t="s">
        <v>26</v>
      </c>
      <c r="R377" s="4">
        <v>0</v>
      </c>
      <c r="S377" s="4" t="s">
        <v>198</v>
      </c>
      <c r="T377" s="4" t="s">
        <v>368</v>
      </c>
      <c r="U377" s="4">
        <v>0</v>
      </c>
      <c r="V377" s="4">
        <v>15</v>
      </c>
      <c r="W377" s="4">
        <v>69</v>
      </c>
    </row>
    <row r="378" spans="1:23" ht="11.25" customHeight="1" x14ac:dyDescent="0.25">
      <c r="A378" s="4" t="s">
        <v>21</v>
      </c>
      <c r="B378" s="4" t="s">
        <v>22</v>
      </c>
      <c r="C378" s="4" t="s">
        <v>32</v>
      </c>
      <c r="D378" s="4" t="s">
        <v>24</v>
      </c>
      <c r="E378" s="4" t="s">
        <v>24</v>
      </c>
      <c r="F378" s="4" t="s">
        <v>25</v>
      </c>
      <c r="G378" s="4" t="s">
        <v>25</v>
      </c>
      <c r="H378" s="4" t="s">
        <v>33</v>
      </c>
      <c r="I378" s="5">
        <v>44501</v>
      </c>
      <c r="J378" s="6">
        <v>0</v>
      </c>
      <c r="K378" s="6">
        <v>0</v>
      </c>
      <c r="L378" s="6">
        <v>0.2</v>
      </c>
      <c r="M378" s="6">
        <v>0.2</v>
      </c>
      <c r="N378" s="6">
        <v>0.2</v>
      </c>
      <c r="O378" s="6">
        <v>0.2</v>
      </c>
      <c r="P378" s="6">
        <v>0</v>
      </c>
      <c r="Q378" s="4" t="s">
        <v>26</v>
      </c>
      <c r="R378" s="4">
        <v>0</v>
      </c>
      <c r="S378" s="4" t="s">
        <v>199</v>
      </c>
      <c r="T378" s="4" t="s">
        <v>369</v>
      </c>
      <c r="U378" s="4">
        <v>0</v>
      </c>
      <c r="V378" s="4">
        <v>15</v>
      </c>
      <c r="W378" s="4">
        <v>69</v>
      </c>
    </row>
    <row r="379" spans="1:23" ht="11.25" customHeight="1" x14ac:dyDescent="0.25">
      <c r="A379" s="4" t="s">
        <v>21</v>
      </c>
      <c r="B379" s="4" t="s">
        <v>22</v>
      </c>
      <c r="C379" s="4" t="s">
        <v>32</v>
      </c>
      <c r="D379" s="4" t="s">
        <v>24</v>
      </c>
      <c r="E379" s="4" t="s">
        <v>24</v>
      </c>
      <c r="F379" s="4" t="s">
        <v>25</v>
      </c>
      <c r="G379" s="4" t="s">
        <v>25</v>
      </c>
      <c r="H379" s="4" t="s">
        <v>33</v>
      </c>
      <c r="I379" s="5">
        <v>44531</v>
      </c>
      <c r="J379" s="6">
        <v>0</v>
      </c>
      <c r="K379" s="6">
        <v>0</v>
      </c>
      <c r="L379" s="6">
        <v>0.187</v>
      </c>
      <c r="M379" s="6">
        <v>0.187</v>
      </c>
      <c r="N379" s="6">
        <v>0.187</v>
      </c>
      <c r="O379" s="6">
        <v>0.187</v>
      </c>
      <c r="P379" s="6">
        <v>0</v>
      </c>
      <c r="Q379" s="4" t="s">
        <v>26</v>
      </c>
      <c r="R379" s="4">
        <v>0</v>
      </c>
      <c r="S379" s="4" t="s">
        <v>200</v>
      </c>
      <c r="T379" s="4" t="s">
        <v>370</v>
      </c>
      <c r="U379" s="4">
        <v>0</v>
      </c>
      <c r="V379" s="4">
        <v>15</v>
      </c>
      <c r="W379" s="4">
        <v>69</v>
      </c>
    </row>
    <row r="380" spans="1:23" ht="11.25" customHeight="1" x14ac:dyDescent="0.25">
      <c r="A380" s="4" t="s">
        <v>21</v>
      </c>
      <c r="B380" s="4" t="s">
        <v>22</v>
      </c>
      <c r="C380" s="4" t="s">
        <v>32</v>
      </c>
      <c r="D380" s="4" t="s">
        <v>24</v>
      </c>
      <c r="E380" s="4" t="s">
        <v>24</v>
      </c>
      <c r="F380" s="4" t="s">
        <v>25</v>
      </c>
      <c r="G380" s="4" t="s">
        <v>25</v>
      </c>
      <c r="H380" s="4" t="s">
        <v>33</v>
      </c>
      <c r="I380" s="5">
        <v>44562</v>
      </c>
      <c r="J380" s="6">
        <v>0</v>
      </c>
      <c r="K380" s="6">
        <v>0</v>
      </c>
      <c r="L380" s="6">
        <v>0.252</v>
      </c>
      <c r="M380" s="6">
        <v>0.252</v>
      </c>
      <c r="N380" s="6">
        <v>0.252</v>
      </c>
      <c r="O380" s="6">
        <v>0.252</v>
      </c>
      <c r="P380" s="6">
        <v>0</v>
      </c>
      <c r="Q380" s="4" t="s">
        <v>26</v>
      </c>
      <c r="R380" s="4">
        <v>0</v>
      </c>
      <c r="S380" s="4" t="s">
        <v>201</v>
      </c>
      <c r="T380" s="4" t="s">
        <v>371</v>
      </c>
      <c r="U380" s="4">
        <v>0</v>
      </c>
      <c r="V380" s="4">
        <v>15</v>
      </c>
      <c r="W380" s="4">
        <v>69</v>
      </c>
    </row>
    <row r="381" spans="1:23" ht="11.25" customHeight="1" x14ac:dyDescent="0.25">
      <c r="A381" s="4" t="s">
        <v>21</v>
      </c>
      <c r="B381" s="4" t="s">
        <v>22</v>
      </c>
      <c r="C381" s="4" t="s">
        <v>32</v>
      </c>
      <c r="D381" s="4" t="s">
        <v>24</v>
      </c>
      <c r="E381" s="4" t="s">
        <v>24</v>
      </c>
      <c r="F381" s="4" t="s">
        <v>25</v>
      </c>
      <c r="G381" s="4" t="s">
        <v>25</v>
      </c>
      <c r="H381" s="4" t="s">
        <v>33</v>
      </c>
      <c r="I381" s="5">
        <v>44593</v>
      </c>
      <c r="J381" s="6">
        <v>0</v>
      </c>
      <c r="K381" s="6">
        <v>0</v>
      </c>
      <c r="L381" s="6">
        <v>0.20300000000000001</v>
      </c>
      <c r="M381" s="6">
        <v>0.20300000000000001</v>
      </c>
      <c r="N381" s="6">
        <v>0.20300000000000001</v>
      </c>
      <c r="O381" s="6">
        <v>0.20300000000000001</v>
      </c>
      <c r="P381" s="6">
        <v>0</v>
      </c>
      <c r="Q381" s="4" t="s">
        <v>26</v>
      </c>
      <c r="R381" s="4">
        <v>0</v>
      </c>
      <c r="S381" s="4" t="s">
        <v>202</v>
      </c>
      <c r="T381" s="4" t="s">
        <v>372</v>
      </c>
      <c r="U381" s="4">
        <v>0</v>
      </c>
      <c r="V381" s="4">
        <v>15</v>
      </c>
      <c r="W381" s="4">
        <v>69</v>
      </c>
    </row>
    <row r="382" spans="1:23" ht="11.25" customHeight="1" x14ac:dyDescent="0.25">
      <c r="A382" s="4" t="s">
        <v>21</v>
      </c>
      <c r="B382" s="4" t="s">
        <v>22</v>
      </c>
      <c r="C382" s="4" t="s">
        <v>32</v>
      </c>
      <c r="D382" s="4" t="s">
        <v>24</v>
      </c>
      <c r="E382" s="4" t="s">
        <v>24</v>
      </c>
      <c r="F382" s="4" t="s">
        <v>25</v>
      </c>
      <c r="G382" s="4" t="s">
        <v>25</v>
      </c>
      <c r="H382" s="4" t="s">
        <v>33</v>
      </c>
      <c r="I382" s="5">
        <v>44621</v>
      </c>
      <c r="J382" s="6">
        <v>0</v>
      </c>
      <c r="K382" s="6">
        <v>0</v>
      </c>
      <c r="L382" s="6">
        <v>0.24299999999999999</v>
      </c>
      <c r="M382" s="6">
        <v>0.24299999999999999</v>
      </c>
      <c r="N382" s="6">
        <v>0.24299999999999999</v>
      </c>
      <c r="O382" s="6">
        <v>0.24299999999999999</v>
      </c>
      <c r="P382" s="6">
        <v>0</v>
      </c>
      <c r="Q382" s="4" t="s">
        <v>26</v>
      </c>
      <c r="R382" s="4">
        <v>0</v>
      </c>
      <c r="S382" s="4" t="s">
        <v>203</v>
      </c>
      <c r="T382" s="4" t="s">
        <v>373</v>
      </c>
      <c r="U382" s="4">
        <v>0</v>
      </c>
      <c r="V382" s="4">
        <v>15</v>
      </c>
      <c r="W382" s="4">
        <v>69</v>
      </c>
    </row>
    <row r="383" spans="1:23" ht="11.25" customHeight="1" x14ac:dyDescent="0.25">
      <c r="A383" s="4" t="s">
        <v>21</v>
      </c>
      <c r="B383" s="4" t="s">
        <v>22</v>
      </c>
      <c r="C383" s="4" t="s">
        <v>32</v>
      </c>
      <c r="D383" s="4" t="s">
        <v>24</v>
      </c>
      <c r="E383" s="4" t="s">
        <v>24</v>
      </c>
      <c r="F383" s="4" t="s">
        <v>25</v>
      </c>
      <c r="G383" s="4" t="s">
        <v>25</v>
      </c>
      <c r="H383" s="4" t="s">
        <v>33</v>
      </c>
      <c r="I383" s="5">
        <v>44652</v>
      </c>
      <c r="J383" s="6">
        <v>0</v>
      </c>
      <c r="K383" s="6">
        <v>0</v>
      </c>
      <c r="L383" s="6">
        <v>0.184</v>
      </c>
      <c r="M383" s="6">
        <v>0.184</v>
      </c>
      <c r="N383" s="6">
        <v>0.184</v>
      </c>
      <c r="O383" s="6">
        <v>0.184</v>
      </c>
      <c r="P383" s="6">
        <v>0</v>
      </c>
      <c r="Q383" s="4" t="s">
        <v>26</v>
      </c>
      <c r="R383" s="4">
        <v>0</v>
      </c>
      <c r="S383" s="4" t="s">
        <v>204</v>
      </c>
      <c r="T383" s="4" t="s">
        <v>374</v>
      </c>
      <c r="U383" s="4">
        <v>0</v>
      </c>
      <c r="V383" s="4">
        <v>15</v>
      </c>
      <c r="W383" s="4">
        <v>69</v>
      </c>
    </row>
    <row r="384" spans="1:23" ht="11.25" customHeight="1" x14ac:dyDescent="0.25">
      <c r="A384" s="4" t="s">
        <v>21</v>
      </c>
      <c r="B384" s="4" t="s">
        <v>22</v>
      </c>
      <c r="C384" s="4" t="s">
        <v>32</v>
      </c>
      <c r="D384" s="4" t="s">
        <v>24</v>
      </c>
      <c r="E384" s="4" t="s">
        <v>24</v>
      </c>
      <c r="F384" s="4" t="s">
        <v>25</v>
      </c>
      <c r="G384" s="4" t="s">
        <v>25</v>
      </c>
      <c r="H384" s="4" t="s">
        <v>33</v>
      </c>
      <c r="I384" s="5">
        <v>44682</v>
      </c>
      <c r="J384" s="6">
        <v>0</v>
      </c>
      <c r="K384" s="6">
        <v>0</v>
      </c>
      <c r="L384" s="6">
        <v>0.221</v>
      </c>
      <c r="M384" s="6">
        <v>0.221</v>
      </c>
      <c r="N384" s="6">
        <v>0.221</v>
      </c>
      <c r="O384" s="6">
        <v>0.221</v>
      </c>
      <c r="P384" s="6">
        <v>0</v>
      </c>
      <c r="Q384" s="4" t="s">
        <v>26</v>
      </c>
      <c r="R384" s="4">
        <v>0</v>
      </c>
      <c r="S384" s="4" t="s">
        <v>205</v>
      </c>
      <c r="T384" s="4" t="s">
        <v>375</v>
      </c>
      <c r="U384" s="4">
        <v>0</v>
      </c>
      <c r="V384" s="4">
        <v>15</v>
      </c>
      <c r="W384" s="4">
        <v>69</v>
      </c>
    </row>
    <row r="385" spans="1:23" ht="11.25" customHeight="1" x14ac:dyDescent="0.25">
      <c r="A385" s="4" t="s">
        <v>55</v>
      </c>
      <c r="B385" s="4" t="s">
        <v>22</v>
      </c>
      <c r="C385" s="4" t="s">
        <v>32</v>
      </c>
      <c r="D385" s="4" t="s">
        <v>24</v>
      </c>
      <c r="E385" s="4" t="s">
        <v>24</v>
      </c>
      <c r="F385" s="4" t="s">
        <v>25</v>
      </c>
      <c r="G385" s="4" t="s">
        <v>25</v>
      </c>
      <c r="H385" s="4" t="s">
        <v>33</v>
      </c>
      <c r="I385" s="5">
        <v>44713</v>
      </c>
      <c r="J385" s="6">
        <v>0</v>
      </c>
      <c r="K385" s="6">
        <v>0</v>
      </c>
      <c r="L385" s="6">
        <v>0.221</v>
      </c>
      <c r="M385" s="6">
        <v>0.221</v>
      </c>
      <c r="N385" s="6">
        <v>0.221</v>
      </c>
      <c r="O385" s="6">
        <v>0.221</v>
      </c>
      <c r="P385" s="6">
        <v>0</v>
      </c>
      <c r="Q385" s="4" t="s">
        <v>26</v>
      </c>
      <c r="R385" s="4">
        <v>0</v>
      </c>
      <c r="S385" s="4" t="s">
        <v>206</v>
      </c>
      <c r="T385" s="4" t="s">
        <v>376</v>
      </c>
      <c r="U385" s="4">
        <v>0</v>
      </c>
      <c r="V385" s="4">
        <v>15</v>
      </c>
      <c r="W385" s="4">
        <v>69</v>
      </c>
    </row>
    <row r="386" spans="1:23" ht="11.25" customHeight="1" x14ac:dyDescent="0.25">
      <c r="A386" s="4" t="s">
        <v>21</v>
      </c>
      <c r="B386" s="4" t="s">
        <v>22</v>
      </c>
      <c r="C386" s="4" t="s">
        <v>23</v>
      </c>
      <c r="D386" s="4" t="s">
        <v>24</v>
      </c>
      <c r="E386" s="4" t="s">
        <v>24</v>
      </c>
      <c r="F386" s="4" t="s">
        <v>25</v>
      </c>
      <c r="G386" s="4" t="s">
        <v>25</v>
      </c>
      <c r="H386" s="4" t="s">
        <v>25</v>
      </c>
      <c r="I386" s="5">
        <v>44378</v>
      </c>
      <c r="J386" s="6">
        <v>0</v>
      </c>
      <c r="K386" s="6">
        <v>0</v>
      </c>
      <c r="L386" s="6">
        <v>3154.2910000000002</v>
      </c>
      <c r="M386" s="6">
        <v>3154.2910000000002</v>
      </c>
      <c r="N386" s="6">
        <v>3154.2910000000002</v>
      </c>
      <c r="O386" s="6">
        <v>3154.2910000000002</v>
      </c>
      <c r="P386" s="6">
        <v>16524</v>
      </c>
      <c r="Q386" s="4" t="s">
        <v>26</v>
      </c>
      <c r="R386" s="4">
        <v>0</v>
      </c>
      <c r="S386" s="4" t="s">
        <v>207</v>
      </c>
      <c r="T386" s="4" t="s">
        <v>377</v>
      </c>
      <c r="U386" s="4">
        <v>0</v>
      </c>
      <c r="V386" s="4">
        <v>12</v>
      </c>
      <c r="W386" s="4">
        <v>48</v>
      </c>
    </row>
    <row r="387" spans="1:23" ht="11.25" customHeight="1" x14ac:dyDescent="0.25">
      <c r="A387" s="4" t="s">
        <v>27</v>
      </c>
      <c r="B387" s="4" t="s">
        <v>22</v>
      </c>
      <c r="C387" s="4" t="s">
        <v>23</v>
      </c>
      <c r="D387" s="4" t="s">
        <v>24</v>
      </c>
      <c r="E387" s="4" t="s">
        <v>24</v>
      </c>
      <c r="F387" s="4" t="s">
        <v>25</v>
      </c>
      <c r="G387" s="4" t="s">
        <v>25</v>
      </c>
      <c r="H387" s="4" t="s">
        <v>25</v>
      </c>
      <c r="I387" s="5">
        <v>44378</v>
      </c>
      <c r="J387" s="6">
        <v>0</v>
      </c>
      <c r="K387" s="6">
        <v>0</v>
      </c>
      <c r="L387" s="6">
        <v>46.767000000000003</v>
      </c>
      <c r="M387" s="6">
        <v>46.767000000000003</v>
      </c>
      <c r="N387" s="6">
        <v>46.767000000000003</v>
      </c>
      <c r="O387" s="6">
        <v>46.767000000000003</v>
      </c>
      <c r="P387" s="6">
        <v>332</v>
      </c>
      <c r="Q387" s="4" t="s">
        <v>26</v>
      </c>
      <c r="R387" s="4">
        <v>0</v>
      </c>
      <c r="S387" s="4" t="s">
        <v>207</v>
      </c>
      <c r="T387" s="4" t="s">
        <v>377</v>
      </c>
      <c r="U387" s="4">
        <v>0</v>
      </c>
      <c r="V387" s="4">
        <v>12</v>
      </c>
      <c r="W387" s="4">
        <v>48</v>
      </c>
    </row>
    <row r="388" spans="1:23" ht="11.25" customHeight="1" x14ac:dyDescent="0.25">
      <c r="A388" s="4" t="s">
        <v>21</v>
      </c>
      <c r="B388" s="4" t="s">
        <v>22</v>
      </c>
      <c r="C388" s="4" t="s">
        <v>23</v>
      </c>
      <c r="D388" s="4" t="s">
        <v>24</v>
      </c>
      <c r="E388" s="4" t="s">
        <v>24</v>
      </c>
      <c r="F388" s="4" t="s">
        <v>25</v>
      </c>
      <c r="G388" s="4" t="s">
        <v>25</v>
      </c>
      <c r="H388" s="4" t="s">
        <v>25</v>
      </c>
      <c r="I388" s="5">
        <v>44409</v>
      </c>
      <c r="J388" s="6">
        <v>0</v>
      </c>
      <c r="K388" s="6">
        <v>0</v>
      </c>
      <c r="L388" s="6">
        <v>3090.5439999999999</v>
      </c>
      <c r="M388" s="6">
        <v>3090.5439999999999</v>
      </c>
      <c r="N388" s="6">
        <v>3090.5439999999999</v>
      </c>
      <c r="O388" s="6">
        <v>3090.5439999999999</v>
      </c>
      <c r="P388" s="6">
        <v>16536</v>
      </c>
      <c r="Q388" s="4" t="s">
        <v>26</v>
      </c>
      <c r="R388" s="4">
        <v>0</v>
      </c>
      <c r="S388" s="4" t="s">
        <v>208</v>
      </c>
      <c r="T388" s="4" t="s">
        <v>378</v>
      </c>
      <c r="U388" s="4">
        <v>0</v>
      </c>
      <c r="V388" s="4">
        <v>12</v>
      </c>
      <c r="W388" s="4">
        <v>48</v>
      </c>
    </row>
    <row r="389" spans="1:23" ht="11.25" customHeight="1" x14ac:dyDescent="0.25">
      <c r="A389" s="4" t="s">
        <v>41</v>
      </c>
      <c r="B389" s="4" t="s">
        <v>22</v>
      </c>
      <c r="C389" s="4" t="s">
        <v>23</v>
      </c>
      <c r="D389" s="4" t="s">
        <v>24</v>
      </c>
      <c r="E389" s="4" t="s">
        <v>24</v>
      </c>
      <c r="F389" s="4" t="s">
        <v>25</v>
      </c>
      <c r="G389" s="4" t="s">
        <v>25</v>
      </c>
      <c r="H389" s="4" t="s">
        <v>25</v>
      </c>
      <c r="I389" s="5">
        <v>44409</v>
      </c>
      <c r="J389" s="6">
        <v>0</v>
      </c>
      <c r="K389" s="6">
        <v>0</v>
      </c>
      <c r="L389" s="6">
        <v>-0.13800000000000001</v>
      </c>
      <c r="M389" s="6">
        <v>-0.13800000000000001</v>
      </c>
      <c r="N389" s="6">
        <v>-0.13800000000000001</v>
      </c>
      <c r="O389" s="6">
        <v>-0.13800000000000001</v>
      </c>
      <c r="P389" s="6">
        <v>0</v>
      </c>
      <c r="Q389" s="4" t="s">
        <v>26</v>
      </c>
      <c r="R389" s="4">
        <v>0</v>
      </c>
      <c r="S389" s="4" t="s">
        <v>208</v>
      </c>
      <c r="T389" s="4" t="s">
        <v>378</v>
      </c>
      <c r="U389" s="4">
        <v>0</v>
      </c>
      <c r="V389" s="4">
        <v>12</v>
      </c>
      <c r="W389" s="4">
        <v>48</v>
      </c>
    </row>
    <row r="390" spans="1:23" ht="11.25" customHeight="1" x14ac:dyDescent="0.25">
      <c r="A390" s="4" t="s">
        <v>27</v>
      </c>
      <c r="B390" s="4" t="s">
        <v>22</v>
      </c>
      <c r="C390" s="4" t="s">
        <v>23</v>
      </c>
      <c r="D390" s="4" t="s">
        <v>24</v>
      </c>
      <c r="E390" s="4" t="s">
        <v>24</v>
      </c>
      <c r="F390" s="4" t="s">
        <v>25</v>
      </c>
      <c r="G390" s="4" t="s">
        <v>25</v>
      </c>
      <c r="H390" s="4" t="s">
        <v>25</v>
      </c>
      <c r="I390" s="5">
        <v>44409</v>
      </c>
      <c r="J390" s="6">
        <v>0</v>
      </c>
      <c r="K390" s="6">
        <v>0</v>
      </c>
      <c r="L390" s="6">
        <v>43.393000000000001</v>
      </c>
      <c r="M390" s="6">
        <v>43.393000000000001</v>
      </c>
      <c r="N390" s="6">
        <v>43.393000000000001</v>
      </c>
      <c r="O390" s="6">
        <v>43.393000000000001</v>
      </c>
      <c r="P390" s="6">
        <v>350</v>
      </c>
      <c r="Q390" s="4" t="s">
        <v>26</v>
      </c>
      <c r="R390" s="4">
        <v>0</v>
      </c>
      <c r="S390" s="4" t="s">
        <v>208</v>
      </c>
      <c r="T390" s="4" t="s">
        <v>378</v>
      </c>
      <c r="U390" s="4">
        <v>0</v>
      </c>
      <c r="V390" s="4">
        <v>12</v>
      </c>
      <c r="W390" s="4">
        <v>48</v>
      </c>
    </row>
    <row r="391" spans="1:23" ht="11.25" customHeight="1" x14ac:dyDescent="0.25">
      <c r="A391" s="4" t="s">
        <v>21</v>
      </c>
      <c r="B391" s="4" t="s">
        <v>22</v>
      </c>
      <c r="C391" s="4" t="s">
        <v>23</v>
      </c>
      <c r="D391" s="4" t="s">
        <v>24</v>
      </c>
      <c r="E391" s="4" t="s">
        <v>24</v>
      </c>
      <c r="F391" s="4" t="s">
        <v>25</v>
      </c>
      <c r="G391" s="4" t="s">
        <v>25</v>
      </c>
      <c r="H391" s="4" t="s">
        <v>25</v>
      </c>
      <c r="I391" s="5">
        <v>44440</v>
      </c>
      <c r="J391" s="6">
        <v>0</v>
      </c>
      <c r="K391" s="6">
        <v>0</v>
      </c>
      <c r="L391" s="6">
        <v>2833.5360000000001</v>
      </c>
      <c r="M391" s="6">
        <v>2833.5360000000001</v>
      </c>
      <c r="N391" s="6">
        <v>2833.5360000000001</v>
      </c>
      <c r="O391" s="6">
        <v>2833.5360000000001</v>
      </c>
      <c r="P391" s="6">
        <v>16515</v>
      </c>
      <c r="Q391" s="4" t="s">
        <v>26</v>
      </c>
      <c r="R391" s="4">
        <v>0</v>
      </c>
      <c r="S391" s="4" t="s">
        <v>209</v>
      </c>
      <c r="T391" s="4" t="s">
        <v>379</v>
      </c>
      <c r="U391" s="4">
        <v>0</v>
      </c>
      <c r="V391" s="4">
        <v>12</v>
      </c>
      <c r="W391" s="4">
        <v>48</v>
      </c>
    </row>
    <row r="392" spans="1:23" ht="11.25" customHeight="1" x14ac:dyDescent="0.25">
      <c r="A392" s="4" t="s">
        <v>41</v>
      </c>
      <c r="B392" s="4" t="s">
        <v>22</v>
      </c>
      <c r="C392" s="4" t="s">
        <v>23</v>
      </c>
      <c r="D392" s="4" t="s">
        <v>24</v>
      </c>
      <c r="E392" s="4" t="s">
        <v>24</v>
      </c>
      <c r="F392" s="4" t="s">
        <v>25</v>
      </c>
      <c r="G392" s="4" t="s">
        <v>25</v>
      </c>
      <c r="H392" s="4" t="s">
        <v>25</v>
      </c>
      <c r="I392" s="5">
        <v>44440</v>
      </c>
      <c r="J392" s="6">
        <v>0</v>
      </c>
      <c r="K392" s="6">
        <v>0</v>
      </c>
      <c r="L392" s="6">
        <v>-0.77</v>
      </c>
      <c r="M392" s="6">
        <v>-0.77</v>
      </c>
      <c r="N392" s="6">
        <v>-0.77</v>
      </c>
      <c r="O392" s="6">
        <v>-0.77</v>
      </c>
      <c r="P392" s="6">
        <v>0</v>
      </c>
      <c r="Q392" s="4" t="s">
        <v>26</v>
      </c>
      <c r="R392" s="4">
        <v>0</v>
      </c>
      <c r="S392" s="4" t="s">
        <v>209</v>
      </c>
      <c r="T392" s="4" t="s">
        <v>379</v>
      </c>
      <c r="U392" s="4">
        <v>0</v>
      </c>
      <c r="V392" s="4">
        <v>12</v>
      </c>
      <c r="W392" s="4">
        <v>48</v>
      </c>
    </row>
    <row r="393" spans="1:23" ht="11.25" customHeight="1" x14ac:dyDescent="0.25">
      <c r="A393" s="4" t="s">
        <v>27</v>
      </c>
      <c r="B393" s="4" t="s">
        <v>22</v>
      </c>
      <c r="C393" s="4" t="s">
        <v>23</v>
      </c>
      <c r="D393" s="4" t="s">
        <v>24</v>
      </c>
      <c r="E393" s="4" t="s">
        <v>24</v>
      </c>
      <c r="F393" s="4" t="s">
        <v>25</v>
      </c>
      <c r="G393" s="4" t="s">
        <v>25</v>
      </c>
      <c r="H393" s="4" t="s">
        <v>25</v>
      </c>
      <c r="I393" s="5">
        <v>44440</v>
      </c>
      <c r="J393" s="6">
        <v>0</v>
      </c>
      <c r="K393" s="6">
        <v>0</v>
      </c>
      <c r="L393" s="6">
        <v>40.738999999999997</v>
      </c>
      <c r="M393" s="6">
        <v>40.738999999999997</v>
      </c>
      <c r="N393" s="6">
        <v>40.738999999999997</v>
      </c>
      <c r="O393" s="6">
        <v>40.738999999999997</v>
      </c>
      <c r="P393" s="6">
        <v>372</v>
      </c>
      <c r="Q393" s="4" t="s">
        <v>26</v>
      </c>
      <c r="R393" s="4">
        <v>0</v>
      </c>
      <c r="S393" s="4" t="s">
        <v>209</v>
      </c>
      <c r="T393" s="4" t="s">
        <v>379</v>
      </c>
      <c r="U393" s="4">
        <v>0</v>
      </c>
      <c r="V393" s="4">
        <v>12</v>
      </c>
      <c r="W393" s="4">
        <v>48</v>
      </c>
    </row>
    <row r="394" spans="1:23" ht="11.25" customHeight="1" x14ac:dyDescent="0.25">
      <c r="A394" s="4" t="s">
        <v>21</v>
      </c>
      <c r="B394" s="4" t="s">
        <v>22</v>
      </c>
      <c r="C394" s="4" t="s">
        <v>23</v>
      </c>
      <c r="D394" s="4" t="s">
        <v>24</v>
      </c>
      <c r="E394" s="4" t="s">
        <v>24</v>
      </c>
      <c r="F394" s="4" t="s">
        <v>25</v>
      </c>
      <c r="G394" s="4" t="s">
        <v>25</v>
      </c>
      <c r="H394" s="4" t="s">
        <v>25</v>
      </c>
      <c r="I394" s="5">
        <v>44470</v>
      </c>
      <c r="J394" s="6">
        <v>0</v>
      </c>
      <c r="K394" s="6">
        <v>0</v>
      </c>
      <c r="L394" s="6">
        <v>2772.837</v>
      </c>
      <c r="M394" s="6">
        <v>2772.837</v>
      </c>
      <c r="N394" s="6">
        <v>2772.837</v>
      </c>
      <c r="O394" s="6">
        <v>2772.837</v>
      </c>
      <c r="P394" s="6">
        <v>16503</v>
      </c>
      <c r="Q394" s="4" t="s">
        <v>26</v>
      </c>
      <c r="R394" s="4">
        <v>0</v>
      </c>
      <c r="S394" s="4" t="s">
        <v>210</v>
      </c>
      <c r="T394" s="4" t="s">
        <v>380</v>
      </c>
      <c r="U394" s="4">
        <v>0</v>
      </c>
      <c r="V394" s="4">
        <v>12</v>
      </c>
      <c r="W394" s="4">
        <v>48</v>
      </c>
    </row>
    <row r="395" spans="1:23" ht="11.25" customHeight="1" x14ac:dyDescent="0.25">
      <c r="A395" s="4" t="s">
        <v>41</v>
      </c>
      <c r="B395" s="4" t="s">
        <v>22</v>
      </c>
      <c r="C395" s="4" t="s">
        <v>23</v>
      </c>
      <c r="D395" s="4" t="s">
        <v>24</v>
      </c>
      <c r="E395" s="4" t="s">
        <v>24</v>
      </c>
      <c r="F395" s="4" t="s">
        <v>25</v>
      </c>
      <c r="G395" s="4" t="s">
        <v>25</v>
      </c>
      <c r="H395" s="4" t="s">
        <v>25</v>
      </c>
      <c r="I395" s="5">
        <v>44470</v>
      </c>
      <c r="J395" s="6">
        <v>0</v>
      </c>
      <c r="K395" s="6">
        <v>0</v>
      </c>
      <c r="L395" s="6">
        <v>-1.353</v>
      </c>
      <c r="M395" s="6">
        <v>-1.353</v>
      </c>
      <c r="N395" s="6">
        <v>-1.353</v>
      </c>
      <c r="O395" s="6">
        <v>-1.353</v>
      </c>
      <c r="P395" s="6">
        <v>0</v>
      </c>
      <c r="Q395" s="4" t="s">
        <v>26</v>
      </c>
      <c r="R395" s="4">
        <v>0</v>
      </c>
      <c r="S395" s="4" t="s">
        <v>210</v>
      </c>
      <c r="T395" s="4" t="s">
        <v>380</v>
      </c>
      <c r="U395" s="4">
        <v>0</v>
      </c>
      <c r="V395" s="4">
        <v>12</v>
      </c>
      <c r="W395" s="4">
        <v>48</v>
      </c>
    </row>
    <row r="396" spans="1:23" ht="11.25" customHeight="1" x14ac:dyDescent="0.25">
      <c r="A396" s="4" t="s">
        <v>27</v>
      </c>
      <c r="B396" s="4" t="s">
        <v>22</v>
      </c>
      <c r="C396" s="4" t="s">
        <v>23</v>
      </c>
      <c r="D396" s="4" t="s">
        <v>24</v>
      </c>
      <c r="E396" s="4" t="s">
        <v>24</v>
      </c>
      <c r="F396" s="4" t="s">
        <v>25</v>
      </c>
      <c r="G396" s="4" t="s">
        <v>25</v>
      </c>
      <c r="H396" s="4" t="s">
        <v>25</v>
      </c>
      <c r="I396" s="5">
        <v>44470</v>
      </c>
      <c r="J396" s="6">
        <v>0</v>
      </c>
      <c r="K396" s="6">
        <v>0</v>
      </c>
      <c r="L396" s="6">
        <v>38.133000000000003</v>
      </c>
      <c r="M396" s="6">
        <v>38.133000000000003</v>
      </c>
      <c r="N396" s="6">
        <v>38.133000000000003</v>
      </c>
      <c r="O396" s="6">
        <v>38.133000000000003</v>
      </c>
      <c r="P396" s="6">
        <v>396</v>
      </c>
      <c r="Q396" s="4" t="s">
        <v>26</v>
      </c>
      <c r="R396" s="4">
        <v>0</v>
      </c>
      <c r="S396" s="4" t="s">
        <v>210</v>
      </c>
      <c r="T396" s="4" t="s">
        <v>380</v>
      </c>
      <c r="U396" s="4">
        <v>0</v>
      </c>
      <c r="V396" s="4">
        <v>12</v>
      </c>
      <c r="W396" s="4">
        <v>48</v>
      </c>
    </row>
    <row r="397" spans="1:23" ht="11.25" customHeight="1" x14ac:dyDescent="0.25">
      <c r="A397" s="4" t="s">
        <v>21</v>
      </c>
      <c r="B397" s="4" t="s">
        <v>22</v>
      </c>
      <c r="C397" s="4" t="s">
        <v>23</v>
      </c>
      <c r="D397" s="4" t="s">
        <v>24</v>
      </c>
      <c r="E397" s="4" t="s">
        <v>24</v>
      </c>
      <c r="F397" s="4" t="s">
        <v>25</v>
      </c>
      <c r="G397" s="4" t="s">
        <v>25</v>
      </c>
      <c r="H397" s="4" t="s">
        <v>25</v>
      </c>
      <c r="I397" s="5">
        <v>44501</v>
      </c>
      <c r="J397" s="6">
        <v>0</v>
      </c>
      <c r="K397" s="6">
        <v>0</v>
      </c>
      <c r="L397" s="6">
        <v>3114.3560000000002</v>
      </c>
      <c r="M397" s="6">
        <v>3114.3560000000002</v>
      </c>
      <c r="N397" s="6">
        <v>3114.3560000000002</v>
      </c>
      <c r="O397" s="6">
        <v>3114.3560000000002</v>
      </c>
      <c r="P397" s="6">
        <v>16484</v>
      </c>
      <c r="Q397" s="4" t="s">
        <v>26</v>
      </c>
      <c r="R397" s="4">
        <v>0</v>
      </c>
      <c r="S397" s="4" t="s">
        <v>211</v>
      </c>
      <c r="T397" s="4" t="s">
        <v>381</v>
      </c>
      <c r="U397" s="4">
        <v>0</v>
      </c>
      <c r="V397" s="4">
        <v>12</v>
      </c>
      <c r="W397" s="4">
        <v>48</v>
      </c>
    </row>
    <row r="398" spans="1:23" ht="11.25" customHeight="1" x14ac:dyDescent="0.25">
      <c r="A398" s="4" t="s">
        <v>41</v>
      </c>
      <c r="B398" s="4" t="s">
        <v>22</v>
      </c>
      <c r="C398" s="4" t="s">
        <v>23</v>
      </c>
      <c r="D398" s="4" t="s">
        <v>24</v>
      </c>
      <c r="E398" s="4" t="s">
        <v>24</v>
      </c>
      <c r="F398" s="4" t="s">
        <v>25</v>
      </c>
      <c r="G398" s="4" t="s">
        <v>25</v>
      </c>
      <c r="H398" s="4" t="s">
        <v>25</v>
      </c>
      <c r="I398" s="5">
        <v>44501</v>
      </c>
      <c r="J398" s="6">
        <v>0</v>
      </c>
      <c r="K398" s="6">
        <v>0</v>
      </c>
      <c r="L398" s="6">
        <v>-1.1379999999999999</v>
      </c>
      <c r="M398" s="6">
        <v>-1.1379999999999999</v>
      </c>
      <c r="N398" s="6">
        <v>-1.1379999999999999</v>
      </c>
      <c r="O398" s="6">
        <v>-1.1379999999999999</v>
      </c>
      <c r="P398" s="6">
        <v>0</v>
      </c>
      <c r="Q398" s="4" t="s">
        <v>26</v>
      </c>
      <c r="R398" s="4">
        <v>0</v>
      </c>
      <c r="S398" s="4" t="s">
        <v>211</v>
      </c>
      <c r="T398" s="4" t="s">
        <v>381</v>
      </c>
      <c r="U398" s="4">
        <v>0</v>
      </c>
      <c r="V398" s="4">
        <v>12</v>
      </c>
      <c r="W398" s="4">
        <v>48</v>
      </c>
    </row>
    <row r="399" spans="1:23" ht="11.25" customHeight="1" x14ac:dyDescent="0.25">
      <c r="A399" s="4" t="s">
        <v>27</v>
      </c>
      <c r="B399" s="4" t="s">
        <v>22</v>
      </c>
      <c r="C399" s="4" t="s">
        <v>23</v>
      </c>
      <c r="D399" s="4" t="s">
        <v>24</v>
      </c>
      <c r="E399" s="4" t="s">
        <v>24</v>
      </c>
      <c r="F399" s="4" t="s">
        <v>25</v>
      </c>
      <c r="G399" s="4" t="s">
        <v>25</v>
      </c>
      <c r="H399" s="4" t="s">
        <v>25</v>
      </c>
      <c r="I399" s="5">
        <v>44501</v>
      </c>
      <c r="J399" s="6">
        <v>0</v>
      </c>
      <c r="K399" s="6">
        <v>0</v>
      </c>
      <c r="L399" s="6">
        <v>45.253999999999998</v>
      </c>
      <c r="M399" s="6">
        <v>45.253999999999998</v>
      </c>
      <c r="N399" s="6">
        <v>45.253999999999998</v>
      </c>
      <c r="O399" s="6">
        <v>45.253999999999998</v>
      </c>
      <c r="P399" s="6">
        <v>430</v>
      </c>
      <c r="Q399" s="4" t="s">
        <v>26</v>
      </c>
      <c r="R399" s="4">
        <v>0</v>
      </c>
      <c r="S399" s="4" t="s">
        <v>211</v>
      </c>
      <c r="T399" s="4" t="s">
        <v>381</v>
      </c>
      <c r="U399" s="4">
        <v>0</v>
      </c>
      <c r="V399" s="4">
        <v>12</v>
      </c>
      <c r="W399" s="4">
        <v>48</v>
      </c>
    </row>
    <row r="400" spans="1:23" ht="11.25" customHeight="1" x14ac:dyDescent="0.25">
      <c r="A400" s="4" t="s">
        <v>21</v>
      </c>
      <c r="B400" s="4" t="s">
        <v>22</v>
      </c>
      <c r="C400" s="4" t="s">
        <v>23</v>
      </c>
      <c r="D400" s="4" t="s">
        <v>24</v>
      </c>
      <c r="E400" s="4" t="s">
        <v>24</v>
      </c>
      <c r="F400" s="4" t="s">
        <v>25</v>
      </c>
      <c r="G400" s="4" t="s">
        <v>25</v>
      </c>
      <c r="H400" s="4" t="s">
        <v>25</v>
      </c>
      <c r="I400" s="5">
        <v>44531</v>
      </c>
      <c r="J400" s="6">
        <v>0</v>
      </c>
      <c r="K400" s="6">
        <v>0</v>
      </c>
      <c r="L400" s="6">
        <v>3332.3330000000001</v>
      </c>
      <c r="M400" s="6">
        <v>3332.3330000000001</v>
      </c>
      <c r="N400" s="6">
        <v>3332.3330000000001</v>
      </c>
      <c r="O400" s="6">
        <v>3332.3330000000001</v>
      </c>
      <c r="P400" s="6">
        <v>16485</v>
      </c>
      <c r="Q400" s="4" t="s">
        <v>26</v>
      </c>
      <c r="R400" s="4">
        <v>0</v>
      </c>
      <c r="S400" s="4" t="s">
        <v>212</v>
      </c>
      <c r="T400" s="4" t="s">
        <v>382</v>
      </c>
      <c r="U400" s="4">
        <v>0</v>
      </c>
      <c r="V400" s="4">
        <v>12</v>
      </c>
      <c r="W400" s="4">
        <v>48</v>
      </c>
    </row>
    <row r="401" spans="1:23" ht="11.25" customHeight="1" x14ac:dyDescent="0.25">
      <c r="A401" s="4" t="s">
        <v>41</v>
      </c>
      <c r="B401" s="4" t="s">
        <v>22</v>
      </c>
      <c r="C401" s="4" t="s">
        <v>23</v>
      </c>
      <c r="D401" s="4" t="s">
        <v>24</v>
      </c>
      <c r="E401" s="4" t="s">
        <v>24</v>
      </c>
      <c r="F401" s="4" t="s">
        <v>25</v>
      </c>
      <c r="G401" s="4" t="s">
        <v>25</v>
      </c>
      <c r="H401" s="4" t="s">
        <v>25</v>
      </c>
      <c r="I401" s="5">
        <v>44531</v>
      </c>
      <c r="J401" s="6">
        <v>0</v>
      </c>
      <c r="K401" s="6">
        <v>0</v>
      </c>
      <c r="L401" s="6">
        <v>-0.97699999999999998</v>
      </c>
      <c r="M401" s="6">
        <v>-0.97699999999999998</v>
      </c>
      <c r="N401" s="6">
        <v>-0.97699999999999998</v>
      </c>
      <c r="O401" s="6">
        <v>-0.97699999999999998</v>
      </c>
      <c r="P401" s="6">
        <v>0</v>
      </c>
      <c r="Q401" s="4" t="s">
        <v>26</v>
      </c>
      <c r="R401" s="4">
        <v>0</v>
      </c>
      <c r="S401" s="4" t="s">
        <v>212</v>
      </c>
      <c r="T401" s="4" t="s">
        <v>382</v>
      </c>
      <c r="U401" s="4">
        <v>0</v>
      </c>
      <c r="V401" s="4">
        <v>12</v>
      </c>
      <c r="W401" s="4">
        <v>48</v>
      </c>
    </row>
    <row r="402" spans="1:23" ht="11.25" customHeight="1" x14ac:dyDescent="0.25">
      <c r="A402" s="4" t="s">
        <v>27</v>
      </c>
      <c r="B402" s="4" t="s">
        <v>22</v>
      </c>
      <c r="C402" s="4" t="s">
        <v>23</v>
      </c>
      <c r="D402" s="4" t="s">
        <v>24</v>
      </c>
      <c r="E402" s="4" t="s">
        <v>24</v>
      </c>
      <c r="F402" s="4" t="s">
        <v>25</v>
      </c>
      <c r="G402" s="4" t="s">
        <v>25</v>
      </c>
      <c r="H402" s="4" t="s">
        <v>25</v>
      </c>
      <c r="I402" s="5">
        <v>44531</v>
      </c>
      <c r="J402" s="6">
        <v>0</v>
      </c>
      <c r="K402" s="6">
        <v>0</v>
      </c>
      <c r="L402" s="6">
        <v>50.527000000000001</v>
      </c>
      <c r="M402" s="6">
        <v>50.527000000000001</v>
      </c>
      <c r="N402" s="6">
        <v>50.527000000000001</v>
      </c>
      <c r="O402" s="6">
        <v>50.527000000000001</v>
      </c>
      <c r="P402" s="6">
        <v>459</v>
      </c>
      <c r="Q402" s="4" t="s">
        <v>26</v>
      </c>
      <c r="R402" s="4">
        <v>0</v>
      </c>
      <c r="S402" s="4" t="s">
        <v>212</v>
      </c>
      <c r="T402" s="4" t="s">
        <v>382</v>
      </c>
      <c r="U402" s="4">
        <v>0</v>
      </c>
      <c r="V402" s="4">
        <v>12</v>
      </c>
      <c r="W402" s="4">
        <v>48</v>
      </c>
    </row>
    <row r="403" spans="1:23" ht="11.25" customHeight="1" x14ac:dyDescent="0.25">
      <c r="A403" s="4" t="s">
        <v>21</v>
      </c>
      <c r="B403" s="4" t="s">
        <v>22</v>
      </c>
      <c r="C403" s="4" t="s">
        <v>23</v>
      </c>
      <c r="D403" s="4" t="s">
        <v>24</v>
      </c>
      <c r="E403" s="4" t="s">
        <v>24</v>
      </c>
      <c r="F403" s="4" t="s">
        <v>25</v>
      </c>
      <c r="G403" s="4" t="s">
        <v>25</v>
      </c>
      <c r="H403" s="4" t="s">
        <v>25</v>
      </c>
      <c r="I403" s="5">
        <v>44562</v>
      </c>
      <c r="J403" s="6">
        <v>0</v>
      </c>
      <c r="K403" s="6">
        <v>0</v>
      </c>
      <c r="L403" s="6">
        <v>3819.6080000000002</v>
      </c>
      <c r="M403" s="6">
        <v>3819.6080000000002</v>
      </c>
      <c r="N403" s="6">
        <v>3819.6080000000002</v>
      </c>
      <c r="O403" s="6">
        <v>3819.6080000000002</v>
      </c>
      <c r="P403" s="6">
        <v>16283</v>
      </c>
      <c r="Q403" s="4" t="s">
        <v>26</v>
      </c>
      <c r="R403" s="4">
        <v>0</v>
      </c>
      <c r="S403" s="4" t="s">
        <v>213</v>
      </c>
      <c r="T403" s="4" t="s">
        <v>383</v>
      </c>
      <c r="U403" s="4">
        <v>0</v>
      </c>
      <c r="V403" s="4">
        <v>12</v>
      </c>
      <c r="W403" s="4">
        <v>48</v>
      </c>
    </row>
    <row r="404" spans="1:23" ht="11.25" customHeight="1" x14ac:dyDescent="0.25">
      <c r="A404" s="4" t="s">
        <v>27</v>
      </c>
      <c r="B404" s="4" t="s">
        <v>22</v>
      </c>
      <c r="C404" s="4" t="s">
        <v>23</v>
      </c>
      <c r="D404" s="4" t="s">
        <v>24</v>
      </c>
      <c r="E404" s="4" t="s">
        <v>24</v>
      </c>
      <c r="F404" s="4" t="s">
        <v>25</v>
      </c>
      <c r="G404" s="4" t="s">
        <v>25</v>
      </c>
      <c r="H404" s="4" t="s">
        <v>25</v>
      </c>
      <c r="I404" s="5">
        <v>44562</v>
      </c>
      <c r="J404" s="6">
        <v>0</v>
      </c>
      <c r="K404" s="6">
        <v>0</v>
      </c>
      <c r="L404" s="6">
        <v>71.531999999999996</v>
      </c>
      <c r="M404" s="6">
        <v>71.531999999999996</v>
      </c>
      <c r="N404" s="6">
        <v>71.531999999999996</v>
      </c>
      <c r="O404" s="6">
        <v>71.531999999999996</v>
      </c>
      <c r="P404" s="6">
        <v>500</v>
      </c>
      <c r="Q404" s="4" t="s">
        <v>26</v>
      </c>
      <c r="R404" s="4">
        <v>0</v>
      </c>
      <c r="S404" s="4" t="s">
        <v>213</v>
      </c>
      <c r="T404" s="4" t="s">
        <v>383</v>
      </c>
      <c r="U404" s="4">
        <v>0</v>
      </c>
      <c r="V404" s="4">
        <v>12</v>
      </c>
      <c r="W404" s="4">
        <v>48</v>
      </c>
    </row>
    <row r="405" spans="1:23" ht="11.25" customHeight="1" x14ac:dyDescent="0.25">
      <c r="A405" s="4" t="s">
        <v>21</v>
      </c>
      <c r="B405" s="4" t="s">
        <v>22</v>
      </c>
      <c r="C405" s="4" t="s">
        <v>23</v>
      </c>
      <c r="D405" s="4" t="s">
        <v>24</v>
      </c>
      <c r="E405" s="4" t="s">
        <v>24</v>
      </c>
      <c r="F405" s="4" t="s">
        <v>25</v>
      </c>
      <c r="G405" s="4" t="s">
        <v>25</v>
      </c>
      <c r="H405" s="4" t="s">
        <v>25</v>
      </c>
      <c r="I405" s="5">
        <v>44593</v>
      </c>
      <c r="J405" s="6">
        <v>0</v>
      </c>
      <c r="K405" s="6">
        <v>0</v>
      </c>
      <c r="L405" s="6">
        <v>3373.0909999999999</v>
      </c>
      <c r="M405" s="6">
        <v>3373.0909999999999</v>
      </c>
      <c r="N405" s="6">
        <v>3373.0909999999999</v>
      </c>
      <c r="O405" s="6">
        <v>3373.0909999999999</v>
      </c>
      <c r="P405" s="6">
        <v>16224</v>
      </c>
      <c r="Q405" s="4" t="s">
        <v>26</v>
      </c>
      <c r="R405" s="4">
        <v>0</v>
      </c>
      <c r="S405" s="4" t="s">
        <v>214</v>
      </c>
      <c r="T405" s="4" t="s">
        <v>384</v>
      </c>
      <c r="U405" s="4">
        <v>0</v>
      </c>
      <c r="V405" s="4">
        <v>12</v>
      </c>
      <c r="W405" s="4">
        <v>48</v>
      </c>
    </row>
    <row r="406" spans="1:23" ht="11.25" customHeight="1" x14ac:dyDescent="0.25">
      <c r="A406" s="4" t="s">
        <v>27</v>
      </c>
      <c r="B406" s="4" t="s">
        <v>22</v>
      </c>
      <c r="C406" s="4" t="s">
        <v>23</v>
      </c>
      <c r="D406" s="4" t="s">
        <v>24</v>
      </c>
      <c r="E406" s="4" t="s">
        <v>24</v>
      </c>
      <c r="F406" s="4" t="s">
        <v>25</v>
      </c>
      <c r="G406" s="4" t="s">
        <v>25</v>
      </c>
      <c r="H406" s="4" t="s">
        <v>25</v>
      </c>
      <c r="I406" s="5">
        <v>44593</v>
      </c>
      <c r="J406" s="6">
        <v>0</v>
      </c>
      <c r="K406" s="6">
        <v>0</v>
      </c>
      <c r="L406" s="6">
        <v>53.48</v>
      </c>
      <c r="M406" s="6">
        <v>53.48</v>
      </c>
      <c r="N406" s="6">
        <v>53.48</v>
      </c>
      <c r="O406" s="6">
        <v>53.48</v>
      </c>
      <c r="P406" s="6">
        <v>531</v>
      </c>
      <c r="Q406" s="4" t="s">
        <v>26</v>
      </c>
      <c r="R406" s="4">
        <v>0</v>
      </c>
      <c r="S406" s="4" t="s">
        <v>214</v>
      </c>
      <c r="T406" s="4" t="s">
        <v>384</v>
      </c>
      <c r="U406" s="4">
        <v>0</v>
      </c>
      <c r="V406" s="4">
        <v>12</v>
      </c>
      <c r="W406" s="4">
        <v>48</v>
      </c>
    </row>
    <row r="407" spans="1:23" ht="11.25" customHeight="1" x14ac:dyDescent="0.25">
      <c r="A407" s="4" t="s">
        <v>21</v>
      </c>
      <c r="B407" s="4" t="s">
        <v>22</v>
      </c>
      <c r="C407" s="4" t="s">
        <v>23</v>
      </c>
      <c r="D407" s="4" t="s">
        <v>24</v>
      </c>
      <c r="E407" s="4" t="s">
        <v>24</v>
      </c>
      <c r="F407" s="4" t="s">
        <v>25</v>
      </c>
      <c r="G407" s="4" t="s">
        <v>25</v>
      </c>
      <c r="H407" s="4" t="s">
        <v>25</v>
      </c>
      <c r="I407" s="5">
        <v>44621</v>
      </c>
      <c r="J407" s="6">
        <v>0</v>
      </c>
      <c r="K407" s="6">
        <v>0</v>
      </c>
      <c r="L407" s="6">
        <v>3530.7310000000002</v>
      </c>
      <c r="M407" s="6">
        <v>3530.7310000000002</v>
      </c>
      <c r="N407" s="6">
        <v>3530.7310000000002</v>
      </c>
      <c r="O407" s="6">
        <v>3530.7310000000002</v>
      </c>
      <c r="P407" s="6">
        <v>16199</v>
      </c>
      <c r="Q407" s="4" t="s">
        <v>26</v>
      </c>
      <c r="R407" s="4">
        <v>0</v>
      </c>
      <c r="S407" s="4" t="s">
        <v>215</v>
      </c>
      <c r="T407" s="4" t="s">
        <v>385</v>
      </c>
      <c r="U407" s="4">
        <v>0</v>
      </c>
      <c r="V407" s="4">
        <v>12</v>
      </c>
      <c r="W407" s="4">
        <v>48</v>
      </c>
    </row>
    <row r="408" spans="1:23" ht="11.25" customHeight="1" x14ac:dyDescent="0.25">
      <c r="A408" s="4" t="s">
        <v>41</v>
      </c>
      <c r="B408" s="4" t="s">
        <v>22</v>
      </c>
      <c r="C408" s="4" t="s">
        <v>23</v>
      </c>
      <c r="D408" s="4" t="s">
        <v>24</v>
      </c>
      <c r="E408" s="4" t="s">
        <v>24</v>
      </c>
      <c r="F408" s="4" t="s">
        <v>25</v>
      </c>
      <c r="G408" s="4" t="s">
        <v>25</v>
      </c>
      <c r="H408" s="4" t="s">
        <v>25</v>
      </c>
      <c r="I408" s="5">
        <v>44621</v>
      </c>
      <c r="J408" s="6">
        <v>0</v>
      </c>
      <c r="K408" s="6">
        <v>0</v>
      </c>
      <c r="L408" s="6">
        <v>-2.8250000000000002</v>
      </c>
      <c r="M408" s="6">
        <v>-2.8250000000000002</v>
      </c>
      <c r="N408" s="6">
        <v>-2.8250000000000002</v>
      </c>
      <c r="O408" s="6">
        <v>-2.8250000000000002</v>
      </c>
      <c r="P408" s="6">
        <v>0</v>
      </c>
      <c r="Q408" s="4" t="s">
        <v>26</v>
      </c>
      <c r="R408" s="4">
        <v>0</v>
      </c>
      <c r="S408" s="4" t="s">
        <v>215</v>
      </c>
      <c r="T408" s="4" t="s">
        <v>385</v>
      </c>
      <c r="U408" s="4">
        <v>0</v>
      </c>
      <c r="V408" s="4">
        <v>12</v>
      </c>
      <c r="W408" s="4">
        <v>48</v>
      </c>
    </row>
    <row r="409" spans="1:23" ht="11.25" customHeight="1" x14ac:dyDescent="0.25">
      <c r="A409" s="4" t="s">
        <v>27</v>
      </c>
      <c r="B409" s="4" t="s">
        <v>22</v>
      </c>
      <c r="C409" s="4" t="s">
        <v>23</v>
      </c>
      <c r="D409" s="4" t="s">
        <v>24</v>
      </c>
      <c r="E409" s="4" t="s">
        <v>24</v>
      </c>
      <c r="F409" s="4" t="s">
        <v>25</v>
      </c>
      <c r="G409" s="4" t="s">
        <v>25</v>
      </c>
      <c r="H409" s="4" t="s">
        <v>25</v>
      </c>
      <c r="I409" s="5">
        <v>44621</v>
      </c>
      <c r="J409" s="6">
        <v>0</v>
      </c>
      <c r="K409" s="6">
        <v>0</v>
      </c>
      <c r="L409" s="6">
        <v>66.89</v>
      </c>
      <c r="M409" s="6">
        <v>66.89</v>
      </c>
      <c r="N409" s="6">
        <v>66.89</v>
      </c>
      <c r="O409" s="6">
        <v>66.89</v>
      </c>
      <c r="P409" s="6">
        <v>577</v>
      </c>
      <c r="Q409" s="4" t="s">
        <v>26</v>
      </c>
      <c r="R409" s="4">
        <v>0</v>
      </c>
      <c r="S409" s="4" t="s">
        <v>215</v>
      </c>
      <c r="T409" s="4" t="s">
        <v>385</v>
      </c>
      <c r="U409" s="4">
        <v>0</v>
      </c>
      <c r="V409" s="4">
        <v>12</v>
      </c>
      <c r="W409" s="4">
        <v>48</v>
      </c>
    </row>
    <row r="410" spans="1:23" ht="11.25" customHeight="1" x14ac:dyDescent="0.25">
      <c r="A410" s="4" t="s">
        <v>21</v>
      </c>
      <c r="B410" s="4" t="s">
        <v>22</v>
      </c>
      <c r="C410" s="4" t="s">
        <v>23</v>
      </c>
      <c r="D410" s="4" t="s">
        <v>24</v>
      </c>
      <c r="E410" s="4" t="s">
        <v>24</v>
      </c>
      <c r="F410" s="4" t="s">
        <v>25</v>
      </c>
      <c r="G410" s="4" t="s">
        <v>25</v>
      </c>
      <c r="H410" s="4" t="s">
        <v>25</v>
      </c>
      <c r="I410" s="5">
        <v>44652</v>
      </c>
      <c r="J410" s="6">
        <v>0</v>
      </c>
      <c r="K410" s="6">
        <v>0</v>
      </c>
      <c r="L410" s="6">
        <v>2645.02</v>
      </c>
      <c r="M410" s="6">
        <v>2645.02</v>
      </c>
      <c r="N410" s="6">
        <v>2645.02</v>
      </c>
      <c r="O410" s="6">
        <v>2645.02</v>
      </c>
      <c r="P410" s="6">
        <v>16160</v>
      </c>
      <c r="Q410" s="4" t="s">
        <v>26</v>
      </c>
      <c r="R410" s="4">
        <v>0</v>
      </c>
      <c r="S410" s="4" t="s">
        <v>216</v>
      </c>
      <c r="T410" s="4" t="s">
        <v>386</v>
      </c>
      <c r="U410" s="4">
        <v>0</v>
      </c>
      <c r="V410" s="4">
        <v>12</v>
      </c>
      <c r="W410" s="4">
        <v>48</v>
      </c>
    </row>
    <row r="411" spans="1:23" ht="11.25" customHeight="1" x14ac:dyDescent="0.25">
      <c r="A411" s="4" t="s">
        <v>41</v>
      </c>
      <c r="B411" s="4" t="s">
        <v>22</v>
      </c>
      <c r="C411" s="4" t="s">
        <v>23</v>
      </c>
      <c r="D411" s="4" t="s">
        <v>24</v>
      </c>
      <c r="E411" s="4" t="s">
        <v>24</v>
      </c>
      <c r="F411" s="4" t="s">
        <v>25</v>
      </c>
      <c r="G411" s="4" t="s">
        <v>25</v>
      </c>
      <c r="H411" s="4" t="s">
        <v>25</v>
      </c>
      <c r="I411" s="5">
        <v>44652</v>
      </c>
      <c r="J411" s="6">
        <v>0</v>
      </c>
      <c r="K411" s="6">
        <v>0</v>
      </c>
      <c r="L411" s="6">
        <v>-0.372</v>
      </c>
      <c r="M411" s="6">
        <v>-0.372</v>
      </c>
      <c r="N411" s="6">
        <v>-0.372</v>
      </c>
      <c r="O411" s="6">
        <v>-0.372</v>
      </c>
      <c r="P411" s="6">
        <v>0</v>
      </c>
      <c r="Q411" s="4" t="s">
        <v>26</v>
      </c>
      <c r="R411" s="4">
        <v>0</v>
      </c>
      <c r="S411" s="4" t="s">
        <v>216</v>
      </c>
      <c r="T411" s="4" t="s">
        <v>386</v>
      </c>
      <c r="U411" s="4">
        <v>0</v>
      </c>
      <c r="V411" s="4">
        <v>12</v>
      </c>
      <c r="W411" s="4">
        <v>48</v>
      </c>
    </row>
    <row r="412" spans="1:23" ht="11.25" customHeight="1" x14ac:dyDescent="0.25">
      <c r="A412" s="4" t="s">
        <v>27</v>
      </c>
      <c r="B412" s="4" t="s">
        <v>22</v>
      </c>
      <c r="C412" s="4" t="s">
        <v>23</v>
      </c>
      <c r="D412" s="4" t="s">
        <v>24</v>
      </c>
      <c r="E412" s="4" t="s">
        <v>24</v>
      </c>
      <c r="F412" s="4" t="s">
        <v>25</v>
      </c>
      <c r="G412" s="4" t="s">
        <v>25</v>
      </c>
      <c r="H412" s="4" t="s">
        <v>25</v>
      </c>
      <c r="I412" s="5">
        <v>44652</v>
      </c>
      <c r="J412" s="6">
        <v>0</v>
      </c>
      <c r="K412" s="6">
        <v>0</v>
      </c>
      <c r="L412" s="6">
        <v>55.558</v>
      </c>
      <c r="M412" s="6">
        <v>55.558</v>
      </c>
      <c r="N412" s="6">
        <v>55.558</v>
      </c>
      <c r="O412" s="6">
        <v>55.558</v>
      </c>
      <c r="P412" s="6">
        <v>629</v>
      </c>
      <c r="Q412" s="4" t="s">
        <v>26</v>
      </c>
      <c r="R412" s="4">
        <v>0</v>
      </c>
      <c r="S412" s="4" t="s">
        <v>216</v>
      </c>
      <c r="T412" s="4" t="s">
        <v>386</v>
      </c>
      <c r="U412" s="4">
        <v>0</v>
      </c>
      <c r="V412" s="4">
        <v>12</v>
      </c>
      <c r="W412" s="4">
        <v>48</v>
      </c>
    </row>
    <row r="413" spans="1:23" ht="11.25" customHeight="1" x14ac:dyDescent="0.25">
      <c r="A413" s="4" t="s">
        <v>21</v>
      </c>
      <c r="B413" s="4" t="s">
        <v>22</v>
      </c>
      <c r="C413" s="4" t="s">
        <v>23</v>
      </c>
      <c r="D413" s="4" t="s">
        <v>24</v>
      </c>
      <c r="E413" s="4" t="s">
        <v>24</v>
      </c>
      <c r="F413" s="4" t="s">
        <v>25</v>
      </c>
      <c r="G413" s="4" t="s">
        <v>25</v>
      </c>
      <c r="H413" s="4" t="s">
        <v>25</v>
      </c>
      <c r="I413" s="5">
        <v>44682</v>
      </c>
      <c r="J413" s="6">
        <v>0</v>
      </c>
      <c r="K413" s="6">
        <v>0</v>
      </c>
      <c r="L413" s="6">
        <v>2859.8270000000002</v>
      </c>
      <c r="M413" s="6">
        <v>2859.8270000000002</v>
      </c>
      <c r="N413" s="6">
        <v>2859.8270000000002</v>
      </c>
      <c r="O413" s="6">
        <v>2859.8270000000002</v>
      </c>
      <c r="P413" s="6">
        <v>16126</v>
      </c>
      <c r="Q413" s="4" t="s">
        <v>26</v>
      </c>
      <c r="R413" s="4">
        <v>0</v>
      </c>
      <c r="S413" s="4" t="s">
        <v>217</v>
      </c>
      <c r="T413" s="4" t="s">
        <v>387</v>
      </c>
      <c r="U413" s="4">
        <v>0</v>
      </c>
      <c r="V413" s="4">
        <v>12</v>
      </c>
      <c r="W413" s="4">
        <v>48</v>
      </c>
    </row>
    <row r="414" spans="1:23" ht="11.25" customHeight="1" x14ac:dyDescent="0.25">
      <c r="A414" s="4" t="s">
        <v>41</v>
      </c>
      <c r="B414" s="4" t="s">
        <v>22</v>
      </c>
      <c r="C414" s="4" t="s">
        <v>23</v>
      </c>
      <c r="D414" s="4" t="s">
        <v>24</v>
      </c>
      <c r="E414" s="4" t="s">
        <v>24</v>
      </c>
      <c r="F414" s="4" t="s">
        <v>25</v>
      </c>
      <c r="G414" s="4" t="s">
        <v>25</v>
      </c>
      <c r="H414" s="4" t="s">
        <v>25</v>
      </c>
      <c r="I414" s="5">
        <v>44682</v>
      </c>
      <c r="J414" s="6">
        <v>0</v>
      </c>
      <c r="K414" s="6">
        <v>0</v>
      </c>
      <c r="L414" s="6">
        <v>-1.6659999999999999</v>
      </c>
      <c r="M414" s="6">
        <v>-1.6659999999999999</v>
      </c>
      <c r="N414" s="6">
        <v>-1.6659999999999999</v>
      </c>
      <c r="O414" s="6">
        <v>-1.6659999999999999</v>
      </c>
      <c r="P414" s="6">
        <v>0</v>
      </c>
      <c r="Q414" s="4" t="s">
        <v>26</v>
      </c>
      <c r="R414" s="4">
        <v>0</v>
      </c>
      <c r="S414" s="4" t="s">
        <v>217</v>
      </c>
      <c r="T414" s="4" t="s">
        <v>387</v>
      </c>
      <c r="U414" s="4">
        <v>0</v>
      </c>
      <c r="V414" s="4">
        <v>12</v>
      </c>
      <c r="W414" s="4">
        <v>48</v>
      </c>
    </row>
    <row r="415" spans="1:23" ht="11.25" customHeight="1" x14ac:dyDescent="0.25">
      <c r="A415" s="4" t="s">
        <v>27</v>
      </c>
      <c r="B415" s="4" t="s">
        <v>22</v>
      </c>
      <c r="C415" s="4" t="s">
        <v>23</v>
      </c>
      <c r="D415" s="4" t="s">
        <v>24</v>
      </c>
      <c r="E415" s="4" t="s">
        <v>24</v>
      </c>
      <c r="F415" s="4" t="s">
        <v>25</v>
      </c>
      <c r="G415" s="4" t="s">
        <v>25</v>
      </c>
      <c r="H415" s="4" t="s">
        <v>25</v>
      </c>
      <c r="I415" s="5">
        <v>44682</v>
      </c>
      <c r="J415" s="6">
        <v>0</v>
      </c>
      <c r="K415" s="6">
        <v>0</v>
      </c>
      <c r="L415" s="6">
        <v>86.841999999999999</v>
      </c>
      <c r="M415" s="6">
        <v>86.841999999999999</v>
      </c>
      <c r="N415" s="6">
        <v>86.841999999999999</v>
      </c>
      <c r="O415" s="6">
        <v>86.841999999999999</v>
      </c>
      <c r="P415" s="6">
        <v>720</v>
      </c>
      <c r="Q415" s="4" t="s">
        <v>26</v>
      </c>
      <c r="R415" s="4">
        <v>0</v>
      </c>
      <c r="S415" s="4" t="s">
        <v>217</v>
      </c>
      <c r="T415" s="4" t="s">
        <v>387</v>
      </c>
      <c r="U415" s="4">
        <v>0</v>
      </c>
      <c r="V415" s="4">
        <v>12</v>
      </c>
      <c r="W415" s="4">
        <v>48</v>
      </c>
    </row>
    <row r="416" spans="1:23" ht="11.25" customHeight="1" x14ac:dyDescent="0.25">
      <c r="A416" s="4" t="s">
        <v>55</v>
      </c>
      <c r="B416" s="4" t="s">
        <v>22</v>
      </c>
      <c r="C416" s="4" t="s">
        <v>23</v>
      </c>
      <c r="D416" s="4" t="s">
        <v>24</v>
      </c>
      <c r="E416" s="4" t="s">
        <v>24</v>
      </c>
      <c r="F416" s="4" t="s">
        <v>25</v>
      </c>
      <c r="G416" s="4" t="s">
        <v>25</v>
      </c>
      <c r="H416" s="4" t="s">
        <v>25</v>
      </c>
      <c r="I416" s="5">
        <v>44713</v>
      </c>
      <c r="J416" s="6">
        <v>0</v>
      </c>
      <c r="K416" s="6">
        <v>0</v>
      </c>
      <c r="L416" s="6">
        <v>2859.8270000000002</v>
      </c>
      <c r="M416" s="6">
        <v>2859.8270000000002</v>
      </c>
      <c r="N416" s="6">
        <v>2859.8270000000002</v>
      </c>
      <c r="O416" s="6">
        <v>2859.8270000000002</v>
      </c>
      <c r="P416" s="6">
        <v>16126</v>
      </c>
      <c r="Q416" s="4" t="s">
        <v>26</v>
      </c>
      <c r="R416" s="4">
        <v>0</v>
      </c>
      <c r="S416" s="4" t="s">
        <v>218</v>
      </c>
      <c r="T416" s="4" t="s">
        <v>388</v>
      </c>
      <c r="U416" s="4">
        <v>0</v>
      </c>
      <c r="V416" s="4">
        <v>12</v>
      </c>
      <c r="W416" s="4">
        <v>48</v>
      </c>
    </row>
    <row r="417" spans="1:23" ht="11.25" customHeight="1" x14ac:dyDescent="0.25">
      <c r="A417" s="4" t="s">
        <v>55</v>
      </c>
      <c r="B417" s="4" t="s">
        <v>22</v>
      </c>
      <c r="C417" s="4" t="s">
        <v>23</v>
      </c>
      <c r="D417" s="4" t="s">
        <v>24</v>
      </c>
      <c r="E417" s="4" t="s">
        <v>24</v>
      </c>
      <c r="F417" s="4" t="s">
        <v>25</v>
      </c>
      <c r="G417" s="4" t="s">
        <v>25</v>
      </c>
      <c r="H417" s="4" t="s">
        <v>25</v>
      </c>
      <c r="I417" s="5">
        <v>44713</v>
      </c>
      <c r="J417" s="6">
        <v>0</v>
      </c>
      <c r="K417" s="6">
        <v>0</v>
      </c>
      <c r="L417" s="6">
        <v>-1.6659999999999999</v>
      </c>
      <c r="M417" s="6">
        <v>-1.6659999999999999</v>
      </c>
      <c r="N417" s="6">
        <v>-1.6659999999999999</v>
      </c>
      <c r="O417" s="6">
        <v>-1.6659999999999999</v>
      </c>
      <c r="P417" s="6">
        <v>0</v>
      </c>
      <c r="Q417" s="4" t="s">
        <v>26</v>
      </c>
      <c r="R417" s="4">
        <v>0</v>
      </c>
      <c r="S417" s="4" t="s">
        <v>218</v>
      </c>
      <c r="T417" s="4" t="s">
        <v>388</v>
      </c>
      <c r="U417" s="4">
        <v>0</v>
      </c>
      <c r="V417" s="4">
        <v>12</v>
      </c>
      <c r="W417" s="4">
        <v>48</v>
      </c>
    </row>
    <row r="418" spans="1:23" ht="11.25" customHeight="1" x14ac:dyDescent="0.25">
      <c r="A418" s="4" t="s">
        <v>55</v>
      </c>
      <c r="B418" s="4" t="s">
        <v>22</v>
      </c>
      <c r="C418" s="4" t="s">
        <v>23</v>
      </c>
      <c r="D418" s="4" t="s">
        <v>24</v>
      </c>
      <c r="E418" s="4" t="s">
        <v>24</v>
      </c>
      <c r="F418" s="4" t="s">
        <v>25</v>
      </c>
      <c r="G418" s="4" t="s">
        <v>25</v>
      </c>
      <c r="H418" s="4" t="s">
        <v>25</v>
      </c>
      <c r="I418" s="5">
        <v>44713</v>
      </c>
      <c r="J418" s="6">
        <v>0</v>
      </c>
      <c r="K418" s="6">
        <v>0</v>
      </c>
      <c r="L418" s="6">
        <v>86.841999999999999</v>
      </c>
      <c r="M418" s="6">
        <v>86.841999999999999</v>
      </c>
      <c r="N418" s="6">
        <v>86.841999999999999</v>
      </c>
      <c r="O418" s="6">
        <v>86.841999999999999</v>
      </c>
      <c r="P418" s="6">
        <v>720</v>
      </c>
      <c r="Q418" s="4" t="s">
        <v>26</v>
      </c>
      <c r="R418" s="4">
        <v>0</v>
      </c>
      <c r="S418" s="4" t="s">
        <v>218</v>
      </c>
      <c r="T418" s="4" t="s">
        <v>388</v>
      </c>
      <c r="U418" s="4">
        <v>0</v>
      </c>
      <c r="V418" s="4">
        <v>12</v>
      </c>
      <c r="W418" s="4">
        <v>48</v>
      </c>
    </row>
    <row r="419" spans="1:23" ht="11.25" customHeight="1" x14ac:dyDescent="0.25">
      <c r="A419" s="4" t="s">
        <v>21</v>
      </c>
      <c r="B419" s="4" t="s">
        <v>22</v>
      </c>
      <c r="C419" s="4" t="s">
        <v>23</v>
      </c>
      <c r="D419" s="4" t="s">
        <v>24</v>
      </c>
      <c r="E419" s="4" t="s">
        <v>28</v>
      </c>
      <c r="F419" s="4" t="s">
        <v>25</v>
      </c>
      <c r="G419" s="4" t="s">
        <v>25</v>
      </c>
      <c r="H419" s="4" t="s">
        <v>25</v>
      </c>
      <c r="I419" s="5">
        <v>44378</v>
      </c>
      <c r="J419" s="6">
        <v>0</v>
      </c>
      <c r="K419" s="6">
        <v>0</v>
      </c>
      <c r="L419" s="6">
        <v>18.510000000000002</v>
      </c>
      <c r="M419" s="6">
        <v>18.510000000000002</v>
      </c>
      <c r="N419" s="6">
        <v>18.510000000000002</v>
      </c>
      <c r="O419" s="6">
        <v>18.510000000000002</v>
      </c>
      <c r="P419" s="6">
        <v>23</v>
      </c>
      <c r="Q419" s="4" t="s">
        <v>26</v>
      </c>
      <c r="R419" s="4">
        <v>0</v>
      </c>
      <c r="S419" s="4" t="s">
        <v>219</v>
      </c>
      <c r="T419" s="4" t="s">
        <v>389</v>
      </c>
      <c r="U419" s="4">
        <v>0</v>
      </c>
      <c r="V419" s="4">
        <v>14</v>
      </c>
      <c r="W419" s="4">
        <v>52</v>
      </c>
    </row>
    <row r="420" spans="1:23" ht="11.25" customHeight="1" x14ac:dyDescent="0.25">
      <c r="A420" s="4" t="s">
        <v>21</v>
      </c>
      <c r="B420" s="4" t="s">
        <v>22</v>
      </c>
      <c r="C420" s="4" t="s">
        <v>23</v>
      </c>
      <c r="D420" s="4" t="s">
        <v>24</v>
      </c>
      <c r="E420" s="4" t="s">
        <v>28</v>
      </c>
      <c r="F420" s="4" t="s">
        <v>25</v>
      </c>
      <c r="G420" s="4" t="s">
        <v>25</v>
      </c>
      <c r="H420" s="4" t="s">
        <v>25</v>
      </c>
      <c r="I420" s="5">
        <v>44409</v>
      </c>
      <c r="J420" s="6">
        <v>0</v>
      </c>
      <c r="K420" s="6">
        <v>0</v>
      </c>
      <c r="L420" s="6">
        <v>18.72</v>
      </c>
      <c r="M420" s="6">
        <v>18.72</v>
      </c>
      <c r="N420" s="6">
        <v>18.72</v>
      </c>
      <c r="O420" s="6">
        <v>18.72</v>
      </c>
      <c r="P420" s="6">
        <v>18</v>
      </c>
      <c r="Q420" s="4" t="s">
        <v>26</v>
      </c>
      <c r="R420" s="4">
        <v>0</v>
      </c>
      <c r="S420" s="4" t="s">
        <v>220</v>
      </c>
      <c r="T420" s="4" t="s">
        <v>390</v>
      </c>
      <c r="U420" s="4">
        <v>0</v>
      </c>
      <c r="V420" s="4">
        <v>14</v>
      </c>
      <c r="W420" s="4">
        <v>52</v>
      </c>
    </row>
    <row r="421" spans="1:23" ht="11.25" customHeight="1" x14ac:dyDescent="0.25">
      <c r="A421" s="4" t="s">
        <v>21</v>
      </c>
      <c r="B421" s="4" t="s">
        <v>22</v>
      </c>
      <c r="C421" s="4" t="s">
        <v>23</v>
      </c>
      <c r="D421" s="4" t="s">
        <v>24</v>
      </c>
      <c r="E421" s="4" t="s">
        <v>28</v>
      </c>
      <c r="F421" s="4" t="s">
        <v>25</v>
      </c>
      <c r="G421" s="4" t="s">
        <v>25</v>
      </c>
      <c r="H421" s="4" t="s">
        <v>25</v>
      </c>
      <c r="I421" s="5">
        <v>44440</v>
      </c>
      <c r="J421" s="6">
        <v>0</v>
      </c>
      <c r="K421" s="6">
        <v>0</v>
      </c>
      <c r="L421" s="6">
        <v>18.93</v>
      </c>
      <c r="M421" s="6">
        <v>18.93</v>
      </c>
      <c r="N421" s="6">
        <v>18.93</v>
      </c>
      <c r="O421" s="6">
        <v>18.93</v>
      </c>
      <c r="P421" s="6">
        <v>16</v>
      </c>
      <c r="Q421" s="4" t="s">
        <v>26</v>
      </c>
      <c r="R421" s="4">
        <v>0</v>
      </c>
      <c r="S421" s="4" t="s">
        <v>221</v>
      </c>
      <c r="T421" s="4" t="s">
        <v>391</v>
      </c>
      <c r="U421" s="4">
        <v>0</v>
      </c>
      <c r="V421" s="4">
        <v>14</v>
      </c>
      <c r="W421" s="4">
        <v>52</v>
      </c>
    </row>
    <row r="422" spans="1:23" ht="11.25" customHeight="1" x14ac:dyDescent="0.25">
      <c r="A422" s="4" t="s">
        <v>21</v>
      </c>
      <c r="B422" s="4" t="s">
        <v>22</v>
      </c>
      <c r="C422" s="4" t="s">
        <v>23</v>
      </c>
      <c r="D422" s="4" t="s">
        <v>24</v>
      </c>
      <c r="E422" s="4" t="s">
        <v>28</v>
      </c>
      <c r="F422" s="4" t="s">
        <v>25</v>
      </c>
      <c r="G422" s="4" t="s">
        <v>25</v>
      </c>
      <c r="H422" s="4" t="s">
        <v>25</v>
      </c>
      <c r="I422" s="5">
        <v>44470</v>
      </c>
      <c r="J422" s="6">
        <v>0</v>
      </c>
      <c r="K422" s="6">
        <v>0</v>
      </c>
      <c r="L422" s="6">
        <v>19.02</v>
      </c>
      <c r="M422" s="6">
        <v>19.02</v>
      </c>
      <c r="N422" s="6">
        <v>19.02</v>
      </c>
      <c r="O422" s="6">
        <v>19.02</v>
      </c>
      <c r="P422" s="6">
        <v>19</v>
      </c>
      <c r="Q422" s="4" t="s">
        <v>26</v>
      </c>
      <c r="R422" s="4">
        <v>0</v>
      </c>
      <c r="S422" s="4" t="s">
        <v>222</v>
      </c>
      <c r="T422" s="4" t="s">
        <v>392</v>
      </c>
      <c r="U422" s="4">
        <v>0</v>
      </c>
      <c r="V422" s="4">
        <v>14</v>
      </c>
      <c r="W422" s="4">
        <v>52</v>
      </c>
    </row>
    <row r="423" spans="1:23" ht="11.25" customHeight="1" x14ac:dyDescent="0.25">
      <c r="A423" s="4" t="s">
        <v>21</v>
      </c>
      <c r="B423" s="4" t="s">
        <v>22</v>
      </c>
      <c r="C423" s="4" t="s">
        <v>23</v>
      </c>
      <c r="D423" s="4" t="s">
        <v>24</v>
      </c>
      <c r="E423" s="4" t="s">
        <v>28</v>
      </c>
      <c r="F423" s="4" t="s">
        <v>25</v>
      </c>
      <c r="G423" s="4" t="s">
        <v>25</v>
      </c>
      <c r="H423" s="4" t="s">
        <v>25</v>
      </c>
      <c r="I423" s="5">
        <v>44501</v>
      </c>
      <c r="J423" s="6">
        <v>0</v>
      </c>
      <c r="K423" s="6">
        <v>0</v>
      </c>
      <c r="L423" s="6">
        <v>19.14</v>
      </c>
      <c r="M423" s="6">
        <v>19.14</v>
      </c>
      <c r="N423" s="6">
        <v>19.14</v>
      </c>
      <c r="O423" s="6">
        <v>19.14</v>
      </c>
      <c r="P423" s="6">
        <v>14</v>
      </c>
      <c r="Q423" s="4" t="s">
        <v>26</v>
      </c>
      <c r="R423" s="4">
        <v>0</v>
      </c>
      <c r="S423" s="4" t="s">
        <v>223</v>
      </c>
      <c r="T423" s="4" t="s">
        <v>393</v>
      </c>
      <c r="U423" s="4">
        <v>0</v>
      </c>
      <c r="V423" s="4">
        <v>14</v>
      </c>
      <c r="W423" s="4">
        <v>52</v>
      </c>
    </row>
    <row r="424" spans="1:23" ht="11.25" customHeight="1" x14ac:dyDescent="0.25">
      <c r="A424" s="4" t="s">
        <v>21</v>
      </c>
      <c r="B424" s="4" t="s">
        <v>22</v>
      </c>
      <c r="C424" s="4" t="s">
        <v>23</v>
      </c>
      <c r="D424" s="4" t="s">
        <v>24</v>
      </c>
      <c r="E424" s="4" t="s">
        <v>28</v>
      </c>
      <c r="F424" s="4" t="s">
        <v>25</v>
      </c>
      <c r="G424" s="4" t="s">
        <v>25</v>
      </c>
      <c r="H424" s="4" t="s">
        <v>25</v>
      </c>
      <c r="I424" s="5">
        <v>44531</v>
      </c>
      <c r="J424" s="6">
        <v>0</v>
      </c>
      <c r="K424" s="6">
        <v>0</v>
      </c>
      <c r="L424" s="6">
        <v>19.260000000000002</v>
      </c>
      <c r="M424" s="6">
        <v>19.260000000000002</v>
      </c>
      <c r="N424" s="6">
        <v>19.260000000000002</v>
      </c>
      <c r="O424" s="6">
        <v>19.260000000000002</v>
      </c>
      <c r="P424" s="6">
        <v>14</v>
      </c>
      <c r="Q424" s="4" t="s">
        <v>26</v>
      </c>
      <c r="R424" s="4">
        <v>0</v>
      </c>
      <c r="S424" s="4" t="s">
        <v>224</v>
      </c>
      <c r="T424" s="4" t="s">
        <v>394</v>
      </c>
      <c r="U424" s="4">
        <v>0</v>
      </c>
      <c r="V424" s="4">
        <v>14</v>
      </c>
      <c r="W424" s="4">
        <v>52</v>
      </c>
    </row>
    <row r="425" spans="1:23" ht="11.25" customHeight="1" x14ac:dyDescent="0.25">
      <c r="A425" s="4" t="s">
        <v>21</v>
      </c>
      <c r="B425" s="4" t="s">
        <v>22</v>
      </c>
      <c r="C425" s="4" t="s">
        <v>23</v>
      </c>
      <c r="D425" s="4" t="s">
        <v>24</v>
      </c>
      <c r="E425" s="4" t="s">
        <v>28</v>
      </c>
      <c r="F425" s="4" t="s">
        <v>25</v>
      </c>
      <c r="G425" s="4" t="s">
        <v>25</v>
      </c>
      <c r="H425" s="4" t="s">
        <v>25</v>
      </c>
      <c r="I425" s="5">
        <v>44562</v>
      </c>
      <c r="J425" s="6">
        <v>0</v>
      </c>
      <c r="K425" s="6">
        <v>0</v>
      </c>
      <c r="L425" s="6">
        <v>23.800999999999998</v>
      </c>
      <c r="M425" s="6">
        <v>23.800999999999998</v>
      </c>
      <c r="N425" s="6">
        <v>23.800999999999998</v>
      </c>
      <c r="O425" s="6">
        <v>23.800999999999998</v>
      </c>
      <c r="P425" s="6">
        <v>17</v>
      </c>
      <c r="Q425" s="4" t="s">
        <v>26</v>
      </c>
      <c r="R425" s="4">
        <v>0</v>
      </c>
      <c r="S425" s="4" t="s">
        <v>225</v>
      </c>
      <c r="T425" s="4" t="s">
        <v>395</v>
      </c>
      <c r="U425" s="4">
        <v>0</v>
      </c>
      <c r="V425" s="4">
        <v>14</v>
      </c>
      <c r="W425" s="4">
        <v>52</v>
      </c>
    </row>
    <row r="426" spans="1:23" ht="11.25" customHeight="1" x14ac:dyDescent="0.25">
      <c r="A426" s="4" t="s">
        <v>27</v>
      </c>
      <c r="B426" s="4" t="s">
        <v>22</v>
      </c>
      <c r="C426" s="4" t="s">
        <v>23</v>
      </c>
      <c r="D426" s="4" t="s">
        <v>24</v>
      </c>
      <c r="E426" s="4" t="s">
        <v>28</v>
      </c>
      <c r="F426" s="4" t="s">
        <v>25</v>
      </c>
      <c r="G426" s="4" t="s">
        <v>25</v>
      </c>
      <c r="H426" s="4" t="s">
        <v>25</v>
      </c>
      <c r="I426" s="5">
        <v>44562</v>
      </c>
      <c r="J426" s="6">
        <v>0</v>
      </c>
      <c r="K426" s="6">
        <v>0</v>
      </c>
      <c r="L426" s="6">
        <v>9.6000000000000002E-2</v>
      </c>
      <c r="M426" s="6">
        <v>9.6000000000000002E-2</v>
      </c>
      <c r="N426" s="6">
        <v>9.6000000000000002E-2</v>
      </c>
      <c r="O426" s="6">
        <v>9.6000000000000002E-2</v>
      </c>
      <c r="P426" s="6">
        <v>0</v>
      </c>
      <c r="Q426" s="4" t="s">
        <v>26</v>
      </c>
      <c r="R426" s="4">
        <v>0</v>
      </c>
      <c r="S426" s="4" t="s">
        <v>225</v>
      </c>
      <c r="T426" s="4" t="s">
        <v>395</v>
      </c>
      <c r="U426" s="4">
        <v>0</v>
      </c>
      <c r="V426" s="4">
        <v>14</v>
      </c>
      <c r="W426" s="4">
        <v>52</v>
      </c>
    </row>
    <row r="427" spans="1:23" ht="11.25" customHeight="1" x14ac:dyDescent="0.25">
      <c r="A427" s="4" t="s">
        <v>21</v>
      </c>
      <c r="B427" s="4" t="s">
        <v>22</v>
      </c>
      <c r="C427" s="4" t="s">
        <v>23</v>
      </c>
      <c r="D427" s="4" t="s">
        <v>24</v>
      </c>
      <c r="E427" s="4" t="s">
        <v>28</v>
      </c>
      <c r="F427" s="4" t="s">
        <v>25</v>
      </c>
      <c r="G427" s="4" t="s">
        <v>25</v>
      </c>
      <c r="H427" s="4" t="s">
        <v>25</v>
      </c>
      <c r="I427" s="5">
        <v>44593</v>
      </c>
      <c r="J427" s="6">
        <v>0</v>
      </c>
      <c r="K427" s="6">
        <v>0</v>
      </c>
      <c r="L427" s="6">
        <v>24.66</v>
      </c>
      <c r="M427" s="6">
        <v>24.66</v>
      </c>
      <c r="N427" s="6">
        <v>24.66</v>
      </c>
      <c r="O427" s="6">
        <v>24.66</v>
      </c>
      <c r="P427" s="6">
        <v>19</v>
      </c>
      <c r="Q427" s="4" t="s">
        <v>26</v>
      </c>
      <c r="R427" s="4">
        <v>0</v>
      </c>
      <c r="S427" s="4" t="s">
        <v>226</v>
      </c>
      <c r="T427" s="4" t="s">
        <v>396</v>
      </c>
      <c r="U427" s="4">
        <v>0</v>
      </c>
      <c r="V427" s="4">
        <v>14</v>
      </c>
      <c r="W427" s="4">
        <v>52</v>
      </c>
    </row>
    <row r="428" spans="1:23" ht="11.25" customHeight="1" x14ac:dyDescent="0.25">
      <c r="A428" s="4" t="s">
        <v>21</v>
      </c>
      <c r="B428" s="4" t="s">
        <v>22</v>
      </c>
      <c r="C428" s="4" t="s">
        <v>23</v>
      </c>
      <c r="D428" s="4" t="s">
        <v>24</v>
      </c>
      <c r="E428" s="4" t="s">
        <v>28</v>
      </c>
      <c r="F428" s="4" t="s">
        <v>25</v>
      </c>
      <c r="G428" s="4" t="s">
        <v>25</v>
      </c>
      <c r="H428" s="4" t="s">
        <v>25</v>
      </c>
      <c r="I428" s="5">
        <v>44621</v>
      </c>
      <c r="J428" s="6">
        <v>0</v>
      </c>
      <c r="K428" s="6">
        <v>0</v>
      </c>
      <c r="L428" s="6">
        <v>25.83</v>
      </c>
      <c r="M428" s="6">
        <v>25.83</v>
      </c>
      <c r="N428" s="6">
        <v>25.83</v>
      </c>
      <c r="O428" s="6">
        <v>25.83</v>
      </c>
      <c r="P428" s="6">
        <v>18</v>
      </c>
      <c r="Q428" s="4" t="s">
        <v>26</v>
      </c>
      <c r="R428" s="4">
        <v>0</v>
      </c>
      <c r="S428" s="4" t="s">
        <v>227</v>
      </c>
      <c r="T428" s="4" t="s">
        <v>397</v>
      </c>
      <c r="U428" s="4">
        <v>0</v>
      </c>
      <c r="V428" s="4">
        <v>14</v>
      </c>
      <c r="W428" s="4">
        <v>52</v>
      </c>
    </row>
    <row r="429" spans="1:23" ht="11.25" customHeight="1" x14ac:dyDescent="0.25">
      <c r="A429" s="4" t="s">
        <v>21</v>
      </c>
      <c r="B429" s="4" t="s">
        <v>22</v>
      </c>
      <c r="C429" s="4" t="s">
        <v>23</v>
      </c>
      <c r="D429" s="4" t="s">
        <v>24</v>
      </c>
      <c r="E429" s="4" t="s">
        <v>28</v>
      </c>
      <c r="F429" s="4" t="s">
        <v>25</v>
      </c>
      <c r="G429" s="4" t="s">
        <v>25</v>
      </c>
      <c r="H429" s="4" t="s">
        <v>25</v>
      </c>
      <c r="I429" s="5">
        <v>44652</v>
      </c>
      <c r="J429" s="6">
        <v>0</v>
      </c>
      <c r="K429" s="6">
        <v>0</v>
      </c>
      <c r="L429" s="6">
        <v>26.37</v>
      </c>
      <c r="M429" s="6">
        <v>26.37</v>
      </c>
      <c r="N429" s="6">
        <v>26.37</v>
      </c>
      <c r="O429" s="6">
        <v>26.37</v>
      </c>
      <c r="P429" s="6">
        <v>25</v>
      </c>
      <c r="Q429" s="4" t="s">
        <v>26</v>
      </c>
      <c r="R429" s="4">
        <v>0</v>
      </c>
      <c r="S429" s="4" t="s">
        <v>228</v>
      </c>
      <c r="T429" s="4" t="s">
        <v>398</v>
      </c>
      <c r="U429" s="4">
        <v>0</v>
      </c>
      <c r="V429" s="4">
        <v>14</v>
      </c>
      <c r="W429" s="4">
        <v>52</v>
      </c>
    </row>
    <row r="430" spans="1:23" ht="11.25" customHeight="1" x14ac:dyDescent="0.25">
      <c r="A430" s="4" t="s">
        <v>21</v>
      </c>
      <c r="B430" s="4" t="s">
        <v>22</v>
      </c>
      <c r="C430" s="4" t="s">
        <v>23</v>
      </c>
      <c r="D430" s="4" t="s">
        <v>24</v>
      </c>
      <c r="E430" s="4" t="s">
        <v>28</v>
      </c>
      <c r="F430" s="4" t="s">
        <v>25</v>
      </c>
      <c r="G430" s="4" t="s">
        <v>25</v>
      </c>
      <c r="H430" s="4" t="s">
        <v>25</v>
      </c>
      <c r="I430" s="5">
        <v>44682</v>
      </c>
      <c r="J430" s="6">
        <v>0</v>
      </c>
      <c r="K430" s="6">
        <v>0</v>
      </c>
      <c r="L430" s="6">
        <v>25.265999999999998</v>
      </c>
      <c r="M430" s="6">
        <v>25.265999999999998</v>
      </c>
      <c r="N430" s="6">
        <v>25.265999999999998</v>
      </c>
      <c r="O430" s="6">
        <v>25.265999999999998</v>
      </c>
      <c r="P430" s="6">
        <v>36</v>
      </c>
      <c r="Q430" s="4" t="s">
        <v>26</v>
      </c>
      <c r="R430" s="4">
        <v>0</v>
      </c>
      <c r="S430" s="4" t="s">
        <v>229</v>
      </c>
      <c r="T430" s="4" t="s">
        <v>399</v>
      </c>
      <c r="U430" s="4">
        <v>0</v>
      </c>
      <c r="V430" s="4">
        <v>14</v>
      </c>
      <c r="W430" s="4">
        <v>52</v>
      </c>
    </row>
    <row r="431" spans="1:23" ht="11.25" customHeight="1" x14ac:dyDescent="0.25">
      <c r="A431" s="4" t="s">
        <v>27</v>
      </c>
      <c r="B431" s="4" t="s">
        <v>22</v>
      </c>
      <c r="C431" s="4" t="s">
        <v>23</v>
      </c>
      <c r="D431" s="4" t="s">
        <v>24</v>
      </c>
      <c r="E431" s="4" t="s">
        <v>28</v>
      </c>
      <c r="F431" s="4" t="s">
        <v>25</v>
      </c>
      <c r="G431" s="4" t="s">
        <v>25</v>
      </c>
      <c r="H431" s="4" t="s">
        <v>25</v>
      </c>
      <c r="I431" s="5">
        <v>44682</v>
      </c>
      <c r="J431" s="6">
        <v>0</v>
      </c>
      <c r="K431" s="6">
        <v>0</v>
      </c>
      <c r="L431" s="6">
        <v>0.03</v>
      </c>
      <c r="M431" s="6">
        <v>0.03</v>
      </c>
      <c r="N431" s="6">
        <v>0.03</v>
      </c>
      <c r="O431" s="6">
        <v>0.03</v>
      </c>
      <c r="P431" s="6">
        <v>0</v>
      </c>
      <c r="Q431" s="4" t="s">
        <v>26</v>
      </c>
      <c r="R431" s="4">
        <v>0</v>
      </c>
      <c r="S431" s="4" t="s">
        <v>229</v>
      </c>
      <c r="T431" s="4" t="s">
        <v>399</v>
      </c>
      <c r="U431" s="4">
        <v>0</v>
      </c>
      <c r="V431" s="4">
        <v>14</v>
      </c>
      <c r="W431" s="4">
        <v>52</v>
      </c>
    </row>
    <row r="432" spans="1:23" ht="11.25" customHeight="1" x14ac:dyDescent="0.25">
      <c r="A432" s="4" t="s">
        <v>55</v>
      </c>
      <c r="B432" s="4" t="s">
        <v>22</v>
      </c>
      <c r="C432" s="4" t="s">
        <v>23</v>
      </c>
      <c r="D432" s="4" t="s">
        <v>24</v>
      </c>
      <c r="E432" s="4" t="s">
        <v>28</v>
      </c>
      <c r="F432" s="4" t="s">
        <v>25</v>
      </c>
      <c r="G432" s="4" t="s">
        <v>25</v>
      </c>
      <c r="H432" s="4" t="s">
        <v>25</v>
      </c>
      <c r="I432" s="5">
        <v>44713</v>
      </c>
      <c r="J432" s="6">
        <v>0</v>
      </c>
      <c r="K432" s="6">
        <v>0</v>
      </c>
      <c r="L432" s="6">
        <v>25.265999999999998</v>
      </c>
      <c r="M432" s="6">
        <v>25.265999999999998</v>
      </c>
      <c r="N432" s="6">
        <v>25.265999999999998</v>
      </c>
      <c r="O432" s="6">
        <v>25.265999999999998</v>
      </c>
      <c r="P432" s="6">
        <v>36</v>
      </c>
      <c r="Q432" s="4" t="s">
        <v>26</v>
      </c>
      <c r="R432" s="4">
        <v>0</v>
      </c>
      <c r="S432" s="4" t="s">
        <v>230</v>
      </c>
      <c r="T432" s="4" t="s">
        <v>400</v>
      </c>
      <c r="U432" s="4">
        <v>0</v>
      </c>
      <c r="V432" s="4">
        <v>14</v>
      </c>
      <c r="W432" s="4">
        <v>52</v>
      </c>
    </row>
    <row r="433" spans="1:23" ht="11.25" customHeight="1" x14ac:dyDescent="0.25">
      <c r="A433" s="4" t="s">
        <v>55</v>
      </c>
      <c r="B433" s="4" t="s">
        <v>22</v>
      </c>
      <c r="C433" s="4" t="s">
        <v>23</v>
      </c>
      <c r="D433" s="4" t="s">
        <v>24</v>
      </c>
      <c r="E433" s="4" t="s">
        <v>28</v>
      </c>
      <c r="F433" s="4" t="s">
        <v>25</v>
      </c>
      <c r="G433" s="4" t="s">
        <v>25</v>
      </c>
      <c r="H433" s="4" t="s">
        <v>25</v>
      </c>
      <c r="I433" s="5">
        <v>44713</v>
      </c>
      <c r="J433" s="6">
        <v>0</v>
      </c>
      <c r="K433" s="6">
        <v>0</v>
      </c>
      <c r="L433" s="6">
        <v>0.03</v>
      </c>
      <c r="M433" s="6">
        <v>0.03</v>
      </c>
      <c r="N433" s="6">
        <v>0.03</v>
      </c>
      <c r="O433" s="6">
        <v>0.03</v>
      </c>
      <c r="P433" s="6">
        <v>0</v>
      </c>
      <c r="Q433" s="4" t="s">
        <v>26</v>
      </c>
      <c r="R433" s="4">
        <v>0</v>
      </c>
      <c r="S433" s="4" t="s">
        <v>230</v>
      </c>
      <c r="T433" s="4" t="s">
        <v>400</v>
      </c>
      <c r="U433" s="4">
        <v>0</v>
      </c>
      <c r="V433" s="4">
        <v>14</v>
      </c>
      <c r="W433" s="4">
        <v>52</v>
      </c>
    </row>
    <row r="434" spans="1:23" ht="11.25" customHeight="1" x14ac:dyDescent="0.25">
      <c r="A434" s="4" t="s">
        <v>21</v>
      </c>
      <c r="B434" s="4" t="s">
        <v>22</v>
      </c>
      <c r="C434" s="4" t="s">
        <v>23</v>
      </c>
      <c r="D434" s="4" t="s">
        <v>24</v>
      </c>
      <c r="E434" s="4" t="s">
        <v>29</v>
      </c>
      <c r="F434" s="4" t="s">
        <v>25</v>
      </c>
      <c r="G434" s="4" t="s">
        <v>25</v>
      </c>
      <c r="H434" s="4" t="s">
        <v>25</v>
      </c>
      <c r="I434" s="5">
        <v>44378</v>
      </c>
      <c r="J434" s="6">
        <v>0</v>
      </c>
      <c r="K434" s="6">
        <v>0</v>
      </c>
      <c r="L434" s="6">
        <v>36.993000000000002</v>
      </c>
      <c r="M434" s="6">
        <v>36.993000000000002</v>
      </c>
      <c r="N434" s="6">
        <v>36.993000000000002</v>
      </c>
      <c r="O434" s="6">
        <v>36.993000000000002</v>
      </c>
      <c r="P434" s="6">
        <v>160</v>
      </c>
      <c r="Q434" s="4" t="s">
        <v>26</v>
      </c>
      <c r="R434" s="4">
        <v>0</v>
      </c>
      <c r="S434" s="4" t="s">
        <v>231</v>
      </c>
      <c r="T434" s="4" t="s">
        <v>401</v>
      </c>
      <c r="U434" s="4">
        <v>0</v>
      </c>
      <c r="V434" s="4">
        <v>6</v>
      </c>
      <c r="W434" s="4">
        <v>50</v>
      </c>
    </row>
    <row r="435" spans="1:23" ht="11.25" customHeight="1" x14ac:dyDescent="0.25">
      <c r="A435" s="4" t="s">
        <v>21</v>
      </c>
      <c r="B435" s="4" t="s">
        <v>22</v>
      </c>
      <c r="C435" s="4" t="s">
        <v>23</v>
      </c>
      <c r="D435" s="4" t="s">
        <v>24</v>
      </c>
      <c r="E435" s="4" t="s">
        <v>29</v>
      </c>
      <c r="F435" s="4" t="s">
        <v>25</v>
      </c>
      <c r="G435" s="4" t="s">
        <v>25</v>
      </c>
      <c r="H435" s="4" t="s">
        <v>25</v>
      </c>
      <c r="I435" s="5">
        <v>44409</v>
      </c>
      <c r="J435" s="6">
        <v>0</v>
      </c>
      <c r="K435" s="6">
        <v>0</v>
      </c>
      <c r="L435" s="6">
        <v>38.11</v>
      </c>
      <c r="M435" s="6">
        <v>38.11</v>
      </c>
      <c r="N435" s="6">
        <v>38.11</v>
      </c>
      <c r="O435" s="6">
        <v>38.11</v>
      </c>
      <c r="P435" s="6">
        <v>158</v>
      </c>
      <c r="Q435" s="4" t="s">
        <v>26</v>
      </c>
      <c r="R435" s="4">
        <v>0</v>
      </c>
      <c r="S435" s="4" t="s">
        <v>232</v>
      </c>
      <c r="T435" s="4" t="s">
        <v>402</v>
      </c>
      <c r="U435" s="4">
        <v>0</v>
      </c>
      <c r="V435" s="4">
        <v>6</v>
      </c>
      <c r="W435" s="4">
        <v>50</v>
      </c>
    </row>
    <row r="436" spans="1:23" ht="11.25" customHeight="1" x14ac:dyDescent="0.25">
      <c r="A436" s="4" t="s">
        <v>21</v>
      </c>
      <c r="B436" s="4" t="s">
        <v>22</v>
      </c>
      <c r="C436" s="4" t="s">
        <v>23</v>
      </c>
      <c r="D436" s="4" t="s">
        <v>24</v>
      </c>
      <c r="E436" s="4" t="s">
        <v>29</v>
      </c>
      <c r="F436" s="4" t="s">
        <v>25</v>
      </c>
      <c r="G436" s="4" t="s">
        <v>25</v>
      </c>
      <c r="H436" s="4" t="s">
        <v>25</v>
      </c>
      <c r="I436" s="5">
        <v>44440</v>
      </c>
      <c r="J436" s="6">
        <v>0</v>
      </c>
      <c r="K436" s="6">
        <v>0</v>
      </c>
      <c r="L436" s="6">
        <v>39.01</v>
      </c>
      <c r="M436" s="6">
        <v>39.01</v>
      </c>
      <c r="N436" s="6">
        <v>39.01</v>
      </c>
      <c r="O436" s="6">
        <v>39.01</v>
      </c>
      <c r="P436" s="6">
        <v>159</v>
      </c>
      <c r="Q436" s="4" t="s">
        <v>26</v>
      </c>
      <c r="R436" s="4">
        <v>0</v>
      </c>
      <c r="S436" s="4" t="s">
        <v>233</v>
      </c>
      <c r="T436" s="4" t="s">
        <v>403</v>
      </c>
      <c r="U436" s="4">
        <v>0</v>
      </c>
      <c r="V436" s="4">
        <v>6</v>
      </c>
      <c r="W436" s="4">
        <v>50</v>
      </c>
    </row>
    <row r="437" spans="1:23" ht="11.25" customHeight="1" x14ac:dyDescent="0.25">
      <c r="A437" s="4" t="s">
        <v>21</v>
      </c>
      <c r="B437" s="4" t="s">
        <v>22</v>
      </c>
      <c r="C437" s="4" t="s">
        <v>23</v>
      </c>
      <c r="D437" s="4" t="s">
        <v>24</v>
      </c>
      <c r="E437" s="4" t="s">
        <v>29</v>
      </c>
      <c r="F437" s="4" t="s">
        <v>25</v>
      </c>
      <c r="G437" s="4" t="s">
        <v>25</v>
      </c>
      <c r="H437" s="4" t="s">
        <v>25</v>
      </c>
      <c r="I437" s="5">
        <v>44470</v>
      </c>
      <c r="J437" s="6">
        <v>0</v>
      </c>
      <c r="K437" s="6">
        <v>0</v>
      </c>
      <c r="L437" s="6">
        <v>39.098999999999997</v>
      </c>
      <c r="M437" s="6">
        <v>39.098999999999997</v>
      </c>
      <c r="N437" s="6">
        <v>39.098999999999997</v>
      </c>
      <c r="O437" s="6">
        <v>39.098999999999997</v>
      </c>
      <c r="P437" s="6">
        <v>172</v>
      </c>
      <c r="Q437" s="4" t="s">
        <v>26</v>
      </c>
      <c r="R437" s="4">
        <v>0</v>
      </c>
      <c r="S437" s="4" t="s">
        <v>234</v>
      </c>
      <c r="T437" s="4" t="s">
        <v>404</v>
      </c>
      <c r="U437" s="4">
        <v>0</v>
      </c>
      <c r="V437" s="4">
        <v>6</v>
      </c>
      <c r="W437" s="4">
        <v>50</v>
      </c>
    </row>
    <row r="438" spans="1:23" ht="11.25" customHeight="1" x14ac:dyDescent="0.25">
      <c r="A438" s="4" t="s">
        <v>21</v>
      </c>
      <c r="B438" s="4" t="s">
        <v>22</v>
      </c>
      <c r="C438" s="4" t="s">
        <v>23</v>
      </c>
      <c r="D438" s="4" t="s">
        <v>24</v>
      </c>
      <c r="E438" s="4" t="s">
        <v>29</v>
      </c>
      <c r="F438" s="4" t="s">
        <v>25</v>
      </c>
      <c r="G438" s="4" t="s">
        <v>25</v>
      </c>
      <c r="H438" s="4" t="s">
        <v>25</v>
      </c>
      <c r="I438" s="5">
        <v>44501</v>
      </c>
      <c r="J438" s="6">
        <v>0</v>
      </c>
      <c r="K438" s="6">
        <v>0</v>
      </c>
      <c r="L438" s="6">
        <v>40.432000000000002</v>
      </c>
      <c r="M438" s="6">
        <v>40.432000000000002</v>
      </c>
      <c r="N438" s="6">
        <v>40.432000000000002</v>
      </c>
      <c r="O438" s="6">
        <v>40.432000000000002</v>
      </c>
      <c r="P438" s="6">
        <v>130</v>
      </c>
      <c r="Q438" s="4" t="s">
        <v>26</v>
      </c>
      <c r="R438" s="4">
        <v>0</v>
      </c>
      <c r="S438" s="4" t="s">
        <v>235</v>
      </c>
      <c r="T438" s="4" t="s">
        <v>405</v>
      </c>
      <c r="U438" s="4">
        <v>0</v>
      </c>
      <c r="V438" s="4">
        <v>6</v>
      </c>
      <c r="W438" s="4">
        <v>50</v>
      </c>
    </row>
    <row r="439" spans="1:23" ht="11.25" customHeight="1" x14ac:dyDescent="0.25">
      <c r="A439" s="4" t="s">
        <v>21</v>
      </c>
      <c r="B439" s="4" t="s">
        <v>22</v>
      </c>
      <c r="C439" s="4" t="s">
        <v>23</v>
      </c>
      <c r="D439" s="4" t="s">
        <v>24</v>
      </c>
      <c r="E439" s="4" t="s">
        <v>29</v>
      </c>
      <c r="F439" s="4" t="s">
        <v>25</v>
      </c>
      <c r="G439" s="4" t="s">
        <v>25</v>
      </c>
      <c r="H439" s="4" t="s">
        <v>25</v>
      </c>
      <c r="I439" s="5">
        <v>44531</v>
      </c>
      <c r="J439" s="6">
        <v>0</v>
      </c>
      <c r="K439" s="6">
        <v>0</v>
      </c>
      <c r="L439" s="6">
        <v>40.813000000000002</v>
      </c>
      <c r="M439" s="6">
        <v>40.813000000000002</v>
      </c>
      <c r="N439" s="6">
        <v>40.813000000000002</v>
      </c>
      <c r="O439" s="6">
        <v>40.813000000000002</v>
      </c>
      <c r="P439" s="6">
        <v>116</v>
      </c>
      <c r="Q439" s="4" t="s">
        <v>26</v>
      </c>
      <c r="R439" s="4">
        <v>0</v>
      </c>
      <c r="S439" s="4" t="s">
        <v>236</v>
      </c>
      <c r="T439" s="4" t="s">
        <v>406</v>
      </c>
      <c r="U439" s="4">
        <v>0</v>
      </c>
      <c r="V439" s="4">
        <v>6</v>
      </c>
      <c r="W439" s="4">
        <v>50</v>
      </c>
    </row>
    <row r="440" spans="1:23" ht="11.25" customHeight="1" x14ac:dyDescent="0.25">
      <c r="A440" s="4" t="s">
        <v>41</v>
      </c>
      <c r="B440" s="4" t="s">
        <v>22</v>
      </c>
      <c r="C440" s="4" t="s">
        <v>23</v>
      </c>
      <c r="D440" s="4" t="s">
        <v>24</v>
      </c>
      <c r="E440" s="4" t="s">
        <v>29</v>
      </c>
      <c r="F440" s="4" t="s">
        <v>25</v>
      </c>
      <c r="G440" s="4" t="s">
        <v>25</v>
      </c>
      <c r="H440" s="4" t="s">
        <v>25</v>
      </c>
      <c r="I440" s="5">
        <v>44531</v>
      </c>
      <c r="J440" s="6">
        <v>0</v>
      </c>
      <c r="K440" s="6">
        <v>0</v>
      </c>
      <c r="L440" s="6">
        <v>7.0000000000000007E-2</v>
      </c>
      <c r="M440" s="6">
        <v>7.0000000000000007E-2</v>
      </c>
      <c r="N440" s="6">
        <v>7.0000000000000007E-2</v>
      </c>
      <c r="O440" s="6">
        <v>7.0000000000000007E-2</v>
      </c>
      <c r="P440" s="6">
        <v>0</v>
      </c>
      <c r="Q440" s="4" t="s">
        <v>26</v>
      </c>
      <c r="R440" s="4">
        <v>0</v>
      </c>
      <c r="S440" s="4" t="s">
        <v>236</v>
      </c>
      <c r="T440" s="4" t="s">
        <v>406</v>
      </c>
      <c r="U440" s="4">
        <v>0</v>
      </c>
      <c r="V440" s="4">
        <v>6</v>
      </c>
      <c r="W440" s="4">
        <v>50</v>
      </c>
    </row>
    <row r="441" spans="1:23" ht="11.25" customHeight="1" x14ac:dyDescent="0.25">
      <c r="A441" s="4" t="s">
        <v>21</v>
      </c>
      <c r="B441" s="4" t="s">
        <v>22</v>
      </c>
      <c r="C441" s="4" t="s">
        <v>23</v>
      </c>
      <c r="D441" s="4" t="s">
        <v>24</v>
      </c>
      <c r="E441" s="4" t="s">
        <v>29</v>
      </c>
      <c r="F441" s="4" t="s">
        <v>25</v>
      </c>
      <c r="G441" s="4" t="s">
        <v>25</v>
      </c>
      <c r="H441" s="4" t="s">
        <v>25</v>
      </c>
      <c r="I441" s="5">
        <v>44562</v>
      </c>
      <c r="J441" s="6">
        <v>0</v>
      </c>
      <c r="K441" s="6">
        <v>0</v>
      </c>
      <c r="L441" s="6">
        <v>51.213999999999999</v>
      </c>
      <c r="M441" s="6">
        <v>51.213999999999999</v>
      </c>
      <c r="N441" s="6">
        <v>51.213999999999999</v>
      </c>
      <c r="O441" s="6">
        <v>51.213999999999999</v>
      </c>
      <c r="P441" s="6">
        <v>112</v>
      </c>
      <c r="Q441" s="4" t="s">
        <v>26</v>
      </c>
      <c r="R441" s="4">
        <v>0</v>
      </c>
      <c r="S441" s="4" t="s">
        <v>237</v>
      </c>
      <c r="T441" s="4" t="s">
        <v>407</v>
      </c>
      <c r="U441" s="4">
        <v>0</v>
      </c>
      <c r="V441" s="4">
        <v>6</v>
      </c>
      <c r="W441" s="4">
        <v>50</v>
      </c>
    </row>
    <row r="442" spans="1:23" ht="11.25" customHeight="1" x14ac:dyDescent="0.25">
      <c r="A442" s="4" t="s">
        <v>27</v>
      </c>
      <c r="B442" s="4" t="s">
        <v>22</v>
      </c>
      <c r="C442" s="4" t="s">
        <v>23</v>
      </c>
      <c r="D442" s="4" t="s">
        <v>24</v>
      </c>
      <c r="E442" s="4" t="s">
        <v>29</v>
      </c>
      <c r="F442" s="4" t="s">
        <v>25</v>
      </c>
      <c r="G442" s="4" t="s">
        <v>25</v>
      </c>
      <c r="H442" s="4" t="s">
        <v>25</v>
      </c>
      <c r="I442" s="5">
        <v>44562</v>
      </c>
      <c r="J442" s="6">
        <v>0</v>
      </c>
      <c r="K442" s="6">
        <v>0</v>
      </c>
      <c r="L442" s="6">
        <v>7.0000000000000007E-2</v>
      </c>
      <c r="M442" s="6">
        <v>7.0000000000000007E-2</v>
      </c>
      <c r="N442" s="6">
        <v>7.0000000000000007E-2</v>
      </c>
      <c r="O442" s="6">
        <v>7.0000000000000007E-2</v>
      </c>
      <c r="P442" s="6">
        <v>0</v>
      </c>
      <c r="Q442" s="4" t="s">
        <v>26</v>
      </c>
      <c r="R442" s="4">
        <v>0</v>
      </c>
      <c r="S442" s="4" t="s">
        <v>237</v>
      </c>
      <c r="T442" s="4" t="s">
        <v>407</v>
      </c>
      <c r="U442" s="4">
        <v>0</v>
      </c>
      <c r="V442" s="4">
        <v>6</v>
      </c>
      <c r="W442" s="4">
        <v>50</v>
      </c>
    </row>
    <row r="443" spans="1:23" ht="11.25" customHeight="1" x14ac:dyDescent="0.25">
      <c r="A443" s="4" t="s">
        <v>21</v>
      </c>
      <c r="B443" s="4" t="s">
        <v>22</v>
      </c>
      <c r="C443" s="4" t="s">
        <v>23</v>
      </c>
      <c r="D443" s="4" t="s">
        <v>24</v>
      </c>
      <c r="E443" s="4" t="s">
        <v>29</v>
      </c>
      <c r="F443" s="4" t="s">
        <v>25</v>
      </c>
      <c r="G443" s="4" t="s">
        <v>25</v>
      </c>
      <c r="H443" s="4" t="s">
        <v>25</v>
      </c>
      <c r="I443" s="5">
        <v>44593</v>
      </c>
      <c r="J443" s="6">
        <v>0</v>
      </c>
      <c r="K443" s="6">
        <v>0</v>
      </c>
      <c r="L443" s="6">
        <v>51.893999999999998</v>
      </c>
      <c r="M443" s="6">
        <v>51.893999999999998</v>
      </c>
      <c r="N443" s="6">
        <v>51.893999999999998</v>
      </c>
      <c r="O443" s="6">
        <v>51.893999999999998</v>
      </c>
      <c r="P443" s="6">
        <v>159</v>
      </c>
      <c r="Q443" s="4" t="s">
        <v>26</v>
      </c>
      <c r="R443" s="4">
        <v>0</v>
      </c>
      <c r="S443" s="4" t="s">
        <v>238</v>
      </c>
      <c r="T443" s="4" t="s">
        <v>408</v>
      </c>
      <c r="U443" s="4">
        <v>0</v>
      </c>
      <c r="V443" s="4">
        <v>6</v>
      </c>
      <c r="W443" s="4">
        <v>50</v>
      </c>
    </row>
    <row r="444" spans="1:23" ht="11.25" customHeight="1" x14ac:dyDescent="0.25">
      <c r="A444" s="4" t="s">
        <v>21</v>
      </c>
      <c r="B444" s="4" t="s">
        <v>22</v>
      </c>
      <c r="C444" s="4" t="s">
        <v>23</v>
      </c>
      <c r="D444" s="4" t="s">
        <v>24</v>
      </c>
      <c r="E444" s="4" t="s">
        <v>29</v>
      </c>
      <c r="F444" s="4" t="s">
        <v>25</v>
      </c>
      <c r="G444" s="4" t="s">
        <v>25</v>
      </c>
      <c r="H444" s="4" t="s">
        <v>25</v>
      </c>
      <c r="I444" s="5">
        <v>44621</v>
      </c>
      <c r="J444" s="6">
        <v>0</v>
      </c>
      <c r="K444" s="6">
        <v>0</v>
      </c>
      <c r="L444" s="6">
        <v>55.418999999999997</v>
      </c>
      <c r="M444" s="6">
        <v>55.418999999999997</v>
      </c>
      <c r="N444" s="6">
        <v>55.418999999999997</v>
      </c>
      <c r="O444" s="6">
        <v>55.418999999999997</v>
      </c>
      <c r="P444" s="6">
        <v>147</v>
      </c>
      <c r="Q444" s="4" t="s">
        <v>26</v>
      </c>
      <c r="R444" s="4">
        <v>0</v>
      </c>
      <c r="S444" s="4" t="s">
        <v>239</v>
      </c>
      <c r="T444" s="4" t="s">
        <v>409</v>
      </c>
      <c r="U444" s="4">
        <v>0</v>
      </c>
      <c r="V444" s="4">
        <v>6</v>
      </c>
      <c r="W444" s="4">
        <v>50</v>
      </c>
    </row>
    <row r="445" spans="1:23" ht="11.25" customHeight="1" x14ac:dyDescent="0.25">
      <c r="A445" s="4" t="s">
        <v>21</v>
      </c>
      <c r="B445" s="4" t="s">
        <v>22</v>
      </c>
      <c r="C445" s="4" t="s">
        <v>23</v>
      </c>
      <c r="D445" s="4" t="s">
        <v>24</v>
      </c>
      <c r="E445" s="4" t="s">
        <v>29</v>
      </c>
      <c r="F445" s="4" t="s">
        <v>25</v>
      </c>
      <c r="G445" s="4" t="s">
        <v>25</v>
      </c>
      <c r="H445" s="4" t="s">
        <v>25</v>
      </c>
      <c r="I445" s="5">
        <v>44652</v>
      </c>
      <c r="J445" s="6">
        <v>0</v>
      </c>
      <c r="K445" s="6">
        <v>0</v>
      </c>
      <c r="L445" s="6">
        <v>53.268999999999998</v>
      </c>
      <c r="M445" s="6">
        <v>53.268999999999998</v>
      </c>
      <c r="N445" s="6">
        <v>53.268999999999998</v>
      </c>
      <c r="O445" s="6">
        <v>53.268999999999998</v>
      </c>
      <c r="P445" s="6">
        <v>244</v>
      </c>
      <c r="Q445" s="4" t="s">
        <v>26</v>
      </c>
      <c r="R445" s="4">
        <v>0</v>
      </c>
      <c r="S445" s="4" t="s">
        <v>240</v>
      </c>
      <c r="T445" s="4" t="s">
        <v>410</v>
      </c>
      <c r="U445" s="4">
        <v>0</v>
      </c>
      <c r="V445" s="4">
        <v>6</v>
      </c>
      <c r="W445" s="4">
        <v>50</v>
      </c>
    </row>
    <row r="446" spans="1:23" ht="11.25" customHeight="1" x14ac:dyDescent="0.25">
      <c r="A446" s="4" t="s">
        <v>21</v>
      </c>
      <c r="B446" s="4" t="s">
        <v>22</v>
      </c>
      <c r="C446" s="4" t="s">
        <v>23</v>
      </c>
      <c r="D446" s="4" t="s">
        <v>24</v>
      </c>
      <c r="E446" s="4" t="s">
        <v>29</v>
      </c>
      <c r="F446" s="4" t="s">
        <v>25</v>
      </c>
      <c r="G446" s="4" t="s">
        <v>25</v>
      </c>
      <c r="H446" s="4" t="s">
        <v>25</v>
      </c>
      <c r="I446" s="5">
        <v>44682</v>
      </c>
      <c r="J446" s="6">
        <v>0</v>
      </c>
      <c r="K446" s="6">
        <v>0</v>
      </c>
      <c r="L446" s="6">
        <v>50.225000000000001</v>
      </c>
      <c r="M446" s="6">
        <v>50.225000000000001</v>
      </c>
      <c r="N446" s="6">
        <v>50.225000000000001</v>
      </c>
      <c r="O446" s="6">
        <v>50.225000000000001</v>
      </c>
      <c r="P446" s="6">
        <v>211</v>
      </c>
      <c r="Q446" s="4" t="s">
        <v>26</v>
      </c>
      <c r="R446" s="4">
        <v>0</v>
      </c>
      <c r="S446" s="4" t="s">
        <v>241</v>
      </c>
      <c r="T446" s="4" t="s">
        <v>411</v>
      </c>
      <c r="U446" s="4">
        <v>0</v>
      </c>
      <c r="V446" s="4">
        <v>6</v>
      </c>
      <c r="W446" s="4">
        <v>50</v>
      </c>
    </row>
    <row r="447" spans="1:23" ht="11.25" customHeight="1" x14ac:dyDescent="0.25">
      <c r="A447" s="4" t="s">
        <v>27</v>
      </c>
      <c r="B447" s="4" t="s">
        <v>22</v>
      </c>
      <c r="C447" s="4" t="s">
        <v>23</v>
      </c>
      <c r="D447" s="4" t="s">
        <v>24</v>
      </c>
      <c r="E447" s="4" t="s">
        <v>29</v>
      </c>
      <c r="F447" s="4" t="s">
        <v>25</v>
      </c>
      <c r="G447" s="4" t="s">
        <v>25</v>
      </c>
      <c r="H447" s="4" t="s">
        <v>25</v>
      </c>
      <c r="I447" s="5">
        <v>44682</v>
      </c>
      <c r="J447" s="6">
        <v>0</v>
      </c>
      <c r="K447" s="6">
        <v>0</v>
      </c>
      <c r="L447" s="6">
        <v>7.0000000000000007E-2</v>
      </c>
      <c r="M447" s="6">
        <v>7.0000000000000007E-2</v>
      </c>
      <c r="N447" s="6">
        <v>7.0000000000000007E-2</v>
      </c>
      <c r="O447" s="6">
        <v>7.0000000000000007E-2</v>
      </c>
      <c r="P447" s="6">
        <v>0</v>
      </c>
      <c r="Q447" s="4" t="s">
        <v>26</v>
      </c>
      <c r="R447" s="4">
        <v>0</v>
      </c>
      <c r="S447" s="4" t="s">
        <v>241</v>
      </c>
      <c r="T447" s="4" t="s">
        <v>411</v>
      </c>
      <c r="U447" s="4">
        <v>0</v>
      </c>
      <c r="V447" s="4">
        <v>6</v>
      </c>
      <c r="W447" s="4">
        <v>50</v>
      </c>
    </row>
    <row r="448" spans="1:23" ht="11.25" customHeight="1" x14ac:dyDescent="0.25">
      <c r="A448" s="4" t="s">
        <v>55</v>
      </c>
      <c r="B448" s="4" t="s">
        <v>22</v>
      </c>
      <c r="C448" s="4" t="s">
        <v>23</v>
      </c>
      <c r="D448" s="4" t="s">
        <v>24</v>
      </c>
      <c r="E448" s="4" t="s">
        <v>29</v>
      </c>
      <c r="F448" s="4" t="s">
        <v>25</v>
      </c>
      <c r="G448" s="4" t="s">
        <v>25</v>
      </c>
      <c r="H448" s="4" t="s">
        <v>25</v>
      </c>
      <c r="I448" s="5">
        <v>44713</v>
      </c>
      <c r="J448" s="6">
        <v>0</v>
      </c>
      <c r="K448" s="6">
        <v>0</v>
      </c>
      <c r="L448" s="6">
        <v>50.225000000000001</v>
      </c>
      <c r="M448" s="6">
        <v>50.225000000000001</v>
      </c>
      <c r="N448" s="6">
        <v>50.225000000000001</v>
      </c>
      <c r="O448" s="6">
        <v>50.225000000000001</v>
      </c>
      <c r="P448" s="6">
        <v>211</v>
      </c>
      <c r="Q448" s="4" t="s">
        <v>26</v>
      </c>
      <c r="R448" s="4">
        <v>0</v>
      </c>
      <c r="S448" s="4" t="s">
        <v>242</v>
      </c>
      <c r="T448" s="4" t="s">
        <v>412</v>
      </c>
      <c r="U448" s="4">
        <v>0</v>
      </c>
      <c r="V448" s="4">
        <v>6</v>
      </c>
      <c r="W448" s="4">
        <v>50</v>
      </c>
    </row>
    <row r="449" spans="1:23" ht="11.25" customHeight="1" x14ac:dyDescent="0.25">
      <c r="A449" s="4" t="s">
        <v>55</v>
      </c>
      <c r="B449" s="4" t="s">
        <v>22</v>
      </c>
      <c r="C449" s="4" t="s">
        <v>23</v>
      </c>
      <c r="D449" s="4" t="s">
        <v>24</v>
      </c>
      <c r="E449" s="4" t="s">
        <v>29</v>
      </c>
      <c r="F449" s="4" t="s">
        <v>25</v>
      </c>
      <c r="G449" s="4" t="s">
        <v>25</v>
      </c>
      <c r="H449" s="4" t="s">
        <v>25</v>
      </c>
      <c r="I449" s="5">
        <v>44713</v>
      </c>
      <c r="J449" s="6">
        <v>0</v>
      </c>
      <c r="K449" s="6">
        <v>0</v>
      </c>
      <c r="L449" s="6">
        <v>7.0000000000000007E-2</v>
      </c>
      <c r="M449" s="6">
        <v>7.0000000000000007E-2</v>
      </c>
      <c r="N449" s="6">
        <v>7.0000000000000007E-2</v>
      </c>
      <c r="O449" s="6">
        <v>7.0000000000000007E-2</v>
      </c>
      <c r="P449" s="6">
        <v>0</v>
      </c>
      <c r="Q449" s="4" t="s">
        <v>26</v>
      </c>
      <c r="R449" s="4">
        <v>0</v>
      </c>
      <c r="S449" s="4" t="s">
        <v>242</v>
      </c>
      <c r="T449" s="4" t="s">
        <v>412</v>
      </c>
      <c r="U449" s="4">
        <v>0</v>
      </c>
      <c r="V449" s="4">
        <v>6</v>
      </c>
      <c r="W449" s="4">
        <v>50</v>
      </c>
    </row>
    <row r="450" spans="1:23" ht="11.25" customHeight="1" x14ac:dyDescent="0.25">
      <c r="A450" s="4" t="s">
        <v>21</v>
      </c>
      <c r="B450" s="4" t="s">
        <v>22</v>
      </c>
      <c r="C450" s="4" t="s">
        <v>23</v>
      </c>
      <c r="D450" s="4" t="s">
        <v>24</v>
      </c>
      <c r="E450" s="4" t="s">
        <v>30</v>
      </c>
      <c r="F450" s="4" t="s">
        <v>25</v>
      </c>
      <c r="G450" s="4" t="s">
        <v>25</v>
      </c>
      <c r="H450" s="4" t="s">
        <v>25</v>
      </c>
      <c r="I450" s="5">
        <v>44378</v>
      </c>
      <c r="J450" s="6">
        <v>0</v>
      </c>
      <c r="K450" s="6">
        <v>0</v>
      </c>
      <c r="L450" s="6">
        <v>30.233000000000001</v>
      </c>
      <c r="M450" s="6">
        <v>30.233000000000001</v>
      </c>
      <c r="N450" s="6">
        <v>30.233000000000001</v>
      </c>
      <c r="O450" s="6">
        <v>30.233000000000001</v>
      </c>
      <c r="P450" s="6">
        <v>328</v>
      </c>
      <c r="Q450" s="4" t="s">
        <v>26</v>
      </c>
      <c r="R450" s="4">
        <v>0</v>
      </c>
      <c r="S450" s="4" t="s">
        <v>243</v>
      </c>
      <c r="T450" s="4" t="s">
        <v>413</v>
      </c>
      <c r="U450" s="4">
        <v>0</v>
      </c>
      <c r="V450" s="4">
        <v>10</v>
      </c>
      <c r="W450" s="4">
        <v>55</v>
      </c>
    </row>
    <row r="451" spans="1:23" ht="11.25" customHeight="1" x14ac:dyDescent="0.25">
      <c r="A451" s="4" t="s">
        <v>21</v>
      </c>
      <c r="B451" s="4" t="s">
        <v>22</v>
      </c>
      <c r="C451" s="4" t="s">
        <v>23</v>
      </c>
      <c r="D451" s="4" t="s">
        <v>24</v>
      </c>
      <c r="E451" s="4" t="s">
        <v>30</v>
      </c>
      <c r="F451" s="4" t="s">
        <v>25</v>
      </c>
      <c r="G451" s="4" t="s">
        <v>25</v>
      </c>
      <c r="H451" s="4" t="s">
        <v>25</v>
      </c>
      <c r="I451" s="5">
        <v>44409</v>
      </c>
      <c r="J451" s="6">
        <v>0</v>
      </c>
      <c r="K451" s="6">
        <v>0</v>
      </c>
      <c r="L451" s="6">
        <v>32.238</v>
      </c>
      <c r="M451" s="6">
        <v>32.238</v>
      </c>
      <c r="N451" s="6">
        <v>32.238</v>
      </c>
      <c r="O451" s="6">
        <v>32.238</v>
      </c>
      <c r="P451" s="6">
        <v>335</v>
      </c>
      <c r="Q451" s="4" t="s">
        <v>26</v>
      </c>
      <c r="R451" s="4">
        <v>0</v>
      </c>
      <c r="S451" s="4" t="s">
        <v>244</v>
      </c>
      <c r="T451" s="4" t="s">
        <v>414</v>
      </c>
      <c r="U451" s="4">
        <v>0</v>
      </c>
      <c r="V451" s="4">
        <v>10</v>
      </c>
      <c r="W451" s="4">
        <v>55</v>
      </c>
    </row>
    <row r="452" spans="1:23" ht="11.25" customHeight="1" x14ac:dyDescent="0.25">
      <c r="A452" s="4" t="s">
        <v>21</v>
      </c>
      <c r="B452" s="4" t="s">
        <v>22</v>
      </c>
      <c r="C452" s="4" t="s">
        <v>23</v>
      </c>
      <c r="D452" s="4" t="s">
        <v>24</v>
      </c>
      <c r="E452" s="4" t="s">
        <v>30</v>
      </c>
      <c r="F452" s="4" t="s">
        <v>25</v>
      </c>
      <c r="G452" s="4" t="s">
        <v>25</v>
      </c>
      <c r="H452" s="4" t="s">
        <v>25</v>
      </c>
      <c r="I452" s="5">
        <v>44440</v>
      </c>
      <c r="J452" s="6">
        <v>0</v>
      </c>
      <c r="K452" s="6">
        <v>0</v>
      </c>
      <c r="L452" s="6">
        <v>31.712</v>
      </c>
      <c r="M452" s="6">
        <v>31.712</v>
      </c>
      <c r="N452" s="6">
        <v>31.712</v>
      </c>
      <c r="O452" s="6">
        <v>31.712</v>
      </c>
      <c r="P452" s="6">
        <v>351</v>
      </c>
      <c r="Q452" s="4" t="s">
        <v>26</v>
      </c>
      <c r="R452" s="4">
        <v>0</v>
      </c>
      <c r="S452" s="4" t="s">
        <v>245</v>
      </c>
      <c r="T452" s="4" t="s">
        <v>415</v>
      </c>
      <c r="U452" s="4">
        <v>0</v>
      </c>
      <c r="V452" s="4">
        <v>10</v>
      </c>
      <c r="W452" s="4">
        <v>55</v>
      </c>
    </row>
    <row r="453" spans="1:23" ht="11.25" customHeight="1" x14ac:dyDescent="0.25">
      <c r="A453" s="4" t="s">
        <v>21</v>
      </c>
      <c r="B453" s="4" t="s">
        <v>22</v>
      </c>
      <c r="C453" s="4" t="s">
        <v>23</v>
      </c>
      <c r="D453" s="4" t="s">
        <v>24</v>
      </c>
      <c r="E453" s="4" t="s">
        <v>30</v>
      </c>
      <c r="F453" s="4" t="s">
        <v>25</v>
      </c>
      <c r="G453" s="4" t="s">
        <v>25</v>
      </c>
      <c r="H453" s="4" t="s">
        <v>25</v>
      </c>
      <c r="I453" s="5">
        <v>44470</v>
      </c>
      <c r="J453" s="6">
        <v>0</v>
      </c>
      <c r="K453" s="6">
        <v>0</v>
      </c>
      <c r="L453" s="6">
        <v>29.334</v>
      </c>
      <c r="M453" s="6">
        <v>29.334</v>
      </c>
      <c r="N453" s="6">
        <v>29.334</v>
      </c>
      <c r="O453" s="6">
        <v>29.334</v>
      </c>
      <c r="P453" s="6">
        <v>354</v>
      </c>
      <c r="Q453" s="4" t="s">
        <v>26</v>
      </c>
      <c r="R453" s="4">
        <v>0</v>
      </c>
      <c r="S453" s="4" t="s">
        <v>246</v>
      </c>
      <c r="T453" s="4" t="s">
        <v>416</v>
      </c>
      <c r="U453" s="4">
        <v>0</v>
      </c>
      <c r="V453" s="4">
        <v>10</v>
      </c>
      <c r="W453" s="4">
        <v>55</v>
      </c>
    </row>
    <row r="454" spans="1:23" ht="11.25" customHeight="1" x14ac:dyDescent="0.25">
      <c r="A454" s="4" t="s">
        <v>21</v>
      </c>
      <c r="B454" s="4" t="s">
        <v>22</v>
      </c>
      <c r="C454" s="4" t="s">
        <v>23</v>
      </c>
      <c r="D454" s="4" t="s">
        <v>24</v>
      </c>
      <c r="E454" s="4" t="s">
        <v>30</v>
      </c>
      <c r="F454" s="4" t="s">
        <v>25</v>
      </c>
      <c r="G454" s="4" t="s">
        <v>25</v>
      </c>
      <c r="H454" s="4" t="s">
        <v>25</v>
      </c>
      <c r="I454" s="5">
        <v>44501</v>
      </c>
      <c r="J454" s="6">
        <v>0</v>
      </c>
      <c r="K454" s="6">
        <v>0</v>
      </c>
      <c r="L454" s="6">
        <v>36.238999999999997</v>
      </c>
      <c r="M454" s="6">
        <v>36.238999999999997</v>
      </c>
      <c r="N454" s="6">
        <v>36.238999999999997</v>
      </c>
      <c r="O454" s="6">
        <v>36.238999999999997</v>
      </c>
      <c r="P454" s="6">
        <v>366</v>
      </c>
      <c r="Q454" s="4" t="s">
        <v>26</v>
      </c>
      <c r="R454" s="4">
        <v>0</v>
      </c>
      <c r="S454" s="4" t="s">
        <v>247</v>
      </c>
      <c r="T454" s="4" t="s">
        <v>417</v>
      </c>
      <c r="U454" s="4">
        <v>0</v>
      </c>
      <c r="V454" s="4">
        <v>10</v>
      </c>
      <c r="W454" s="4">
        <v>55</v>
      </c>
    </row>
    <row r="455" spans="1:23" ht="11.25" customHeight="1" x14ac:dyDescent="0.25">
      <c r="A455" s="4" t="s">
        <v>21</v>
      </c>
      <c r="B455" s="4" t="s">
        <v>22</v>
      </c>
      <c r="C455" s="4" t="s">
        <v>23</v>
      </c>
      <c r="D455" s="4" t="s">
        <v>24</v>
      </c>
      <c r="E455" s="4" t="s">
        <v>30</v>
      </c>
      <c r="F455" s="4" t="s">
        <v>25</v>
      </c>
      <c r="G455" s="4" t="s">
        <v>25</v>
      </c>
      <c r="H455" s="4" t="s">
        <v>25</v>
      </c>
      <c r="I455" s="5">
        <v>44531</v>
      </c>
      <c r="J455" s="6">
        <v>0</v>
      </c>
      <c r="K455" s="6">
        <v>0</v>
      </c>
      <c r="L455" s="6">
        <v>38.335999999999999</v>
      </c>
      <c r="M455" s="6">
        <v>38.335999999999999</v>
      </c>
      <c r="N455" s="6">
        <v>38.335999999999999</v>
      </c>
      <c r="O455" s="6">
        <v>38.335999999999999</v>
      </c>
      <c r="P455" s="6">
        <v>358</v>
      </c>
      <c r="Q455" s="4" t="s">
        <v>26</v>
      </c>
      <c r="R455" s="4">
        <v>0</v>
      </c>
      <c r="S455" s="4" t="s">
        <v>248</v>
      </c>
      <c r="T455" s="4" t="s">
        <v>418</v>
      </c>
      <c r="U455" s="4">
        <v>0</v>
      </c>
      <c r="V455" s="4">
        <v>10</v>
      </c>
      <c r="W455" s="4">
        <v>55</v>
      </c>
    </row>
    <row r="456" spans="1:23" ht="11.25" customHeight="1" x14ac:dyDescent="0.25">
      <c r="A456" s="4" t="s">
        <v>41</v>
      </c>
      <c r="B456" s="4" t="s">
        <v>22</v>
      </c>
      <c r="C456" s="4" t="s">
        <v>23</v>
      </c>
      <c r="D456" s="4" t="s">
        <v>24</v>
      </c>
      <c r="E456" s="4" t="s">
        <v>30</v>
      </c>
      <c r="F456" s="4" t="s">
        <v>25</v>
      </c>
      <c r="G456" s="4" t="s">
        <v>25</v>
      </c>
      <c r="H456" s="4" t="s">
        <v>25</v>
      </c>
      <c r="I456" s="5">
        <v>44531</v>
      </c>
      <c r="J456" s="6">
        <v>0</v>
      </c>
      <c r="K456" s="6">
        <v>0</v>
      </c>
      <c r="L456" s="6">
        <v>0.08</v>
      </c>
      <c r="M456" s="6">
        <v>0.08</v>
      </c>
      <c r="N456" s="6">
        <v>0.08</v>
      </c>
      <c r="O456" s="6">
        <v>0.08</v>
      </c>
      <c r="P456" s="6">
        <v>0</v>
      </c>
      <c r="Q456" s="4" t="s">
        <v>26</v>
      </c>
      <c r="R456" s="4">
        <v>0</v>
      </c>
      <c r="S456" s="4" t="s">
        <v>248</v>
      </c>
      <c r="T456" s="4" t="s">
        <v>418</v>
      </c>
      <c r="U456" s="4">
        <v>0</v>
      </c>
      <c r="V456" s="4">
        <v>10</v>
      </c>
      <c r="W456" s="4">
        <v>55</v>
      </c>
    </row>
    <row r="457" spans="1:23" ht="11.25" customHeight="1" x14ac:dyDescent="0.25">
      <c r="A457" s="4" t="s">
        <v>21</v>
      </c>
      <c r="B457" s="4" t="s">
        <v>22</v>
      </c>
      <c r="C457" s="4" t="s">
        <v>23</v>
      </c>
      <c r="D457" s="4" t="s">
        <v>24</v>
      </c>
      <c r="E457" s="4" t="s">
        <v>30</v>
      </c>
      <c r="F457" s="4" t="s">
        <v>25</v>
      </c>
      <c r="G457" s="4" t="s">
        <v>25</v>
      </c>
      <c r="H457" s="4" t="s">
        <v>25</v>
      </c>
      <c r="I457" s="5">
        <v>44562</v>
      </c>
      <c r="J457" s="6">
        <v>0</v>
      </c>
      <c r="K457" s="6">
        <v>0</v>
      </c>
      <c r="L457" s="6">
        <v>52.743000000000002</v>
      </c>
      <c r="M457" s="6">
        <v>52.743000000000002</v>
      </c>
      <c r="N457" s="6">
        <v>52.743000000000002</v>
      </c>
      <c r="O457" s="6">
        <v>52.743000000000002</v>
      </c>
      <c r="P457" s="6">
        <v>437</v>
      </c>
      <c r="Q457" s="4" t="s">
        <v>26</v>
      </c>
      <c r="R457" s="4">
        <v>0</v>
      </c>
      <c r="S457" s="4" t="s">
        <v>249</v>
      </c>
      <c r="T457" s="4" t="s">
        <v>419</v>
      </c>
      <c r="U457" s="4">
        <v>0</v>
      </c>
      <c r="V457" s="4">
        <v>10</v>
      </c>
      <c r="W457" s="4">
        <v>55</v>
      </c>
    </row>
    <row r="458" spans="1:23" ht="11.25" customHeight="1" x14ac:dyDescent="0.25">
      <c r="A458" s="4" t="s">
        <v>27</v>
      </c>
      <c r="B458" s="4" t="s">
        <v>22</v>
      </c>
      <c r="C458" s="4" t="s">
        <v>23</v>
      </c>
      <c r="D458" s="4" t="s">
        <v>24</v>
      </c>
      <c r="E458" s="4" t="s">
        <v>30</v>
      </c>
      <c r="F458" s="4" t="s">
        <v>25</v>
      </c>
      <c r="G458" s="4" t="s">
        <v>25</v>
      </c>
      <c r="H458" s="4" t="s">
        <v>25</v>
      </c>
      <c r="I458" s="5">
        <v>44562</v>
      </c>
      <c r="J458" s="6">
        <v>0</v>
      </c>
      <c r="K458" s="6">
        <v>0</v>
      </c>
      <c r="L458" s="6">
        <v>0.12</v>
      </c>
      <c r="M458" s="6">
        <v>0.12</v>
      </c>
      <c r="N458" s="6">
        <v>0.12</v>
      </c>
      <c r="O458" s="6">
        <v>0.12</v>
      </c>
      <c r="P458" s="6">
        <v>0</v>
      </c>
      <c r="Q458" s="4" t="s">
        <v>26</v>
      </c>
      <c r="R458" s="4">
        <v>0</v>
      </c>
      <c r="S458" s="4" t="s">
        <v>249</v>
      </c>
      <c r="T458" s="4" t="s">
        <v>419</v>
      </c>
      <c r="U458" s="4">
        <v>0</v>
      </c>
      <c r="V458" s="4">
        <v>10</v>
      </c>
      <c r="W458" s="4">
        <v>55</v>
      </c>
    </row>
    <row r="459" spans="1:23" ht="11.25" customHeight="1" x14ac:dyDescent="0.25">
      <c r="A459" s="4" t="s">
        <v>21</v>
      </c>
      <c r="B459" s="4" t="s">
        <v>22</v>
      </c>
      <c r="C459" s="4" t="s">
        <v>23</v>
      </c>
      <c r="D459" s="4" t="s">
        <v>24</v>
      </c>
      <c r="E459" s="4" t="s">
        <v>30</v>
      </c>
      <c r="F459" s="4" t="s">
        <v>25</v>
      </c>
      <c r="G459" s="4" t="s">
        <v>25</v>
      </c>
      <c r="H459" s="4" t="s">
        <v>25</v>
      </c>
      <c r="I459" s="5">
        <v>44593</v>
      </c>
      <c r="J459" s="6">
        <v>0</v>
      </c>
      <c r="K459" s="6">
        <v>0</v>
      </c>
      <c r="L459" s="6">
        <v>46.892000000000003</v>
      </c>
      <c r="M459" s="6">
        <v>46.892000000000003</v>
      </c>
      <c r="N459" s="6">
        <v>46.892000000000003</v>
      </c>
      <c r="O459" s="6">
        <v>46.892000000000003</v>
      </c>
      <c r="P459" s="6">
        <v>460</v>
      </c>
      <c r="Q459" s="4" t="s">
        <v>26</v>
      </c>
      <c r="R459" s="4">
        <v>0</v>
      </c>
      <c r="S459" s="4" t="s">
        <v>250</v>
      </c>
      <c r="T459" s="4" t="s">
        <v>420</v>
      </c>
      <c r="U459" s="4">
        <v>0</v>
      </c>
      <c r="V459" s="4">
        <v>10</v>
      </c>
      <c r="W459" s="4">
        <v>55</v>
      </c>
    </row>
    <row r="460" spans="1:23" ht="11.25" customHeight="1" x14ac:dyDescent="0.25">
      <c r="A460" s="4" t="s">
        <v>21</v>
      </c>
      <c r="B460" s="4" t="s">
        <v>22</v>
      </c>
      <c r="C460" s="4" t="s">
        <v>23</v>
      </c>
      <c r="D460" s="4" t="s">
        <v>24</v>
      </c>
      <c r="E460" s="4" t="s">
        <v>30</v>
      </c>
      <c r="F460" s="4" t="s">
        <v>25</v>
      </c>
      <c r="G460" s="4" t="s">
        <v>25</v>
      </c>
      <c r="H460" s="4" t="s">
        <v>25</v>
      </c>
      <c r="I460" s="5">
        <v>44621</v>
      </c>
      <c r="J460" s="6">
        <v>0</v>
      </c>
      <c r="K460" s="6">
        <v>0</v>
      </c>
      <c r="L460" s="6">
        <v>57.16</v>
      </c>
      <c r="M460" s="6">
        <v>57.16</v>
      </c>
      <c r="N460" s="6">
        <v>57.16</v>
      </c>
      <c r="O460" s="6">
        <v>57.16</v>
      </c>
      <c r="P460" s="6">
        <v>441</v>
      </c>
      <c r="Q460" s="4" t="s">
        <v>26</v>
      </c>
      <c r="R460" s="4">
        <v>0</v>
      </c>
      <c r="S460" s="4" t="s">
        <v>251</v>
      </c>
      <c r="T460" s="4" t="s">
        <v>421</v>
      </c>
      <c r="U460" s="4">
        <v>0</v>
      </c>
      <c r="V460" s="4">
        <v>10</v>
      </c>
      <c r="W460" s="4">
        <v>55</v>
      </c>
    </row>
    <row r="461" spans="1:23" ht="11.25" customHeight="1" x14ac:dyDescent="0.25">
      <c r="A461" s="4" t="s">
        <v>21</v>
      </c>
      <c r="B461" s="4" t="s">
        <v>22</v>
      </c>
      <c r="C461" s="4" t="s">
        <v>23</v>
      </c>
      <c r="D461" s="4" t="s">
        <v>24</v>
      </c>
      <c r="E461" s="4" t="s">
        <v>30</v>
      </c>
      <c r="F461" s="4" t="s">
        <v>25</v>
      </c>
      <c r="G461" s="4" t="s">
        <v>25</v>
      </c>
      <c r="H461" s="4" t="s">
        <v>25</v>
      </c>
      <c r="I461" s="5">
        <v>44652</v>
      </c>
      <c r="J461" s="6">
        <v>0</v>
      </c>
      <c r="K461" s="6">
        <v>0</v>
      </c>
      <c r="L461" s="6">
        <v>41.701999999999998</v>
      </c>
      <c r="M461" s="6">
        <v>41.701999999999998</v>
      </c>
      <c r="N461" s="6">
        <v>41.701999999999998</v>
      </c>
      <c r="O461" s="6">
        <v>41.701999999999998</v>
      </c>
      <c r="P461" s="6">
        <v>478</v>
      </c>
      <c r="Q461" s="4" t="s">
        <v>26</v>
      </c>
      <c r="R461" s="4">
        <v>0</v>
      </c>
      <c r="S461" s="4" t="s">
        <v>252</v>
      </c>
      <c r="T461" s="4" t="s">
        <v>422</v>
      </c>
      <c r="U461" s="4">
        <v>0</v>
      </c>
      <c r="V461" s="4">
        <v>10</v>
      </c>
      <c r="W461" s="4">
        <v>55</v>
      </c>
    </row>
    <row r="462" spans="1:23" ht="11.25" customHeight="1" x14ac:dyDescent="0.25">
      <c r="A462" s="4" t="s">
        <v>21</v>
      </c>
      <c r="B462" s="4" t="s">
        <v>22</v>
      </c>
      <c r="C462" s="4" t="s">
        <v>23</v>
      </c>
      <c r="D462" s="4" t="s">
        <v>24</v>
      </c>
      <c r="E462" s="4" t="s">
        <v>30</v>
      </c>
      <c r="F462" s="4" t="s">
        <v>25</v>
      </c>
      <c r="G462" s="4" t="s">
        <v>25</v>
      </c>
      <c r="H462" s="4" t="s">
        <v>25</v>
      </c>
      <c r="I462" s="5">
        <v>44682</v>
      </c>
      <c r="J462" s="6">
        <v>0</v>
      </c>
      <c r="K462" s="6">
        <v>0</v>
      </c>
      <c r="L462" s="6">
        <v>41.686999999999998</v>
      </c>
      <c r="M462" s="6">
        <v>41.686999999999998</v>
      </c>
      <c r="N462" s="6">
        <v>41.686999999999998</v>
      </c>
      <c r="O462" s="6">
        <v>41.686999999999998</v>
      </c>
      <c r="P462" s="6">
        <v>437</v>
      </c>
      <c r="Q462" s="4" t="s">
        <v>26</v>
      </c>
      <c r="R462" s="4">
        <v>0</v>
      </c>
      <c r="S462" s="4" t="s">
        <v>253</v>
      </c>
      <c r="T462" s="4" t="s">
        <v>423</v>
      </c>
      <c r="U462" s="4">
        <v>0</v>
      </c>
      <c r="V462" s="4">
        <v>10</v>
      </c>
      <c r="W462" s="4">
        <v>55</v>
      </c>
    </row>
    <row r="463" spans="1:23" ht="11.25" customHeight="1" x14ac:dyDescent="0.25">
      <c r="A463" s="4" t="s">
        <v>27</v>
      </c>
      <c r="B463" s="4" t="s">
        <v>22</v>
      </c>
      <c r="C463" s="4" t="s">
        <v>23</v>
      </c>
      <c r="D463" s="4" t="s">
        <v>24</v>
      </c>
      <c r="E463" s="4" t="s">
        <v>30</v>
      </c>
      <c r="F463" s="4" t="s">
        <v>25</v>
      </c>
      <c r="G463" s="4" t="s">
        <v>25</v>
      </c>
      <c r="H463" s="4" t="s">
        <v>25</v>
      </c>
      <c r="I463" s="5">
        <v>44682</v>
      </c>
      <c r="J463" s="6">
        <v>0</v>
      </c>
      <c r="K463" s="6">
        <v>0</v>
      </c>
      <c r="L463" s="6">
        <v>0.01</v>
      </c>
      <c r="M463" s="6">
        <v>0.01</v>
      </c>
      <c r="N463" s="6">
        <v>0.01</v>
      </c>
      <c r="O463" s="6">
        <v>0.01</v>
      </c>
      <c r="P463" s="6">
        <v>1</v>
      </c>
      <c r="Q463" s="4" t="s">
        <v>26</v>
      </c>
      <c r="R463" s="4">
        <v>0</v>
      </c>
      <c r="S463" s="4" t="s">
        <v>253</v>
      </c>
      <c r="T463" s="4" t="s">
        <v>423</v>
      </c>
      <c r="U463" s="4">
        <v>0</v>
      </c>
      <c r="V463" s="4">
        <v>10</v>
      </c>
      <c r="W463" s="4">
        <v>55</v>
      </c>
    </row>
    <row r="464" spans="1:23" ht="11.25" customHeight="1" x14ac:dyDescent="0.25">
      <c r="A464" s="4" t="s">
        <v>55</v>
      </c>
      <c r="B464" s="4" t="s">
        <v>22</v>
      </c>
      <c r="C464" s="4" t="s">
        <v>23</v>
      </c>
      <c r="D464" s="4" t="s">
        <v>24</v>
      </c>
      <c r="E464" s="4" t="s">
        <v>30</v>
      </c>
      <c r="F464" s="4" t="s">
        <v>25</v>
      </c>
      <c r="G464" s="4" t="s">
        <v>25</v>
      </c>
      <c r="H464" s="4" t="s">
        <v>25</v>
      </c>
      <c r="I464" s="5">
        <v>44713</v>
      </c>
      <c r="J464" s="6">
        <v>0</v>
      </c>
      <c r="K464" s="6">
        <v>0</v>
      </c>
      <c r="L464" s="6">
        <v>41.686999999999998</v>
      </c>
      <c r="M464" s="6">
        <v>41.686999999999998</v>
      </c>
      <c r="N464" s="6">
        <v>41.686999999999998</v>
      </c>
      <c r="O464" s="6">
        <v>41.686999999999998</v>
      </c>
      <c r="P464" s="6">
        <v>437</v>
      </c>
      <c r="Q464" s="4" t="s">
        <v>26</v>
      </c>
      <c r="R464" s="4">
        <v>0</v>
      </c>
      <c r="S464" s="4" t="s">
        <v>254</v>
      </c>
      <c r="T464" s="4" t="s">
        <v>424</v>
      </c>
      <c r="U464" s="4">
        <v>0</v>
      </c>
      <c r="V464" s="4">
        <v>10</v>
      </c>
      <c r="W464" s="4">
        <v>55</v>
      </c>
    </row>
    <row r="465" spans="1:23" ht="11.25" customHeight="1" x14ac:dyDescent="0.25">
      <c r="A465" s="4" t="s">
        <v>55</v>
      </c>
      <c r="B465" s="4" t="s">
        <v>22</v>
      </c>
      <c r="C465" s="4" t="s">
        <v>23</v>
      </c>
      <c r="D465" s="4" t="s">
        <v>24</v>
      </c>
      <c r="E465" s="4" t="s">
        <v>30</v>
      </c>
      <c r="F465" s="4" t="s">
        <v>25</v>
      </c>
      <c r="G465" s="4" t="s">
        <v>25</v>
      </c>
      <c r="H465" s="4" t="s">
        <v>25</v>
      </c>
      <c r="I465" s="5">
        <v>44713</v>
      </c>
      <c r="J465" s="6">
        <v>0</v>
      </c>
      <c r="K465" s="6">
        <v>0</v>
      </c>
      <c r="L465" s="6">
        <v>0.01</v>
      </c>
      <c r="M465" s="6">
        <v>0.01</v>
      </c>
      <c r="N465" s="6">
        <v>0.01</v>
      </c>
      <c r="O465" s="6">
        <v>0.01</v>
      </c>
      <c r="P465" s="6">
        <v>1</v>
      </c>
      <c r="Q465" s="4" t="s">
        <v>26</v>
      </c>
      <c r="R465" s="4">
        <v>0</v>
      </c>
      <c r="S465" s="4" t="s">
        <v>254</v>
      </c>
      <c r="T465" s="4" t="s">
        <v>424</v>
      </c>
      <c r="U465" s="4">
        <v>0</v>
      </c>
      <c r="V465" s="4">
        <v>10</v>
      </c>
      <c r="W465" s="4">
        <v>55</v>
      </c>
    </row>
    <row r="466" spans="1:23" ht="11.25" customHeight="1" x14ac:dyDescent="0.25">
      <c r="A466" s="4" t="s">
        <v>21</v>
      </c>
      <c r="B466" s="4" t="s">
        <v>22</v>
      </c>
      <c r="C466" s="4" t="s">
        <v>23</v>
      </c>
      <c r="D466" s="4" t="s">
        <v>24</v>
      </c>
      <c r="E466" s="4" t="s">
        <v>31</v>
      </c>
      <c r="F466" s="4" t="s">
        <v>25</v>
      </c>
      <c r="G466" s="4" t="s">
        <v>25</v>
      </c>
      <c r="H466" s="4" t="s">
        <v>25</v>
      </c>
      <c r="I466" s="5">
        <v>44378</v>
      </c>
      <c r="J466" s="6">
        <v>0</v>
      </c>
      <c r="K466" s="6">
        <v>0</v>
      </c>
      <c r="L466" s="6">
        <v>7.76</v>
      </c>
      <c r="M466" s="6">
        <v>7.76</v>
      </c>
      <c r="N466" s="6">
        <v>7.76</v>
      </c>
      <c r="O466" s="6">
        <v>7.76</v>
      </c>
      <c r="P466" s="6">
        <v>106</v>
      </c>
      <c r="Q466" s="4" t="s">
        <v>26</v>
      </c>
      <c r="R466" s="4">
        <v>0</v>
      </c>
      <c r="S466" s="4" t="s">
        <v>255</v>
      </c>
      <c r="T466" s="4" t="s">
        <v>425</v>
      </c>
      <c r="U466" s="4">
        <v>0</v>
      </c>
      <c r="V466" s="4">
        <v>20</v>
      </c>
      <c r="W466" s="4">
        <v>39</v>
      </c>
    </row>
    <row r="467" spans="1:23" ht="11.25" customHeight="1" x14ac:dyDescent="0.25">
      <c r="A467" s="4" t="s">
        <v>21</v>
      </c>
      <c r="B467" s="4" t="s">
        <v>22</v>
      </c>
      <c r="C467" s="4" t="s">
        <v>23</v>
      </c>
      <c r="D467" s="4" t="s">
        <v>24</v>
      </c>
      <c r="E467" s="4" t="s">
        <v>31</v>
      </c>
      <c r="F467" s="4" t="s">
        <v>25</v>
      </c>
      <c r="G467" s="4" t="s">
        <v>25</v>
      </c>
      <c r="H467" s="4" t="s">
        <v>25</v>
      </c>
      <c r="I467" s="5">
        <v>44409</v>
      </c>
      <c r="J467" s="6">
        <v>0</v>
      </c>
      <c r="K467" s="6">
        <v>0</v>
      </c>
      <c r="L467" s="6">
        <v>7.2859999999999996</v>
      </c>
      <c r="M467" s="6">
        <v>7.2859999999999996</v>
      </c>
      <c r="N467" s="6">
        <v>7.2859999999999996</v>
      </c>
      <c r="O467" s="6">
        <v>7.2859999999999996</v>
      </c>
      <c r="P467" s="6">
        <v>113</v>
      </c>
      <c r="Q467" s="4" t="s">
        <v>26</v>
      </c>
      <c r="R467" s="4">
        <v>0</v>
      </c>
      <c r="S467" s="4" t="s">
        <v>256</v>
      </c>
      <c r="T467" s="4" t="s">
        <v>426</v>
      </c>
      <c r="U467" s="4">
        <v>0</v>
      </c>
      <c r="V467" s="4">
        <v>20</v>
      </c>
      <c r="W467" s="4">
        <v>39</v>
      </c>
    </row>
    <row r="468" spans="1:23" ht="11.25" customHeight="1" x14ac:dyDescent="0.25">
      <c r="A468" s="4" t="s">
        <v>21</v>
      </c>
      <c r="B468" s="4" t="s">
        <v>22</v>
      </c>
      <c r="C468" s="4" t="s">
        <v>23</v>
      </c>
      <c r="D468" s="4" t="s">
        <v>24</v>
      </c>
      <c r="E468" s="4" t="s">
        <v>31</v>
      </c>
      <c r="F468" s="4" t="s">
        <v>25</v>
      </c>
      <c r="G468" s="4" t="s">
        <v>25</v>
      </c>
      <c r="H468" s="4" t="s">
        <v>25</v>
      </c>
      <c r="I468" s="5">
        <v>44440</v>
      </c>
      <c r="J468" s="6">
        <v>0</v>
      </c>
      <c r="K468" s="6">
        <v>0</v>
      </c>
      <c r="L468" s="6">
        <v>6.76</v>
      </c>
      <c r="M468" s="6">
        <v>6.76</v>
      </c>
      <c r="N468" s="6">
        <v>6.76</v>
      </c>
      <c r="O468" s="6">
        <v>6.76</v>
      </c>
      <c r="P468" s="6">
        <v>105</v>
      </c>
      <c r="Q468" s="4" t="s">
        <v>26</v>
      </c>
      <c r="R468" s="4">
        <v>0</v>
      </c>
      <c r="S468" s="4" t="s">
        <v>257</v>
      </c>
      <c r="T468" s="4" t="s">
        <v>427</v>
      </c>
      <c r="U468" s="4">
        <v>0</v>
      </c>
      <c r="V468" s="4">
        <v>20</v>
      </c>
      <c r="W468" s="4">
        <v>39</v>
      </c>
    </row>
    <row r="469" spans="1:23" ht="11.25" customHeight="1" x14ac:dyDescent="0.25">
      <c r="A469" s="4" t="s">
        <v>21</v>
      </c>
      <c r="B469" s="4" t="s">
        <v>22</v>
      </c>
      <c r="C469" s="4" t="s">
        <v>23</v>
      </c>
      <c r="D469" s="4" t="s">
        <v>24</v>
      </c>
      <c r="E469" s="4" t="s">
        <v>31</v>
      </c>
      <c r="F469" s="4" t="s">
        <v>25</v>
      </c>
      <c r="G469" s="4" t="s">
        <v>25</v>
      </c>
      <c r="H469" s="4" t="s">
        <v>25</v>
      </c>
      <c r="I469" s="5">
        <v>44470</v>
      </c>
      <c r="J469" s="6">
        <v>0</v>
      </c>
      <c r="K469" s="6">
        <v>0</v>
      </c>
      <c r="L469" s="6">
        <v>5.4669999999999996</v>
      </c>
      <c r="M469" s="6">
        <v>5.4669999999999996</v>
      </c>
      <c r="N469" s="6">
        <v>5.4669999999999996</v>
      </c>
      <c r="O469" s="6">
        <v>5.4669999999999996</v>
      </c>
      <c r="P469" s="6">
        <v>89</v>
      </c>
      <c r="Q469" s="4" t="s">
        <v>26</v>
      </c>
      <c r="R469" s="4">
        <v>0</v>
      </c>
      <c r="S469" s="4" t="s">
        <v>258</v>
      </c>
      <c r="T469" s="4" t="s">
        <v>428</v>
      </c>
      <c r="U469" s="4">
        <v>0</v>
      </c>
      <c r="V469" s="4">
        <v>20</v>
      </c>
      <c r="W469" s="4">
        <v>39</v>
      </c>
    </row>
    <row r="470" spans="1:23" ht="11.25" customHeight="1" x14ac:dyDescent="0.25">
      <c r="A470" s="4" t="s">
        <v>21</v>
      </c>
      <c r="B470" s="4" t="s">
        <v>22</v>
      </c>
      <c r="C470" s="4" t="s">
        <v>23</v>
      </c>
      <c r="D470" s="4" t="s">
        <v>24</v>
      </c>
      <c r="E470" s="4" t="s">
        <v>31</v>
      </c>
      <c r="F470" s="4" t="s">
        <v>25</v>
      </c>
      <c r="G470" s="4" t="s">
        <v>25</v>
      </c>
      <c r="H470" s="4" t="s">
        <v>25</v>
      </c>
      <c r="I470" s="5">
        <v>44501</v>
      </c>
      <c r="J470" s="6">
        <v>0</v>
      </c>
      <c r="K470" s="6">
        <v>0</v>
      </c>
      <c r="L470" s="6">
        <v>9.23</v>
      </c>
      <c r="M470" s="6">
        <v>9.23</v>
      </c>
      <c r="N470" s="6">
        <v>9.23</v>
      </c>
      <c r="O470" s="6">
        <v>9.23</v>
      </c>
      <c r="P470" s="6">
        <v>128</v>
      </c>
      <c r="Q470" s="4" t="s">
        <v>26</v>
      </c>
      <c r="R470" s="4">
        <v>0</v>
      </c>
      <c r="S470" s="4" t="s">
        <v>259</v>
      </c>
      <c r="T470" s="4" t="s">
        <v>429</v>
      </c>
      <c r="U470" s="4">
        <v>0</v>
      </c>
      <c r="V470" s="4">
        <v>20</v>
      </c>
      <c r="W470" s="4">
        <v>39</v>
      </c>
    </row>
    <row r="471" spans="1:23" ht="11.25" customHeight="1" x14ac:dyDescent="0.25">
      <c r="A471" s="4" t="s">
        <v>21</v>
      </c>
      <c r="B471" s="4" t="s">
        <v>22</v>
      </c>
      <c r="C471" s="4" t="s">
        <v>23</v>
      </c>
      <c r="D471" s="4" t="s">
        <v>24</v>
      </c>
      <c r="E471" s="4" t="s">
        <v>31</v>
      </c>
      <c r="F471" s="4" t="s">
        <v>25</v>
      </c>
      <c r="G471" s="4" t="s">
        <v>25</v>
      </c>
      <c r="H471" s="4" t="s">
        <v>25</v>
      </c>
      <c r="I471" s="5">
        <v>44531</v>
      </c>
      <c r="J471" s="6">
        <v>0</v>
      </c>
      <c r="K471" s="6">
        <v>0</v>
      </c>
      <c r="L471" s="6">
        <v>12.256</v>
      </c>
      <c r="M471" s="6">
        <v>12.256</v>
      </c>
      <c r="N471" s="6">
        <v>12.256</v>
      </c>
      <c r="O471" s="6">
        <v>12.256</v>
      </c>
      <c r="P471" s="6">
        <v>154</v>
      </c>
      <c r="Q471" s="4" t="s">
        <v>26</v>
      </c>
      <c r="R471" s="4">
        <v>0</v>
      </c>
      <c r="S471" s="4" t="s">
        <v>260</v>
      </c>
      <c r="T471" s="4" t="s">
        <v>430</v>
      </c>
      <c r="U471" s="4">
        <v>0</v>
      </c>
      <c r="V471" s="4">
        <v>20</v>
      </c>
      <c r="W471" s="4">
        <v>39</v>
      </c>
    </row>
    <row r="472" spans="1:23" ht="11.25" customHeight="1" x14ac:dyDescent="0.25">
      <c r="A472" s="4" t="s">
        <v>21</v>
      </c>
      <c r="B472" s="4" t="s">
        <v>22</v>
      </c>
      <c r="C472" s="4" t="s">
        <v>23</v>
      </c>
      <c r="D472" s="4" t="s">
        <v>24</v>
      </c>
      <c r="E472" s="4" t="s">
        <v>31</v>
      </c>
      <c r="F472" s="4" t="s">
        <v>25</v>
      </c>
      <c r="G472" s="4" t="s">
        <v>25</v>
      </c>
      <c r="H472" s="4" t="s">
        <v>25</v>
      </c>
      <c r="I472" s="5">
        <v>44562</v>
      </c>
      <c r="J472" s="6">
        <v>0</v>
      </c>
      <c r="K472" s="6">
        <v>0</v>
      </c>
      <c r="L472" s="6">
        <v>22.824999999999999</v>
      </c>
      <c r="M472" s="6">
        <v>22.824999999999999</v>
      </c>
      <c r="N472" s="6">
        <v>22.824999999999999</v>
      </c>
      <c r="O472" s="6">
        <v>22.824999999999999</v>
      </c>
      <c r="P472" s="6">
        <v>226</v>
      </c>
      <c r="Q472" s="4" t="s">
        <v>26</v>
      </c>
      <c r="R472" s="4">
        <v>0</v>
      </c>
      <c r="S472" s="4" t="s">
        <v>261</v>
      </c>
      <c r="T472" s="4" t="s">
        <v>431</v>
      </c>
      <c r="U472" s="4">
        <v>0</v>
      </c>
      <c r="V472" s="4">
        <v>20</v>
      </c>
      <c r="W472" s="4">
        <v>39</v>
      </c>
    </row>
    <row r="473" spans="1:23" ht="11.25" customHeight="1" x14ac:dyDescent="0.25">
      <c r="A473" s="4" t="s">
        <v>27</v>
      </c>
      <c r="B473" s="4" t="s">
        <v>22</v>
      </c>
      <c r="C473" s="4" t="s">
        <v>23</v>
      </c>
      <c r="D473" s="4" t="s">
        <v>24</v>
      </c>
      <c r="E473" s="4" t="s">
        <v>31</v>
      </c>
      <c r="F473" s="4" t="s">
        <v>25</v>
      </c>
      <c r="G473" s="4" t="s">
        <v>25</v>
      </c>
      <c r="H473" s="4" t="s">
        <v>25</v>
      </c>
      <c r="I473" s="5">
        <v>44562</v>
      </c>
      <c r="J473" s="6">
        <v>0</v>
      </c>
      <c r="K473" s="6">
        <v>0</v>
      </c>
      <c r="L473" s="6">
        <v>0.10299999999999999</v>
      </c>
      <c r="M473" s="6">
        <v>0.10299999999999999</v>
      </c>
      <c r="N473" s="6">
        <v>0.10299999999999999</v>
      </c>
      <c r="O473" s="6">
        <v>0.10299999999999999</v>
      </c>
      <c r="P473" s="6">
        <v>4</v>
      </c>
      <c r="Q473" s="4" t="s">
        <v>26</v>
      </c>
      <c r="R473" s="4">
        <v>0</v>
      </c>
      <c r="S473" s="4" t="s">
        <v>261</v>
      </c>
      <c r="T473" s="4" t="s">
        <v>431</v>
      </c>
      <c r="U473" s="4">
        <v>0</v>
      </c>
      <c r="V473" s="4">
        <v>20</v>
      </c>
      <c r="W473" s="4">
        <v>39</v>
      </c>
    </row>
    <row r="474" spans="1:23" ht="11.25" customHeight="1" x14ac:dyDescent="0.25">
      <c r="A474" s="4" t="s">
        <v>21</v>
      </c>
      <c r="B474" s="4" t="s">
        <v>22</v>
      </c>
      <c r="C474" s="4" t="s">
        <v>23</v>
      </c>
      <c r="D474" s="4" t="s">
        <v>24</v>
      </c>
      <c r="E474" s="4" t="s">
        <v>31</v>
      </c>
      <c r="F474" s="4" t="s">
        <v>25</v>
      </c>
      <c r="G474" s="4" t="s">
        <v>25</v>
      </c>
      <c r="H474" s="4" t="s">
        <v>25</v>
      </c>
      <c r="I474" s="5">
        <v>44593</v>
      </c>
      <c r="J474" s="6">
        <v>0</v>
      </c>
      <c r="K474" s="6">
        <v>0</v>
      </c>
      <c r="L474" s="6">
        <v>16.157</v>
      </c>
      <c r="M474" s="6">
        <v>16.157</v>
      </c>
      <c r="N474" s="6">
        <v>16.157</v>
      </c>
      <c r="O474" s="6">
        <v>16.157</v>
      </c>
      <c r="P474" s="6">
        <v>184</v>
      </c>
      <c r="Q474" s="4" t="s">
        <v>26</v>
      </c>
      <c r="R474" s="4">
        <v>0</v>
      </c>
      <c r="S474" s="4" t="s">
        <v>262</v>
      </c>
      <c r="T474" s="4" t="s">
        <v>432</v>
      </c>
      <c r="U474" s="4">
        <v>0</v>
      </c>
      <c r="V474" s="4">
        <v>20</v>
      </c>
      <c r="W474" s="4">
        <v>39</v>
      </c>
    </row>
    <row r="475" spans="1:23" ht="11.25" customHeight="1" x14ac:dyDescent="0.25">
      <c r="A475" s="4" t="s">
        <v>21</v>
      </c>
      <c r="B475" s="4" t="s">
        <v>22</v>
      </c>
      <c r="C475" s="4" t="s">
        <v>23</v>
      </c>
      <c r="D475" s="4" t="s">
        <v>24</v>
      </c>
      <c r="E475" s="4" t="s">
        <v>31</v>
      </c>
      <c r="F475" s="4" t="s">
        <v>25</v>
      </c>
      <c r="G475" s="4" t="s">
        <v>25</v>
      </c>
      <c r="H475" s="4" t="s">
        <v>25</v>
      </c>
      <c r="I475" s="5">
        <v>44621</v>
      </c>
      <c r="J475" s="6">
        <v>0</v>
      </c>
      <c r="K475" s="6">
        <v>0</v>
      </c>
      <c r="L475" s="6">
        <v>24.401</v>
      </c>
      <c r="M475" s="6">
        <v>24.401</v>
      </c>
      <c r="N475" s="6">
        <v>24.401</v>
      </c>
      <c r="O475" s="6">
        <v>24.401</v>
      </c>
      <c r="P475" s="6">
        <v>255</v>
      </c>
      <c r="Q475" s="4" t="s">
        <v>26</v>
      </c>
      <c r="R475" s="4">
        <v>0</v>
      </c>
      <c r="S475" s="4" t="s">
        <v>263</v>
      </c>
      <c r="T475" s="4" t="s">
        <v>433</v>
      </c>
      <c r="U475" s="4">
        <v>0</v>
      </c>
      <c r="V475" s="4">
        <v>20</v>
      </c>
      <c r="W475" s="4">
        <v>39</v>
      </c>
    </row>
    <row r="476" spans="1:23" ht="11.25" customHeight="1" x14ac:dyDescent="0.25">
      <c r="A476" s="4" t="s">
        <v>21</v>
      </c>
      <c r="B476" s="4" t="s">
        <v>22</v>
      </c>
      <c r="C476" s="4" t="s">
        <v>23</v>
      </c>
      <c r="D476" s="4" t="s">
        <v>24</v>
      </c>
      <c r="E476" s="4" t="s">
        <v>31</v>
      </c>
      <c r="F476" s="4" t="s">
        <v>25</v>
      </c>
      <c r="G476" s="4" t="s">
        <v>25</v>
      </c>
      <c r="H476" s="4" t="s">
        <v>25</v>
      </c>
      <c r="I476" s="5">
        <v>44652</v>
      </c>
      <c r="J476" s="6">
        <v>0</v>
      </c>
      <c r="K476" s="6">
        <v>0</v>
      </c>
      <c r="L476" s="6">
        <v>10.157999999999999</v>
      </c>
      <c r="M476" s="6">
        <v>10.157999999999999</v>
      </c>
      <c r="N476" s="6">
        <v>10.157999999999999</v>
      </c>
      <c r="O476" s="6">
        <v>10.157999999999999</v>
      </c>
      <c r="P476" s="6">
        <v>132</v>
      </c>
      <c r="Q476" s="4" t="s">
        <v>26</v>
      </c>
      <c r="R476" s="4">
        <v>0</v>
      </c>
      <c r="S476" s="4" t="s">
        <v>264</v>
      </c>
      <c r="T476" s="4" t="s">
        <v>434</v>
      </c>
      <c r="U476" s="4">
        <v>0</v>
      </c>
      <c r="V476" s="4">
        <v>20</v>
      </c>
      <c r="W476" s="4">
        <v>39</v>
      </c>
    </row>
    <row r="477" spans="1:23" ht="11.25" customHeight="1" x14ac:dyDescent="0.25">
      <c r="A477" s="4" t="s">
        <v>21</v>
      </c>
      <c r="B477" s="4" t="s">
        <v>22</v>
      </c>
      <c r="C477" s="4" t="s">
        <v>23</v>
      </c>
      <c r="D477" s="4" t="s">
        <v>24</v>
      </c>
      <c r="E477" s="4" t="s">
        <v>31</v>
      </c>
      <c r="F477" s="4" t="s">
        <v>25</v>
      </c>
      <c r="G477" s="4" t="s">
        <v>25</v>
      </c>
      <c r="H477" s="4" t="s">
        <v>25</v>
      </c>
      <c r="I477" s="5">
        <v>44682</v>
      </c>
      <c r="J477" s="6">
        <v>0</v>
      </c>
      <c r="K477" s="6">
        <v>0</v>
      </c>
      <c r="L477" s="6">
        <v>11.754</v>
      </c>
      <c r="M477" s="6">
        <v>11.754</v>
      </c>
      <c r="N477" s="6">
        <v>11.754</v>
      </c>
      <c r="O477" s="6">
        <v>11.754</v>
      </c>
      <c r="P477" s="6">
        <v>152</v>
      </c>
      <c r="Q477" s="4" t="s">
        <v>26</v>
      </c>
      <c r="R477" s="4">
        <v>0</v>
      </c>
      <c r="S477" s="4" t="s">
        <v>265</v>
      </c>
      <c r="T477" s="4" t="s">
        <v>435</v>
      </c>
      <c r="U477" s="4">
        <v>0</v>
      </c>
      <c r="V477" s="4">
        <v>20</v>
      </c>
      <c r="W477" s="4">
        <v>39</v>
      </c>
    </row>
    <row r="478" spans="1:23" ht="11.25" customHeight="1" x14ac:dyDescent="0.25">
      <c r="A478" s="4" t="s">
        <v>55</v>
      </c>
      <c r="B478" s="4" t="s">
        <v>22</v>
      </c>
      <c r="C478" s="4" t="s">
        <v>23</v>
      </c>
      <c r="D478" s="4" t="s">
        <v>24</v>
      </c>
      <c r="E478" s="4" t="s">
        <v>31</v>
      </c>
      <c r="F478" s="4" t="s">
        <v>25</v>
      </c>
      <c r="G478" s="4" t="s">
        <v>25</v>
      </c>
      <c r="H478" s="4" t="s">
        <v>25</v>
      </c>
      <c r="I478" s="5">
        <v>44713</v>
      </c>
      <c r="J478" s="6">
        <v>0</v>
      </c>
      <c r="K478" s="6">
        <v>0</v>
      </c>
      <c r="L478" s="6">
        <v>11.754</v>
      </c>
      <c r="M478" s="6">
        <v>11.754</v>
      </c>
      <c r="N478" s="6">
        <v>11.754</v>
      </c>
      <c r="O478" s="6">
        <v>11.754</v>
      </c>
      <c r="P478" s="6">
        <v>152</v>
      </c>
      <c r="Q478" s="4" t="s">
        <v>26</v>
      </c>
      <c r="R478" s="4">
        <v>0</v>
      </c>
      <c r="S478" s="4" t="s">
        <v>266</v>
      </c>
      <c r="T478" s="4" t="s">
        <v>436</v>
      </c>
      <c r="U478" s="4">
        <v>0</v>
      </c>
      <c r="V478" s="4">
        <v>20</v>
      </c>
      <c r="W478" s="4">
        <v>39</v>
      </c>
    </row>
    <row r="479" spans="1:23" ht="11.25" customHeight="1" x14ac:dyDescent="0.25">
      <c r="A479" s="4" t="s">
        <v>21</v>
      </c>
      <c r="B479" s="4" t="s">
        <v>42</v>
      </c>
      <c r="C479" s="4" t="s">
        <v>23</v>
      </c>
      <c r="D479" s="4" t="s">
        <v>43</v>
      </c>
      <c r="E479" s="4" t="s">
        <v>52</v>
      </c>
      <c r="F479" s="4" t="s">
        <v>53</v>
      </c>
      <c r="G479" s="4" t="s">
        <v>25</v>
      </c>
      <c r="H479" s="4" t="s">
        <v>25</v>
      </c>
      <c r="I479" s="5">
        <v>44378</v>
      </c>
      <c r="J479" s="6">
        <v>0</v>
      </c>
      <c r="K479" s="6">
        <v>0</v>
      </c>
      <c r="L479" s="6">
        <v>0.1</v>
      </c>
      <c r="M479" s="6">
        <v>0.1</v>
      </c>
      <c r="N479" s="6">
        <v>0.1</v>
      </c>
      <c r="O479" s="6">
        <v>0.1</v>
      </c>
      <c r="P479" s="6">
        <v>0</v>
      </c>
      <c r="Q479" s="4" t="s">
        <v>26</v>
      </c>
      <c r="R479" s="4">
        <v>0</v>
      </c>
      <c r="S479" s="4" t="s">
        <v>267</v>
      </c>
      <c r="T479" s="4" t="s">
        <v>437</v>
      </c>
      <c r="U479" s="4">
        <v>0</v>
      </c>
      <c r="V479" s="4">
        <v>32</v>
      </c>
      <c r="W479" s="4">
        <v>56</v>
      </c>
    </row>
    <row r="480" spans="1:23" ht="11.25" customHeight="1" x14ac:dyDescent="0.25">
      <c r="A480" s="4" t="s">
        <v>21</v>
      </c>
      <c r="B480" s="4" t="s">
        <v>42</v>
      </c>
      <c r="C480" s="4" t="s">
        <v>23</v>
      </c>
      <c r="D480" s="4" t="s">
        <v>43</v>
      </c>
      <c r="E480" s="4" t="s">
        <v>52</v>
      </c>
      <c r="F480" s="4" t="s">
        <v>53</v>
      </c>
      <c r="G480" s="4" t="s">
        <v>25</v>
      </c>
      <c r="H480" s="4" t="s">
        <v>25</v>
      </c>
      <c r="I480" s="5">
        <v>44409</v>
      </c>
      <c r="J480" s="6">
        <v>0</v>
      </c>
      <c r="K480" s="6">
        <v>0</v>
      </c>
      <c r="L480" s="6">
        <v>0.1</v>
      </c>
      <c r="M480" s="6">
        <v>0.1</v>
      </c>
      <c r="N480" s="6">
        <v>0.1</v>
      </c>
      <c r="O480" s="6">
        <v>0.1</v>
      </c>
      <c r="P480" s="6">
        <v>0</v>
      </c>
      <c r="Q480" s="4" t="s">
        <v>26</v>
      </c>
      <c r="R480" s="4">
        <v>0</v>
      </c>
      <c r="S480" s="4" t="s">
        <v>268</v>
      </c>
      <c r="T480" s="4" t="s">
        <v>438</v>
      </c>
      <c r="U480" s="4">
        <v>0</v>
      </c>
      <c r="V480" s="4">
        <v>32</v>
      </c>
      <c r="W480" s="4">
        <v>56</v>
      </c>
    </row>
    <row r="481" spans="1:23" ht="11.25" customHeight="1" x14ac:dyDescent="0.25">
      <c r="A481" s="4" t="s">
        <v>21</v>
      </c>
      <c r="B481" s="4" t="s">
        <v>42</v>
      </c>
      <c r="C481" s="4" t="s">
        <v>23</v>
      </c>
      <c r="D481" s="4" t="s">
        <v>43</v>
      </c>
      <c r="E481" s="4" t="s">
        <v>52</v>
      </c>
      <c r="F481" s="4" t="s">
        <v>53</v>
      </c>
      <c r="G481" s="4" t="s">
        <v>25</v>
      </c>
      <c r="H481" s="4" t="s">
        <v>25</v>
      </c>
      <c r="I481" s="5">
        <v>44440</v>
      </c>
      <c r="J481" s="6">
        <v>0</v>
      </c>
      <c r="K481" s="6">
        <v>0</v>
      </c>
      <c r="L481" s="6">
        <v>5.8999999999999997E-2</v>
      </c>
      <c r="M481" s="6">
        <v>5.8999999999999997E-2</v>
      </c>
      <c r="N481" s="6">
        <v>5.8999999999999997E-2</v>
      </c>
      <c r="O481" s="6">
        <v>5.8999999999999997E-2</v>
      </c>
      <c r="P481" s="6">
        <v>0</v>
      </c>
      <c r="Q481" s="4" t="s">
        <v>26</v>
      </c>
      <c r="R481" s="4">
        <v>0</v>
      </c>
      <c r="S481" s="4" t="s">
        <v>269</v>
      </c>
      <c r="T481" s="4" t="s">
        <v>439</v>
      </c>
      <c r="U481" s="4">
        <v>0</v>
      </c>
      <c r="V481" s="4">
        <v>32</v>
      </c>
      <c r="W481" s="4">
        <v>56</v>
      </c>
    </row>
    <row r="482" spans="1:23" ht="11.25" customHeight="1" x14ac:dyDescent="0.25">
      <c r="A482" s="4" t="s">
        <v>21</v>
      </c>
      <c r="B482" s="4" t="s">
        <v>42</v>
      </c>
      <c r="C482" s="4" t="s">
        <v>23</v>
      </c>
      <c r="D482" s="4" t="s">
        <v>43</v>
      </c>
      <c r="E482" s="4" t="s">
        <v>52</v>
      </c>
      <c r="F482" s="4" t="s">
        <v>53</v>
      </c>
      <c r="G482" s="4" t="s">
        <v>25</v>
      </c>
      <c r="H482" s="4" t="s">
        <v>25</v>
      </c>
      <c r="I482" s="5">
        <v>44470</v>
      </c>
      <c r="J482" s="6">
        <v>0</v>
      </c>
      <c r="K482" s="6">
        <v>0</v>
      </c>
      <c r="L482" s="6">
        <v>5.8999999999999997E-2</v>
      </c>
      <c r="M482" s="6">
        <v>5.8999999999999997E-2</v>
      </c>
      <c r="N482" s="6">
        <v>5.8999999999999997E-2</v>
      </c>
      <c r="O482" s="6">
        <v>5.8999999999999997E-2</v>
      </c>
      <c r="P482" s="6">
        <v>0</v>
      </c>
      <c r="Q482" s="4" t="s">
        <v>26</v>
      </c>
      <c r="R482" s="4">
        <v>0</v>
      </c>
      <c r="S482" s="4" t="s">
        <v>270</v>
      </c>
      <c r="T482" s="4" t="s">
        <v>440</v>
      </c>
      <c r="U482" s="4">
        <v>0</v>
      </c>
      <c r="V482" s="4">
        <v>32</v>
      </c>
      <c r="W482" s="4">
        <v>56</v>
      </c>
    </row>
    <row r="483" spans="1:23" ht="11.25" customHeight="1" x14ac:dyDescent="0.25">
      <c r="A483" s="4" t="s">
        <v>21</v>
      </c>
      <c r="B483" s="4" t="s">
        <v>42</v>
      </c>
      <c r="C483" s="4" t="s">
        <v>23</v>
      </c>
      <c r="D483" s="4" t="s">
        <v>43</v>
      </c>
      <c r="E483" s="4" t="s">
        <v>52</v>
      </c>
      <c r="F483" s="4" t="s">
        <v>53</v>
      </c>
      <c r="G483" s="4" t="s">
        <v>25</v>
      </c>
      <c r="H483" s="4" t="s">
        <v>25</v>
      </c>
      <c r="I483" s="5">
        <v>44501</v>
      </c>
      <c r="J483" s="6">
        <v>0</v>
      </c>
      <c r="K483" s="6">
        <v>0</v>
      </c>
      <c r="L483" s="6">
        <v>1.649</v>
      </c>
      <c r="M483" s="6">
        <v>1.649</v>
      </c>
      <c r="N483" s="6">
        <v>1.649</v>
      </c>
      <c r="O483" s="6">
        <v>1.649</v>
      </c>
      <c r="P483" s="6">
        <v>0</v>
      </c>
      <c r="Q483" s="4" t="s">
        <v>26</v>
      </c>
      <c r="R483" s="4">
        <v>0</v>
      </c>
      <c r="S483" s="4" t="s">
        <v>271</v>
      </c>
      <c r="T483" s="4" t="s">
        <v>441</v>
      </c>
      <c r="U483" s="4">
        <v>0</v>
      </c>
      <c r="V483" s="4">
        <v>32</v>
      </c>
      <c r="W483" s="4">
        <v>56</v>
      </c>
    </row>
    <row r="484" spans="1:23" ht="11.25" customHeight="1" x14ac:dyDescent="0.25">
      <c r="A484" s="4" t="s">
        <v>21</v>
      </c>
      <c r="B484" s="4" t="s">
        <v>42</v>
      </c>
      <c r="C484" s="4" t="s">
        <v>23</v>
      </c>
      <c r="D484" s="4" t="s">
        <v>43</v>
      </c>
      <c r="E484" s="4" t="s">
        <v>52</v>
      </c>
      <c r="F484" s="4" t="s">
        <v>53</v>
      </c>
      <c r="G484" s="4" t="s">
        <v>25</v>
      </c>
      <c r="H484" s="4" t="s">
        <v>25</v>
      </c>
      <c r="I484" s="5">
        <v>44531</v>
      </c>
      <c r="J484" s="6">
        <v>0</v>
      </c>
      <c r="K484" s="6">
        <v>0</v>
      </c>
      <c r="L484" s="6">
        <v>1.54</v>
      </c>
      <c r="M484" s="6">
        <v>1.54</v>
      </c>
      <c r="N484" s="6">
        <v>1.54</v>
      </c>
      <c r="O484" s="6">
        <v>1.54</v>
      </c>
      <c r="P484" s="6">
        <v>0</v>
      </c>
      <c r="Q484" s="4" t="s">
        <v>26</v>
      </c>
      <c r="R484" s="4">
        <v>0</v>
      </c>
      <c r="S484" s="4" t="s">
        <v>272</v>
      </c>
      <c r="T484" s="4" t="s">
        <v>442</v>
      </c>
      <c r="U484" s="4">
        <v>0</v>
      </c>
      <c r="V484" s="4">
        <v>32</v>
      </c>
      <c r="W484" s="4">
        <v>56</v>
      </c>
    </row>
    <row r="485" spans="1:23" ht="11.25" customHeight="1" x14ac:dyDescent="0.25">
      <c r="A485" s="4" t="s">
        <v>21</v>
      </c>
      <c r="B485" s="4" t="s">
        <v>42</v>
      </c>
      <c r="C485" s="4" t="s">
        <v>23</v>
      </c>
      <c r="D485" s="4" t="s">
        <v>43</v>
      </c>
      <c r="E485" s="4" t="s">
        <v>52</v>
      </c>
      <c r="F485" s="4" t="s">
        <v>53</v>
      </c>
      <c r="G485" s="4" t="s">
        <v>25</v>
      </c>
      <c r="H485" s="4" t="s">
        <v>25</v>
      </c>
      <c r="I485" s="5">
        <v>44562</v>
      </c>
      <c r="J485" s="6">
        <v>0</v>
      </c>
      <c r="K485" s="6">
        <v>0</v>
      </c>
      <c r="L485" s="6">
        <v>2.0259999999999998</v>
      </c>
      <c r="M485" s="6">
        <v>2.0259999999999998</v>
      </c>
      <c r="N485" s="6">
        <v>2.0259999999999998</v>
      </c>
      <c r="O485" s="6">
        <v>2.0259999999999998</v>
      </c>
      <c r="P485" s="6">
        <v>0</v>
      </c>
      <c r="Q485" s="4" t="s">
        <v>26</v>
      </c>
      <c r="R485" s="4">
        <v>0</v>
      </c>
      <c r="S485" s="4" t="s">
        <v>273</v>
      </c>
      <c r="T485" s="4" t="s">
        <v>443</v>
      </c>
      <c r="U485" s="4">
        <v>0</v>
      </c>
      <c r="V485" s="4">
        <v>32</v>
      </c>
      <c r="W485" s="4">
        <v>56</v>
      </c>
    </row>
    <row r="486" spans="1:23" ht="11.25" customHeight="1" x14ac:dyDescent="0.25">
      <c r="A486" s="4" t="s">
        <v>21</v>
      </c>
      <c r="B486" s="4" t="s">
        <v>42</v>
      </c>
      <c r="C486" s="4" t="s">
        <v>23</v>
      </c>
      <c r="D486" s="4" t="s">
        <v>43</v>
      </c>
      <c r="E486" s="4" t="s">
        <v>52</v>
      </c>
      <c r="F486" s="4" t="s">
        <v>53</v>
      </c>
      <c r="G486" s="4" t="s">
        <v>25</v>
      </c>
      <c r="H486" s="4" t="s">
        <v>25</v>
      </c>
      <c r="I486" s="5">
        <v>44593</v>
      </c>
      <c r="J486" s="6">
        <v>0</v>
      </c>
      <c r="K486" s="6">
        <v>0</v>
      </c>
      <c r="L486" s="6">
        <v>0.251</v>
      </c>
      <c r="M486" s="6">
        <v>0.251</v>
      </c>
      <c r="N486" s="6">
        <v>0.251</v>
      </c>
      <c r="O486" s="6">
        <v>0.251</v>
      </c>
      <c r="P486" s="6">
        <v>0</v>
      </c>
      <c r="Q486" s="4" t="s">
        <v>26</v>
      </c>
      <c r="R486" s="4">
        <v>0</v>
      </c>
      <c r="S486" s="4" t="s">
        <v>274</v>
      </c>
      <c r="T486" s="4" t="s">
        <v>444</v>
      </c>
      <c r="U486" s="4">
        <v>0</v>
      </c>
      <c r="V486" s="4">
        <v>32</v>
      </c>
      <c r="W486" s="4">
        <v>56</v>
      </c>
    </row>
    <row r="487" spans="1:23" ht="11.25" customHeight="1" x14ac:dyDescent="0.25">
      <c r="A487" s="4" t="s">
        <v>21</v>
      </c>
      <c r="B487" s="4" t="s">
        <v>42</v>
      </c>
      <c r="C487" s="4" t="s">
        <v>23</v>
      </c>
      <c r="D487" s="4" t="s">
        <v>43</v>
      </c>
      <c r="E487" s="4" t="s">
        <v>52</v>
      </c>
      <c r="F487" s="4" t="s">
        <v>53</v>
      </c>
      <c r="G487" s="4" t="s">
        <v>25</v>
      </c>
      <c r="H487" s="4" t="s">
        <v>25</v>
      </c>
      <c r="I487" s="5">
        <v>44621</v>
      </c>
      <c r="J487" s="6">
        <v>0</v>
      </c>
      <c r="K487" s="6">
        <v>0</v>
      </c>
      <c r="L487" s="6">
        <v>0.1</v>
      </c>
      <c r="M487" s="6">
        <v>0.1</v>
      </c>
      <c r="N487" s="6">
        <v>0.1</v>
      </c>
      <c r="O487" s="6">
        <v>0.1</v>
      </c>
      <c r="P487" s="6">
        <v>0</v>
      </c>
      <c r="Q487" s="4" t="s">
        <v>26</v>
      </c>
      <c r="R487" s="4">
        <v>0</v>
      </c>
      <c r="S487" s="4" t="s">
        <v>275</v>
      </c>
      <c r="T487" s="4" t="s">
        <v>445</v>
      </c>
      <c r="U487" s="4">
        <v>0</v>
      </c>
      <c r="V487" s="4">
        <v>32</v>
      </c>
      <c r="W487" s="4">
        <v>56</v>
      </c>
    </row>
    <row r="488" spans="1:23" ht="11.25" customHeight="1" x14ac:dyDescent="0.25">
      <c r="A488" s="4" t="s">
        <v>21</v>
      </c>
      <c r="B488" s="4" t="s">
        <v>42</v>
      </c>
      <c r="C488" s="4" t="s">
        <v>23</v>
      </c>
      <c r="D488" s="4" t="s">
        <v>43</v>
      </c>
      <c r="E488" s="4" t="s">
        <v>52</v>
      </c>
      <c r="F488" s="4" t="s">
        <v>53</v>
      </c>
      <c r="G488" s="4" t="s">
        <v>25</v>
      </c>
      <c r="H488" s="4" t="s">
        <v>25</v>
      </c>
      <c r="I488" s="5">
        <v>44652</v>
      </c>
      <c r="J488" s="6">
        <v>0</v>
      </c>
      <c r="K488" s="6">
        <v>0</v>
      </c>
      <c r="L488" s="6">
        <v>0.1</v>
      </c>
      <c r="M488" s="6">
        <v>0.1</v>
      </c>
      <c r="N488" s="6">
        <v>0.1</v>
      </c>
      <c r="O488" s="6">
        <v>0.1</v>
      </c>
      <c r="P488" s="6">
        <v>0</v>
      </c>
      <c r="Q488" s="4" t="s">
        <v>26</v>
      </c>
      <c r="R488" s="4">
        <v>0</v>
      </c>
      <c r="S488" s="4" t="s">
        <v>276</v>
      </c>
      <c r="T488" s="4" t="s">
        <v>446</v>
      </c>
      <c r="U488" s="4">
        <v>0</v>
      </c>
      <c r="V488" s="4">
        <v>32</v>
      </c>
      <c r="W488" s="4">
        <v>56</v>
      </c>
    </row>
    <row r="489" spans="1:23" ht="11.25" customHeight="1" x14ac:dyDescent="0.25">
      <c r="A489" s="4" t="s">
        <v>21</v>
      </c>
      <c r="B489" s="4" t="s">
        <v>42</v>
      </c>
      <c r="C489" s="4" t="s">
        <v>23</v>
      </c>
      <c r="D489" s="4" t="s">
        <v>43</v>
      </c>
      <c r="E489" s="4" t="s">
        <v>52</v>
      </c>
      <c r="F489" s="4" t="s">
        <v>53</v>
      </c>
      <c r="G489" s="4" t="s">
        <v>25</v>
      </c>
      <c r="H489" s="4" t="s">
        <v>25</v>
      </c>
      <c r="I489" s="5">
        <v>44682</v>
      </c>
      <c r="J489" s="6">
        <v>0</v>
      </c>
      <c r="K489" s="6">
        <v>0</v>
      </c>
      <c r="L489" s="6">
        <v>5.8999999999999997E-2</v>
      </c>
      <c r="M489" s="6">
        <v>5.8999999999999997E-2</v>
      </c>
      <c r="N489" s="6">
        <v>5.8999999999999997E-2</v>
      </c>
      <c r="O489" s="6">
        <v>5.8999999999999997E-2</v>
      </c>
      <c r="P489" s="6">
        <v>0</v>
      </c>
      <c r="Q489" s="4" t="s">
        <v>26</v>
      </c>
      <c r="R489" s="4">
        <v>0</v>
      </c>
      <c r="S489" s="4" t="s">
        <v>277</v>
      </c>
      <c r="T489" s="4" t="s">
        <v>447</v>
      </c>
      <c r="U489" s="4">
        <v>0</v>
      </c>
      <c r="V489" s="4">
        <v>32</v>
      </c>
      <c r="W489" s="4">
        <v>56</v>
      </c>
    </row>
    <row r="490" spans="1:23" ht="11.25" customHeight="1" x14ac:dyDescent="0.25">
      <c r="A490" s="4" t="s">
        <v>55</v>
      </c>
      <c r="B490" s="4" t="s">
        <v>42</v>
      </c>
      <c r="C490" s="4" t="s">
        <v>23</v>
      </c>
      <c r="D490" s="4" t="s">
        <v>43</v>
      </c>
      <c r="E490" s="4" t="s">
        <v>52</v>
      </c>
      <c r="F490" s="4" t="s">
        <v>53</v>
      </c>
      <c r="G490" s="4" t="s">
        <v>25</v>
      </c>
      <c r="H490" s="4" t="s">
        <v>25</v>
      </c>
      <c r="I490" s="5">
        <v>44713</v>
      </c>
      <c r="J490" s="6">
        <v>0</v>
      </c>
      <c r="K490" s="6">
        <v>0</v>
      </c>
      <c r="L490" s="6">
        <v>5.8999999999999997E-2</v>
      </c>
      <c r="M490" s="6">
        <v>5.8999999999999997E-2</v>
      </c>
      <c r="N490" s="6">
        <v>5.8999999999999997E-2</v>
      </c>
      <c r="O490" s="6">
        <v>5.8999999999999997E-2</v>
      </c>
      <c r="P490" s="6">
        <v>0</v>
      </c>
      <c r="Q490" s="4" t="s">
        <v>26</v>
      </c>
      <c r="R490" s="4">
        <v>0</v>
      </c>
      <c r="S490" s="4" t="s">
        <v>278</v>
      </c>
      <c r="T490" s="4" t="s">
        <v>448</v>
      </c>
      <c r="U490" s="4">
        <v>0</v>
      </c>
      <c r="V490" s="4">
        <v>32</v>
      </c>
      <c r="W490" s="4">
        <v>56</v>
      </c>
    </row>
    <row r="491" spans="1:23" ht="11.25" customHeight="1" x14ac:dyDescent="0.25">
      <c r="A491" s="4" t="s">
        <v>21</v>
      </c>
      <c r="B491" s="4" t="s">
        <v>42</v>
      </c>
      <c r="C491" s="4" t="s">
        <v>23</v>
      </c>
      <c r="D491" s="4" t="s">
        <v>43</v>
      </c>
      <c r="E491" s="4" t="s">
        <v>52</v>
      </c>
      <c r="F491" s="4" t="s">
        <v>54</v>
      </c>
      <c r="G491" s="4" t="s">
        <v>25</v>
      </c>
      <c r="H491" s="4" t="s">
        <v>25</v>
      </c>
      <c r="I491" s="5">
        <v>44440</v>
      </c>
      <c r="J491" s="6">
        <v>0</v>
      </c>
      <c r="K491" s="6">
        <v>0</v>
      </c>
      <c r="L491" s="6">
        <v>4.1000000000000002E-2</v>
      </c>
      <c r="M491" s="6">
        <v>1.6400000000000001E-2</v>
      </c>
      <c r="N491" s="6">
        <v>4.1000000000000002E-2</v>
      </c>
      <c r="O491" s="6">
        <v>1.6400000000000001E-2</v>
      </c>
      <c r="P491" s="6">
        <v>0</v>
      </c>
      <c r="Q491" s="4" t="s">
        <v>26</v>
      </c>
      <c r="R491" s="4">
        <v>0</v>
      </c>
      <c r="S491" s="4" t="s">
        <v>269</v>
      </c>
      <c r="T491" s="4" t="s">
        <v>439</v>
      </c>
      <c r="U491" s="4">
        <v>0</v>
      </c>
      <c r="V491" s="4">
        <v>32</v>
      </c>
      <c r="W491" s="4">
        <v>56</v>
      </c>
    </row>
    <row r="492" spans="1:23" ht="11.25" customHeight="1" x14ac:dyDescent="0.25">
      <c r="A492" s="4" t="s">
        <v>21</v>
      </c>
      <c r="B492" s="4" t="s">
        <v>42</v>
      </c>
      <c r="C492" s="4" t="s">
        <v>23</v>
      </c>
      <c r="D492" s="4" t="s">
        <v>43</v>
      </c>
      <c r="E492" s="4" t="s">
        <v>52</v>
      </c>
      <c r="F492" s="4" t="s">
        <v>54</v>
      </c>
      <c r="G492" s="4" t="s">
        <v>25</v>
      </c>
      <c r="H492" s="4" t="s">
        <v>25</v>
      </c>
      <c r="I492" s="5">
        <v>44470</v>
      </c>
      <c r="J492" s="6">
        <v>0</v>
      </c>
      <c r="K492" s="6">
        <v>0</v>
      </c>
      <c r="L492" s="6">
        <v>4.1000000000000002E-2</v>
      </c>
      <c r="M492" s="6">
        <v>1.6400000000000001E-2</v>
      </c>
      <c r="N492" s="6">
        <v>4.1000000000000002E-2</v>
      </c>
      <c r="O492" s="6">
        <v>1.6400000000000001E-2</v>
      </c>
      <c r="P492" s="6">
        <v>0</v>
      </c>
      <c r="Q492" s="4" t="s">
        <v>26</v>
      </c>
      <c r="R492" s="4">
        <v>0</v>
      </c>
      <c r="S492" s="4" t="s">
        <v>270</v>
      </c>
      <c r="T492" s="4" t="s">
        <v>440</v>
      </c>
      <c r="U492" s="4">
        <v>0</v>
      </c>
      <c r="V492" s="4">
        <v>32</v>
      </c>
      <c r="W492" s="4">
        <v>56</v>
      </c>
    </row>
    <row r="493" spans="1:23" ht="11.25" customHeight="1" x14ac:dyDescent="0.25">
      <c r="A493" s="4" t="s">
        <v>21</v>
      </c>
      <c r="B493" s="4" t="s">
        <v>42</v>
      </c>
      <c r="C493" s="4" t="s">
        <v>23</v>
      </c>
      <c r="D493" s="4" t="s">
        <v>43</v>
      </c>
      <c r="E493" s="4" t="s">
        <v>52</v>
      </c>
      <c r="F493" s="4" t="s">
        <v>54</v>
      </c>
      <c r="G493" s="4" t="s">
        <v>25</v>
      </c>
      <c r="H493" s="4" t="s">
        <v>25</v>
      </c>
      <c r="I493" s="5">
        <v>44501</v>
      </c>
      <c r="J493" s="6">
        <v>0</v>
      </c>
      <c r="K493" s="6">
        <v>0</v>
      </c>
      <c r="L493" s="6">
        <v>1.1890000000000001</v>
      </c>
      <c r="M493" s="6">
        <v>0.47560000000000002</v>
      </c>
      <c r="N493" s="6">
        <v>1.1890000000000001</v>
      </c>
      <c r="O493" s="6">
        <v>0.47560000000000002</v>
      </c>
      <c r="P493" s="6">
        <v>0</v>
      </c>
      <c r="Q493" s="4" t="s">
        <v>26</v>
      </c>
      <c r="R493" s="4">
        <v>0</v>
      </c>
      <c r="S493" s="4" t="s">
        <v>271</v>
      </c>
      <c r="T493" s="4" t="s">
        <v>441</v>
      </c>
      <c r="U493" s="4">
        <v>0</v>
      </c>
      <c r="V493" s="4">
        <v>32</v>
      </c>
      <c r="W493" s="4">
        <v>56</v>
      </c>
    </row>
    <row r="494" spans="1:23" ht="11.25" customHeight="1" x14ac:dyDescent="0.25">
      <c r="A494" s="4" t="s">
        <v>21</v>
      </c>
      <c r="B494" s="4" t="s">
        <v>42</v>
      </c>
      <c r="C494" s="4" t="s">
        <v>23</v>
      </c>
      <c r="D494" s="4" t="s">
        <v>43</v>
      </c>
      <c r="E494" s="4" t="s">
        <v>52</v>
      </c>
      <c r="F494" s="4" t="s">
        <v>54</v>
      </c>
      <c r="G494" s="4" t="s">
        <v>25</v>
      </c>
      <c r="H494" s="4" t="s">
        <v>25</v>
      </c>
      <c r="I494" s="5">
        <v>44531</v>
      </c>
      <c r="J494" s="6">
        <v>0</v>
      </c>
      <c r="K494" s="6">
        <v>0</v>
      </c>
      <c r="L494" s="6">
        <v>1.8859999999999999</v>
      </c>
      <c r="M494" s="6">
        <v>0.75439999999999996</v>
      </c>
      <c r="N494" s="6">
        <v>1.8859999999999999</v>
      </c>
      <c r="O494" s="6">
        <v>0.75439999999999996</v>
      </c>
      <c r="P494" s="6">
        <v>0</v>
      </c>
      <c r="Q494" s="4" t="s">
        <v>26</v>
      </c>
      <c r="R494" s="4">
        <v>0</v>
      </c>
      <c r="S494" s="4" t="s">
        <v>272</v>
      </c>
      <c r="T494" s="4" t="s">
        <v>442</v>
      </c>
      <c r="U494" s="4">
        <v>0</v>
      </c>
      <c r="V494" s="4">
        <v>32</v>
      </c>
      <c r="W494" s="4">
        <v>56</v>
      </c>
    </row>
    <row r="495" spans="1:23" ht="11.25" customHeight="1" x14ac:dyDescent="0.25">
      <c r="A495" s="4" t="s">
        <v>21</v>
      </c>
      <c r="B495" s="4" t="s">
        <v>42</v>
      </c>
      <c r="C495" s="4" t="s">
        <v>23</v>
      </c>
      <c r="D495" s="4" t="s">
        <v>43</v>
      </c>
      <c r="E495" s="4" t="s">
        <v>52</v>
      </c>
      <c r="F495" s="4" t="s">
        <v>54</v>
      </c>
      <c r="G495" s="4" t="s">
        <v>25</v>
      </c>
      <c r="H495" s="4" t="s">
        <v>25</v>
      </c>
      <c r="I495" s="5">
        <v>44562</v>
      </c>
      <c r="J495" s="6">
        <v>0</v>
      </c>
      <c r="K495" s="6">
        <v>0</v>
      </c>
      <c r="L495" s="6">
        <v>1.927</v>
      </c>
      <c r="M495" s="6">
        <v>0.77080000000000004</v>
      </c>
      <c r="N495" s="6">
        <v>1.927</v>
      </c>
      <c r="O495" s="6">
        <v>0.77080000000000004</v>
      </c>
      <c r="P495" s="6">
        <v>0</v>
      </c>
      <c r="Q495" s="4" t="s">
        <v>26</v>
      </c>
      <c r="R495" s="4">
        <v>0</v>
      </c>
      <c r="S495" s="4" t="s">
        <v>273</v>
      </c>
      <c r="T495" s="4" t="s">
        <v>443</v>
      </c>
      <c r="U495" s="4">
        <v>0</v>
      </c>
      <c r="V495" s="4">
        <v>32</v>
      </c>
      <c r="W495" s="4">
        <v>56</v>
      </c>
    </row>
    <row r="496" spans="1:23" ht="11.25" customHeight="1" x14ac:dyDescent="0.25">
      <c r="A496" s="4" t="s">
        <v>21</v>
      </c>
      <c r="B496" s="4" t="s">
        <v>42</v>
      </c>
      <c r="C496" s="4" t="s">
        <v>23</v>
      </c>
      <c r="D496" s="4" t="s">
        <v>43</v>
      </c>
      <c r="E496" s="4" t="s">
        <v>52</v>
      </c>
      <c r="F496" s="4" t="s">
        <v>54</v>
      </c>
      <c r="G496" s="4" t="s">
        <v>25</v>
      </c>
      <c r="H496" s="4" t="s">
        <v>25</v>
      </c>
      <c r="I496" s="5">
        <v>44682</v>
      </c>
      <c r="J496" s="6">
        <v>0</v>
      </c>
      <c r="K496" s="6">
        <v>0</v>
      </c>
      <c r="L496" s="6">
        <v>4.1000000000000002E-2</v>
      </c>
      <c r="M496" s="6">
        <v>1.6400000000000001E-2</v>
      </c>
      <c r="N496" s="6">
        <v>4.1000000000000002E-2</v>
      </c>
      <c r="O496" s="6">
        <v>1.6400000000000001E-2</v>
      </c>
      <c r="P496" s="6">
        <v>0</v>
      </c>
      <c r="Q496" s="4" t="s">
        <v>26</v>
      </c>
      <c r="R496" s="4">
        <v>0</v>
      </c>
      <c r="S496" s="4" t="s">
        <v>277</v>
      </c>
      <c r="T496" s="4" t="s">
        <v>447</v>
      </c>
      <c r="U496" s="4">
        <v>0</v>
      </c>
      <c r="V496" s="4">
        <v>32</v>
      </c>
      <c r="W496" s="4">
        <v>56</v>
      </c>
    </row>
    <row r="497" spans="1:23" ht="11.25" customHeight="1" x14ac:dyDescent="0.25">
      <c r="A497" s="4" t="s">
        <v>55</v>
      </c>
      <c r="B497" s="4" t="s">
        <v>42</v>
      </c>
      <c r="C497" s="4" t="s">
        <v>23</v>
      </c>
      <c r="D497" s="4" t="s">
        <v>43</v>
      </c>
      <c r="E497" s="4" t="s">
        <v>52</v>
      </c>
      <c r="F497" s="4" t="s">
        <v>54</v>
      </c>
      <c r="G497" s="4" t="s">
        <v>25</v>
      </c>
      <c r="H497" s="4" t="s">
        <v>25</v>
      </c>
      <c r="I497" s="5">
        <v>44713</v>
      </c>
      <c r="J497" s="6">
        <v>0</v>
      </c>
      <c r="K497" s="6">
        <v>0</v>
      </c>
      <c r="L497" s="6">
        <v>4.1000000000000002E-2</v>
      </c>
      <c r="M497" s="6">
        <v>1.6400000000000001E-2</v>
      </c>
      <c r="N497" s="6">
        <v>4.1000000000000002E-2</v>
      </c>
      <c r="O497" s="6">
        <v>1.6400000000000001E-2</v>
      </c>
      <c r="P497" s="6">
        <v>0</v>
      </c>
      <c r="Q497" s="4" t="s">
        <v>26</v>
      </c>
      <c r="R497" s="4">
        <v>0</v>
      </c>
      <c r="S497" s="4" t="s">
        <v>278</v>
      </c>
      <c r="T497" s="4" t="s">
        <v>448</v>
      </c>
      <c r="U497" s="4">
        <v>0</v>
      </c>
      <c r="V497" s="4">
        <v>32</v>
      </c>
      <c r="W497" s="4">
        <v>56</v>
      </c>
    </row>
    <row r="498" spans="1:23" ht="11.25" customHeight="1" x14ac:dyDescent="0.25">
      <c r="A498" s="4" t="s">
        <v>21</v>
      </c>
      <c r="B498" s="4" t="s">
        <v>42</v>
      </c>
      <c r="C498" s="4" t="s">
        <v>23</v>
      </c>
      <c r="D498" s="4" t="s">
        <v>43</v>
      </c>
      <c r="E498" s="4" t="s">
        <v>25</v>
      </c>
      <c r="F498" s="4" t="s">
        <v>25</v>
      </c>
      <c r="G498" s="4" t="s">
        <v>25</v>
      </c>
      <c r="H498" s="4" t="s">
        <v>25</v>
      </c>
      <c r="I498" s="5">
        <v>44378</v>
      </c>
      <c r="J498" s="6">
        <v>0</v>
      </c>
      <c r="K498" s="6">
        <v>0</v>
      </c>
      <c r="L498" s="6">
        <v>131.71799999999999</v>
      </c>
      <c r="M498" s="6">
        <v>131.71799999999999</v>
      </c>
      <c r="N498" s="6">
        <v>131.71799999999999</v>
      </c>
      <c r="O498" s="6">
        <v>131.71799999999999</v>
      </c>
      <c r="P498" s="6">
        <v>208</v>
      </c>
      <c r="Q498" s="4" t="s">
        <v>26</v>
      </c>
      <c r="R498" s="4">
        <v>0</v>
      </c>
      <c r="S498" s="4" t="s">
        <v>267</v>
      </c>
      <c r="T498" s="4" t="s">
        <v>437</v>
      </c>
      <c r="U498" s="4">
        <v>0</v>
      </c>
      <c r="V498" s="4">
        <v>32</v>
      </c>
      <c r="W498" s="4">
        <v>56</v>
      </c>
    </row>
    <row r="499" spans="1:23" ht="11.25" customHeight="1" x14ac:dyDescent="0.25">
      <c r="A499" s="4" t="s">
        <v>21</v>
      </c>
      <c r="B499" s="4" t="s">
        <v>42</v>
      </c>
      <c r="C499" s="4" t="s">
        <v>23</v>
      </c>
      <c r="D499" s="4" t="s">
        <v>43</v>
      </c>
      <c r="E499" s="4" t="s">
        <v>25</v>
      </c>
      <c r="F499" s="4" t="s">
        <v>25</v>
      </c>
      <c r="G499" s="4" t="s">
        <v>25</v>
      </c>
      <c r="H499" s="4" t="s">
        <v>25</v>
      </c>
      <c r="I499" s="5">
        <v>44409</v>
      </c>
      <c r="J499" s="6">
        <v>0</v>
      </c>
      <c r="K499" s="6">
        <v>0</v>
      </c>
      <c r="L499" s="6">
        <v>123.667</v>
      </c>
      <c r="M499" s="6">
        <v>123.667</v>
      </c>
      <c r="N499" s="6">
        <v>123.667</v>
      </c>
      <c r="O499" s="6">
        <v>123.667</v>
      </c>
      <c r="P499" s="6">
        <v>207</v>
      </c>
      <c r="Q499" s="4" t="s">
        <v>26</v>
      </c>
      <c r="R499" s="4">
        <v>0</v>
      </c>
      <c r="S499" s="4" t="s">
        <v>268</v>
      </c>
      <c r="T499" s="4" t="s">
        <v>438</v>
      </c>
      <c r="U499" s="4">
        <v>0</v>
      </c>
      <c r="V499" s="4">
        <v>32</v>
      </c>
      <c r="W499" s="4">
        <v>56</v>
      </c>
    </row>
    <row r="500" spans="1:23" ht="11.25" customHeight="1" x14ac:dyDescent="0.25">
      <c r="A500" s="4" t="s">
        <v>21</v>
      </c>
      <c r="B500" s="4" t="s">
        <v>42</v>
      </c>
      <c r="C500" s="4" t="s">
        <v>23</v>
      </c>
      <c r="D500" s="4" t="s">
        <v>43</v>
      </c>
      <c r="E500" s="4" t="s">
        <v>25</v>
      </c>
      <c r="F500" s="4" t="s">
        <v>25</v>
      </c>
      <c r="G500" s="4" t="s">
        <v>25</v>
      </c>
      <c r="H500" s="4" t="s">
        <v>25</v>
      </c>
      <c r="I500" s="5">
        <v>44440</v>
      </c>
      <c r="J500" s="6">
        <v>0</v>
      </c>
      <c r="K500" s="6">
        <v>0</v>
      </c>
      <c r="L500" s="6">
        <v>134.45599999999999</v>
      </c>
      <c r="M500" s="6">
        <v>134.45599999999999</v>
      </c>
      <c r="N500" s="6">
        <v>134.45599999999999</v>
      </c>
      <c r="O500" s="6">
        <v>134.45599999999999</v>
      </c>
      <c r="P500" s="6">
        <v>207</v>
      </c>
      <c r="Q500" s="4" t="s">
        <v>26</v>
      </c>
      <c r="R500" s="4">
        <v>0</v>
      </c>
      <c r="S500" s="4" t="s">
        <v>269</v>
      </c>
      <c r="T500" s="4" t="s">
        <v>439</v>
      </c>
      <c r="U500" s="4">
        <v>0</v>
      </c>
      <c r="V500" s="4">
        <v>32</v>
      </c>
      <c r="W500" s="4">
        <v>56</v>
      </c>
    </row>
    <row r="501" spans="1:23" ht="11.25" customHeight="1" x14ac:dyDescent="0.25">
      <c r="A501" s="4" t="s">
        <v>21</v>
      </c>
      <c r="B501" s="4" t="s">
        <v>42</v>
      </c>
      <c r="C501" s="4" t="s">
        <v>23</v>
      </c>
      <c r="D501" s="4" t="s">
        <v>43</v>
      </c>
      <c r="E501" s="4" t="s">
        <v>25</v>
      </c>
      <c r="F501" s="4" t="s">
        <v>25</v>
      </c>
      <c r="G501" s="4" t="s">
        <v>25</v>
      </c>
      <c r="H501" s="4" t="s">
        <v>25</v>
      </c>
      <c r="I501" s="5">
        <v>44470</v>
      </c>
      <c r="J501" s="6">
        <v>0</v>
      </c>
      <c r="K501" s="6">
        <v>0</v>
      </c>
      <c r="L501" s="6">
        <v>126.17400000000001</v>
      </c>
      <c r="M501" s="6">
        <v>126.17400000000001</v>
      </c>
      <c r="N501" s="6">
        <v>126.17400000000001</v>
      </c>
      <c r="O501" s="6">
        <v>126.17400000000001</v>
      </c>
      <c r="P501" s="6">
        <v>207</v>
      </c>
      <c r="Q501" s="4" t="s">
        <v>26</v>
      </c>
      <c r="R501" s="4">
        <v>0</v>
      </c>
      <c r="S501" s="4" t="s">
        <v>270</v>
      </c>
      <c r="T501" s="4" t="s">
        <v>440</v>
      </c>
      <c r="U501" s="4">
        <v>0</v>
      </c>
      <c r="V501" s="4">
        <v>32</v>
      </c>
      <c r="W501" s="4">
        <v>56</v>
      </c>
    </row>
    <row r="502" spans="1:23" ht="11.25" customHeight="1" x14ac:dyDescent="0.25">
      <c r="A502" s="4" t="s">
        <v>27</v>
      </c>
      <c r="B502" s="4" t="s">
        <v>42</v>
      </c>
      <c r="C502" s="4" t="s">
        <v>23</v>
      </c>
      <c r="D502" s="4" t="s">
        <v>43</v>
      </c>
      <c r="E502" s="4" t="s">
        <v>25</v>
      </c>
      <c r="F502" s="4" t="s">
        <v>25</v>
      </c>
      <c r="G502" s="4" t="s">
        <v>25</v>
      </c>
      <c r="H502" s="4" t="s">
        <v>25</v>
      </c>
      <c r="I502" s="5">
        <v>44470</v>
      </c>
      <c r="J502" s="6">
        <v>0</v>
      </c>
      <c r="K502" s="6">
        <v>0</v>
      </c>
      <c r="L502" s="6">
        <v>0.05</v>
      </c>
      <c r="M502" s="6">
        <v>0.05</v>
      </c>
      <c r="N502" s="6">
        <v>0.05</v>
      </c>
      <c r="O502" s="6">
        <v>0.05</v>
      </c>
      <c r="P502" s="6">
        <v>1</v>
      </c>
      <c r="Q502" s="4" t="s">
        <v>26</v>
      </c>
      <c r="R502" s="4">
        <v>0</v>
      </c>
      <c r="S502" s="4" t="s">
        <v>270</v>
      </c>
      <c r="T502" s="4" t="s">
        <v>440</v>
      </c>
      <c r="U502" s="4">
        <v>0</v>
      </c>
      <c r="V502" s="4">
        <v>32</v>
      </c>
      <c r="W502" s="4">
        <v>56</v>
      </c>
    </row>
    <row r="503" spans="1:23" ht="11.25" customHeight="1" x14ac:dyDescent="0.25">
      <c r="A503" s="4" t="s">
        <v>21</v>
      </c>
      <c r="B503" s="4" t="s">
        <v>42</v>
      </c>
      <c r="C503" s="4" t="s">
        <v>23</v>
      </c>
      <c r="D503" s="4" t="s">
        <v>43</v>
      </c>
      <c r="E503" s="4" t="s">
        <v>25</v>
      </c>
      <c r="F503" s="4" t="s">
        <v>25</v>
      </c>
      <c r="G503" s="4" t="s">
        <v>25</v>
      </c>
      <c r="H503" s="4" t="s">
        <v>25</v>
      </c>
      <c r="I503" s="5">
        <v>44501</v>
      </c>
      <c r="J503" s="6">
        <v>0</v>
      </c>
      <c r="K503" s="6">
        <v>0</v>
      </c>
      <c r="L503" s="6">
        <v>154.369</v>
      </c>
      <c r="M503" s="6">
        <v>154.369</v>
      </c>
      <c r="N503" s="6">
        <v>154.369</v>
      </c>
      <c r="O503" s="6">
        <v>154.369</v>
      </c>
      <c r="P503" s="6">
        <v>205</v>
      </c>
      <c r="Q503" s="4" t="s">
        <v>26</v>
      </c>
      <c r="R503" s="4">
        <v>0</v>
      </c>
      <c r="S503" s="4" t="s">
        <v>271</v>
      </c>
      <c r="T503" s="4" t="s">
        <v>441</v>
      </c>
      <c r="U503" s="4">
        <v>0</v>
      </c>
      <c r="V503" s="4">
        <v>32</v>
      </c>
      <c r="W503" s="4">
        <v>56</v>
      </c>
    </row>
    <row r="504" spans="1:23" ht="11.25" customHeight="1" x14ac:dyDescent="0.25">
      <c r="A504" s="4" t="s">
        <v>27</v>
      </c>
      <c r="B504" s="4" t="s">
        <v>42</v>
      </c>
      <c r="C504" s="4" t="s">
        <v>23</v>
      </c>
      <c r="D504" s="4" t="s">
        <v>43</v>
      </c>
      <c r="E504" s="4" t="s">
        <v>25</v>
      </c>
      <c r="F504" s="4" t="s">
        <v>25</v>
      </c>
      <c r="G504" s="4" t="s">
        <v>25</v>
      </c>
      <c r="H504" s="4" t="s">
        <v>25</v>
      </c>
      <c r="I504" s="5">
        <v>44501</v>
      </c>
      <c r="J504" s="6">
        <v>0</v>
      </c>
      <c r="K504" s="6">
        <v>0</v>
      </c>
      <c r="L504" s="6">
        <v>0.21</v>
      </c>
      <c r="M504" s="6">
        <v>0.21</v>
      </c>
      <c r="N504" s="6">
        <v>0.21</v>
      </c>
      <c r="O504" s="6">
        <v>0.21</v>
      </c>
      <c r="P504" s="6">
        <v>2</v>
      </c>
      <c r="Q504" s="4" t="s">
        <v>26</v>
      </c>
      <c r="R504" s="4">
        <v>0</v>
      </c>
      <c r="S504" s="4" t="s">
        <v>271</v>
      </c>
      <c r="T504" s="4" t="s">
        <v>441</v>
      </c>
      <c r="U504" s="4">
        <v>0</v>
      </c>
      <c r="V504" s="4">
        <v>32</v>
      </c>
      <c r="W504" s="4">
        <v>56</v>
      </c>
    </row>
    <row r="505" spans="1:23" ht="11.25" customHeight="1" x14ac:dyDescent="0.25">
      <c r="A505" s="4" t="s">
        <v>21</v>
      </c>
      <c r="B505" s="4" t="s">
        <v>42</v>
      </c>
      <c r="C505" s="4" t="s">
        <v>23</v>
      </c>
      <c r="D505" s="4" t="s">
        <v>43</v>
      </c>
      <c r="E505" s="4" t="s">
        <v>25</v>
      </c>
      <c r="F505" s="4" t="s">
        <v>25</v>
      </c>
      <c r="G505" s="4" t="s">
        <v>25</v>
      </c>
      <c r="H505" s="4" t="s">
        <v>25</v>
      </c>
      <c r="I505" s="5">
        <v>44531</v>
      </c>
      <c r="J505" s="6">
        <v>0</v>
      </c>
      <c r="K505" s="6">
        <v>0</v>
      </c>
      <c r="L505" s="6">
        <v>143.977</v>
      </c>
      <c r="M505" s="6">
        <v>143.977</v>
      </c>
      <c r="N505" s="6">
        <v>143.977</v>
      </c>
      <c r="O505" s="6">
        <v>143.977</v>
      </c>
      <c r="P505" s="6">
        <v>203</v>
      </c>
      <c r="Q505" s="4" t="s">
        <v>26</v>
      </c>
      <c r="R505" s="4">
        <v>0</v>
      </c>
      <c r="S505" s="4" t="s">
        <v>272</v>
      </c>
      <c r="T505" s="4" t="s">
        <v>442</v>
      </c>
      <c r="U505" s="4">
        <v>0</v>
      </c>
      <c r="V505" s="4">
        <v>32</v>
      </c>
      <c r="W505" s="4">
        <v>56</v>
      </c>
    </row>
    <row r="506" spans="1:23" ht="11.25" customHeight="1" x14ac:dyDescent="0.25">
      <c r="A506" s="4" t="s">
        <v>41</v>
      </c>
      <c r="B506" s="4" t="s">
        <v>42</v>
      </c>
      <c r="C506" s="4" t="s">
        <v>23</v>
      </c>
      <c r="D506" s="4" t="s">
        <v>43</v>
      </c>
      <c r="E506" s="4" t="s">
        <v>25</v>
      </c>
      <c r="F506" s="4" t="s">
        <v>25</v>
      </c>
      <c r="G506" s="4" t="s">
        <v>25</v>
      </c>
      <c r="H506" s="4" t="s">
        <v>25</v>
      </c>
      <c r="I506" s="5">
        <v>44531</v>
      </c>
      <c r="J506" s="6">
        <v>0</v>
      </c>
      <c r="K506" s="6">
        <v>0</v>
      </c>
      <c r="L506" s="6">
        <v>-1.627</v>
      </c>
      <c r="M506" s="6">
        <v>-1.627</v>
      </c>
      <c r="N506" s="6">
        <v>-1.627</v>
      </c>
      <c r="O506" s="6">
        <v>-1.627</v>
      </c>
      <c r="P506" s="6">
        <v>0</v>
      </c>
      <c r="Q506" s="4" t="s">
        <v>26</v>
      </c>
      <c r="R506" s="4">
        <v>0</v>
      </c>
      <c r="S506" s="4" t="s">
        <v>272</v>
      </c>
      <c r="T506" s="4" t="s">
        <v>442</v>
      </c>
      <c r="U506" s="4">
        <v>0</v>
      </c>
      <c r="V506" s="4">
        <v>32</v>
      </c>
      <c r="W506" s="4">
        <v>56</v>
      </c>
    </row>
    <row r="507" spans="1:23" ht="11.25" customHeight="1" x14ac:dyDescent="0.25">
      <c r="A507" s="4" t="s">
        <v>27</v>
      </c>
      <c r="B507" s="4" t="s">
        <v>42</v>
      </c>
      <c r="C507" s="4" t="s">
        <v>23</v>
      </c>
      <c r="D507" s="4" t="s">
        <v>43</v>
      </c>
      <c r="E507" s="4" t="s">
        <v>25</v>
      </c>
      <c r="F507" s="4" t="s">
        <v>25</v>
      </c>
      <c r="G507" s="4" t="s">
        <v>25</v>
      </c>
      <c r="H507" s="4" t="s">
        <v>25</v>
      </c>
      <c r="I507" s="5">
        <v>44531</v>
      </c>
      <c r="J507" s="6">
        <v>0</v>
      </c>
      <c r="K507" s="6">
        <v>0</v>
      </c>
      <c r="L507" s="6">
        <v>0.41699999999999998</v>
      </c>
      <c r="M507" s="6">
        <v>0.41699999999999998</v>
      </c>
      <c r="N507" s="6">
        <v>0.41699999999999998</v>
      </c>
      <c r="O507" s="6">
        <v>0.41699999999999998</v>
      </c>
      <c r="P507" s="6">
        <v>4</v>
      </c>
      <c r="Q507" s="4" t="s">
        <v>26</v>
      </c>
      <c r="R507" s="4">
        <v>0</v>
      </c>
      <c r="S507" s="4" t="s">
        <v>272</v>
      </c>
      <c r="T507" s="4" t="s">
        <v>442</v>
      </c>
      <c r="U507" s="4">
        <v>0</v>
      </c>
      <c r="V507" s="4">
        <v>32</v>
      </c>
      <c r="W507" s="4">
        <v>56</v>
      </c>
    </row>
    <row r="508" spans="1:23" ht="11.25" customHeight="1" x14ac:dyDescent="0.25">
      <c r="A508" s="4" t="s">
        <v>21</v>
      </c>
      <c r="B508" s="4" t="s">
        <v>42</v>
      </c>
      <c r="C508" s="4" t="s">
        <v>23</v>
      </c>
      <c r="D508" s="4" t="s">
        <v>43</v>
      </c>
      <c r="E508" s="4" t="s">
        <v>25</v>
      </c>
      <c r="F508" s="4" t="s">
        <v>25</v>
      </c>
      <c r="G508" s="4" t="s">
        <v>25</v>
      </c>
      <c r="H508" s="4" t="s">
        <v>25</v>
      </c>
      <c r="I508" s="5">
        <v>44562</v>
      </c>
      <c r="J508" s="6">
        <v>0</v>
      </c>
      <c r="K508" s="6">
        <v>0</v>
      </c>
      <c r="L508" s="6">
        <v>155.065</v>
      </c>
      <c r="M508" s="6">
        <v>155.065</v>
      </c>
      <c r="N508" s="6">
        <v>155.065</v>
      </c>
      <c r="O508" s="6">
        <v>155.065</v>
      </c>
      <c r="P508" s="6">
        <v>202</v>
      </c>
      <c r="Q508" s="4" t="s">
        <v>26</v>
      </c>
      <c r="R508" s="4">
        <v>0</v>
      </c>
      <c r="S508" s="4" t="s">
        <v>273</v>
      </c>
      <c r="T508" s="4" t="s">
        <v>443</v>
      </c>
      <c r="U508" s="4">
        <v>0</v>
      </c>
      <c r="V508" s="4">
        <v>32</v>
      </c>
      <c r="W508" s="4">
        <v>56</v>
      </c>
    </row>
    <row r="509" spans="1:23" ht="11.25" customHeight="1" x14ac:dyDescent="0.25">
      <c r="A509" s="4" t="s">
        <v>27</v>
      </c>
      <c r="B509" s="4" t="s">
        <v>42</v>
      </c>
      <c r="C509" s="4" t="s">
        <v>23</v>
      </c>
      <c r="D509" s="4" t="s">
        <v>43</v>
      </c>
      <c r="E509" s="4" t="s">
        <v>25</v>
      </c>
      <c r="F509" s="4" t="s">
        <v>25</v>
      </c>
      <c r="G509" s="4" t="s">
        <v>25</v>
      </c>
      <c r="H509" s="4" t="s">
        <v>25</v>
      </c>
      <c r="I509" s="5">
        <v>44562</v>
      </c>
      <c r="J509" s="6">
        <v>0</v>
      </c>
      <c r="K509" s="6">
        <v>0</v>
      </c>
      <c r="L509" s="6">
        <v>0.52400000000000002</v>
      </c>
      <c r="M509" s="6">
        <v>0.52400000000000002</v>
      </c>
      <c r="N509" s="6">
        <v>0.52400000000000002</v>
      </c>
      <c r="O509" s="6">
        <v>0.52400000000000002</v>
      </c>
      <c r="P509" s="6">
        <v>5</v>
      </c>
      <c r="Q509" s="4" t="s">
        <v>26</v>
      </c>
      <c r="R509" s="4">
        <v>0</v>
      </c>
      <c r="S509" s="4" t="s">
        <v>273</v>
      </c>
      <c r="T509" s="4" t="s">
        <v>443</v>
      </c>
      <c r="U509" s="4">
        <v>0</v>
      </c>
      <c r="V509" s="4">
        <v>32</v>
      </c>
      <c r="W509" s="4">
        <v>56</v>
      </c>
    </row>
    <row r="510" spans="1:23" ht="11.25" customHeight="1" x14ac:dyDescent="0.25">
      <c r="A510" s="4" t="s">
        <v>21</v>
      </c>
      <c r="B510" s="4" t="s">
        <v>42</v>
      </c>
      <c r="C510" s="4" t="s">
        <v>23</v>
      </c>
      <c r="D510" s="4" t="s">
        <v>43</v>
      </c>
      <c r="E510" s="4" t="s">
        <v>25</v>
      </c>
      <c r="F510" s="4" t="s">
        <v>25</v>
      </c>
      <c r="G510" s="4" t="s">
        <v>25</v>
      </c>
      <c r="H510" s="4" t="s">
        <v>25</v>
      </c>
      <c r="I510" s="5">
        <v>44593</v>
      </c>
      <c r="J510" s="6">
        <v>0</v>
      </c>
      <c r="K510" s="6">
        <v>0</v>
      </c>
      <c r="L510" s="6">
        <v>154.22800000000001</v>
      </c>
      <c r="M510" s="6">
        <v>154.22800000000001</v>
      </c>
      <c r="N510" s="6">
        <v>154.22800000000001</v>
      </c>
      <c r="O510" s="6">
        <v>154.22800000000001</v>
      </c>
      <c r="P510" s="6">
        <v>203</v>
      </c>
      <c r="Q510" s="4" t="s">
        <v>26</v>
      </c>
      <c r="R510" s="4">
        <v>0</v>
      </c>
      <c r="S510" s="4" t="s">
        <v>274</v>
      </c>
      <c r="T510" s="4" t="s">
        <v>444</v>
      </c>
      <c r="U510" s="4">
        <v>0</v>
      </c>
      <c r="V510" s="4">
        <v>32</v>
      </c>
      <c r="W510" s="4">
        <v>56</v>
      </c>
    </row>
    <row r="511" spans="1:23" ht="11.25" customHeight="1" x14ac:dyDescent="0.25">
      <c r="A511" s="4" t="s">
        <v>27</v>
      </c>
      <c r="B511" s="4" t="s">
        <v>42</v>
      </c>
      <c r="C511" s="4" t="s">
        <v>23</v>
      </c>
      <c r="D511" s="4" t="s">
        <v>43</v>
      </c>
      <c r="E511" s="4" t="s">
        <v>25</v>
      </c>
      <c r="F511" s="4" t="s">
        <v>25</v>
      </c>
      <c r="G511" s="4" t="s">
        <v>25</v>
      </c>
      <c r="H511" s="4" t="s">
        <v>25</v>
      </c>
      <c r="I511" s="5">
        <v>44593</v>
      </c>
      <c r="J511" s="6">
        <v>0</v>
      </c>
      <c r="K511" s="6">
        <v>0</v>
      </c>
      <c r="L511" s="6">
        <v>0.70199999999999996</v>
      </c>
      <c r="M511" s="6">
        <v>0.70199999999999996</v>
      </c>
      <c r="N511" s="6">
        <v>0.70199999999999996</v>
      </c>
      <c r="O511" s="6">
        <v>0.70199999999999996</v>
      </c>
      <c r="P511" s="6">
        <v>5</v>
      </c>
      <c r="Q511" s="4" t="s">
        <v>26</v>
      </c>
      <c r="R511" s="4">
        <v>0</v>
      </c>
      <c r="S511" s="4" t="s">
        <v>274</v>
      </c>
      <c r="T511" s="4" t="s">
        <v>444</v>
      </c>
      <c r="U511" s="4">
        <v>0</v>
      </c>
      <c r="V511" s="4">
        <v>32</v>
      </c>
      <c r="W511" s="4">
        <v>56</v>
      </c>
    </row>
    <row r="512" spans="1:23" ht="11.25" customHeight="1" x14ac:dyDescent="0.25">
      <c r="A512" s="4" t="s">
        <v>21</v>
      </c>
      <c r="B512" s="4" t="s">
        <v>42</v>
      </c>
      <c r="C512" s="4" t="s">
        <v>23</v>
      </c>
      <c r="D512" s="4" t="s">
        <v>43</v>
      </c>
      <c r="E512" s="4" t="s">
        <v>25</v>
      </c>
      <c r="F512" s="4" t="s">
        <v>25</v>
      </c>
      <c r="G512" s="4" t="s">
        <v>25</v>
      </c>
      <c r="H512" s="4" t="s">
        <v>25</v>
      </c>
      <c r="I512" s="5">
        <v>44621</v>
      </c>
      <c r="J512" s="6">
        <v>0</v>
      </c>
      <c r="K512" s="6">
        <v>0</v>
      </c>
      <c r="L512" s="6">
        <v>136.06200000000001</v>
      </c>
      <c r="M512" s="6">
        <v>136.06200000000001</v>
      </c>
      <c r="N512" s="6">
        <v>136.06200000000001</v>
      </c>
      <c r="O512" s="6">
        <v>136.06200000000001</v>
      </c>
      <c r="P512" s="6">
        <v>203</v>
      </c>
      <c r="Q512" s="4" t="s">
        <v>26</v>
      </c>
      <c r="R512" s="4">
        <v>0</v>
      </c>
      <c r="S512" s="4" t="s">
        <v>275</v>
      </c>
      <c r="T512" s="4" t="s">
        <v>445</v>
      </c>
      <c r="U512" s="4">
        <v>0</v>
      </c>
      <c r="V512" s="4">
        <v>32</v>
      </c>
      <c r="W512" s="4">
        <v>56</v>
      </c>
    </row>
    <row r="513" spans="1:23" ht="11.25" customHeight="1" x14ac:dyDescent="0.25">
      <c r="A513" s="4" t="s">
        <v>41</v>
      </c>
      <c r="B513" s="4" t="s">
        <v>42</v>
      </c>
      <c r="C513" s="4" t="s">
        <v>23</v>
      </c>
      <c r="D513" s="4" t="s">
        <v>43</v>
      </c>
      <c r="E513" s="4" t="s">
        <v>25</v>
      </c>
      <c r="F513" s="4" t="s">
        <v>25</v>
      </c>
      <c r="G513" s="4" t="s">
        <v>25</v>
      </c>
      <c r="H513" s="4" t="s">
        <v>25</v>
      </c>
      <c r="I513" s="5">
        <v>44621</v>
      </c>
      <c r="J513" s="6">
        <v>0</v>
      </c>
      <c r="K513" s="6">
        <v>0</v>
      </c>
      <c r="L513" s="6">
        <v>0.16</v>
      </c>
      <c r="M513" s="6">
        <v>0.16</v>
      </c>
      <c r="N513" s="6">
        <v>0.16</v>
      </c>
      <c r="O513" s="6">
        <v>0.16</v>
      </c>
      <c r="P513" s="6">
        <v>0</v>
      </c>
      <c r="Q513" s="4" t="s">
        <v>26</v>
      </c>
      <c r="R513" s="4">
        <v>0</v>
      </c>
      <c r="S513" s="4" t="s">
        <v>275</v>
      </c>
      <c r="T513" s="4" t="s">
        <v>445</v>
      </c>
      <c r="U513" s="4">
        <v>0</v>
      </c>
      <c r="V513" s="4">
        <v>32</v>
      </c>
      <c r="W513" s="4">
        <v>56</v>
      </c>
    </row>
    <row r="514" spans="1:23" ht="11.25" customHeight="1" x14ac:dyDescent="0.25">
      <c r="A514" s="4" t="s">
        <v>27</v>
      </c>
      <c r="B514" s="4" t="s">
        <v>42</v>
      </c>
      <c r="C514" s="4" t="s">
        <v>23</v>
      </c>
      <c r="D514" s="4" t="s">
        <v>43</v>
      </c>
      <c r="E514" s="4" t="s">
        <v>25</v>
      </c>
      <c r="F514" s="4" t="s">
        <v>25</v>
      </c>
      <c r="G514" s="4" t="s">
        <v>25</v>
      </c>
      <c r="H514" s="4" t="s">
        <v>25</v>
      </c>
      <c r="I514" s="5">
        <v>44621</v>
      </c>
      <c r="J514" s="6">
        <v>0</v>
      </c>
      <c r="K514" s="6">
        <v>0</v>
      </c>
      <c r="L514" s="6">
        <v>0.46899999999999997</v>
      </c>
      <c r="M514" s="6">
        <v>0.46899999999999997</v>
      </c>
      <c r="N514" s="6">
        <v>0.46899999999999997</v>
      </c>
      <c r="O514" s="6">
        <v>0.46899999999999997</v>
      </c>
      <c r="P514" s="6">
        <v>5</v>
      </c>
      <c r="Q514" s="4" t="s">
        <v>26</v>
      </c>
      <c r="R514" s="4">
        <v>0</v>
      </c>
      <c r="S514" s="4" t="s">
        <v>275</v>
      </c>
      <c r="T514" s="4" t="s">
        <v>445</v>
      </c>
      <c r="U514" s="4">
        <v>0</v>
      </c>
      <c r="V514" s="4">
        <v>32</v>
      </c>
      <c r="W514" s="4">
        <v>56</v>
      </c>
    </row>
    <row r="515" spans="1:23" ht="11.25" customHeight="1" x14ac:dyDescent="0.25">
      <c r="A515" s="4" t="s">
        <v>21</v>
      </c>
      <c r="B515" s="4" t="s">
        <v>42</v>
      </c>
      <c r="C515" s="4" t="s">
        <v>23</v>
      </c>
      <c r="D515" s="4" t="s">
        <v>43</v>
      </c>
      <c r="E515" s="4" t="s">
        <v>25</v>
      </c>
      <c r="F515" s="4" t="s">
        <v>25</v>
      </c>
      <c r="G515" s="4" t="s">
        <v>25</v>
      </c>
      <c r="H515" s="4" t="s">
        <v>25</v>
      </c>
      <c r="I515" s="5">
        <v>44652</v>
      </c>
      <c r="J515" s="6">
        <v>0</v>
      </c>
      <c r="K515" s="6">
        <v>0</v>
      </c>
      <c r="L515" s="6">
        <v>149.77799999999999</v>
      </c>
      <c r="M515" s="6">
        <v>149.77799999999999</v>
      </c>
      <c r="N515" s="6">
        <v>149.77799999999999</v>
      </c>
      <c r="O515" s="6">
        <v>149.77799999999999</v>
      </c>
      <c r="P515" s="6">
        <v>203</v>
      </c>
      <c r="Q515" s="4" t="s">
        <v>26</v>
      </c>
      <c r="R515" s="4">
        <v>0</v>
      </c>
      <c r="S515" s="4" t="s">
        <v>276</v>
      </c>
      <c r="T515" s="4" t="s">
        <v>446</v>
      </c>
      <c r="U515" s="4">
        <v>0</v>
      </c>
      <c r="V515" s="4">
        <v>32</v>
      </c>
      <c r="W515" s="4">
        <v>56</v>
      </c>
    </row>
    <row r="516" spans="1:23" ht="11.25" customHeight="1" x14ac:dyDescent="0.25">
      <c r="A516" s="4" t="s">
        <v>27</v>
      </c>
      <c r="B516" s="4" t="s">
        <v>42</v>
      </c>
      <c r="C516" s="4" t="s">
        <v>23</v>
      </c>
      <c r="D516" s="4" t="s">
        <v>43</v>
      </c>
      <c r="E516" s="4" t="s">
        <v>25</v>
      </c>
      <c r="F516" s="4" t="s">
        <v>25</v>
      </c>
      <c r="G516" s="4" t="s">
        <v>25</v>
      </c>
      <c r="H516" s="4" t="s">
        <v>25</v>
      </c>
      <c r="I516" s="5">
        <v>44652</v>
      </c>
      <c r="J516" s="6">
        <v>0</v>
      </c>
      <c r="K516" s="6">
        <v>0</v>
      </c>
      <c r="L516" s="6">
        <v>1.0640000000000001</v>
      </c>
      <c r="M516" s="6">
        <v>1.0640000000000001</v>
      </c>
      <c r="N516" s="6">
        <v>1.0640000000000001</v>
      </c>
      <c r="O516" s="6">
        <v>1.0640000000000001</v>
      </c>
      <c r="P516" s="6">
        <v>5</v>
      </c>
      <c r="Q516" s="4" t="s">
        <v>26</v>
      </c>
      <c r="R516" s="4">
        <v>0</v>
      </c>
      <c r="S516" s="4" t="s">
        <v>276</v>
      </c>
      <c r="T516" s="4" t="s">
        <v>446</v>
      </c>
      <c r="U516" s="4">
        <v>0</v>
      </c>
      <c r="V516" s="4">
        <v>32</v>
      </c>
      <c r="W516" s="4">
        <v>56</v>
      </c>
    </row>
    <row r="517" spans="1:23" ht="11.25" customHeight="1" x14ac:dyDescent="0.25">
      <c r="A517" s="4" t="s">
        <v>21</v>
      </c>
      <c r="B517" s="4" t="s">
        <v>42</v>
      </c>
      <c r="C517" s="4" t="s">
        <v>23</v>
      </c>
      <c r="D517" s="4" t="s">
        <v>43</v>
      </c>
      <c r="E517" s="4" t="s">
        <v>25</v>
      </c>
      <c r="F517" s="4" t="s">
        <v>25</v>
      </c>
      <c r="G517" s="4" t="s">
        <v>25</v>
      </c>
      <c r="H517" s="4" t="s">
        <v>25</v>
      </c>
      <c r="I517" s="5">
        <v>44682</v>
      </c>
      <c r="J517" s="6">
        <v>0</v>
      </c>
      <c r="K517" s="6">
        <v>0</v>
      </c>
      <c r="L517" s="6">
        <v>129.52199999999999</v>
      </c>
      <c r="M517" s="6">
        <v>129.52199999999999</v>
      </c>
      <c r="N517" s="6">
        <v>129.52199999999999</v>
      </c>
      <c r="O517" s="6">
        <v>129.52199999999999</v>
      </c>
      <c r="P517" s="6">
        <v>202</v>
      </c>
      <c r="Q517" s="4" t="s">
        <v>26</v>
      </c>
      <c r="R517" s="4">
        <v>0</v>
      </c>
      <c r="S517" s="4" t="s">
        <v>277</v>
      </c>
      <c r="T517" s="4" t="s">
        <v>447</v>
      </c>
      <c r="U517" s="4">
        <v>0</v>
      </c>
      <c r="V517" s="4">
        <v>32</v>
      </c>
      <c r="W517" s="4">
        <v>56</v>
      </c>
    </row>
    <row r="518" spans="1:23" ht="11.25" customHeight="1" x14ac:dyDescent="0.25">
      <c r="A518" s="4" t="s">
        <v>27</v>
      </c>
      <c r="B518" s="4" t="s">
        <v>42</v>
      </c>
      <c r="C518" s="4" t="s">
        <v>23</v>
      </c>
      <c r="D518" s="4" t="s">
        <v>43</v>
      </c>
      <c r="E518" s="4" t="s">
        <v>25</v>
      </c>
      <c r="F518" s="4" t="s">
        <v>25</v>
      </c>
      <c r="G518" s="4" t="s">
        <v>25</v>
      </c>
      <c r="H518" s="4" t="s">
        <v>25</v>
      </c>
      <c r="I518" s="5">
        <v>44682</v>
      </c>
      <c r="J518" s="6">
        <v>0</v>
      </c>
      <c r="K518" s="6">
        <v>0</v>
      </c>
      <c r="L518" s="6">
        <v>6.4989999999999997</v>
      </c>
      <c r="M518" s="6">
        <v>6.4989999999999997</v>
      </c>
      <c r="N518" s="6">
        <v>6.4989999999999997</v>
      </c>
      <c r="O518" s="6">
        <v>6.4989999999999997</v>
      </c>
      <c r="P518" s="6">
        <v>6</v>
      </c>
      <c r="Q518" s="4" t="s">
        <v>26</v>
      </c>
      <c r="R518" s="4">
        <v>0</v>
      </c>
      <c r="S518" s="4" t="s">
        <v>277</v>
      </c>
      <c r="T518" s="4" t="s">
        <v>447</v>
      </c>
      <c r="U518" s="4">
        <v>0</v>
      </c>
      <c r="V518" s="4">
        <v>32</v>
      </c>
      <c r="W518" s="4">
        <v>56</v>
      </c>
    </row>
    <row r="519" spans="1:23" ht="11.25" customHeight="1" x14ac:dyDescent="0.25">
      <c r="A519" s="4" t="s">
        <v>55</v>
      </c>
      <c r="B519" s="4" t="s">
        <v>42</v>
      </c>
      <c r="C519" s="4" t="s">
        <v>23</v>
      </c>
      <c r="D519" s="4" t="s">
        <v>43</v>
      </c>
      <c r="E519" s="4" t="s">
        <v>25</v>
      </c>
      <c r="F519" s="4" t="s">
        <v>25</v>
      </c>
      <c r="G519" s="4" t="s">
        <v>25</v>
      </c>
      <c r="H519" s="4" t="s">
        <v>25</v>
      </c>
      <c r="I519" s="5">
        <v>44713</v>
      </c>
      <c r="J519" s="6">
        <v>0</v>
      </c>
      <c r="K519" s="6">
        <v>0</v>
      </c>
      <c r="L519" s="6">
        <v>129.52199999999999</v>
      </c>
      <c r="M519" s="6">
        <v>129.52199999999999</v>
      </c>
      <c r="N519" s="6">
        <v>129.52199999999999</v>
      </c>
      <c r="O519" s="6">
        <v>129.52199999999999</v>
      </c>
      <c r="P519" s="6">
        <v>202</v>
      </c>
      <c r="Q519" s="4" t="s">
        <v>26</v>
      </c>
      <c r="R519" s="4">
        <v>0</v>
      </c>
      <c r="S519" s="4" t="s">
        <v>278</v>
      </c>
      <c r="T519" s="4" t="s">
        <v>448</v>
      </c>
      <c r="U519" s="4">
        <v>0</v>
      </c>
      <c r="V519" s="4">
        <v>32</v>
      </c>
      <c r="W519" s="4">
        <v>56</v>
      </c>
    </row>
    <row r="520" spans="1:23" ht="11.25" customHeight="1" x14ac:dyDescent="0.25">
      <c r="A520" s="4" t="s">
        <v>55</v>
      </c>
      <c r="B520" s="4" t="s">
        <v>42</v>
      </c>
      <c r="C520" s="4" t="s">
        <v>23</v>
      </c>
      <c r="D520" s="4" t="s">
        <v>43</v>
      </c>
      <c r="E520" s="4" t="s">
        <v>25</v>
      </c>
      <c r="F520" s="4" t="s">
        <v>25</v>
      </c>
      <c r="G520" s="4" t="s">
        <v>25</v>
      </c>
      <c r="H520" s="4" t="s">
        <v>25</v>
      </c>
      <c r="I520" s="5">
        <v>44713</v>
      </c>
      <c r="J520" s="6">
        <v>0</v>
      </c>
      <c r="K520" s="6">
        <v>0</v>
      </c>
      <c r="L520" s="6">
        <v>6.4989999999999997</v>
      </c>
      <c r="M520" s="6">
        <v>6.4989999999999997</v>
      </c>
      <c r="N520" s="6">
        <v>6.4989999999999997</v>
      </c>
      <c r="O520" s="6">
        <v>6.4989999999999997</v>
      </c>
      <c r="P520" s="6">
        <v>6</v>
      </c>
      <c r="Q520" s="4" t="s">
        <v>26</v>
      </c>
      <c r="R520" s="4">
        <v>0</v>
      </c>
      <c r="S520" s="4" t="s">
        <v>278</v>
      </c>
      <c r="T520" s="4" t="s">
        <v>448</v>
      </c>
      <c r="U520" s="4">
        <v>0</v>
      </c>
      <c r="V520" s="4">
        <v>32</v>
      </c>
      <c r="W520" s="4">
        <v>56</v>
      </c>
    </row>
    <row r="521" spans="1:23" ht="11.25" customHeight="1" x14ac:dyDescent="0.25">
      <c r="A521" s="4" t="s">
        <v>21</v>
      </c>
      <c r="B521" s="4" t="s">
        <v>36</v>
      </c>
      <c r="C521" s="4" t="s">
        <v>32</v>
      </c>
      <c r="D521" s="4" t="s">
        <v>44</v>
      </c>
      <c r="E521" s="4" t="s">
        <v>25</v>
      </c>
      <c r="F521" s="4" t="s">
        <v>25</v>
      </c>
      <c r="G521" s="4" t="s">
        <v>25</v>
      </c>
      <c r="H521" s="4" t="s">
        <v>34</v>
      </c>
      <c r="I521" s="5">
        <v>44652</v>
      </c>
      <c r="J521" s="6">
        <v>0</v>
      </c>
      <c r="K521" s="6">
        <v>0</v>
      </c>
      <c r="L521" s="6">
        <v>1.9950000000000001</v>
      </c>
      <c r="M521" s="6">
        <v>1.9950000000000001</v>
      </c>
      <c r="N521" s="6">
        <v>1.9950000000000001</v>
      </c>
      <c r="O521" s="6">
        <v>1.9950000000000001</v>
      </c>
      <c r="P521" s="6">
        <v>0</v>
      </c>
      <c r="Q521" s="4" t="s">
        <v>26</v>
      </c>
      <c r="R521" s="4">
        <v>0</v>
      </c>
      <c r="S521" s="4" t="s">
        <v>279</v>
      </c>
      <c r="T521" s="4" t="s">
        <v>449</v>
      </c>
      <c r="U521" s="4">
        <v>0</v>
      </c>
      <c r="V521" s="4">
        <v>27</v>
      </c>
      <c r="W521" s="4">
        <v>75</v>
      </c>
    </row>
    <row r="522" spans="1:23" ht="11.25" customHeight="1" x14ac:dyDescent="0.25">
      <c r="A522" s="4" t="s">
        <v>21</v>
      </c>
      <c r="B522" s="4" t="s">
        <v>36</v>
      </c>
      <c r="C522" s="4" t="s">
        <v>32</v>
      </c>
      <c r="D522" s="4" t="s">
        <v>44</v>
      </c>
      <c r="E522" s="4" t="s">
        <v>25</v>
      </c>
      <c r="F522" s="4" t="s">
        <v>25</v>
      </c>
      <c r="G522" s="4" t="s">
        <v>25</v>
      </c>
      <c r="H522" s="4" t="s">
        <v>34</v>
      </c>
      <c r="I522" s="5">
        <v>44682</v>
      </c>
      <c r="J522" s="6">
        <v>0</v>
      </c>
      <c r="K522" s="6">
        <v>0</v>
      </c>
      <c r="L522" s="6">
        <v>2.1360000000000001</v>
      </c>
      <c r="M522" s="6">
        <v>2.1360000000000001</v>
      </c>
      <c r="N522" s="6">
        <v>2.1360000000000001</v>
      </c>
      <c r="O522" s="6">
        <v>2.1360000000000001</v>
      </c>
      <c r="P522" s="6">
        <v>0</v>
      </c>
      <c r="Q522" s="4" t="s">
        <v>26</v>
      </c>
      <c r="R522" s="4">
        <v>0</v>
      </c>
      <c r="S522" s="4" t="s">
        <v>280</v>
      </c>
      <c r="T522" s="4" t="s">
        <v>450</v>
      </c>
      <c r="U522" s="4">
        <v>0</v>
      </c>
      <c r="V522" s="4">
        <v>27</v>
      </c>
      <c r="W522" s="4">
        <v>75</v>
      </c>
    </row>
    <row r="523" spans="1:23" ht="11.25" customHeight="1" x14ac:dyDescent="0.25">
      <c r="A523" s="4" t="s">
        <v>55</v>
      </c>
      <c r="B523" s="4" t="s">
        <v>36</v>
      </c>
      <c r="C523" s="4" t="s">
        <v>32</v>
      </c>
      <c r="D523" s="4" t="s">
        <v>44</v>
      </c>
      <c r="E523" s="4" t="s">
        <v>25</v>
      </c>
      <c r="F523" s="4" t="s">
        <v>25</v>
      </c>
      <c r="G523" s="4" t="s">
        <v>25</v>
      </c>
      <c r="H523" s="4" t="s">
        <v>34</v>
      </c>
      <c r="I523" s="5">
        <v>44713</v>
      </c>
      <c r="J523" s="6">
        <v>0</v>
      </c>
      <c r="K523" s="6">
        <v>0</v>
      </c>
      <c r="L523" s="6">
        <v>2.1360000000000001</v>
      </c>
      <c r="M523" s="6">
        <v>2.1360000000000001</v>
      </c>
      <c r="N523" s="6">
        <v>2.1360000000000001</v>
      </c>
      <c r="O523" s="6">
        <v>2.1360000000000001</v>
      </c>
      <c r="P523" s="6">
        <v>0</v>
      </c>
      <c r="Q523" s="4" t="s">
        <v>26</v>
      </c>
      <c r="R523" s="4">
        <v>0</v>
      </c>
      <c r="S523" s="4" t="s">
        <v>281</v>
      </c>
      <c r="T523" s="4" t="s">
        <v>451</v>
      </c>
      <c r="U523" s="4">
        <v>0</v>
      </c>
      <c r="V523" s="4">
        <v>27</v>
      </c>
      <c r="W523" s="4">
        <v>75</v>
      </c>
    </row>
    <row r="524" spans="1:23" ht="11.25" customHeight="1" x14ac:dyDescent="0.25">
      <c r="A524" s="4" t="s">
        <v>21</v>
      </c>
      <c r="B524" s="4" t="s">
        <v>36</v>
      </c>
      <c r="C524" s="4" t="s">
        <v>32</v>
      </c>
      <c r="D524" s="4" t="s">
        <v>44</v>
      </c>
      <c r="E524" s="4" t="s">
        <v>25</v>
      </c>
      <c r="F524" s="4" t="s">
        <v>25</v>
      </c>
      <c r="G524" s="4" t="s">
        <v>25</v>
      </c>
      <c r="H524" s="4" t="s">
        <v>35</v>
      </c>
      <c r="I524" s="5">
        <v>44652</v>
      </c>
      <c r="J524" s="6">
        <v>0</v>
      </c>
      <c r="K524" s="6">
        <v>0</v>
      </c>
      <c r="L524" s="6">
        <v>0.155</v>
      </c>
      <c r="M524" s="6">
        <v>0.155</v>
      </c>
      <c r="N524" s="6">
        <v>0.155</v>
      </c>
      <c r="O524" s="6">
        <v>0.155</v>
      </c>
      <c r="P524" s="6">
        <v>0</v>
      </c>
      <c r="Q524" s="4" t="s">
        <v>26</v>
      </c>
      <c r="R524" s="4">
        <v>0</v>
      </c>
      <c r="S524" s="4" t="s">
        <v>282</v>
      </c>
      <c r="T524" s="4" t="s">
        <v>452</v>
      </c>
      <c r="U524" s="4">
        <v>0</v>
      </c>
      <c r="V524" s="4">
        <v>33</v>
      </c>
      <c r="W524" s="4">
        <v>79</v>
      </c>
    </row>
    <row r="525" spans="1:23" ht="11.25" customHeight="1" x14ac:dyDescent="0.25">
      <c r="A525" s="4" t="s">
        <v>21</v>
      </c>
      <c r="B525" s="4" t="s">
        <v>36</v>
      </c>
      <c r="C525" s="4" t="s">
        <v>32</v>
      </c>
      <c r="D525" s="4" t="s">
        <v>44</v>
      </c>
      <c r="E525" s="4" t="s">
        <v>25</v>
      </c>
      <c r="F525" s="4" t="s">
        <v>25</v>
      </c>
      <c r="G525" s="4" t="s">
        <v>25</v>
      </c>
      <c r="H525" s="4" t="s">
        <v>35</v>
      </c>
      <c r="I525" s="5">
        <v>44682</v>
      </c>
      <c r="J525" s="6">
        <v>0</v>
      </c>
      <c r="K525" s="6">
        <v>0</v>
      </c>
      <c r="L525" s="6">
        <v>0.16500000000000001</v>
      </c>
      <c r="M525" s="6">
        <v>0.16500000000000001</v>
      </c>
      <c r="N525" s="6">
        <v>0.16500000000000001</v>
      </c>
      <c r="O525" s="6">
        <v>0.16500000000000001</v>
      </c>
      <c r="P525" s="6">
        <v>0</v>
      </c>
      <c r="Q525" s="4" t="s">
        <v>26</v>
      </c>
      <c r="R525" s="4">
        <v>0</v>
      </c>
      <c r="S525" s="4" t="s">
        <v>283</v>
      </c>
      <c r="T525" s="4" t="s">
        <v>453</v>
      </c>
      <c r="U525" s="4">
        <v>0</v>
      </c>
      <c r="V525" s="4">
        <v>33</v>
      </c>
      <c r="W525" s="4">
        <v>79</v>
      </c>
    </row>
    <row r="526" spans="1:23" ht="11.25" customHeight="1" x14ac:dyDescent="0.25">
      <c r="A526" s="4" t="s">
        <v>55</v>
      </c>
      <c r="B526" s="4" t="s">
        <v>36</v>
      </c>
      <c r="C526" s="4" t="s">
        <v>32</v>
      </c>
      <c r="D526" s="4" t="s">
        <v>44</v>
      </c>
      <c r="E526" s="4" t="s">
        <v>25</v>
      </c>
      <c r="F526" s="4" t="s">
        <v>25</v>
      </c>
      <c r="G526" s="4" t="s">
        <v>25</v>
      </c>
      <c r="H526" s="4" t="s">
        <v>35</v>
      </c>
      <c r="I526" s="5">
        <v>44713</v>
      </c>
      <c r="J526" s="6">
        <v>0</v>
      </c>
      <c r="K526" s="6">
        <v>0</v>
      </c>
      <c r="L526" s="6">
        <v>0.16500000000000001</v>
      </c>
      <c r="M526" s="6">
        <v>0.16500000000000001</v>
      </c>
      <c r="N526" s="6">
        <v>0.16500000000000001</v>
      </c>
      <c r="O526" s="6">
        <v>0.16500000000000001</v>
      </c>
      <c r="P526" s="6">
        <v>0</v>
      </c>
      <c r="Q526" s="4" t="s">
        <v>26</v>
      </c>
      <c r="R526" s="4">
        <v>0</v>
      </c>
      <c r="S526" s="4" t="s">
        <v>284</v>
      </c>
      <c r="T526" s="4" t="s">
        <v>454</v>
      </c>
      <c r="U526" s="4">
        <v>0</v>
      </c>
      <c r="V526" s="4">
        <v>33</v>
      </c>
      <c r="W526" s="4">
        <v>79</v>
      </c>
    </row>
    <row r="527" spans="1:23" ht="11.25" customHeight="1" x14ac:dyDescent="0.25">
      <c r="A527" s="4" t="s">
        <v>21</v>
      </c>
      <c r="B527" s="4" t="s">
        <v>36</v>
      </c>
      <c r="C527" s="4" t="s">
        <v>32</v>
      </c>
      <c r="D527" s="4" t="s">
        <v>44</v>
      </c>
      <c r="E527" s="4" t="s">
        <v>25</v>
      </c>
      <c r="F527" s="4" t="s">
        <v>25</v>
      </c>
      <c r="G527" s="4" t="s">
        <v>25</v>
      </c>
      <c r="H527" s="4" t="s">
        <v>33</v>
      </c>
      <c r="I527" s="5">
        <v>44652</v>
      </c>
      <c r="J527" s="6">
        <v>0</v>
      </c>
      <c r="K527" s="6">
        <v>0</v>
      </c>
      <c r="L527" s="6">
        <v>0.89200000000000002</v>
      </c>
      <c r="M527" s="6">
        <v>0.89200000000000002</v>
      </c>
      <c r="N527" s="6">
        <v>0.89200000000000002</v>
      </c>
      <c r="O527" s="6">
        <v>0.89200000000000002</v>
      </c>
      <c r="P527" s="6">
        <v>0</v>
      </c>
      <c r="Q527" s="4" t="s">
        <v>26</v>
      </c>
      <c r="R527" s="4">
        <v>0</v>
      </c>
      <c r="S527" s="4" t="s">
        <v>285</v>
      </c>
      <c r="T527" s="4" t="s">
        <v>455</v>
      </c>
      <c r="U527" s="4">
        <v>0</v>
      </c>
      <c r="V527" s="4">
        <v>29</v>
      </c>
      <c r="W527" s="4">
        <v>67</v>
      </c>
    </row>
    <row r="528" spans="1:23" ht="11.25" customHeight="1" x14ac:dyDescent="0.25">
      <c r="A528" s="4" t="s">
        <v>21</v>
      </c>
      <c r="B528" s="4" t="s">
        <v>36</v>
      </c>
      <c r="C528" s="4" t="s">
        <v>32</v>
      </c>
      <c r="D528" s="4" t="s">
        <v>44</v>
      </c>
      <c r="E528" s="4" t="s">
        <v>25</v>
      </c>
      <c r="F528" s="4" t="s">
        <v>25</v>
      </c>
      <c r="G528" s="4" t="s">
        <v>25</v>
      </c>
      <c r="H528" s="4" t="s">
        <v>33</v>
      </c>
      <c r="I528" s="5">
        <v>44682</v>
      </c>
      <c r="J528" s="6">
        <v>0</v>
      </c>
      <c r="K528" s="6">
        <v>0</v>
      </c>
      <c r="L528" s="6">
        <v>0.111</v>
      </c>
      <c r="M528" s="6">
        <v>0.111</v>
      </c>
      <c r="N528" s="6">
        <v>0.111</v>
      </c>
      <c r="O528" s="6">
        <v>0.111</v>
      </c>
      <c r="P528" s="6">
        <v>0</v>
      </c>
      <c r="Q528" s="4" t="s">
        <v>26</v>
      </c>
      <c r="R528" s="4">
        <v>0</v>
      </c>
      <c r="S528" s="4" t="s">
        <v>286</v>
      </c>
      <c r="T528" s="4" t="s">
        <v>456</v>
      </c>
      <c r="U528" s="4">
        <v>0</v>
      </c>
      <c r="V528" s="4">
        <v>29</v>
      </c>
      <c r="W528" s="4">
        <v>67</v>
      </c>
    </row>
    <row r="529" spans="1:23" ht="11.25" customHeight="1" x14ac:dyDescent="0.25">
      <c r="A529" s="4" t="s">
        <v>55</v>
      </c>
      <c r="B529" s="4" t="s">
        <v>36</v>
      </c>
      <c r="C529" s="4" t="s">
        <v>32</v>
      </c>
      <c r="D529" s="4" t="s">
        <v>44</v>
      </c>
      <c r="E529" s="4" t="s">
        <v>25</v>
      </c>
      <c r="F529" s="4" t="s">
        <v>25</v>
      </c>
      <c r="G529" s="4" t="s">
        <v>25</v>
      </c>
      <c r="H529" s="4" t="s">
        <v>33</v>
      </c>
      <c r="I529" s="5">
        <v>44713</v>
      </c>
      <c r="J529" s="6">
        <v>0</v>
      </c>
      <c r="K529" s="6">
        <v>0</v>
      </c>
      <c r="L529" s="6">
        <v>0.111</v>
      </c>
      <c r="M529" s="6">
        <v>0.111</v>
      </c>
      <c r="N529" s="6">
        <v>0.111</v>
      </c>
      <c r="O529" s="6">
        <v>0.111</v>
      </c>
      <c r="P529" s="6">
        <v>0</v>
      </c>
      <c r="Q529" s="4" t="s">
        <v>26</v>
      </c>
      <c r="R529" s="4">
        <v>0</v>
      </c>
      <c r="S529" s="4" t="s">
        <v>287</v>
      </c>
      <c r="T529" s="4" t="s">
        <v>457</v>
      </c>
      <c r="U529" s="4">
        <v>0</v>
      </c>
      <c r="V529" s="4">
        <v>29</v>
      </c>
      <c r="W529" s="4">
        <v>67</v>
      </c>
    </row>
    <row r="530" spans="1:23" ht="11.25" customHeight="1" x14ac:dyDescent="0.25">
      <c r="A530" s="4" t="s">
        <v>21</v>
      </c>
      <c r="B530" s="4" t="s">
        <v>36</v>
      </c>
      <c r="C530" s="4" t="s">
        <v>23</v>
      </c>
      <c r="D530" s="4" t="s">
        <v>40</v>
      </c>
      <c r="E530" s="4" t="s">
        <v>25</v>
      </c>
      <c r="F530" s="4" t="s">
        <v>25</v>
      </c>
      <c r="G530" s="4" t="s">
        <v>25</v>
      </c>
      <c r="H530" s="4" t="s">
        <v>25</v>
      </c>
      <c r="I530" s="5">
        <v>44378</v>
      </c>
      <c r="J530" s="6">
        <v>0</v>
      </c>
      <c r="K530" s="6">
        <v>0</v>
      </c>
      <c r="L530" s="6">
        <v>529.94399999999996</v>
      </c>
      <c r="M530" s="6">
        <v>529.94399999999996</v>
      </c>
      <c r="N530" s="6">
        <v>529.94399999999996</v>
      </c>
      <c r="O530" s="6">
        <v>529.94399999999996</v>
      </c>
      <c r="P530" s="6">
        <v>1187</v>
      </c>
      <c r="Q530" s="4" t="s">
        <v>26</v>
      </c>
      <c r="R530" s="4">
        <v>0</v>
      </c>
      <c r="S530" s="4" t="s">
        <v>288</v>
      </c>
      <c r="T530" s="4" t="s">
        <v>458</v>
      </c>
      <c r="U530" s="4">
        <v>0</v>
      </c>
      <c r="V530" s="4">
        <v>68</v>
      </c>
      <c r="W530" s="4">
        <v>76</v>
      </c>
    </row>
    <row r="531" spans="1:23" ht="11.25" customHeight="1" x14ac:dyDescent="0.25">
      <c r="A531" s="4" t="s">
        <v>41</v>
      </c>
      <c r="B531" s="4" t="s">
        <v>36</v>
      </c>
      <c r="C531" s="4" t="s">
        <v>23</v>
      </c>
      <c r="D531" s="4" t="s">
        <v>40</v>
      </c>
      <c r="E531" s="4" t="s">
        <v>25</v>
      </c>
      <c r="F531" s="4" t="s">
        <v>25</v>
      </c>
      <c r="G531" s="4" t="s">
        <v>25</v>
      </c>
      <c r="H531" s="4" t="s">
        <v>25</v>
      </c>
      <c r="I531" s="5">
        <v>44378</v>
      </c>
      <c r="J531" s="6">
        <v>0</v>
      </c>
      <c r="K531" s="6">
        <v>0</v>
      </c>
      <c r="L531" s="6">
        <v>0.16800000000000001</v>
      </c>
      <c r="M531" s="6">
        <v>0.16800000000000001</v>
      </c>
      <c r="N531" s="6">
        <v>0.16800000000000001</v>
      </c>
      <c r="O531" s="6">
        <v>0.16800000000000001</v>
      </c>
      <c r="P531" s="6">
        <v>0</v>
      </c>
      <c r="Q531" s="4" t="s">
        <v>26</v>
      </c>
      <c r="R531" s="4">
        <v>0</v>
      </c>
      <c r="S531" s="4" t="s">
        <v>288</v>
      </c>
      <c r="T531" s="4" t="s">
        <v>458</v>
      </c>
      <c r="U531" s="4">
        <v>0</v>
      </c>
      <c r="V531" s="4">
        <v>68</v>
      </c>
      <c r="W531" s="4">
        <v>76</v>
      </c>
    </row>
    <row r="532" spans="1:23" ht="11.25" customHeight="1" x14ac:dyDescent="0.25">
      <c r="A532" s="4" t="s">
        <v>27</v>
      </c>
      <c r="B532" s="4" t="s">
        <v>36</v>
      </c>
      <c r="C532" s="4" t="s">
        <v>23</v>
      </c>
      <c r="D532" s="4" t="s">
        <v>40</v>
      </c>
      <c r="E532" s="4" t="s">
        <v>25</v>
      </c>
      <c r="F532" s="4" t="s">
        <v>25</v>
      </c>
      <c r="G532" s="4" t="s">
        <v>25</v>
      </c>
      <c r="H532" s="4" t="s">
        <v>25</v>
      </c>
      <c r="I532" s="5">
        <v>44378</v>
      </c>
      <c r="J532" s="6">
        <v>0</v>
      </c>
      <c r="K532" s="6">
        <v>0</v>
      </c>
      <c r="L532" s="6">
        <v>51.959000000000003</v>
      </c>
      <c r="M532" s="6">
        <v>51.959000000000003</v>
      </c>
      <c r="N532" s="6">
        <v>51.959000000000003</v>
      </c>
      <c r="O532" s="6">
        <v>51.959000000000003</v>
      </c>
      <c r="P532" s="6">
        <v>76</v>
      </c>
      <c r="Q532" s="4" t="s">
        <v>26</v>
      </c>
      <c r="R532" s="4">
        <v>0</v>
      </c>
      <c r="S532" s="4" t="s">
        <v>288</v>
      </c>
      <c r="T532" s="4" t="s">
        <v>458</v>
      </c>
      <c r="U532" s="4">
        <v>0</v>
      </c>
      <c r="V532" s="4">
        <v>68</v>
      </c>
      <c r="W532" s="4">
        <v>76</v>
      </c>
    </row>
    <row r="533" spans="1:23" ht="11.25" customHeight="1" x14ac:dyDescent="0.25">
      <c r="A533" s="4" t="s">
        <v>21</v>
      </c>
      <c r="B533" s="4" t="s">
        <v>36</v>
      </c>
      <c r="C533" s="4" t="s">
        <v>23</v>
      </c>
      <c r="D533" s="4" t="s">
        <v>40</v>
      </c>
      <c r="E533" s="4" t="s">
        <v>25</v>
      </c>
      <c r="F533" s="4" t="s">
        <v>25</v>
      </c>
      <c r="G533" s="4" t="s">
        <v>25</v>
      </c>
      <c r="H533" s="4" t="s">
        <v>25</v>
      </c>
      <c r="I533" s="5">
        <v>44409</v>
      </c>
      <c r="J533" s="6">
        <v>0</v>
      </c>
      <c r="K533" s="6">
        <v>0</v>
      </c>
      <c r="L533" s="6">
        <v>559.39099999999996</v>
      </c>
      <c r="M533" s="6">
        <v>559.39099999999996</v>
      </c>
      <c r="N533" s="6">
        <v>559.39099999999996</v>
      </c>
      <c r="O533" s="6">
        <v>559.39099999999996</v>
      </c>
      <c r="P533" s="6">
        <v>1187</v>
      </c>
      <c r="Q533" s="4" t="s">
        <v>26</v>
      </c>
      <c r="R533" s="4">
        <v>0</v>
      </c>
      <c r="S533" s="4" t="s">
        <v>289</v>
      </c>
      <c r="T533" s="4" t="s">
        <v>459</v>
      </c>
      <c r="U533" s="4">
        <v>0</v>
      </c>
      <c r="V533" s="4">
        <v>68</v>
      </c>
      <c r="W533" s="4">
        <v>76</v>
      </c>
    </row>
    <row r="534" spans="1:23" ht="11.25" customHeight="1" x14ac:dyDescent="0.25">
      <c r="A534" s="4" t="s">
        <v>27</v>
      </c>
      <c r="B534" s="4" t="s">
        <v>36</v>
      </c>
      <c r="C534" s="4" t="s">
        <v>23</v>
      </c>
      <c r="D534" s="4" t="s">
        <v>40</v>
      </c>
      <c r="E534" s="4" t="s">
        <v>25</v>
      </c>
      <c r="F534" s="4" t="s">
        <v>25</v>
      </c>
      <c r="G534" s="4" t="s">
        <v>25</v>
      </c>
      <c r="H534" s="4" t="s">
        <v>25</v>
      </c>
      <c r="I534" s="5">
        <v>44409</v>
      </c>
      <c r="J534" s="6">
        <v>0</v>
      </c>
      <c r="K534" s="6">
        <v>0</v>
      </c>
      <c r="L534" s="6">
        <v>47.07</v>
      </c>
      <c r="M534" s="6">
        <v>47.07</v>
      </c>
      <c r="N534" s="6">
        <v>47.07</v>
      </c>
      <c r="O534" s="6">
        <v>47.07</v>
      </c>
      <c r="P534" s="6">
        <v>77</v>
      </c>
      <c r="Q534" s="4" t="s">
        <v>26</v>
      </c>
      <c r="R534" s="4">
        <v>0</v>
      </c>
      <c r="S534" s="4" t="s">
        <v>289</v>
      </c>
      <c r="T534" s="4" t="s">
        <v>459</v>
      </c>
      <c r="U534" s="4">
        <v>0</v>
      </c>
      <c r="V534" s="4">
        <v>68</v>
      </c>
      <c r="W534" s="4">
        <v>76</v>
      </c>
    </row>
    <row r="535" spans="1:23" ht="11.25" customHeight="1" x14ac:dyDescent="0.25">
      <c r="A535" s="4" t="s">
        <v>21</v>
      </c>
      <c r="B535" s="4" t="s">
        <v>36</v>
      </c>
      <c r="C535" s="4" t="s">
        <v>23</v>
      </c>
      <c r="D535" s="4" t="s">
        <v>40</v>
      </c>
      <c r="E535" s="4" t="s">
        <v>25</v>
      </c>
      <c r="F535" s="4" t="s">
        <v>25</v>
      </c>
      <c r="G535" s="4" t="s">
        <v>25</v>
      </c>
      <c r="H535" s="4" t="s">
        <v>25</v>
      </c>
      <c r="I535" s="5">
        <v>44440</v>
      </c>
      <c r="J535" s="6">
        <v>0</v>
      </c>
      <c r="K535" s="6">
        <v>0</v>
      </c>
      <c r="L535" s="6">
        <v>524.26499999999999</v>
      </c>
      <c r="M535" s="6">
        <v>524.26499999999999</v>
      </c>
      <c r="N535" s="6">
        <v>524.26499999999999</v>
      </c>
      <c r="O535" s="6">
        <v>524.26499999999999</v>
      </c>
      <c r="P535" s="6">
        <v>1192</v>
      </c>
      <c r="Q535" s="4" t="s">
        <v>26</v>
      </c>
      <c r="R535" s="4">
        <v>0</v>
      </c>
      <c r="S535" s="4" t="s">
        <v>290</v>
      </c>
      <c r="T535" s="4" t="s">
        <v>460</v>
      </c>
      <c r="U535" s="4">
        <v>0</v>
      </c>
      <c r="V535" s="4">
        <v>68</v>
      </c>
      <c r="W535" s="4">
        <v>76</v>
      </c>
    </row>
    <row r="536" spans="1:23" ht="11.25" customHeight="1" x14ac:dyDescent="0.25">
      <c r="A536" s="4" t="s">
        <v>27</v>
      </c>
      <c r="B536" s="4" t="s">
        <v>36</v>
      </c>
      <c r="C536" s="4" t="s">
        <v>23</v>
      </c>
      <c r="D536" s="4" t="s">
        <v>40</v>
      </c>
      <c r="E536" s="4" t="s">
        <v>25</v>
      </c>
      <c r="F536" s="4" t="s">
        <v>25</v>
      </c>
      <c r="G536" s="4" t="s">
        <v>25</v>
      </c>
      <c r="H536" s="4" t="s">
        <v>25</v>
      </c>
      <c r="I536" s="5">
        <v>44440</v>
      </c>
      <c r="J536" s="6">
        <v>0</v>
      </c>
      <c r="K536" s="6">
        <v>0</v>
      </c>
      <c r="L536" s="6">
        <v>43.085999999999999</v>
      </c>
      <c r="M536" s="6">
        <v>43.085999999999999</v>
      </c>
      <c r="N536" s="6">
        <v>43.085999999999999</v>
      </c>
      <c r="O536" s="6">
        <v>43.085999999999999</v>
      </c>
      <c r="P536" s="6">
        <v>79</v>
      </c>
      <c r="Q536" s="4" t="s">
        <v>26</v>
      </c>
      <c r="R536" s="4">
        <v>0</v>
      </c>
      <c r="S536" s="4" t="s">
        <v>290</v>
      </c>
      <c r="T536" s="4" t="s">
        <v>460</v>
      </c>
      <c r="U536" s="4">
        <v>0</v>
      </c>
      <c r="V536" s="4">
        <v>68</v>
      </c>
      <c r="W536" s="4">
        <v>76</v>
      </c>
    </row>
    <row r="537" spans="1:23" ht="11.25" customHeight="1" x14ac:dyDescent="0.25">
      <c r="A537" s="4" t="s">
        <v>27</v>
      </c>
      <c r="B537" s="4" t="s">
        <v>36</v>
      </c>
      <c r="C537" s="4" t="s">
        <v>23</v>
      </c>
      <c r="D537" s="4" t="s">
        <v>40</v>
      </c>
      <c r="E537" s="4" t="s">
        <v>25</v>
      </c>
      <c r="F537" s="4" t="s">
        <v>25</v>
      </c>
      <c r="G537" s="4" t="s">
        <v>25</v>
      </c>
      <c r="H537" s="4" t="s">
        <v>25</v>
      </c>
      <c r="I537" s="5">
        <v>44440</v>
      </c>
      <c r="J537" s="6">
        <v>0</v>
      </c>
      <c r="K537" s="6">
        <v>0</v>
      </c>
      <c r="L537" s="6">
        <v>0.54800000000000004</v>
      </c>
      <c r="M537" s="6">
        <v>0.54800000000000004</v>
      </c>
      <c r="N537" s="6">
        <v>0.54800000000000004</v>
      </c>
      <c r="O537" s="6">
        <v>0.54800000000000004</v>
      </c>
      <c r="P537" s="6">
        <v>2</v>
      </c>
      <c r="Q537" s="4" t="s">
        <v>26</v>
      </c>
      <c r="R537" s="4">
        <v>0</v>
      </c>
      <c r="S537" s="4" t="s">
        <v>290</v>
      </c>
      <c r="T537" s="4" t="s">
        <v>460</v>
      </c>
      <c r="U537" s="4">
        <v>0</v>
      </c>
      <c r="V537" s="4">
        <v>68</v>
      </c>
      <c r="W537" s="4">
        <v>76</v>
      </c>
    </row>
    <row r="538" spans="1:23" ht="11.25" customHeight="1" x14ac:dyDescent="0.25">
      <c r="A538" s="4" t="s">
        <v>21</v>
      </c>
      <c r="B538" s="4" t="s">
        <v>36</v>
      </c>
      <c r="C538" s="4" t="s">
        <v>23</v>
      </c>
      <c r="D538" s="4" t="s">
        <v>40</v>
      </c>
      <c r="E538" s="4" t="s">
        <v>25</v>
      </c>
      <c r="F538" s="4" t="s">
        <v>25</v>
      </c>
      <c r="G538" s="4" t="s">
        <v>25</v>
      </c>
      <c r="H538" s="4" t="s">
        <v>25</v>
      </c>
      <c r="I538" s="5">
        <v>44470</v>
      </c>
      <c r="J538" s="6">
        <v>0</v>
      </c>
      <c r="K538" s="6">
        <v>0</v>
      </c>
      <c r="L538" s="6">
        <v>532.71600000000001</v>
      </c>
      <c r="M538" s="6">
        <v>532.71600000000001</v>
      </c>
      <c r="N538" s="6">
        <v>532.71600000000001</v>
      </c>
      <c r="O538" s="6">
        <v>532.71600000000001</v>
      </c>
      <c r="P538" s="6">
        <v>1194</v>
      </c>
      <c r="Q538" s="4" t="s">
        <v>26</v>
      </c>
      <c r="R538" s="4">
        <v>0</v>
      </c>
      <c r="S538" s="4" t="s">
        <v>291</v>
      </c>
      <c r="T538" s="4" t="s">
        <v>461</v>
      </c>
      <c r="U538" s="4">
        <v>0</v>
      </c>
      <c r="V538" s="4">
        <v>68</v>
      </c>
      <c r="W538" s="4">
        <v>76</v>
      </c>
    </row>
    <row r="539" spans="1:23" ht="11.25" customHeight="1" x14ac:dyDescent="0.25">
      <c r="A539" s="4" t="s">
        <v>27</v>
      </c>
      <c r="B539" s="4" t="s">
        <v>36</v>
      </c>
      <c r="C539" s="4" t="s">
        <v>23</v>
      </c>
      <c r="D539" s="4" t="s">
        <v>40</v>
      </c>
      <c r="E539" s="4" t="s">
        <v>25</v>
      </c>
      <c r="F539" s="4" t="s">
        <v>25</v>
      </c>
      <c r="G539" s="4" t="s">
        <v>25</v>
      </c>
      <c r="H539" s="4" t="s">
        <v>25</v>
      </c>
      <c r="I539" s="5">
        <v>44470</v>
      </c>
      <c r="J539" s="6">
        <v>0</v>
      </c>
      <c r="K539" s="6">
        <v>0</v>
      </c>
      <c r="L539" s="6">
        <v>34.887999999999998</v>
      </c>
      <c r="M539" s="6">
        <v>34.887999999999998</v>
      </c>
      <c r="N539" s="6">
        <v>34.887999999999998</v>
      </c>
      <c r="O539" s="6">
        <v>34.887999999999998</v>
      </c>
      <c r="P539" s="6">
        <v>82</v>
      </c>
      <c r="Q539" s="4" t="s">
        <v>26</v>
      </c>
      <c r="R539" s="4">
        <v>0</v>
      </c>
      <c r="S539" s="4" t="s">
        <v>291</v>
      </c>
      <c r="T539" s="4" t="s">
        <v>461</v>
      </c>
      <c r="U539" s="4">
        <v>0</v>
      </c>
      <c r="V539" s="4">
        <v>68</v>
      </c>
      <c r="W539" s="4">
        <v>76</v>
      </c>
    </row>
    <row r="540" spans="1:23" ht="11.25" customHeight="1" x14ac:dyDescent="0.25">
      <c r="A540" s="4" t="s">
        <v>21</v>
      </c>
      <c r="B540" s="4" t="s">
        <v>36</v>
      </c>
      <c r="C540" s="4" t="s">
        <v>23</v>
      </c>
      <c r="D540" s="4" t="s">
        <v>40</v>
      </c>
      <c r="E540" s="4" t="s">
        <v>25</v>
      </c>
      <c r="F540" s="4" t="s">
        <v>25</v>
      </c>
      <c r="G540" s="4" t="s">
        <v>25</v>
      </c>
      <c r="H540" s="4" t="s">
        <v>25</v>
      </c>
      <c r="I540" s="5">
        <v>44501</v>
      </c>
      <c r="J540" s="6">
        <v>0</v>
      </c>
      <c r="K540" s="6">
        <v>0</v>
      </c>
      <c r="L540" s="6">
        <v>720.68</v>
      </c>
      <c r="M540" s="6">
        <v>720.68</v>
      </c>
      <c r="N540" s="6">
        <v>720.68</v>
      </c>
      <c r="O540" s="6">
        <v>720.68</v>
      </c>
      <c r="P540" s="6">
        <v>1199</v>
      </c>
      <c r="Q540" s="4" t="s">
        <v>26</v>
      </c>
      <c r="R540" s="4">
        <v>0</v>
      </c>
      <c r="S540" s="4" t="s">
        <v>292</v>
      </c>
      <c r="T540" s="4" t="s">
        <v>462</v>
      </c>
      <c r="U540" s="4">
        <v>0</v>
      </c>
      <c r="V540" s="4">
        <v>68</v>
      </c>
      <c r="W540" s="4">
        <v>76</v>
      </c>
    </row>
    <row r="541" spans="1:23" ht="11.25" customHeight="1" x14ac:dyDescent="0.25">
      <c r="A541" s="4" t="s">
        <v>27</v>
      </c>
      <c r="B541" s="4" t="s">
        <v>36</v>
      </c>
      <c r="C541" s="4" t="s">
        <v>23</v>
      </c>
      <c r="D541" s="4" t="s">
        <v>40</v>
      </c>
      <c r="E541" s="4" t="s">
        <v>25</v>
      </c>
      <c r="F541" s="4" t="s">
        <v>25</v>
      </c>
      <c r="G541" s="4" t="s">
        <v>25</v>
      </c>
      <c r="H541" s="4" t="s">
        <v>25</v>
      </c>
      <c r="I541" s="5">
        <v>44501</v>
      </c>
      <c r="J541" s="6">
        <v>0</v>
      </c>
      <c r="K541" s="6">
        <v>0</v>
      </c>
      <c r="L541" s="6">
        <v>46.453000000000003</v>
      </c>
      <c r="M541" s="6">
        <v>46.453000000000003</v>
      </c>
      <c r="N541" s="6">
        <v>46.453000000000003</v>
      </c>
      <c r="O541" s="6">
        <v>46.453000000000003</v>
      </c>
      <c r="P541" s="6">
        <v>85</v>
      </c>
      <c r="Q541" s="4" t="s">
        <v>26</v>
      </c>
      <c r="R541" s="4">
        <v>0</v>
      </c>
      <c r="S541" s="4" t="s">
        <v>292</v>
      </c>
      <c r="T541" s="4" t="s">
        <v>462</v>
      </c>
      <c r="U541" s="4">
        <v>0</v>
      </c>
      <c r="V541" s="4">
        <v>68</v>
      </c>
      <c r="W541" s="4">
        <v>76</v>
      </c>
    </row>
    <row r="542" spans="1:23" ht="11.25" customHeight="1" x14ac:dyDescent="0.25">
      <c r="A542" s="4" t="s">
        <v>21</v>
      </c>
      <c r="B542" s="4" t="s">
        <v>36</v>
      </c>
      <c r="C542" s="4" t="s">
        <v>23</v>
      </c>
      <c r="D542" s="4" t="s">
        <v>40</v>
      </c>
      <c r="E542" s="4" t="s">
        <v>25</v>
      </c>
      <c r="F542" s="4" t="s">
        <v>25</v>
      </c>
      <c r="G542" s="4" t="s">
        <v>25</v>
      </c>
      <c r="H542" s="4" t="s">
        <v>25</v>
      </c>
      <c r="I542" s="5">
        <v>44531</v>
      </c>
      <c r="J542" s="6">
        <v>0</v>
      </c>
      <c r="K542" s="6">
        <v>0</v>
      </c>
      <c r="L542" s="6">
        <v>813.173</v>
      </c>
      <c r="M542" s="6">
        <v>813.173</v>
      </c>
      <c r="N542" s="6">
        <v>813.173</v>
      </c>
      <c r="O542" s="6">
        <v>813.173</v>
      </c>
      <c r="P542" s="6">
        <v>1205</v>
      </c>
      <c r="Q542" s="4" t="s">
        <v>26</v>
      </c>
      <c r="R542" s="4">
        <v>0</v>
      </c>
      <c r="S542" s="4" t="s">
        <v>293</v>
      </c>
      <c r="T542" s="4" t="s">
        <v>463</v>
      </c>
      <c r="U542" s="4">
        <v>0</v>
      </c>
      <c r="V542" s="4">
        <v>68</v>
      </c>
      <c r="W542" s="4">
        <v>76</v>
      </c>
    </row>
    <row r="543" spans="1:23" ht="11.25" customHeight="1" x14ac:dyDescent="0.25">
      <c r="A543" s="4" t="s">
        <v>27</v>
      </c>
      <c r="B543" s="4" t="s">
        <v>36</v>
      </c>
      <c r="C543" s="4" t="s">
        <v>23</v>
      </c>
      <c r="D543" s="4" t="s">
        <v>40</v>
      </c>
      <c r="E543" s="4" t="s">
        <v>25</v>
      </c>
      <c r="F543" s="4" t="s">
        <v>25</v>
      </c>
      <c r="G543" s="4" t="s">
        <v>25</v>
      </c>
      <c r="H543" s="4" t="s">
        <v>25</v>
      </c>
      <c r="I543" s="5">
        <v>44531</v>
      </c>
      <c r="J543" s="6">
        <v>0</v>
      </c>
      <c r="K543" s="6">
        <v>0</v>
      </c>
      <c r="L543" s="6">
        <v>48.036999999999999</v>
      </c>
      <c r="M543" s="6">
        <v>48.036999999999999</v>
      </c>
      <c r="N543" s="6">
        <v>48.036999999999999</v>
      </c>
      <c r="O543" s="6">
        <v>48.036999999999999</v>
      </c>
      <c r="P543" s="6">
        <v>85</v>
      </c>
      <c r="Q543" s="4" t="s">
        <v>26</v>
      </c>
      <c r="R543" s="4">
        <v>0</v>
      </c>
      <c r="S543" s="4" t="s">
        <v>293</v>
      </c>
      <c r="T543" s="4" t="s">
        <v>463</v>
      </c>
      <c r="U543" s="4">
        <v>0</v>
      </c>
      <c r="V543" s="4">
        <v>68</v>
      </c>
      <c r="W543" s="4">
        <v>76</v>
      </c>
    </row>
    <row r="544" spans="1:23" ht="11.25" customHeight="1" x14ac:dyDescent="0.25">
      <c r="A544" s="4" t="s">
        <v>21</v>
      </c>
      <c r="B544" s="4" t="s">
        <v>36</v>
      </c>
      <c r="C544" s="4" t="s">
        <v>23</v>
      </c>
      <c r="D544" s="4" t="s">
        <v>40</v>
      </c>
      <c r="E544" s="4" t="s">
        <v>25</v>
      </c>
      <c r="F544" s="4" t="s">
        <v>25</v>
      </c>
      <c r="G544" s="4" t="s">
        <v>25</v>
      </c>
      <c r="H544" s="4" t="s">
        <v>25</v>
      </c>
      <c r="I544" s="5">
        <v>44562</v>
      </c>
      <c r="J544" s="6">
        <v>0</v>
      </c>
      <c r="K544" s="6">
        <v>0</v>
      </c>
      <c r="L544" s="6">
        <v>862.79100000000005</v>
      </c>
      <c r="M544" s="6">
        <v>862.79100000000005</v>
      </c>
      <c r="N544" s="6">
        <v>862.79100000000005</v>
      </c>
      <c r="O544" s="6">
        <v>862.79100000000005</v>
      </c>
      <c r="P544" s="6">
        <v>1202</v>
      </c>
      <c r="Q544" s="4" t="s">
        <v>26</v>
      </c>
      <c r="R544" s="4">
        <v>0</v>
      </c>
      <c r="S544" s="4" t="s">
        <v>294</v>
      </c>
      <c r="T544" s="4" t="s">
        <v>464</v>
      </c>
      <c r="U544" s="4">
        <v>0</v>
      </c>
      <c r="V544" s="4">
        <v>68</v>
      </c>
      <c r="W544" s="4">
        <v>76</v>
      </c>
    </row>
    <row r="545" spans="1:23" ht="11.25" customHeight="1" x14ac:dyDescent="0.25">
      <c r="A545" s="4" t="s">
        <v>27</v>
      </c>
      <c r="B545" s="4" t="s">
        <v>36</v>
      </c>
      <c r="C545" s="4" t="s">
        <v>23</v>
      </c>
      <c r="D545" s="4" t="s">
        <v>40</v>
      </c>
      <c r="E545" s="4" t="s">
        <v>25</v>
      </c>
      <c r="F545" s="4" t="s">
        <v>25</v>
      </c>
      <c r="G545" s="4" t="s">
        <v>25</v>
      </c>
      <c r="H545" s="4" t="s">
        <v>25</v>
      </c>
      <c r="I545" s="5">
        <v>44562</v>
      </c>
      <c r="J545" s="6">
        <v>0</v>
      </c>
      <c r="K545" s="6">
        <v>0</v>
      </c>
      <c r="L545" s="6">
        <v>57.162999999999997</v>
      </c>
      <c r="M545" s="6">
        <v>57.162999999999997</v>
      </c>
      <c r="N545" s="6">
        <v>57.162999999999997</v>
      </c>
      <c r="O545" s="6">
        <v>57.162999999999997</v>
      </c>
      <c r="P545" s="6">
        <v>91</v>
      </c>
      <c r="Q545" s="4" t="s">
        <v>26</v>
      </c>
      <c r="R545" s="4">
        <v>0</v>
      </c>
      <c r="S545" s="4" t="s">
        <v>294</v>
      </c>
      <c r="T545" s="4" t="s">
        <v>464</v>
      </c>
      <c r="U545" s="4">
        <v>0</v>
      </c>
      <c r="V545" s="4">
        <v>68</v>
      </c>
      <c r="W545" s="4">
        <v>76</v>
      </c>
    </row>
    <row r="546" spans="1:23" ht="11.25" customHeight="1" x14ac:dyDescent="0.25">
      <c r="A546" s="4" t="s">
        <v>21</v>
      </c>
      <c r="B546" s="4" t="s">
        <v>36</v>
      </c>
      <c r="C546" s="4" t="s">
        <v>23</v>
      </c>
      <c r="D546" s="4" t="s">
        <v>40</v>
      </c>
      <c r="E546" s="4" t="s">
        <v>25</v>
      </c>
      <c r="F546" s="4" t="s">
        <v>25</v>
      </c>
      <c r="G546" s="4" t="s">
        <v>25</v>
      </c>
      <c r="H546" s="4" t="s">
        <v>25</v>
      </c>
      <c r="I546" s="5">
        <v>44593</v>
      </c>
      <c r="J546" s="6">
        <v>0</v>
      </c>
      <c r="K546" s="6">
        <v>0</v>
      </c>
      <c r="L546" s="6">
        <v>771.23199999999997</v>
      </c>
      <c r="M546" s="6">
        <v>771.23199999999997</v>
      </c>
      <c r="N546" s="6">
        <v>771.23199999999997</v>
      </c>
      <c r="O546" s="6">
        <v>771.23199999999997</v>
      </c>
      <c r="P546" s="6">
        <v>1203</v>
      </c>
      <c r="Q546" s="4" t="s">
        <v>26</v>
      </c>
      <c r="R546" s="4">
        <v>0</v>
      </c>
      <c r="S546" s="4" t="s">
        <v>295</v>
      </c>
      <c r="T546" s="4" t="s">
        <v>465</v>
      </c>
      <c r="U546" s="4">
        <v>0</v>
      </c>
      <c r="V546" s="4">
        <v>68</v>
      </c>
      <c r="W546" s="4">
        <v>76</v>
      </c>
    </row>
    <row r="547" spans="1:23" ht="11.25" customHeight="1" x14ac:dyDescent="0.25">
      <c r="A547" s="4" t="s">
        <v>27</v>
      </c>
      <c r="B547" s="4" t="s">
        <v>36</v>
      </c>
      <c r="C547" s="4" t="s">
        <v>23</v>
      </c>
      <c r="D547" s="4" t="s">
        <v>40</v>
      </c>
      <c r="E547" s="4" t="s">
        <v>25</v>
      </c>
      <c r="F547" s="4" t="s">
        <v>25</v>
      </c>
      <c r="G547" s="4" t="s">
        <v>25</v>
      </c>
      <c r="H547" s="4" t="s">
        <v>25</v>
      </c>
      <c r="I547" s="5">
        <v>44593</v>
      </c>
      <c r="J547" s="6">
        <v>0</v>
      </c>
      <c r="K547" s="6">
        <v>0</v>
      </c>
      <c r="L547" s="6">
        <v>48.823999999999998</v>
      </c>
      <c r="M547" s="6">
        <v>48.823999999999998</v>
      </c>
      <c r="N547" s="6">
        <v>48.823999999999998</v>
      </c>
      <c r="O547" s="6">
        <v>48.823999999999998</v>
      </c>
      <c r="P547" s="6">
        <v>92</v>
      </c>
      <c r="Q547" s="4" t="s">
        <v>26</v>
      </c>
      <c r="R547" s="4">
        <v>0</v>
      </c>
      <c r="S547" s="4" t="s">
        <v>295</v>
      </c>
      <c r="T547" s="4" t="s">
        <v>465</v>
      </c>
      <c r="U547" s="4">
        <v>0</v>
      </c>
      <c r="V547" s="4">
        <v>68</v>
      </c>
      <c r="W547" s="4">
        <v>76</v>
      </c>
    </row>
    <row r="548" spans="1:23" ht="11.25" customHeight="1" x14ac:dyDescent="0.25">
      <c r="A548" s="4" t="s">
        <v>21</v>
      </c>
      <c r="B548" s="4" t="s">
        <v>36</v>
      </c>
      <c r="C548" s="4" t="s">
        <v>23</v>
      </c>
      <c r="D548" s="4" t="s">
        <v>40</v>
      </c>
      <c r="E548" s="4" t="s">
        <v>25</v>
      </c>
      <c r="F548" s="4" t="s">
        <v>25</v>
      </c>
      <c r="G548" s="4" t="s">
        <v>25</v>
      </c>
      <c r="H548" s="4" t="s">
        <v>25</v>
      </c>
      <c r="I548" s="5">
        <v>44621</v>
      </c>
      <c r="J548" s="6">
        <v>0</v>
      </c>
      <c r="K548" s="6">
        <v>0</v>
      </c>
      <c r="L548" s="6">
        <v>825.40800000000002</v>
      </c>
      <c r="M548" s="6">
        <v>825.40800000000002</v>
      </c>
      <c r="N548" s="6">
        <v>825.40800000000002</v>
      </c>
      <c r="O548" s="6">
        <v>825.40800000000002</v>
      </c>
      <c r="P548" s="6">
        <v>1207</v>
      </c>
      <c r="Q548" s="4" t="s">
        <v>26</v>
      </c>
      <c r="R548" s="4">
        <v>0</v>
      </c>
      <c r="S548" s="4" t="s">
        <v>296</v>
      </c>
      <c r="T548" s="4" t="s">
        <v>466</v>
      </c>
      <c r="U548" s="4">
        <v>0</v>
      </c>
      <c r="V548" s="4">
        <v>68</v>
      </c>
      <c r="W548" s="4">
        <v>76</v>
      </c>
    </row>
    <row r="549" spans="1:23" ht="11.25" customHeight="1" x14ac:dyDescent="0.25">
      <c r="A549" s="4" t="s">
        <v>27</v>
      </c>
      <c r="B549" s="4" t="s">
        <v>36</v>
      </c>
      <c r="C549" s="4" t="s">
        <v>23</v>
      </c>
      <c r="D549" s="4" t="s">
        <v>40</v>
      </c>
      <c r="E549" s="4" t="s">
        <v>25</v>
      </c>
      <c r="F549" s="4" t="s">
        <v>25</v>
      </c>
      <c r="G549" s="4" t="s">
        <v>25</v>
      </c>
      <c r="H549" s="4" t="s">
        <v>25</v>
      </c>
      <c r="I549" s="5">
        <v>44621</v>
      </c>
      <c r="J549" s="6">
        <v>0</v>
      </c>
      <c r="K549" s="6">
        <v>0</v>
      </c>
      <c r="L549" s="6">
        <v>67.234999999999999</v>
      </c>
      <c r="M549" s="6">
        <v>67.234999999999999</v>
      </c>
      <c r="N549" s="6">
        <v>67.234999999999999</v>
      </c>
      <c r="O549" s="6">
        <v>67.234999999999999</v>
      </c>
      <c r="P549" s="6">
        <v>95</v>
      </c>
      <c r="Q549" s="4" t="s">
        <v>26</v>
      </c>
      <c r="R549" s="4">
        <v>0</v>
      </c>
      <c r="S549" s="4" t="s">
        <v>296</v>
      </c>
      <c r="T549" s="4" t="s">
        <v>466</v>
      </c>
      <c r="U549" s="4">
        <v>0</v>
      </c>
      <c r="V549" s="4">
        <v>68</v>
      </c>
      <c r="W549" s="4">
        <v>76</v>
      </c>
    </row>
    <row r="550" spans="1:23" ht="11.25" customHeight="1" x14ac:dyDescent="0.25">
      <c r="A550" s="4" t="s">
        <v>21</v>
      </c>
      <c r="B550" s="4" t="s">
        <v>36</v>
      </c>
      <c r="C550" s="4" t="s">
        <v>23</v>
      </c>
      <c r="D550" s="4" t="s">
        <v>40</v>
      </c>
      <c r="E550" s="4" t="s">
        <v>25</v>
      </c>
      <c r="F550" s="4" t="s">
        <v>25</v>
      </c>
      <c r="G550" s="4" t="s">
        <v>25</v>
      </c>
      <c r="H550" s="4" t="s">
        <v>25</v>
      </c>
      <c r="I550" s="5">
        <v>44652</v>
      </c>
      <c r="J550" s="6">
        <v>0</v>
      </c>
      <c r="K550" s="6">
        <v>0</v>
      </c>
      <c r="L550" s="6">
        <v>557.01499999999999</v>
      </c>
      <c r="M550" s="6">
        <v>557.01499999999999</v>
      </c>
      <c r="N550" s="6">
        <v>557.01499999999999</v>
      </c>
      <c r="O550" s="6">
        <v>557.01499999999999</v>
      </c>
      <c r="P550" s="6">
        <v>1206</v>
      </c>
      <c r="Q550" s="4" t="s">
        <v>26</v>
      </c>
      <c r="R550" s="4">
        <v>0</v>
      </c>
      <c r="S550" s="4" t="s">
        <v>297</v>
      </c>
      <c r="T550" s="4" t="s">
        <v>467</v>
      </c>
      <c r="U550" s="4">
        <v>0</v>
      </c>
      <c r="V550" s="4">
        <v>68</v>
      </c>
      <c r="W550" s="4">
        <v>76</v>
      </c>
    </row>
    <row r="551" spans="1:23" ht="11.25" customHeight="1" x14ac:dyDescent="0.25">
      <c r="A551" s="4" t="s">
        <v>27</v>
      </c>
      <c r="B551" s="4" t="s">
        <v>36</v>
      </c>
      <c r="C551" s="4" t="s">
        <v>23</v>
      </c>
      <c r="D551" s="4" t="s">
        <v>40</v>
      </c>
      <c r="E551" s="4" t="s">
        <v>25</v>
      </c>
      <c r="F551" s="4" t="s">
        <v>25</v>
      </c>
      <c r="G551" s="4" t="s">
        <v>25</v>
      </c>
      <c r="H551" s="4" t="s">
        <v>25</v>
      </c>
      <c r="I551" s="5">
        <v>44652</v>
      </c>
      <c r="J551" s="6">
        <v>0</v>
      </c>
      <c r="K551" s="6">
        <v>0</v>
      </c>
      <c r="L551" s="6">
        <v>49.716999999999999</v>
      </c>
      <c r="M551" s="6">
        <v>49.716999999999999</v>
      </c>
      <c r="N551" s="6">
        <v>49.716999999999999</v>
      </c>
      <c r="O551" s="6">
        <v>49.716999999999999</v>
      </c>
      <c r="P551" s="6">
        <v>95</v>
      </c>
      <c r="Q551" s="4" t="s">
        <v>26</v>
      </c>
      <c r="R551" s="4">
        <v>0</v>
      </c>
      <c r="S551" s="4" t="s">
        <v>297</v>
      </c>
      <c r="T551" s="4" t="s">
        <v>467</v>
      </c>
      <c r="U551" s="4">
        <v>0</v>
      </c>
      <c r="V551" s="4">
        <v>68</v>
      </c>
      <c r="W551" s="4">
        <v>76</v>
      </c>
    </row>
    <row r="552" spans="1:23" ht="11.25" customHeight="1" x14ac:dyDescent="0.25">
      <c r="A552" s="4" t="s">
        <v>21</v>
      </c>
      <c r="B552" s="4" t="s">
        <v>36</v>
      </c>
      <c r="C552" s="4" t="s">
        <v>23</v>
      </c>
      <c r="D552" s="4" t="s">
        <v>40</v>
      </c>
      <c r="E552" s="4" t="s">
        <v>25</v>
      </c>
      <c r="F552" s="4" t="s">
        <v>25</v>
      </c>
      <c r="G552" s="4" t="s">
        <v>25</v>
      </c>
      <c r="H552" s="4" t="s">
        <v>25</v>
      </c>
      <c r="I552" s="5">
        <v>44682</v>
      </c>
      <c r="J552" s="6">
        <v>0</v>
      </c>
      <c r="K552" s="6">
        <v>0</v>
      </c>
      <c r="L552" s="6">
        <v>568.80799999999999</v>
      </c>
      <c r="M552" s="6">
        <v>568.80799999999999</v>
      </c>
      <c r="N552" s="6">
        <v>568.80799999999999</v>
      </c>
      <c r="O552" s="6">
        <v>568.80799999999999</v>
      </c>
      <c r="P552" s="6">
        <v>1209</v>
      </c>
      <c r="Q552" s="4" t="s">
        <v>26</v>
      </c>
      <c r="R552" s="4">
        <v>0</v>
      </c>
      <c r="S552" s="4" t="s">
        <v>298</v>
      </c>
      <c r="T552" s="4" t="s">
        <v>468</v>
      </c>
      <c r="U552" s="4">
        <v>0</v>
      </c>
      <c r="V552" s="4">
        <v>68</v>
      </c>
      <c r="W552" s="4">
        <v>76</v>
      </c>
    </row>
    <row r="553" spans="1:23" ht="11.25" customHeight="1" x14ac:dyDescent="0.25">
      <c r="A553" s="4" t="s">
        <v>27</v>
      </c>
      <c r="B553" s="4" t="s">
        <v>36</v>
      </c>
      <c r="C553" s="4" t="s">
        <v>23</v>
      </c>
      <c r="D553" s="4" t="s">
        <v>40</v>
      </c>
      <c r="E553" s="4" t="s">
        <v>25</v>
      </c>
      <c r="F553" s="4" t="s">
        <v>25</v>
      </c>
      <c r="G553" s="4" t="s">
        <v>25</v>
      </c>
      <c r="H553" s="4" t="s">
        <v>25</v>
      </c>
      <c r="I553" s="5">
        <v>44682</v>
      </c>
      <c r="J553" s="6">
        <v>0</v>
      </c>
      <c r="K553" s="6">
        <v>0</v>
      </c>
      <c r="L553" s="6">
        <v>74.832999999999998</v>
      </c>
      <c r="M553" s="6">
        <v>74.832999999999998</v>
      </c>
      <c r="N553" s="6">
        <v>74.832999999999998</v>
      </c>
      <c r="O553" s="6">
        <v>74.832999999999998</v>
      </c>
      <c r="P553" s="6">
        <v>102</v>
      </c>
      <c r="Q553" s="4" t="s">
        <v>26</v>
      </c>
      <c r="R553" s="4">
        <v>0</v>
      </c>
      <c r="S553" s="4" t="s">
        <v>298</v>
      </c>
      <c r="T553" s="4" t="s">
        <v>468</v>
      </c>
      <c r="U553" s="4">
        <v>0</v>
      </c>
      <c r="V553" s="4">
        <v>68</v>
      </c>
      <c r="W553" s="4">
        <v>76</v>
      </c>
    </row>
    <row r="554" spans="1:23" ht="11.25" customHeight="1" x14ac:dyDescent="0.25">
      <c r="A554" s="4" t="s">
        <v>55</v>
      </c>
      <c r="B554" s="4" t="s">
        <v>36</v>
      </c>
      <c r="C554" s="4" t="s">
        <v>23</v>
      </c>
      <c r="D554" s="4" t="s">
        <v>40</v>
      </c>
      <c r="E554" s="4" t="s">
        <v>25</v>
      </c>
      <c r="F554" s="4" t="s">
        <v>25</v>
      </c>
      <c r="G554" s="4" t="s">
        <v>25</v>
      </c>
      <c r="H554" s="4" t="s">
        <v>25</v>
      </c>
      <c r="I554" s="5">
        <v>44713</v>
      </c>
      <c r="J554" s="6">
        <v>0</v>
      </c>
      <c r="K554" s="6">
        <v>0</v>
      </c>
      <c r="L554" s="6">
        <v>568.80799999999999</v>
      </c>
      <c r="M554" s="6">
        <v>568.80799999999999</v>
      </c>
      <c r="N554" s="6">
        <v>568.80799999999999</v>
      </c>
      <c r="O554" s="6">
        <v>568.80799999999999</v>
      </c>
      <c r="P554" s="6">
        <v>1209</v>
      </c>
      <c r="Q554" s="4" t="s">
        <v>26</v>
      </c>
      <c r="R554" s="4">
        <v>0</v>
      </c>
      <c r="S554" s="4" t="s">
        <v>299</v>
      </c>
      <c r="T554" s="4" t="s">
        <v>469</v>
      </c>
      <c r="U554" s="4">
        <v>0</v>
      </c>
      <c r="V554" s="4">
        <v>68</v>
      </c>
      <c r="W554" s="4">
        <v>76</v>
      </c>
    </row>
    <row r="555" spans="1:23" ht="11.25" customHeight="1" x14ac:dyDescent="0.25">
      <c r="A555" s="4" t="s">
        <v>55</v>
      </c>
      <c r="B555" s="4" t="s">
        <v>36</v>
      </c>
      <c r="C555" s="4" t="s">
        <v>23</v>
      </c>
      <c r="D555" s="4" t="s">
        <v>40</v>
      </c>
      <c r="E555" s="4" t="s">
        <v>25</v>
      </c>
      <c r="F555" s="4" t="s">
        <v>25</v>
      </c>
      <c r="G555" s="4" t="s">
        <v>25</v>
      </c>
      <c r="H555" s="4" t="s">
        <v>25</v>
      </c>
      <c r="I555" s="5">
        <v>44713</v>
      </c>
      <c r="J555" s="6">
        <v>0</v>
      </c>
      <c r="K555" s="6">
        <v>0</v>
      </c>
      <c r="L555" s="6">
        <v>74.832999999999998</v>
      </c>
      <c r="M555" s="6">
        <v>74.832999999999998</v>
      </c>
      <c r="N555" s="6">
        <v>74.832999999999998</v>
      </c>
      <c r="O555" s="6">
        <v>74.832999999999998</v>
      </c>
      <c r="P555" s="6">
        <v>102</v>
      </c>
      <c r="Q555" s="4" t="s">
        <v>26</v>
      </c>
      <c r="R555" s="4">
        <v>0</v>
      </c>
      <c r="S555" s="4" t="s">
        <v>299</v>
      </c>
      <c r="T555" s="4" t="s">
        <v>469</v>
      </c>
      <c r="U555" s="4">
        <v>0</v>
      </c>
      <c r="V555" s="4">
        <v>68</v>
      </c>
      <c r="W555" s="4">
        <v>76</v>
      </c>
    </row>
    <row r="556" spans="1:23" ht="11.25" customHeight="1" x14ac:dyDescent="0.25">
      <c r="A556" s="4" t="s">
        <v>21</v>
      </c>
      <c r="B556" s="4" t="s">
        <v>36</v>
      </c>
      <c r="C556" s="4" t="s">
        <v>23</v>
      </c>
      <c r="D556" s="4" t="s">
        <v>51</v>
      </c>
      <c r="E556" s="4" t="s">
        <v>25</v>
      </c>
      <c r="F556" s="4" t="s">
        <v>25</v>
      </c>
      <c r="G556" s="4" t="s">
        <v>25</v>
      </c>
      <c r="H556" s="4" t="s">
        <v>25</v>
      </c>
      <c r="I556" s="5">
        <v>44378</v>
      </c>
      <c r="J556" s="6">
        <v>0</v>
      </c>
      <c r="K556" s="6">
        <v>0</v>
      </c>
      <c r="L556" s="6">
        <v>8.0380000000000003</v>
      </c>
      <c r="M556" s="6">
        <v>8.0380000000000003</v>
      </c>
      <c r="N556" s="6">
        <v>8.0380000000000003</v>
      </c>
      <c r="O556" s="6">
        <v>8.0380000000000003</v>
      </c>
      <c r="P556" s="6">
        <v>3</v>
      </c>
      <c r="Q556" s="4" t="s">
        <v>26</v>
      </c>
      <c r="R556" s="4">
        <v>0</v>
      </c>
      <c r="S556" s="4" t="s">
        <v>288</v>
      </c>
      <c r="T556" s="4" t="s">
        <v>458</v>
      </c>
      <c r="U556" s="4">
        <v>0</v>
      </c>
      <c r="V556" s="4">
        <v>68</v>
      </c>
      <c r="W556" s="4">
        <v>76</v>
      </c>
    </row>
    <row r="557" spans="1:23" ht="11.25" customHeight="1" x14ac:dyDescent="0.25">
      <c r="A557" s="4" t="s">
        <v>21</v>
      </c>
      <c r="B557" s="4" t="s">
        <v>36</v>
      </c>
      <c r="C557" s="4" t="s">
        <v>23</v>
      </c>
      <c r="D557" s="4" t="s">
        <v>51</v>
      </c>
      <c r="E557" s="4" t="s">
        <v>25</v>
      </c>
      <c r="F557" s="4" t="s">
        <v>25</v>
      </c>
      <c r="G557" s="4" t="s">
        <v>25</v>
      </c>
      <c r="H557" s="4" t="s">
        <v>25</v>
      </c>
      <c r="I557" s="5">
        <v>44409</v>
      </c>
      <c r="J557" s="6">
        <v>0</v>
      </c>
      <c r="K557" s="6">
        <v>0</v>
      </c>
      <c r="L557" s="6">
        <v>7.6740000000000004</v>
      </c>
      <c r="M557" s="6">
        <v>7.6740000000000004</v>
      </c>
      <c r="N557" s="6">
        <v>7.6740000000000004</v>
      </c>
      <c r="O557" s="6">
        <v>7.6740000000000004</v>
      </c>
      <c r="P557" s="6">
        <v>3</v>
      </c>
      <c r="Q557" s="4" t="s">
        <v>26</v>
      </c>
      <c r="R557" s="4">
        <v>0</v>
      </c>
      <c r="S557" s="4" t="s">
        <v>289</v>
      </c>
      <c r="T557" s="4" t="s">
        <v>459</v>
      </c>
      <c r="U557" s="4">
        <v>0</v>
      </c>
      <c r="V557" s="4">
        <v>68</v>
      </c>
      <c r="W557" s="4">
        <v>76</v>
      </c>
    </row>
    <row r="558" spans="1:23" ht="11.25" customHeight="1" x14ac:dyDescent="0.25">
      <c r="A558" s="4" t="s">
        <v>21</v>
      </c>
      <c r="B558" s="4" t="s">
        <v>36</v>
      </c>
      <c r="C558" s="4" t="s">
        <v>23</v>
      </c>
      <c r="D558" s="4" t="s">
        <v>51</v>
      </c>
      <c r="E558" s="4" t="s">
        <v>25</v>
      </c>
      <c r="F558" s="4" t="s">
        <v>25</v>
      </c>
      <c r="G558" s="4" t="s">
        <v>25</v>
      </c>
      <c r="H558" s="4" t="s">
        <v>25</v>
      </c>
      <c r="I558" s="5">
        <v>44440</v>
      </c>
      <c r="J558" s="6">
        <v>0</v>
      </c>
      <c r="K558" s="6">
        <v>0</v>
      </c>
      <c r="L558" s="6">
        <v>6.78</v>
      </c>
      <c r="M558" s="6">
        <v>6.78</v>
      </c>
      <c r="N558" s="6">
        <v>6.78</v>
      </c>
      <c r="O558" s="6">
        <v>6.78</v>
      </c>
      <c r="P558" s="6">
        <v>3</v>
      </c>
      <c r="Q558" s="4" t="s">
        <v>26</v>
      </c>
      <c r="R558" s="4">
        <v>0</v>
      </c>
      <c r="S558" s="4" t="s">
        <v>290</v>
      </c>
      <c r="T558" s="4" t="s">
        <v>460</v>
      </c>
      <c r="U558" s="4">
        <v>0</v>
      </c>
      <c r="V558" s="4">
        <v>68</v>
      </c>
      <c r="W558" s="4">
        <v>76</v>
      </c>
    </row>
    <row r="559" spans="1:23" ht="11.25" customHeight="1" x14ac:dyDescent="0.25">
      <c r="A559" s="4" t="s">
        <v>21</v>
      </c>
      <c r="B559" s="4" t="s">
        <v>36</v>
      </c>
      <c r="C559" s="4" t="s">
        <v>23</v>
      </c>
      <c r="D559" s="4" t="s">
        <v>51</v>
      </c>
      <c r="E559" s="4" t="s">
        <v>25</v>
      </c>
      <c r="F559" s="4" t="s">
        <v>25</v>
      </c>
      <c r="G559" s="4" t="s">
        <v>25</v>
      </c>
      <c r="H559" s="4" t="s">
        <v>25</v>
      </c>
      <c r="I559" s="5">
        <v>44470</v>
      </c>
      <c r="J559" s="6">
        <v>0</v>
      </c>
      <c r="K559" s="6">
        <v>0</v>
      </c>
      <c r="L559" s="6">
        <v>7.1289999999999996</v>
      </c>
      <c r="M559" s="6">
        <v>7.1289999999999996</v>
      </c>
      <c r="N559" s="6">
        <v>7.1289999999999996</v>
      </c>
      <c r="O559" s="6">
        <v>7.1289999999999996</v>
      </c>
      <c r="P559" s="6">
        <v>3</v>
      </c>
      <c r="Q559" s="4" t="s">
        <v>26</v>
      </c>
      <c r="R559" s="4">
        <v>0</v>
      </c>
      <c r="S559" s="4" t="s">
        <v>291</v>
      </c>
      <c r="T559" s="4" t="s">
        <v>461</v>
      </c>
      <c r="U559" s="4">
        <v>0</v>
      </c>
      <c r="V559" s="4">
        <v>68</v>
      </c>
      <c r="W559" s="4">
        <v>76</v>
      </c>
    </row>
    <row r="560" spans="1:23" ht="11.25" customHeight="1" x14ac:dyDescent="0.25">
      <c r="A560" s="4" t="s">
        <v>21</v>
      </c>
      <c r="B560" s="4" t="s">
        <v>36</v>
      </c>
      <c r="C560" s="4" t="s">
        <v>23</v>
      </c>
      <c r="D560" s="4" t="s">
        <v>51</v>
      </c>
      <c r="E560" s="4" t="s">
        <v>25</v>
      </c>
      <c r="F560" s="4" t="s">
        <v>25</v>
      </c>
      <c r="G560" s="4" t="s">
        <v>25</v>
      </c>
      <c r="H560" s="4" t="s">
        <v>25</v>
      </c>
      <c r="I560" s="5">
        <v>44501</v>
      </c>
      <c r="J560" s="6">
        <v>0</v>
      </c>
      <c r="K560" s="6">
        <v>0</v>
      </c>
      <c r="L560" s="6">
        <v>8.9390000000000001</v>
      </c>
      <c r="M560" s="6">
        <v>8.9390000000000001</v>
      </c>
      <c r="N560" s="6">
        <v>8.9390000000000001</v>
      </c>
      <c r="O560" s="6">
        <v>8.9390000000000001</v>
      </c>
      <c r="P560" s="6">
        <v>3</v>
      </c>
      <c r="Q560" s="4" t="s">
        <v>26</v>
      </c>
      <c r="R560" s="4">
        <v>0</v>
      </c>
      <c r="S560" s="4" t="s">
        <v>292</v>
      </c>
      <c r="T560" s="4" t="s">
        <v>462</v>
      </c>
      <c r="U560" s="4">
        <v>0</v>
      </c>
      <c r="V560" s="4">
        <v>68</v>
      </c>
      <c r="W560" s="4">
        <v>76</v>
      </c>
    </row>
    <row r="561" spans="1:23" ht="11.25" customHeight="1" x14ac:dyDescent="0.25">
      <c r="A561" s="4" t="s">
        <v>21</v>
      </c>
      <c r="B561" s="4" t="s">
        <v>36</v>
      </c>
      <c r="C561" s="4" t="s">
        <v>23</v>
      </c>
      <c r="D561" s="4" t="s">
        <v>51</v>
      </c>
      <c r="E561" s="4" t="s">
        <v>25</v>
      </c>
      <c r="F561" s="4" t="s">
        <v>25</v>
      </c>
      <c r="G561" s="4" t="s">
        <v>25</v>
      </c>
      <c r="H561" s="4" t="s">
        <v>25</v>
      </c>
      <c r="I561" s="5">
        <v>44531</v>
      </c>
      <c r="J561" s="6">
        <v>0</v>
      </c>
      <c r="K561" s="6">
        <v>0</v>
      </c>
      <c r="L561" s="6">
        <v>9.3889999999999993</v>
      </c>
      <c r="M561" s="6">
        <v>9.3889999999999993</v>
      </c>
      <c r="N561" s="6">
        <v>9.3889999999999993</v>
      </c>
      <c r="O561" s="6">
        <v>9.3889999999999993</v>
      </c>
      <c r="P561" s="6">
        <v>3</v>
      </c>
      <c r="Q561" s="4" t="s">
        <v>26</v>
      </c>
      <c r="R561" s="4">
        <v>0</v>
      </c>
      <c r="S561" s="4" t="s">
        <v>293</v>
      </c>
      <c r="T561" s="4" t="s">
        <v>463</v>
      </c>
      <c r="U561" s="4">
        <v>0</v>
      </c>
      <c r="V561" s="4">
        <v>68</v>
      </c>
      <c r="W561" s="4">
        <v>76</v>
      </c>
    </row>
    <row r="562" spans="1:23" ht="11.25" customHeight="1" x14ac:dyDescent="0.25">
      <c r="A562" s="4" t="s">
        <v>21</v>
      </c>
      <c r="B562" s="4" t="s">
        <v>36</v>
      </c>
      <c r="C562" s="4" t="s">
        <v>23</v>
      </c>
      <c r="D562" s="4" t="s">
        <v>51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44562</v>
      </c>
      <c r="J562" s="6">
        <v>0</v>
      </c>
      <c r="K562" s="6">
        <v>0</v>
      </c>
      <c r="L562" s="6">
        <v>11.051</v>
      </c>
      <c r="M562" s="6">
        <v>11.051</v>
      </c>
      <c r="N562" s="6">
        <v>11.051</v>
      </c>
      <c r="O562" s="6">
        <v>11.051</v>
      </c>
      <c r="P562" s="6">
        <v>3</v>
      </c>
      <c r="Q562" s="4" t="s">
        <v>26</v>
      </c>
      <c r="R562" s="4">
        <v>0</v>
      </c>
      <c r="S562" s="4" t="s">
        <v>294</v>
      </c>
      <c r="T562" s="4" t="s">
        <v>464</v>
      </c>
      <c r="U562" s="4">
        <v>0</v>
      </c>
      <c r="V562" s="4">
        <v>68</v>
      </c>
      <c r="W562" s="4">
        <v>76</v>
      </c>
    </row>
    <row r="563" spans="1:23" ht="11.25" customHeight="1" x14ac:dyDescent="0.25">
      <c r="A563" s="4" t="s">
        <v>21</v>
      </c>
      <c r="B563" s="4" t="s">
        <v>36</v>
      </c>
      <c r="C563" s="4" t="s">
        <v>23</v>
      </c>
      <c r="D563" s="4" t="s">
        <v>51</v>
      </c>
      <c r="E563" s="4" t="s">
        <v>25</v>
      </c>
      <c r="F563" s="4" t="s">
        <v>25</v>
      </c>
      <c r="G563" s="4" t="s">
        <v>25</v>
      </c>
      <c r="H563" s="4" t="s">
        <v>25</v>
      </c>
      <c r="I563" s="5">
        <v>44593</v>
      </c>
      <c r="J563" s="6">
        <v>0</v>
      </c>
      <c r="K563" s="6">
        <v>0</v>
      </c>
      <c r="L563" s="6">
        <v>9.891</v>
      </c>
      <c r="M563" s="6">
        <v>9.891</v>
      </c>
      <c r="N563" s="6">
        <v>9.891</v>
      </c>
      <c r="O563" s="6">
        <v>9.891</v>
      </c>
      <c r="P563" s="6">
        <v>3</v>
      </c>
      <c r="Q563" s="4" t="s">
        <v>26</v>
      </c>
      <c r="R563" s="4">
        <v>0</v>
      </c>
      <c r="S563" s="4" t="s">
        <v>295</v>
      </c>
      <c r="T563" s="4" t="s">
        <v>465</v>
      </c>
      <c r="U563" s="4">
        <v>0</v>
      </c>
      <c r="V563" s="4">
        <v>68</v>
      </c>
      <c r="W563" s="4">
        <v>76</v>
      </c>
    </row>
    <row r="564" spans="1:23" ht="11.25" customHeight="1" x14ac:dyDescent="0.25">
      <c r="A564" s="4" t="s">
        <v>21</v>
      </c>
      <c r="B564" s="4" t="s">
        <v>36</v>
      </c>
      <c r="C564" s="4" t="s">
        <v>23</v>
      </c>
      <c r="D564" s="4" t="s">
        <v>51</v>
      </c>
      <c r="E564" s="4" t="s">
        <v>25</v>
      </c>
      <c r="F564" s="4" t="s">
        <v>25</v>
      </c>
      <c r="G564" s="4" t="s">
        <v>25</v>
      </c>
      <c r="H564" s="4" t="s">
        <v>25</v>
      </c>
      <c r="I564" s="5">
        <v>44621</v>
      </c>
      <c r="J564" s="6">
        <v>0</v>
      </c>
      <c r="K564" s="6">
        <v>0</v>
      </c>
      <c r="L564" s="6">
        <v>10.018000000000001</v>
      </c>
      <c r="M564" s="6">
        <v>10.018000000000001</v>
      </c>
      <c r="N564" s="6">
        <v>10.018000000000001</v>
      </c>
      <c r="O564" s="6">
        <v>10.018000000000001</v>
      </c>
      <c r="P564" s="6">
        <v>3</v>
      </c>
      <c r="Q564" s="4" t="s">
        <v>26</v>
      </c>
      <c r="R564" s="4">
        <v>0</v>
      </c>
      <c r="S564" s="4" t="s">
        <v>296</v>
      </c>
      <c r="T564" s="4" t="s">
        <v>466</v>
      </c>
      <c r="U564" s="4">
        <v>0</v>
      </c>
      <c r="V564" s="4">
        <v>68</v>
      </c>
      <c r="W564" s="4">
        <v>76</v>
      </c>
    </row>
    <row r="565" spans="1:23" ht="11.25" customHeight="1" x14ac:dyDescent="0.25">
      <c r="A565" s="4" t="s">
        <v>21</v>
      </c>
      <c r="B565" s="4" t="s">
        <v>36</v>
      </c>
      <c r="C565" s="4" t="s">
        <v>23</v>
      </c>
      <c r="D565" s="4" t="s">
        <v>51</v>
      </c>
      <c r="E565" s="4" t="s">
        <v>25</v>
      </c>
      <c r="F565" s="4" t="s">
        <v>25</v>
      </c>
      <c r="G565" s="4" t="s">
        <v>25</v>
      </c>
      <c r="H565" s="4" t="s">
        <v>25</v>
      </c>
      <c r="I565" s="5">
        <v>44652</v>
      </c>
      <c r="J565" s="6">
        <v>0</v>
      </c>
      <c r="K565" s="6">
        <v>0</v>
      </c>
      <c r="L565" s="6">
        <v>7.766</v>
      </c>
      <c r="M565" s="6">
        <v>7.766</v>
      </c>
      <c r="N565" s="6">
        <v>7.766</v>
      </c>
      <c r="O565" s="6">
        <v>7.766</v>
      </c>
      <c r="P565" s="6">
        <v>3</v>
      </c>
      <c r="Q565" s="4" t="s">
        <v>26</v>
      </c>
      <c r="R565" s="4">
        <v>0</v>
      </c>
      <c r="S565" s="4" t="s">
        <v>297</v>
      </c>
      <c r="T565" s="4" t="s">
        <v>467</v>
      </c>
      <c r="U565" s="4">
        <v>0</v>
      </c>
      <c r="V565" s="4">
        <v>68</v>
      </c>
      <c r="W565" s="4">
        <v>76</v>
      </c>
    </row>
    <row r="566" spans="1:23" ht="11.25" customHeight="1" x14ac:dyDescent="0.25">
      <c r="A566" s="4" t="s">
        <v>21</v>
      </c>
      <c r="B566" s="4" t="s">
        <v>36</v>
      </c>
      <c r="C566" s="4" t="s">
        <v>23</v>
      </c>
      <c r="D566" s="4" t="s">
        <v>51</v>
      </c>
      <c r="E566" s="4" t="s">
        <v>25</v>
      </c>
      <c r="F566" s="4" t="s">
        <v>25</v>
      </c>
      <c r="G566" s="4" t="s">
        <v>25</v>
      </c>
      <c r="H566" s="4" t="s">
        <v>25</v>
      </c>
      <c r="I566" s="5">
        <v>44682</v>
      </c>
      <c r="J566" s="6">
        <v>0</v>
      </c>
      <c r="K566" s="6">
        <v>0</v>
      </c>
      <c r="L566" s="6">
        <v>6.9779999999999998</v>
      </c>
      <c r="M566" s="6">
        <v>6.9779999999999998</v>
      </c>
      <c r="N566" s="6">
        <v>6.9779999999999998</v>
      </c>
      <c r="O566" s="6">
        <v>6.9779999999999998</v>
      </c>
      <c r="P566" s="6">
        <v>3</v>
      </c>
      <c r="Q566" s="4" t="s">
        <v>26</v>
      </c>
      <c r="R566" s="4">
        <v>0</v>
      </c>
      <c r="S566" s="4" t="s">
        <v>298</v>
      </c>
      <c r="T566" s="4" t="s">
        <v>468</v>
      </c>
      <c r="U566" s="4">
        <v>0</v>
      </c>
      <c r="V566" s="4">
        <v>68</v>
      </c>
      <c r="W566" s="4">
        <v>76</v>
      </c>
    </row>
    <row r="567" spans="1:23" ht="11.25" customHeight="1" x14ac:dyDescent="0.25">
      <c r="A567" s="4" t="s">
        <v>55</v>
      </c>
      <c r="B567" s="4" t="s">
        <v>36</v>
      </c>
      <c r="C567" s="4" t="s">
        <v>23</v>
      </c>
      <c r="D567" s="4" t="s">
        <v>51</v>
      </c>
      <c r="E567" s="4" t="s">
        <v>25</v>
      </c>
      <c r="F567" s="4" t="s">
        <v>25</v>
      </c>
      <c r="G567" s="4" t="s">
        <v>25</v>
      </c>
      <c r="H567" s="4" t="s">
        <v>25</v>
      </c>
      <c r="I567" s="5">
        <v>44713</v>
      </c>
      <c r="J567" s="6">
        <v>0</v>
      </c>
      <c r="K567" s="6">
        <v>0</v>
      </c>
      <c r="L567" s="6">
        <v>6.9779999999999998</v>
      </c>
      <c r="M567" s="6">
        <v>6.9779999999999998</v>
      </c>
      <c r="N567" s="6">
        <v>6.9779999999999998</v>
      </c>
      <c r="O567" s="6">
        <v>6.9779999999999998</v>
      </c>
      <c r="P567" s="6">
        <v>3</v>
      </c>
      <c r="Q567" s="4" t="s">
        <v>26</v>
      </c>
      <c r="R567" s="4">
        <v>0</v>
      </c>
      <c r="S567" s="4" t="s">
        <v>299</v>
      </c>
      <c r="T567" s="4" t="s">
        <v>469</v>
      </c>
      <c r="U567" s="4">
        <v>0</v>
      </c>
      <c r="V567" s="4">
        <v>68</v>
      </c>
      <c r="W567" s="4">
        <v>76</v>
      </c>
    </row>
    <row r="568" spans="1:23" ht="11.25" customHeight="1" x14ac:dyDescent="0.25">
      <c r="A568" s="4" t="s">
        <v>21</v>
      </c>
      <c r="B568" s="4" t="s">
        <v>36</v>
      </c>
      <c r="C568" s="4" t="s">
        <v>23</v>
      </c>
      <c r="D568" s="4" t="s">
        <v>37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44378</v>
      </c>
      <c r="J568" s="6">
        <v>0</v>
      </c>
      <c r="K568" s="6">
        <v>0</v>
      </c>
      <c r="L568" s="6">
        <v>161.786</v>
      </c>
      <c r="M568" s="6">
        <v>161.786</v>
      </c>
      <c r="N568" s="6">
        <v>161.786</v>
      </c>
      <c r="O568" s="6">
        <v>161.786</v>
      </c>
      <c r="P568" s="6">
        <v>91</v>
      </c>
      <c r="Q568" s="4" t="s">
        <v>26</v>
      </c>
      <c r="R568" s="4">
        <v>0</v>
      </c>
      <c r="S568" s="4" t="s">
        <v>288</v>
      </c>
      <c r="T568" s="4" t="s">
        <v>458</v>
      </c>
      <c r="U568" s="4">
        <v>0</v>
      </c>
      <c r="V568" s="4">
        <v>68</v>
      </c>
      <c r="W568" s="4">
        <v>76</v>
      </c>
    </row>
    <row r="569" spans="1:23" ht="11.25" customHeight="1" x14ac:dyDescent="0.25">
      <c r="A569" s="4" t="s">
        <v>27</v>
      </c>
      <c r="B569" s="4" t="s">
        <v>36</v>
      </c>
      <c r="C569" s="4" t="s">
        <v>23</v>
      </c>
      <c r="D569" s="4" t="s">
        <v>37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44378</v>
      </c>
      <c r="J569" s="6">
        <v>0</v>
      </c>
      <c r="K569" s="6">
        <v>0</v>
      </c>
      <c r="L569" s="6">
        <v>12.63</v>
      </c>
      <c r="M569" s="6">
        <v>12.63</v>
      </c>
      <c r="N569" s="6">
        <v>12.63</v>
      </c>
      <c r="O569" s="6">
        <v>12.63</v>
      </c>
      <c r="P569" s="6">
        <v>14</v>
      </c>
      <c r="Q569" s="4" t="s">
        <v>26</v>
      </c>
      <c r="R569" s="4">
        <v>0</v>
      </c>
      <c r="S569" s="4" t="s">
        <v>288</v>
      </c>
      <c r="T569" s="4" t="s">
        <v>458</v>
      </c>
      <c r="U569" s="4">
        <v>0</v>
      </c>
      <c r="V569" s="4">
        <v>68</v>
      </c>
      <c r="W569" s="4">
        <v>76</v>
      </c>
    </row>
    <row r="570" spans="1:23" ht="11.25" customHeight="1" x14ac:dyDescent="0.25">
      <c r="A570" s="4" t="s">
        <v>21</v>
      </c>
      <c r="B570" s="4" t="s">
        <v>36</v>
      </c>
      <c r="C570" s="4" t="s">
        <v>23</v>
      </c>
      <c r="D570" s="4" t="s">
        <v>37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44409</v>
      </c>
      <c r="J570" s="6">
        <v>0</v>
      </c>
      <c r="K570" s="6">
        <v>0</v>
      </c>
      <c r="L570" s="6">
        <v>135.57300000000001</v>
      </c>
      <c r="M570" s="6">
        <v>135.57300000000001</v>
      </c>
      <c r="N570" s="6">
        <v>135.57300000000001</v>
      </c>
      <c r="O570" s="6">
        <v>135.57300000000001</v>
      </c>
      <c r="P570" s="6">
        <v>89</v>
      </c>
      <c r="Q570" s="4" t="s">
        <v>26</v>
      </c>
      <c r="R570" s="4">
        <v>0</v>
      </c>
      <c r="S570" s="4" t="s">
        <v>289</v>
      </c>
      <c r="T570" s="4" t="s">
        <v>459</v>
      </c>
      <c r="U570" s="4">
        <v>0</v>
      </c>
      <c r="V570" s="4">
        <v>68</v>
      </c>
      <c r="W570" s="4">
        <v>76</v>
      </c>
    </row>
    <row r="571" spans="1:23" ht="11.25" customHeight="1" x14ac:dyDescent="0.25">
      <c r="A571" s="4" t="s">
        <v>27</v>
      </c>
      <c r="B571" s="4" t="s">
        <v>36</v>
      </c>
      <c r="C571" s="4" t="s">
        <v>23</v>
      </c>
      <c r="D571" s="4" t="s">
        <v>37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44409</v>
      </c>
      <c r="J571" s="6">
        <v>0</v>
      </c>
      <c r="K571" s="6">
        <v>0</v>
      </c>
      <c r="L571" s="6">
        <v>24.561</v>
      </c>
      <c r="M571" s="6">
        <v>24.561</v>
      </c>
      <c r="N571" s="6">
        <v>24.561</v>
      </c>
      <c r="O571" s="6">
        <v>24.561</v>
      </c>
      <c r="P571" s="6">
        <v>16</v>
      </c>
      <c r="Q571" s="4" t="s">
        <v>26</v>
      </c>
      <c r="R571" s="4">
        <v>0</v>
      </c>
      <c r="S571" s="4" t="s">
        <v>289</v>
      </c>
      <c r="T571" s="4" t="s">
        <v>459</v>
      </c>
      <c r="U571" s="4">
        <v>0</v>
      </c>
      <c r="V571" s="4">
        <v>68</v>
      </c>
      <c r="W571" s="4">
        <v>76</v>
      </c>
    </row>
    <row r="572" spans="1:23" ht="11.25" customHeight="1" x14ac:dyDescent="0.25">
      <c r="A572" s="4" t="s">
        <v>21</v>
      </c>
      <c r="B572" s="4" t="s">
        <v>36</v>
      </c>
      <c r="C572" s="4" t="s">
        <v>23</v>
      </c>
      <c r="D572" s="4" t="s">
        <v>37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44440</v>
      </c>
      <c r="J572" s="6">
        <v>0</v>
      </c>
      <c r="K572" s="6">
        <v>0</v>
      </c>
      <c r="L572" s="6">
        <v>123.67700000000001</v>
      </c>
      <c r="M572" s="6">
        <v>123.67700000000001</v>
      </c>
      <c r="N572" s="6">
        <v>123.67700000000001</v>
      </c>
      <c r="O572" s="6">
        <v>123.67700000000001</v>
      </c>
      <c r="P572" s="6">
        <v>88</v>
      </c>
      <c r="Q572" s="4" t="s">
        <v>26</v>
      </c>
      <c r="R572" s="4">
        <v>0</v>
      </c>
      <c r="S572" s="4" t="s">
        <v>290</v>
      </c>
      <c r="T572" s="4" t="s">
        <v>460</v>
      </c>
      <c r="U572" s="4">
        <v>0</v>
      </c>
      <c r="V572" s="4">
        <v>68</v>
      </c>
      <c r="W572" s="4">
        <v>76</v>
      </c>
    </row>
    <row r="573" spans="1:23" ht="11.25" customHeight="1" x14ac:dyDescent="0.25">
      <c r="A573" s="4" t="s">
        <v>27</v>
      </c>
      <c r="B573" s="4" t="s">
        <v>36</v>
      </c>
      <c r="C573" s="4" t="s">
        <v>23</v>
      </c>
      <c r="D573" s="4" t="s">
        <v>37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44440</v>
      </c>
      <c r="J573" s="6">
        <v>0</v>
      </c>
      <c r="K573" s="6">
        <v>0</v>
      </c>
      <c r="L573" s="6">
        <v>18.343</v>
      </c>
      <c r="M573" s="6">
        <v>18.343</v>
      </c>
      <c r="N573" s="6">
        <v>18.343</v>
      </c>
      <c r="O573" s="6">
        <v>18.343</v>
      </c>
      <c r="P573" s="6">
        <v>17</v>
      </c>
      <c r="Q573" s="4" t="s">
        <v>26</v>
      </c>
      <c r="R573" s="4">
        <v>0</v>
      </c>
      <c r="S573" s="4" t="s">
        <v>290</v>
      </c>
      <c r="T573" s="4" t="s">
        <v>460</v>
      </c>
      <c r="U573" s="4">
        <v>0</v>
      </c>
      <c r="V573" s="4">
        <v>68</v>
      </c>
      <c r="W573" s="4">
        <v>76</v>
      </c>
    </row>
    <row r="574" spans="1:23" ht="11.25" customHeight="1" x14ac:dyDescent="0.25">
      <c r="A574" s="4" t="s">
        <v>21</v>
      </c>
      <c r="B574" s="4" t="s">
        <v>36</v>
      </c>
      <c r="C574" s="4" t="s">
        <v>23</v>
      </c>
      <c r="D574" s="4" t="s">
        <v>37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44470</v>
      </c>
      <c r="J574" s="6">
        <v>0</v>
      </c>
      <c r="K574" s="6">
        <v>0</v>
      </c>
      <c r="L574" s="6">
        <v>123.251</v>
      </c>
      <c r="M574" s="6">
        <v>123.251</v>
      </c>
      <c r="N574" s="6">
        <v>123.251</v>
      </c>
      <c r="O574" s="6">
        <v>123.251</v>
      </c>
      <c r="P574" s="6">
        <v>87</v>
      </c>
      <c r="Q574" s="4" t="s">
        <v>26</v>
      </c>
      <c r="R574" s="4">
        <v>0</v>
      </c>
      <c r="S574" s="4" t="s">
        <v>291</v>
      </c>
      <c r="T574" s="4" t="s">
        <v>461</v>
      </c>
      <c r="U574" s="4">
        <v>0</v>
      </c>
      <c r="V574" s="4">
        <v>68</v>
      </c>
      <c r="W574" s="4">
        <v>76</v>
      </c>
    </row>
    <row r="575" spans="1:23" ht="11.25" customHeight="1" x14ac:dyDescent="0.25">
      <c r="A575" s="4" t="s">
        <v>27</v>
      </c>
      <c r="B575" s="4" t="s">
        <v>36</v>
      </c>
      <c r="C575" s="4" t="s">
        <v>23</v>
      </c>
      <c r="D575" s="4" t="s">
        <v>37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44470</v>
      </c>
      <c r="J575" s="6">
        <v>0</v>
      </c>
      <c r="K575" s="6">
        <v>0</v>
      </c>
      <c r="L575" s="6">
        <v>14.35</v>
      </c>
      <c r="M575" s="6">
        <v>14.35</v>
      </c>
      <c r="N575" s="6">
        <v>14.35</v>
      </c>
      <c r="O575" s="6">
        <v>14.35</v>
      </c>
      <c r="P575" s="6">
        <v>17</v>
      </c>
      <c r="Q575" s="4" t="s">
        <v>26</v>
      </c>
      <c r="R575" s="4">
        <v>0</v>
      </c>
      <c r="S575" s="4" t="s">
        <v>291</v>
      </c>
      <c r="T575" s="4" t="s">
        <v>461</v>
      </c>
      <c r="U575" s="4">
        <v>0</v>
      </c>
      <c r="V575" s="4">
        <v>68</v>
      </c>
      <c r="W575" s="4">
        <v>76</v>
      </c>
    </row>
    <row r="576" spans="1:23" ht="11.25" customHeight="1" x14ac:dyDescent="0.25">
      <c r="A576" s="4" t="s">
        <v>21</v>
      </c>
      <c r="B576" s="4" t="s">
        <v>36</v>
      </c>
      <c r="C576" s="4" t="s">
        <v>23</v>
      </c>
      <c r="D576" s="4" t="s">
        <v>37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44501</v>
      </c>
      <c r="J576" s="6">
        <v>0</v>
      </c>
      <c r="K576" s="6">
        <v>0</v>
      </c>
      <c r="L576" s="6">
        <v>136.86000000000001</v>
      </c>
      <c r="M576" s="6">
        <v>136.86000000000001</v>
      </c>
      <c r="N576" s="6">
        <v>136.86000000000001</v>
      </c>
      <c r="O576" s="6">
        <v>136.86000000000001</v>
      </c>
      <c r="P576" s="6">
        <v>89</v>
      </c>
      <c r="Q576" s="4" t="s">
        <v>26</v>
      </c>
      <c r="R576" s="4">
        <v>0</v>
      </c>
      <c r="S576" s="4" t="s">
        <v>292</v>
      </c>
      <c r="T576" s="4" t="s">
        <v>462</v>
      </c>
      <c r="U576" s="4">
        <v>0</v>
      </c>
      <c r="V576" s="4">
        <v>68</v>
      </c>
      <c r="W576" s="4">
        <v>76</v>
      </c>
    </row>
    <row r="577" spans="1:23" ht="11.25" customHeight="1" x14ac:dyDescent="0.25">
      <c r="A577" s="4" t="s">
        <v>27</v>
      </c>
      <c r="B577" s="4" t="s">
        <v>36</v>
      </c>
      <c r="C577" s="4" t="s">
        <v>23</v>
      </c>
      <c r="D577" s="4" t="s">
        <v>37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44501</v>
      </c>
      <c r="J577" s="6">
        <v>0</v>
      </c>
      <c r="K577" s="6">
        <v>0</v>
      </c>
      <c r="L577" s="6">
        <v>16.785</v>
      </c>
      <c r="M577" s="6">
        <v>16.785</v>
      </c>
      <c r="N577" s="6">
        <v>16.785</v>
      </c>
      <c r="O577" s="6">
        <v>16.785</v>
      </c>
      <c r="P577" s="6">
        <v>17</v>
      </c>
      <c r="Q577" s="4" t="s">
        <v>26</v>
      </c>
      <c r="R577" s="4">
        <v>0</v>
      </c>
      <c r="S577" s="4" t="s">
        <v>292</v>
      </c>
      <c r="T577" s="4" t="s">
        <v>462</v>
      </c>
      <c r="U577" s="4">
        <v>0</v>
      </c>
      <c r="V577" s="4">
        <v>68</v>
      </c>
      <c r="W577" s="4">
        <v>76</v>
      </c>
    </row>
    <row r="578" spans="1:23" ht="11.25" customHeight="1" x14ac:dyDescent="0.25">
      <c r="A578" s="4" t="s">
        <v>21</v>
      </c>
      <c r="B578" s="4" t="s">
        <v>36</v>
      </c>
      <c r="C578" s="4" t="s">
        <v>23</v>
      </c>
      <c r="D578" s="4" t="s">
        <v>37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44531</v>
      </c>
      <c r="J578" s="6">
        <v>0</v>
      </c>
      <c r="K578" s="6">
        <v>0</v>
      </c>
      <c r="L578" s="6">
        <v>143.69999999999999</v>
      </c>
      <c r="M578" s="6">
        <v>143.69999999999999</v>
      </c>
      <c r="N578" s="6">
        <v>143.69999999999999</v>
      </c>
      <c r="O578" s="6">
        <v>143.69999999999999</v>
      </c>
      <c r="P578" s="6">
        <v>86</v>
      </c>
      <c r="Q578" s="4" t="s">
        <v>26</v>
      </c>
      <c r="R578" s="4">
        <v>0</v>
      </c>
      <c r="S578" s="4" t="s">
        <v>293</v>
      </c>
      <c r="T578" s="4" t="s">
        <v>463</v>
      </c>
      <c r="U578" s="4">
        <v>0</v>
      </c>
      <c r="V578" s="4">
        <v>68</v>
      </c>
      <c r="W578" s="4">
        <v>76</v>
      </c>
    </row>
    <row r="579" spans="1:23" ht="11.25" customHeight="1" x14ac:dyDescent="0.25">
      <c r="A579" s="4" t="s">
        <v>27</v>
      </c>
      <c r="B579" s="4" t="s">
        <v>36</v>
      </c>
      <c r="C579" s="4" t="s">
        <v>23</v>
      </c>
      <c r="D579" s="4" t="s">
        <v>37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44531</v>
      </c>
      <c r="J579" s="6">
        <v>0</v>
      </c>
      <c r="K579" s="6">
        <v>0</v>
      </c>
      <c r="L579" s="6">
        <v>6.3120000000000003</v>
      </c>
      <c r="M579" s="6">
        <v>6.3120000000000003</v>
      </c>
      <c r="N579" s="6">
        <v>6.3120000000000003</v>
      </c>
      <c r="O579" s="6">
        <v>6.3120000000000003</v>
      </c>
      <c r="P579" s="6">
        <v>18</v>
      </c>
      <c r="Q579" s="4" t="s">
        <v>26</v>
      </c>
      <c r="R579" s="4">
        <v>0</v>
      </c>
      <c r="S579" s="4" t="s">
        <v>293</v>
      </c>
      <c r="T579" s="4" t="s">
        <v>463</v>
      </c>
      <c r="U579" s="4">
        <v>0</v>
      </c>
      <c r="V579" s="4">
        <v>68</v>
      </c>
      <c r="W579" s="4">
        <v>76</v>
      </c>
    </row>
    <row r="580" spans="1:23" ht="11.25" customHeight="1" x14ac:dyDescent="0.25">
      <c r="A580" s="4" t="s">
        <v>21</v>
      </c>
      <c r="B580" s="4" t="s">
        <v>36</v>
      </c>
      <c r="C580" s="4" t="s">
        <v>23</v>
      </c>
      <c r="D580" s="4" t="s">
        <v>37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44562</v>
      </c>
      <c r="J580" s="6">
        <v>0</v>
      </c>
      <c r="K580" s="6">
        <v>0</v>
      </c>
      <c r="L580" s="6">
        <v>126.765</v>
      </c>
      <c r="M580" s="6">
        <v>126.765</v>
      </c>
      <c r="N580" s="6">
        <v>126.765</v>
      </c>
      <c r="O580" s="6">
        <v>126.765</v>
      </c>
      <c r="P580" s="6">
        <v>85</v>
      </c>
      <c r="Q580" s="4" t="s">
        <v>26</v>
      </c>
      <c r="R580" s="4">
        <v>0</v>
      </c>
      <c r="S580" s="4" t="s">
        <v>294</v>
      </c>
      <c r="T580" s="4" t="s">
        <v>464</v>
      </c>
      <c r="U580" s="4">
        <v>0</v>
      </c>
      <c r="V580" s="4">
        <v>68</v>
      </c>
      <c r="W580" s="4">
        <v>76</v>
      </c>
    </row>
    <row r="581" spans="1:23" ht="11.25" customHeight="1" x14ac:dyDescent="0.25">
      <c r="A581" s="4" t="s">
        <v>27</v>
      </c>
      <c r="B581" s="4" t="s">
        <v>36</v>
      </c>
      <c r="C581" s="4" t="s">
        <v>23</v>
      </c>
      <c r="D581" s="4" t="s">
        <v>37</v>
      </c>
      <c r="E581" s="4" t="s">
        <v>25</v>
      </c>
      <c r="F581" s="4" t="s">
        <v>25</v>
      </c>
      <c r="G581" s="4" t="s">
        <v>25</v>
      </c>
      <c r="H581" s="4" t="s">
        <v>25</v>
      </c>
      <c r="I581" s="5">
        <v>44562</v>
      </c>
      <c r="J581" s="6">
        <v>0</v>
      </c>
      <c r="K581" s="6">
        <v>0</v>
      </c>
      <c r="L581" s="6">
        <v>12.159000000000001</v>
      </c>
      <c r="M581" s="6">
        <v>12.159000000000001</v>
      </c>
      <c r="N581" s="6">
        <v>12.159000000000001</v>
      </c>
      <c r="O581" s="6">
        <v>12.159000000000001</v>
      </c>
      <c r="P581" s="6">
        <v>19</v>
      </c>
      <c r="Q581" s="4" t="s">
        <v>26</v>
      </c>
      <c r="R581" s="4">
        <v>0</v>
      </c>
      <c r="S581" s="4" t="s">
        <v>294</v>
      </c>
      <c r="T581" s="4" t="s">
        <v>464</v>
      </c>
      <c r="U581" s="4">
        <v>0</v>
      </c>
      <c r="V581" s="4">
        <v>68</v>
      </c>
      <c r="W581" s="4">
        <v>76</v>
      </c>
    </row>
    <row r="582" spans="1:23" ht="11.25" customHeight="1" x14ac:dyDescent="0.25">
      <c r="A582" s="4" t="s">
        <v>21</v>
      </c>
      <c r="B582" s="4" t="s">
        <v>36</v>
      </c>
      <c r="C582" s="4" t="s">
        <v>23</v>
      </c>
      <c r="D582" s="4" t="s">
        <v>37</v>
      </c>
      <c r="E582" s="4" t="s">
        <v>25</v>
      </c>
      <c r="F582" s="4" t="s">
        <v>25</v>
      </c>
      <c r="G582" s="4" t="s">
        <v>25</v>
      </c>
      <c r="H582" s="4" t="s">
        <v>25</v>
      </c>
      <c r="I582" s="5">
        <v>44593</v>
      </c>
      <c r="J582" s="6">
        <v>0</v>
      </c>
      <c r="K582" s="6">
        <v>0</v>
      </c>
      <c r="L582" s="6">
        <v>137.38399999999999</v>
      </c>
      <c r="M582" s="6">
        <v>137.38399999999999</v>
      </c>
      <c r="N582" s="6">
        <v>137.38399999999999</v>
      </c>
      <c r="O582" s="6">
        <v>137.38399999999999</v>
      </c>
      <c r="P582" s="6">
        <v>84</v>
      </c>
      <c r="Q582" s="4" t="s">
        <v>26</v>
      </c>
      <c r="R582" s="4">
        <v>0</v>
      </c>
      <c r="S582" s="4" t="s">
        <v>295</v>
      </c>
      <c r="T582" s="4" t="s">
        <v>465</v>
      </c>
      <c r="U582" s="4">
        <v>0</v>
      </c>
      <c r="V582" s="4">
        <v>68</v>
      </c>
      <c r="W582" s="4">
        <v>76</v>
      </c>
    </row>
    <row r="583" spans="1:23" ht="11.25" customHeight="1" x14ac:dyDescent="0.25">
      <c r="A583" s="4" t="s">
        <v>27</v>
      </c>
      <c r="B583" s="4" t="s">
        <v>36</v>
      </c>
      <c r="C583" s="4" t="s">
        <v>23</v>
      </c>
      <c r="D583" s="4" t="s">
        <v>37</v>
      </c>
      <c r="E583" s="4" t="s">
        <v>25</v>
      </c>
      <c r="F583" s="4" t="s">
        <v>25</v>
      </c>
      <c r="G583" s="4" t="s">
        <v>25</v>
      </c>
      <c r="H583" s="4" t="s">
        <v>25</v>
      </c>
      <c r="I583" s="5">
        <v>44593</v>
      </c>
      <c r="J583" s="6">
        <v>0</v>
      </c>
      <c r="K583" s="6">
        <v>0</v>
      </c>
      <c r="L583" s="6">
        <v>11.898999999999999</v>
      </c>
      <c r="M583" s="6">
        <v>11.898999999999999</v>
      </c>
      <c r="N583" s="6">
        <v>11.898999999999999</v>
      </c>
      <c r="O583" s="6">
        <v>11.898999999999999</v>
      </c>
      <c r="P583" s="6">
        <v>19</v>
      </c>
      <c r="Q583" s="4" t="s">
        <v>26</v>
      </c>
      <c r="R583" s="4">
        <v>0</v>
      </c>
      <c r="S583" s="4" t="s">
        <v>295</v>
      </c>
      <c r="T583" s="4" t="s">
        <v>465</v>
      </c>
      <c r="U583" s="4">
        <v>0</v>
      </c>
      <c r="V583" s="4">
        <v>68</v>
      </c>
      <c r="W583" s="4">
        <v>76</v>
      </c>
    </row>
    <row r="584" spans="1:23" ht="11.25" customHeight="1" x14ac:dyDescent="0.25">
      <c r="A584" s="4" t="s">
        <v>21</v>
      </c>
      <c r="B584" s="4" t="s">
        <v>36</v>
      </c>
      <c r="C584" s="4" t="s">
        <v>23</v>
      </c>
      <c r="D584" s="4" t="s">
        <v>37</v>
      </c>
      <c r="E584" s="4" t="s">
        <v>25</v>
      </c>
      <c r="F584" s="4" t="s">
        <v>25</v>
      </c>
      <c r="G584" s="4" t="s">
        <v>25</v>
      </c>
      <c r="H584" s="4" t="s">
        <v>25</v>
      </c>
      <c r="I584" s="5">
        <v>44621</v>
      </c>
      <c r="J584" s="6">
        <v>0</v>
      </c>
      <c r="K584" s="6">
        <v>0</v>
      </c>
      <c r="L584" s="6">
        <v>141.16200000000001</v>
      </c>
      <c r="M584" s="6">
        <v>141.16200000000001</v>
      </c>
      <c r="N584" s="6">
        <v>141.16200000000001</v>
      </c>
      <c r="O584" s="6">
        <v>141.16200000000001</v>
      </c>
      <c r="P584" s="6">
        <v>84</v>
      </c>
      <c r="Q584" s="4" t="s">
        <v>26</v>
      </c>
      <c r="R584" s="4">
        <v>0</v>
      </c>
      <c r="S584" s="4" t="s">
        <v>296</v>
      </c>
      <c r="T584" s="4" t="s">
        <v>466</v>
      </c>
      <c r="U584" s="4">
        <v>0</v>
      </c>
      <c r="V584" s="4">
        <v>68</v>
      </c>
      <c r="W584" s="4">
        <v>76</v>
      </c>
    </row>
    <row r="585" spans="1:23" ht="11.25" customHeight="1" x14ac:dyDescent="0.25">
      <c r="A585" s="4" t="s">
        <v>27</v>
      </c>
      <c r="B585" s="4" t="s">
        <v>36</v>
      </c>
      <c r="C585" s="4" t="s">
        <v>23</v>
      </c>
      <c r="D585" s="4" t="s">
        <v>37</v>
      </c>
      <c r="E585" s="4" t="s">
        <v>25</v>
      </c>
      <c r="F585" s="4" t="s">
        <v>25</v>
      </c>
      <c r="G585" s="4" t="s">
        <v>25</v>
      </c>
      <c r="H585" s="4" t="s">
        <v>25</v>
      </c>
      <c r="I585" s="5">
        <v>44621</v>
      </c>
      <c r="J585" s="6">
        <v>0</v>
      </c>
      <c r="K585" s="6">
        <v>0</v>
      </c>
      <c r="L585" s="6">
        <v>23.125</v>
      </c>
      <c r="M585" s="6">
        <v>23.125</v>
      </c>
      <c r="N585" s="6">
        <v>23.125</v>
      </c>
      <c r="O585" s="6">
        <v>23.125</v>
      </c>
      <c r="P585" s="6">
        <v>20</v>
      </c>
      <c r="Q585" s="4" t="s">
        <v>26</v>
      </c>
      <c r="R585" s="4">
        <v>0</v>
      </c>
      <c r="S585" s="4" t="s">
        <v>296</v>
      </c>
      <c r="T585" s="4" t="s">
        <v>466</v>
      </c>
      <c r="U585" s="4">
        <v>0</v>
      </c>
      <c r="V585" s="4">
        <v>68</v>
      </c>
      <c r="W585" s="4">
        <v>76</v>
      </c>
    </row>
    <row r="586" spans="1:23" ht="11.25" customHeight="1" x14ac:dyDescent="0.25">
      <c r="A586" s="4" t="s">
        <v>21</v>
      </c>
      <c r="B586" s="4" t="s">
        <v>36</v>
      </c>
      <c r="C586" s="4" t="s">
        <v>23</v>
      </c>
      <c r="D586" s="4" t="s">
        <v>37</v>
      </c>
      <c r="E586" s="4" t="s">
        <v>25</v>
      </c>
      <c r="F586" s="4" t="s">
        <v>25</v>
      </c>
      <c r="G586" s="4" t="s">
        <v>25</v>
      </c>
      <c r="H586" s="4" t="s">
        <v>25</v>
      </c>
      <c r="I586" s="5">
        <v>44652</v>
      </c>
      <c r="J586" s="6">
        <v>0</v>
      </c>
      <c r="K586" s="6">
        <v>0</v>
      </c>
      <c r="L586" s="6">
        <v>119.083</v>
      </c>
      <c r="M586" s="6">
        <v>119.083</v>
      </c>
      <c r="N586" s="6">
        <v>119.083</v>
      </c>
      <c r="O586" s="6">
        <v>119.083</v>
      </c>
      <c r="P586" s="6">
        <v>85</v>
      </c>
      <c r="Q586" s="4" t="s">
        <v>26</v>
      </c>
      <c r="R586" s="4">
        <v>0</v>
      </c>
      <c r="S586" s="4" t="s">
        <v>297</v>
      </c>
      <c r="T586" s="4" t="s">
        <v>467</v>
      </c>
      <c r="U586" s="4">
        <v>0</v>
      </c>
      <c r="V586" s="4">
        <v>68</v>
      </c>
      <c r="W586" s="4">
        <v>76</v>
      </c>
    </row>
    <row r="587" spans="1:23" ht="11.25" customHeight="1" x14ac:dyDescent="0.25">
      <c r="A587" s="4" t="s">
        <v>27</v>
      </c>
      <c r="B587" s="4" t="s">
        <v>36</v>
      </c>
      <c r="C587" s="4" t="s">
        <v>23</v>
      </c>
      <c r="D587" s="4" t="s">
        <v>37</v>
      </c>
      <c r="E587" s="4" t="s">
        <v>25</v>
      </c>
      <c r="F587" s="4" t="s">
        <v>25</v>
      </c>
      <c r="G587" s="4" t="s">
        <v>25</v>
      </c>
      <c r="H587" s="4" t="s">
        <v>25</v>
      </c>
      <c r="I587" s="5">
        <v>44652</v>
      </c>
      <c r="J587" s="6">
        <v>0</v>
      </c>
      <c r="K587" s="6">
        <v>0</v>
      </c>
      <c r="L587" s="6">
        <v>15.375999999999999</v>
      </c>
      <c r="M587" s="6">
        <v>15.375999999999999</v>
      </c>
      <c r="N587" s="6">
        <v>15.375999999999999</v>
      </c>
      <c r="O587" s="6">
        <v>15.375999999999999</v>
      </c>
      <c r="P587" s="6">
        <v>20</v>
      </c>
      <c r="Q587" s="4" t="s">
        <v>26</v>
      </c>
      <c r="R587" s="4">
        <v>0</v>
      </c>
      <c r="S587" s="4" t="s">
        <v>297</v>
      </c>
      <c r="T587" s="4" t="s">
        <v>467</v>
      </c>
      <c r="U587" s="4">
        <v>0</v>
      </c>
      <c r="V587" s="4">
        <v>68</v>
      </c>
      <c r="W587" s="4">
        <v>76</v>
      </c>
    </row>
    <row r="588" spans="1:23" ht="11.25" customHeight="1" x14ac:dyDescent="0.25">
      <c r="A588" s="4" t="s">
        <v>21</v>
      </c>
      <c r="B588" s="4" t="s">
        <v>36</v>
      </c>
      <c r="C588" s="4" t="s">
        <v>23</v>
      </c>
      <c r="D588" s="4" t="s">
        <v>37</v>
      </c>
      <c r="E588" s="4" t="s">
        <v>25</v>
      </c>
      <c r="F588" s="4" t="s">
        <v>25</v>
      </c>
      <c r="G588" s="4" t="s">
        <v>25</v>
      </c>
      <c r="H588" s="4" t="s">
        <v>25</v>
      </c>
      <c r="I588" s="5">
        <v>44682</v>
      </c>
      <c r="J588" s="6">
        <v>0</v>
      </c>
      <c r="K588" s="6">
        <v>0</v>
      </c>
      <c r="L588" s="6">
        <v>123.544</v>
      </c>
      <c r="M588" s="6">
        <v>123.544</v>
      </c>
      <c r="N588" s="6">
        <v>123.544</v>
      </c>
      <c r="O588" s="6">
        <v>123.544</v>
      </c>
      <c r="P588" s="6">
        <v>82</v>
      </c>
      <c r="Q588" s="4" t="s">
        <v>26</v>
      </c>
      <c r="R588" s="4">
        <v>0</v>
      </c>
      <c r="S588" s="4" t="s">
        <v>298</v>
      </c>
      <c r="T588" s="4" t="s">
        <v>468</v>
      </c>
      <c r="U588" s="4">
        <v>0</v>
      </c>
      <c r="V588" s="4">
        <v>68</v>
      </c>
      <c r="W588" s="4">
        <v>76</v>
      </c>
    </row>
    <row r="589" spans="1:23" ht="11.25" customHeight="1" x14ac:dyDescent="0.25">
      <c r="A589" s="4" t="s">
        <v>27</v>
      </c>
      <c r="B589" s="4" t="s">
        <v>36</v>
      </c>
      <c r="C589" s="4" t="s">
        <v>23</v>
      </c>
      <c r="D589" s="4" t="s">
        <v>37</v>
      </c>
      <c r="E589" s="4" t="s">
        <v>25</v>
      </c>
      <c r="F589" s="4" t="s">
        <v>25</v>
      </c>
      <c r="G589" s="4" t="s">
        <v>25</v>
      </c>
      <c r="H589" s="4" t="s">
        <v>25</v>
      </c>
      <c r="I589" s="5">
        <v>44682</v>
      </c>
      <c r="J589" s="6">
        <v>0</v>
      </c>
      <c r="K589" s="6">
        <v>0</v>
      </c>
      <c r="L589" s="6">
        <v>29.393999999999998</v>
      </c>
      <c r="M589" s="6">
        <v>29.393999999999998</v>
      </c>
      <c r="N589" s="6">
        <v>29.393999999999998</v>
      </c>
      <c r="O589" s="6">
        <v>29.393999999999998</v>
      </c>
      <c r="P589" s="6">
        <v>20</v>
      </c>
      <c r="Q589" s="4" t="s">
        <v>26</v>
      </c>
      <c r="R589" s="4">
        <v>0</v>
      </c>
      <c r="S589" s="4" t="s">
        <v>298</v>
      </c>
      <c r="T589" s="4" t="s">
        <v>468</v>
      </c>
      <c r="U589" s="4">
        <v>0</v>
      </c>
      <c r="V589" s="4">
        <v>68</v>
      </c>
      <c r="W589" s="4">
        <v>76</v>
      </c>
    </row>
    <row r="590" spans="1:23" ht="11.25" customHeight="1" x14ac:dyDescent="0.25">
      <c r="A590" s="4" t="s">
        <v>55</v>
      </c>
      <c r="B590" s="4" t="s">
        <v>36</v>
      </c>
      <c r="C590" s="4" t="s">
        <v>23</v>
      </c>
      <c r="D590" s="4" t="s">
        <v>37</v>
      </c>
      <c r="E590" s="4" t="s">
        <v>25</v>
      </c>
      <c r="F590" s="4" t="s">
        <v>25</v>
      </c>
      <c r="G590" s="4" t="s">
        <v>25</v>
      </c>
      <c r="H590" s="4" t="s">
        <v>25</v>
      </c>
      <c r="I590" s="5">
        <v>44713</v>
      </c>
      <c r="J590" s="6">
        <v>0</v>
      </c>
      <c r="K590" s="6">
        <v>0</v>
      </c>
      <c r="L590" s="6">
        <v>123.544</v>
      </c>
      <c r="M590" s="6">
        <v>123.544</v>
      </c>
      <c r="N590" s="6">
        <v>123.544</v>
      </c>
      <c r="O590" s="6">
        <v>123.544</v>
      </c>
      <c r="P590" s="6">
        <v>82</v>
      </c>
      <c r="Q590" s="4" t="s">
        <v>26</v>
      </c>
      <c r="R590" s="4">
        <v>0</v>
      </c>
      <c r="S590" s="4" t="s">
        <v>299</v>
      </c>
      <c r="T590" s="4" t="s">
        <v>469</v>
      </c>
      <c r="U590" s="4">
        <v>0</v>
      </c>
      <c r="V590" s="4">
        <v>68</v>
      </c>
      <c r="W590" s="4">
        <v>76</v>
      </c>
    </row>
    <row r="591" spans="1:23" ht="11.25" customHeight="1" x14ac:dyDescent="0.25">
      <c r="A591" s="4" t="s">
        <v>55</v>
      </c>
      <c r="B591" s="4" t="s">
        <v>36</v>
      </c>
      <c r="C591" s="4" t="s">
        <v>23</v>
      </c>
      <c r="D591" s="4" t="s">
        <v>37</v>
      </c>
      <c r="E591" s="4" t="s">
        <v>25</v>
      </c>
      <c r="F591" s="4" t="s">
        <v>25</v>
      </c>
      <c r="G591" s="4" t="s">
        <v>25</v>
      </c>
      <c r="H591" s="4" t="s">
        <v>25</v>
      </c>
      <c r="I591" s="5">
        <v>44713</v>
      </c>
      <c r="J591" s="6">
        <v>0</v>
      </c>
      <c r="K591" s="6">
        <v>0</v>
      </c>
      <c r="L591" s="6">
        <v>29.393999999999998</v>
      </c>
      <c r="M591" s="6">
        <v>29.393999999999998</v>
      </c>
      <c r="N591" s="6">
        <v>29.393999999999998</v>
      </c>
      <c r="O591" s="6">
        <v>29.393999999999998</v>
      </c>
      <c r="P591" s="6">
        <v>20</v>
      </c>
      <c r="Q591" s="4" t="s">
        <v>26</v>
      </c>
      <c r="R591" s="4">
        <v>0</v>
      </c>
      <c r="S591" s="4" t="s">
        <v>299</v>
      </c>
      <c r="T591" s="4" t="s">
        <v>469</v>
      </c>
      <c r="U591" s="4">
        <v>0</v>
      </c>
      <c r="V591" s="4">
        <v>68</v>
      </c>
      <c r="W591" s="4">
        <v>76</v>
      </c>
    </row>
    <row r="592" spans="1:23" ht="11.25" customHeight="1" x14ac:dyDescent="0.25">
      <c r="A592" s="4" t="s">
        <v>21</v>
      </c>
      <c r="B592" s="4" t="s">
        <v>36</v>
      </c>
      <c r="C592" s="4" t="s">
        <v>23</v>
      </c>
      <c r="D592" s="4" t="s">
        <v>44</v>
      </c>
      <c r="E592" s="4" t="s">
        <v>25</v>
      </c>
      <c r="F592" s="4" t="s">
        <v>25</v>
      </c>
      <c r="G592" s="4" t="s">
        <v>25</v>
      </c>
      <c r="H592" s="4" t="s">
        <v>25</v>
      </c>
      <c r="I592" s="5">
        <v>44378</v>
      </c>
      <c r="J592" s="6">
        <v>0</v>
      </c>
      <c r="K592" s="6">
        <v>0</v>
      </c>
      <c r="L592" s="6">
        <v>131.809</v>
      </c>
      <c r="M592" s="6">
        <v>131.809</v>
      </c>
      <c r="N592" s="6">
        <v>131.809</v>
      </c>
      <c r="O592" s="6">
        <v>131.809</v>
      </c>
      <c r="P592" s="6">
        <v>144</v>
      </c>
      <c r="Q592" s="4" t="s">
        <v>26</v>
      </c>
      <c r="R592" s="4">
        <v>0</v>
      </c>
      <c r="S592" s="4" t="s">
        <v>288</v>
      </c>
      <c r="T592" s="4" t="s">
        <v>458</v>
      </c>
      <c r="U592" s="4">
        <v>0</v>
      </c>
      <c r="V592" s="4">
        <v>68</v>
      </c>
      <c r="W592" s="4">
        <v>76</v>
      </c>
    </row>
    <row r="593" spans="1:23" ht="11.25" customHeight="1" x14ac:dyDescent="0.25">
      <c r="A593" s="4" t="s">
        <v>21</v>
      </c>
      <c r="B593" s="4" t="s">
        <v>36</v>
      </c>
      <c r="C593" s="4" t="s">
        <v>23</v>
      </c>
      <c r="D593" s="4" t="s">
        <v>44</v>
      </c>
      <c r="E593" s="4" t="s">
        <v>25</v>
      </c>
      <c r="F593" s="4" t="s">
        <v>25</v>
      </c>
      <c r="G593" s="4" t="s">
        <v>25</v>
      </c>
      <c r="H593" s="4" t="s">
        <v>25</v>
      </c>
      <c r="I593" s="5">
        <v>44409</v>
      </c>
      <c r="J593" s="6">
        <v>0</v>
      </c>
      <c r="K593" s="6">
        <v>0</v>
      </c>
      <c r="L593" s="6">
        <v>125.95099999999999</v>
      </c>
      <c r="M593" s="6">
        <v>125.95099999999999</v>
      </c>
      <c r="N593" s="6">
        <v>125.95099999999999</v>
      </c>
      <c r="O593" s="6">
        <v>125.95099999999999</v>
      </c>
      <c r="P593" s="6">
        <v>144</v>
      </c>
      <c r="Q593" s="4" t="s">
        <v>26</v>
      </c>
      <c r="R593" s="4">
        <v>0</v>
      </c>
      <c r="S593" s="4" t="s">
        <v>289</v>
      </c>
      <c r="T593" s="4" t="s">
        <v>459</v>
      </c>
      <c r="U593" s="4">
        <v>0</v>
      </c>
      <c r="V593" s="4">
        <v>68</v>
      </c>
      <c r="W593" s="4">
        <v>76</v>
      </c>
    </row>
    <row r="594" spans="1:23" ht="11.25" customHeight="1" x14ac:dyDescent="0.25">
      <c r="A594" s="4" t="s">
        <v>21</v>
      </c>
      <c r="B594" s="4" t="s">
        <v>36</v>
      </c>
      <c r="C594" s="4" t="s">
        <v>23</v>
      </c>
      <c r="D594" s="4" t="s">
        <v>44</v>
      </c>
      <c r="E594" s="4" t="s">
        <v>25</v>
      </c>
      <c r="F594" s="4" t="s">
        <v>25</v>
      </c>
      <c r="G594" s="4" t="s">
        <v>25</v>
      </c>
      <c r="H594" s="4" t="s">
        <v>25</v>
      </c>
      <c r="I594" s="5">
        <v>44440</v>
      </c>
      <c r="J594" s="6">
        <v>0</v>
      </c>
      <c r="K594" s="6">
        <v>0</v>
      </c>
      <c r="L594" s="6">
        <v>96.822000000000003</v>
      </c>
      <c r="M594" s="6">
        <v>96.822000000000003</v>
      </c>
      <c r="N594" s="6">
        <v>96.822000000000003</v>
      </c>
      <c r="O594" s="6">
        <v>96.822000000000003</v>
      </c>
      <c r="P594" s="6">
        <v>142</v>
      </c>
      <c r="Q594" s="4" t="s">
        <v>26</v>
      </c>
      <c r="R594" s="4">
        <v>0</v>
      </c>
      <c r="S594" s="4" t="s">
        <v>290</v>
      </c>
      <c r="T594" s="4" t="s">
        <v>460</v>
      </c>
      <c r="U594" s="4">
        <v>0</v>
      </c>
      <c r="V594" s="4">
        <v>68</v>
      </c>
      <c r="W594" s="4">
        <v>76</v>
      </c>
    </row>
    <row r="595" spans="1:23" ht="11.25" customHeight="1" x14ac:dyDescent="0.25">
      <c r="A595" s="4" t="s">
        <v>21</v>
      </c>
      <c r="B595" s="4" t="s">
        <v>36</v>
      </c>
      <c r="C595" s="4" t="s">
        <v>23</v>
      </c>
      <c r="D595" s="4" t="s">
        <v>44</v>
      </c>
      <c r="E595" s="4" t="s">
        <v>25</v>
      </c>
      <c r="F595" s="4" t="s">
        <v>25</v>
      </c>
      <c r="G595" s="4" t="s">
        <v>25</v>
      </c>
      <c r="H595" s="4" t="s">
        <v>25</v>
      </c>
      <c r="I595" s="5">
        <v>44470</v>
      </c>
      <c r="J595" s="6">
        <v>0</v>
      </c>
      <c r="K595" s="6">
        <v>0</v>
      </c>
      <c r="L595" s="6">
        <v>99.596000000000004</v>
      </c>
      <c r="M595" s="6">
        <v>99.596000000000004</v>
      </c>
      <c r="N595" s="6">
        <v>99.596000000000004</v>
      </c>
      <c r="O595" s="6">
        <v>99.596000000000004</v>
      </c>
      <c r="P595" s="6">
        <v>145</v>
      </c>
      <c r="Q595" s="4" t="s">
        <v>26</v>
      </c>
      <c r="R595" s="4">
        <v>0</v>
      </c>
      <c r="S595" s="4" t="s">
        <v>291</v>
      </c>
      <c r="T595" s="4" t="s">
        <v>461</v>
      </c>
      <c r="U595" s="4">
        <v>0</v>
      </c>
      <c r="V595" s="4">
        <v>68</v>
      </c>
      <c r="W595" s="4">
        <v>76</v>
      </c>
    </row>
    <row r="596" spans="1:23" ht="11.25" customHeight="1" x14ac:dyDescent="0.25">
      <c r="A596" s="4" t="s">
        <v>21</v>
      </c>
      <c r="B596" s="4" t="s">
        <v>36</v>
      </c>
      <c r="C596" s="4" t="s">
        <v>23</v>
      </c>
      <c r="D596" s="4" t="s">
        <v>44</v>
      </c>
      <c r="E596" s="4" t="s">
        <v>25</v>
      </c>
      <c r="F596" s="4" t="s">
        <v>25</v>
      </c>
      <c r="G596" s="4" t="s">
        <v>25</v>
      </c>
      <c r="H596" s="4" t="s">
        <v>25</v>
      </c>
      <c r="I596" s="5">
        <v>44501</v>
      </c>
      <c r="J596" s="6">
        <v>0</v>
      </c>
      <c r="K596" s="6">
        <v>0</v>
      </c>
      <c r="L596" s="6">
        <v>151.63999999999999</v>
      </c>
      <c r="M596" s="6">
        <v>151.63999999999999</v>
      </c>
      <c r="N596" s="6">
        <v>151.63999999999999</v>
      </c>
      <c r="O596" s="6">
        <v>151.63999999999999</v>
      </c>
      <c r="P596" s="6">
        <v>145</v>
      </c>
      <c r="Q596" s="4" t="s">
        <v>26</v>
      </c>
      <c r="R596" s="4">
        <v>0</v>
      </c>
      <c r="S596" s="4" t="s">
        <v>292</v>
      </c>
      <c r="T596" s="4" t="s">
        <v>462</v>
      </c>
      <c r="U596" s="4">
        <v>0</v>
      </c>
      <c r="V596" s="4">
        <v>68</v>
      </c>
      <c r="W596" s="4">
        <v>76</v>
      </c>
    </row>
    <row r="597" spans="1:23" ht="11.25" customHeight="1" x14ac:dyDescent="0.25">
      <c r="A597" s="4" t="s">
        <v>21</v>
      </c>
      <c r="B597" s="4" t="s">
        <v>36</v>
      </c>
      <c r="C597" s="4" t="s">
        <v>23</v>
      </c>
      <c r="D597" s="4" t="s">
        <v>44</v>
      </c>
      <c r="E597" s="4" t="s">
        <v>25</v>
      </c>
      <c r="F597" s="4" t="s">
        <v>25</v>
      </c>
      <c r="G597" s="4" t="s">
        <v>25</v>
      </c>
      <c r="H597" s="4" t="s">
        <v>25</v>
      </c>
      <c r="I597" s="5">
        <v>44531</v>
      </c>
      <c r="J597" s="6">
        <v>0</v>
      </c>
      <c r="K597" s="6">
        <v>0</v>
      </c>
      <c r="L597" s="6">
        <v>180.57900000000001</v>
      </c>
      <c r="M597" s="6">
        <v>180.57900000000001</v>
      </c>
      <c r="N597" s="6">
        <v>180.57900000000001</v>
      </c>
      <c r="O597" s="6">
        <v>180.57900000000001</v>
      </c>
      <c r="P597" s="6">
        <v>144</v>
      </c>
      <c r="Q597" s="4" t="s">
        <v>26</v>
      </c>
      <c r="R597" s="4">
        <v>0</v>
      </c>
      <c r="S597" s="4" t="s">
        <v>293</v>
      </c>
      <c r="T597" s="4" t="s">
        <v>463</v>
      </c>
      <c r="U597" s="4">
        <v>0</v>
      </c>
      <c r="V597" s="4">
        <v>68</v>
      </c>
      <c r="W597" s="4">
        <v>76</v>
      </c>
    </row>
    <row r="598" spans="1:23" ht="11.25" customHeight="1" x14ac:dyDescent="0.25">
      <c r="A598" s="4" t="s">
        <v>41</v>
      </c>
      <c r="B598" s="4" t="s">
        <v>36</v>
      </c>
      <c r="C598" s="4" t="s">
        <v>23</v>
      </c>
      <c r="D598" s="4" t="s">
        <v>44</v>
      </c>
      <c r="E598" s="4" t="s">
        <v>25</v>
      </c>
      <c r="F598" s="4" t="s">
        <v>25</v>
      </c>
      <c r="G598" s="4" t="s">
        <v>25</v>
      </c>
      <c r="H598" s="4" t="s">
        <v>25</v>
      </c>
      <c r="I598" s="5">
        <v>44531</v>
      </c>
      <c r="J598" s="6">
        <v>0</v>
      </c>
      <c r="K598" s="6">
        <v>0</v>
      </c>
      <c r="L598" s="6">
        <v>0.48899999999999999</v>
      </c>
      <c r="M598" s="6">
        <v>0.48899999999999999</v>
      </c>
      <c r="N598" s="6">
        <v>0.48899999999999999</v>
      </c>
      <c r="O598" s="6">
        <v>0.48899999999999999</v>
      </c>
      <c r="P598" s="6">
        <v>0</v>
      </c>
      <c r="Q598" s="4" t="s">
        <v>26</v>
      </c>
      <c r="R598" s="4">
        <v>0</v>
      </c>
      <c r="S598" s="4" t="s">
        <v>293</v>
      </c>
      <c r="T598" s="4" t="s">
        <v>463</v>
      </c>
      <c r="U598" s="4">
        <v>0</v>
      </c>
      <c r="V598" s="4">
        <v>68</v>
      </c>
      <c r="W598" s="4">
        <v>76</v>
      </c>
    </row>
    <row r="599" spans="1:23" ht="11.25" customHeight="1" x14ac:dyDescent="0.25">
      <c r="A599" s="4" t="s">
        <v>21</v>
      </c>
      <c r="B599" s="4" t="s">
        <v>36</v>
      </c>
      <c r="C599" s="4" t="s">
        <v>23</v>
      </c>
      <c r="D599" s="4" t="s">
        <v>44</v>
      </c>
      <c r="E599" s="4" t="s">
        <v>25</v>
      </c>
      <c r="F599" s="4" t="s">
        <v>25</v>
      </c>
      <c r="G599" s="4" t="s">
        <v>25</v>
      </c>
      <c r="H599" s="4" t="s">
        <v>25</v>
      </c>
      <c r="I599" s="5">
        <v>44562</v>
      </c>
      <c r="J599" s="6">
        <v>0</v>
      </c>
      <c r="K599" s="6">
        <v>0</v>
      </c>
      <c r="L599" s="6">
        <v>139.97</v>
      </c>
      <c r="M599" s="6">
        <v>139.97</v>
      </c>
      <c r="N599" s="6">
        <v>139.97</v>
      </c>
      <c r="O599" s="6">
        <v>139.97</v>
      </c>
      <c r="P599" s="6">
        <v>144</v>
      </c>
      <c r="Q599" s="4" t="s">
        <v>26</v>
      </c>
      <c r="R599" s="4">
        <v>0</v>
      </c>
      <c r="S599" s="4" t="s">
        <v>294</v>
      </c>
      <c r="T599" s="4" t="s">
        <v>464</v>
      </c>
      <c r="U599" s="4">
        <v>0</v>
      </c>
      <c r="V599" s="4">
        <v>68</v>
      </c>
      <c r="W599" s="4">
        <v>76</v>
      </c>
    </row>
    <row r="600" spans="1:23" ht="11.25" customHeight="1" x14ac:dyDescent="0.25">
      <c r="A600" s="4" t="s">
        <v>21</v>
      </c>
      <c r="B600" s="4" t="s">
        <v>36</v>
      </c>
      <c r="C600" s="4" t="s">
        <v>23</v>
      </c>
      <c r="D600" s="4" t="s">
        <v>44</v>
      </c>
      <c r="E600" s="4" t="s">
        <v>25</v>
      </c>
      <c r="F600" s="4" t="s">
        <v>25</v>
      </c>
      <c r="G600" s="4" t="s">
        <v>25</v>
      </c>
      <c r="H600" s="4" t="s">
        <v>25</v>
      </c>
      <c r="I600" s="5">
        <v>44593</v>
      </c>
      <c r="J600" s="6">
        <v>0</v>
      </c>
      <c r="K600" s="6">
        <v>0</v>
      </c>
      <c r="L600" s="6">
        <v>137.822</v>
      </c>
      <c r="M600" s="6">
        <v>137.822</v>
      </c>
      <c r="N600" s="6">
        <v>137.822</v>
      </c>
      <c r="O600" s="6">
        <v>137.822</v>
      </c>
      <c r="P600" s="6">
        <v>145</v>
      </c>
      <c r="Q600" s="4" t="s">
        <v>26</v>
      </c>
      <c r="R600" s="4">
        <v>0</v>
      </c>
      <c r="S600" s="4" t="s">
        <v>295</v>
      </c>
      <c r="T600" s="4" t="s">
        <v>465</v>
      </c>
      <c r="U600" s="4">
        <v>0</v>
      </c>
      <c r="V600" s="4">
        <v>68</v>
      </c>
      <c r="W600" s="4">
        <v>76</v>
      </c>
    </row>
    <row r="601" spans="1:23" ht="11.25" customHeight="1" x14ac:dyDescent="0.25">
      <c r="A601" s="4" t="s">
        <v>21</v>
      </c>
      <c r="B601" s="4" t="s">
        <v>36</v>
      </c>
      <c r="C601" s="4" t="s">
        <v>23</v>
      </c>
      <c r="D601" s="4" t="s">
        <v>44</v>
      </c>
      <c r="E601" s="4" t="s">
        <v>25</v>
      </c>
      <c r="F601" s="4" t="s">
        <v>25</v>
      </c>
      <c r="G601" s="4" t="s">
        <v>25</v>
      </c>
      <c r="H601" s="4" t="s">
        <v>25</v>
      </c>
      <c r="I601" s="5">
        <v>44621</v>
      </c>
      <c r="J601" s="6">
        <v>0</v>
      </c>
      <c r="K601" s="6">
        <v>0</v>
      </c>
      <c r="L601" s="6">
        <v>229.821</v>
      </c>
      <c r="M601" s="6">
        <v>229.821</v>
      </c>
      <c r="N601" s="6">
        <v>229.821</v>
      </c>
      <c r="O601" s="6">
        <v>229.821</v>
      </c>
      <c r="P601" s="6">
        <v>147</v>
      </c>
      <c r="Q601" s="4" t="s">
        <v>26</v>
      </c>
      <c r="R601" s="4">
        <v>0</v>
      </c>
      <c r="S601" s="4" t="s">
        <v>296</v>
      </c>
      <c r="T601" s="4" t="s">
        <v>466</v>
      </c>
      <c r="U601" s="4">
        <v>0</v>
      </c>
      <c r="V601" s="4">
        <v>68</v>
      </c>
      <c r="W601" s="4">
        <v>76</v>
      </c>
    </row>
    <row r="602" spans="1:23" ht="11.25" customHeight="1" x14ac:dyDescent="0.25">
      <c r="A602" s="4" t="s">
        <v>21</v>
      </c>
      <c r="B602" s="4" t="s">
        <v>36</v>
      </c>
      <c r="C602" s="4" t="s">
        <v>23</v>
      </c>
      <c r="D602" s="4" t="s">
        <v>44</v>
      </c>
      <c r="E602" s="4" t="s">
        <v>25</v>
      </c>
      <c r="F602" s="4" t="s">
        <v>25</v>
      </c>
      <c r="G602" s="4" t="s">
        <v>25</v>
      </c>
      <c r="H602" s="4" t="s">
        <v>25</v>
      </c>
      <c r="I602" s="5">
        <v>44652</v>
      </c>
      <c r="J602" s="6">
        <v>0</v>
      </c>
      <c r="K602" s="6">
        <v>0</v>
      </c>
      <c r="L602" s="6">
        <v>119.70099999999999</v>
      </c>
      <c r="M602" s="6">
        <v>119.70099999999999</v>
      </c>
      <c r="N602" s="6">
        <v>119.70099999999999</v>
      </c>
      <c r="O602" s="6">
        <v>119.70099999999999</v>
      </c>
      <c r="P602" s="6">
        <v>144</v>
      </c>
      <c r="Q602" s="4" t="s">
        <v>26</v>
      </c>
      <c r="R602" s="4">
        <v>0</v>
      </c>
      <c r="S602" s="4" t="s">
        <v>297</v>
      </c>
      <c r="T602" s="4" t="s">
        <v>467</v>
      </c>
      <c r="U602" s="4">
        <v>0</v>
      </c>
      <c r="V602" s="4">
        <v>68</v>
      </c>
      <c r="W602" s="4">
        <v>76</v>
      </c>
    </row>
    <row r="603" spans="1:23" ht="11.25" customHeight="1" x14ac:dyDescent="0.25">
      <c r="A603" s="4" t="s">
        <v>41</v>
      </c>
      <c r="B603" s="4" t="s">
        <v>36</v>
      </c>
      <c r="C603" s="4" t="s">
        <v>23</v>
      </c>
      <c r="D603" s="4" t="s">
        <v>44</v>
      </c>
      <c r="E603" s="4" t="s">
        <v>25</v>
      </c>
      <c r="F603" s="4" t="s">
        <v>25</v>
      </c>
      <c r="G603" s="4" t="s">
        <v>25</v>
      </c>
      <c r="H603" s="4" t="s">
        <v>25</v>
      </c>
      <c r="I603" s="5">
        <v>44652</v>
      </c>
      <c r="J603" s="6">
        <v>0</v>
      </c>
      <c r="K603" s="6">
        <v>0</v>
      </c>
      <c r="L603" s="6">
        <v>-6.55</v>
      </c>
      <c r="M603" s="6">
        <v>-6.55</v>
      </c>
      <c r="N603" s="6">
        <v>-6.55</v>
      </c>
      <c r="O603" s="6">
        <v>-6.55</v>
      </c>
      <c r="P603" s="6">
        <v>0</v>
      </c>
      <c r="Q603" s="4" t="s">
        <v>26</v>
      </c>
      <c r="R603" s="4">
        <v>0</v>
      </c>
      <c r="S603" s="4" t="s">
        <v>297</v>
      </c>
      <c r="T603" s="4" t="s">
        <v>467</v>
      </c>
      <c r="U603" s="4">
        <v>0</v>
      </c>
      <c r="V603" s="4">
        <v>68</v>
      </c>
      <c r="W603" s="4">
        <v>76</v>
      </c>
    </row>
    <row r="604" spans="1:23" ht="11.25" customHeight="1" x14ac:dyDescent="0.25">
      <c r="A604" s="4" t="s">
        <v>21</v>
      </c>
      <c r="B604" s="4" t="s">
        <v>36</v>
      </c>
      <c r="C604" s="4" t="s">
        <v>23</v>
      </c>
      <c r="D604" s="4" t="s">
        <v>44</v>
      </c>
      <c r="E604" s="4" t="s">
        <v>25</v>
      </c>
      <c r="F604" s="4" t="s">
        <v>25</v>
      </c>
      <c r="G604" s="4" t="s">
        <v>25</v>
      </c>
      <c r="H604" s="4" t="s">
        <v>25</v>
      </c>
      <c r="I604" s="5">
        <v>44682</v>
      </c>
      <c r="J604" s="6">
        <v>0</v>
      </c>
      <c r="K604" s="6">
        <v>0</v>
      </c>
      <c r="L604" s="6">
        <v>122.13800000000001</v>
      </c>
      <c r="M604" s="6">
        <v>122.13800000000001</v>
      </c>
      <c r="N604" s="6">
        <v>122.13800000000001</v>
      </c>
      <c r="O604" s="6">
        <v>122.13800000000001</v>
      </c>
      <c r="P604" s="6">
        <v>150</v>
      </c>
      <c r="Q604" s="4" t="s">
        <v>26</v>
      </c>
      <c r="R604" s="4">
        <v>0</v>
      </c>
      <c r="S604" s="4" t="s">
        <v>298</v>
      </c>
      <c r="T604" s="4" t="s">
        <v>468</v>
      </c>
      <c r="U604" s="4">
        <v>0</v>
      </c>
      <c r="V604" s="4">
        <v>68</v>
      </c>
      <c r="W604" s="4">
        <v>76</v>
      </c>
    </row>
    <row r="605" spans="1:23" ht="11.25" customHeight="1" x14ac:dyDescent="0.25">
      <c r="A605" s="4" t="s">
        <v>55</v>
      </c>
      <c r="B605" s="4" t="s">
        <v>36</v>
      </c>
      <c r="C605" s="4" t="s">
        <v>23</v>
      </c>
      <c r="D605" s="4" t="s">
        <v>44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44713</v>
      </c>
      <c r="J605" s="6">
        <v>0</v>
      </c>
      <c r="K605" s="6">
        <v>0</v>
      </c>
      <c r="L605" s="6">
        <v>122.13800000000001</v>
      </c>
      <c r="M605" s="6">
        <v>122.13800000000001</v>
      </c>
      <c r="N605" s="6">
        <v>122.13800000000001</v>
      </c>
      <c r="O605" s="6">
        <v>122.13800000000001</v>
      </c>
      <c r="P605" s="6">
        <v>150</v>
      </c>
      <c r="Q605" s="4" t="s">
        <v>26</v>
      </c>
      <c r="R605" s="4">
        <v>0</v>
      </c>
      <c r="S605" s="4" t="s">
        <v>299</v>
      </c>
      <c r="T605" s="4" t="s">
        <v>469</v>
      </c>
      <c r="U605" s="4">
        <v>0</v>
      </c>
      <c r="V605" s="4">
        <v>68</v>
      </c>
      <c r="W605" s="4">
        <v>76</v>
      </c>
    </row>
    <row r="606" spans="1:23" ht="11.25" customHeight="1" x14ac:dyDescent="0.25">
      <c r="A606" s="4" t="s">
        <v>21</v>
      </c>
      <c r="B606" s="4" t="s">
        <v>36</v>
      </c>
      <c r="C606" s="4" t="s">
        <v>23</v>
      </c>
      <c r="D606" s="4" t="s">
        <v>48</v>
      </c>
      <c r="E606" s="4" t="s">
        <v>49</v>
      </c>
      <c r="F606" s="4" t="s">
        <v>25</v>
      </c>
      <c r="G606" s="4" t="s">
        <v>25</v>
      </c>
      <c r="H606" s="4" t="s">
        <v>25</v>
      </c>
      <c r="I606" s="5">
        <v>44378</v>
      </c>
      <c r="J606" s="6">
        <v>0</v>
      </c>
      <c r="K606" s="6">
        <v>0</v>
      </c>
      <c r="L606" s="6">
        <v>128.226</v>
      </c>
      <c r="M606" s="6">
        <v>120.53243999999999</v>
      </c>
      <c r="N606" s="6">
        <v>128.226</v>
      </c>
      <c r="O606" s="6">
        <v>120.53243999999999</v>
      </c>
      <c r="P606" s="6">
        <v>23</v>
      </c>
      <c r="Q606" s="4" t="s">
        <v>26</v>
      </c>
      <c r="R606" s="4">
        <v>0</v>
      </c>
      <c r="S606" s="4" t="s">
        <v>288</v>
      </c>
      <c r="T606" s="4" t="s">
        <v>458</v>
      </c>
      <c r="U606" s="4">
        <v>0</v>
      </c>
      <c r="V606" s="4">
        <v>68</v>
      </c>
      <c r="W606" s="4">
        <v>76</v>
      </c>
    </row>
    <row r="607" spans="1:23" ht="11.25" customHeight="1" x14ac:dyDescent="0.25">
      <c r="A607" s="4" t="s">
        <v>21</v>
      </c>
      <c r="B607" s="4" t="s">
        <v>36</v>
      </c>
      <c r="C607" s="4" t="s">
        <v>23</v>
      </c>
      <c r="D607" s="4" t="s">
        <v>48</v>
      </c>
      <c r="E607" s="4" t="s">
        <v>49</v>
      </c>
      <c r="F607" s="4" t="s">
        <v>25</v>
      </c>
      <c r="G607" s="4" t="s">
        <v>25</v>
      </c>
      <c r="H607" s="4" t="s">
        <v>25</v>
      </c>
      <c r="I607" s="5">
        <v>44409</v>
      </c>
      <c r="J607" s="6">
        <v>0</v>
      </c>
      <c r="K607" s="6">
        <v>0</v>
      </c>
      <c r="L607" s="6">
        <v>134.18799999999999</v>
      </c>
      <c r="M607" s="6">
        <v>126.13672</v>
      </c>
      <c r="N607" s="6">
        <v>134.18799999999999</v>
      </c>
      <c r="O607" s="6">
        <v>126.13672</v>
      </c>
      <c r="P607" s="6">
        <v>23</v>
      </c>
      <c r="Q607" s="4" t="s">
        <v>26</v>
      </c>
      <c r="R607" s="4">
        <v>0</v>
      </c>
      <c r="S607" s="4" t="s">
        <v>289</v>
      </c>
      <c r="T607" s="4" t="s">
        <v>459</v>
      </c>
      <c r="U607" s="4">
        <v>0</v>
      </c>
      <c r="V607" s="4">
        <v>68</v>
      </c>
      <c r="W607" s="4">
        <v>76</v>
      </c>
    </row>
    <row r="608" spans="1:23" ht="11.25" customHeight="1" x14ac:dyDescent="0.25">
      <c r="A608" s="4" t="s">
        <v>21</v>
      </c>
      <c r="B608" s="4" t="s">
        <v>36</v>
      </c>
      <c r="C608" s="4" t="s">
        <v>23</v>
      </c>
      <c r="D608" s="4" t="s">
        <v>48</v>
      </c>
      <c r="E608" s="4" t="s">
        <v>49</v>
      </c>
      <c r="F608" s="4" t="s">
        <v>25</v>
      </c>
      <c r="G608" s="4" t="s">
        <v>25</v>
      </c>
      <c r="H608" s="4" t="s">
        <v>25</v>
      </c>
      <c r="I608" s="5">
        <v>44440</v>
      </c>
      <c r="J608" s="6">
        <v>0</v>
      </c>
      <c r="K608" s="6">
        <v>0</v>
      </c>
      <c r="L608" s="6">
        <v>120.355</v>
      </c>
      <c r="M608" s="6">
        <v>113.1337</v>
      </c>
      <c r="N608" s="6">
        <v>120.355</v>
      </c>
      <c r="O608" s="6">
        <v>113.1337</v>
      </c>
      <c r="P608" s="6">
        <v>23</v>
      </c>
      <c r="Q608" s="4" t="s">
        <v>26</v>
      </c>
      <c r="R608" s="4">
        <v>0</v>
      </c>
      <c r="S608" s="4" t="s">
        <v>290</v>
      </c>
      <c r="T608" s="4" t="s">
        <v>460</v>
      </c>
      <c r="U608" s="4">
        <v>0</v>
      </c>
      <c r="V608" s="4">
        <v>68</v>
      </c>
      <c r="W608" s="4">
        <v>76</v>
      </c>
    </row>
    <row r="609" spans="1:23" ht="11.25" customHeight="1" x14ac:dyDescent="0.25">
      <c r="A609" s="4" t="s">
        <v>21</v>
      </c>
      <c r="B609" s="4" t="s">
        <v>36</v>
      </c>
      <c r="C609" s="4" t="s">
        <v>23</v>
      </c>
      <c r="D609" s="4" t="s">
        <v>48</v>
      </c>
      <c r="E609" s="4" t="s">
        <v>49</v>
      </c>
      <c r="F609" s="4" t="s">
        <v>25</v>
      </c>
      <c r="G609" s="4" t="s">
        <v>25</v>
      </c>
      <c r="H609" s="4" t="s">
        <v>25</v>
      </c>
      <c r="I609" s="5">
        <v>44470</v>
      </c>
      <c r="J609" s="6">
        <v>0</v>
      </c>
      <c r="K609" s="6">
        <v>0</v>
      </c>
      <c r="L609" s="6">
        <v>117.742</v>
      </c>
      <c r="M609" s="6">
        <v>110.67748</v>
      </c>
      <c r="N609" s="6">
        <v>117.742</v>
      </c>
      <c r="O609" s="6">
        <v>110.67748</v>
      </c>
      <c r="P609" s="6">
        <v>23</v>
      </c>
      <c r="Q609" s="4" t="s">
        <v>26</v>
      </c>
      <c r="R609" s="4">
        <v>0</v>
      </c>
      <c r="S609" s="4" t="s">
        <v>291</v>
      </c>
      <c r="T609" s="4" t="s">
        <v>461</v>
      </c>
      <c r="U609" s="4">
        <v>0</v>
      </c>
      <c r="V609" s="4">
        <v>68</v>
      </c>
      <c r="W609" s="4">
        <v>76</v>
      </c>
    </row>
    <row r="610" spans="1:23" ht="11.25" customHeight="1" x14ac:dyDescent="0.25">
      <c r="A610" s="4" t="s">
        <v>21</v>
      </c>
      <c r="B610" s="4" t="s">
        <v>36</v>
      </c>
      <c r="C610" s="4" t="s">
        <v>23</v>
      </c>
      <c r="D610" s="4" t="s">
        <v>48</v>
      </c>
      <c r="E610" s="4" t="s">
        <v>49</v>
      </c>
      <c r="F610" s="4" t="s">
        <v>25</v>
      </c>
      <c r="G610" s="4" t="s">
        <v>25</v>
      </c>
      <c r="H610" s="4" t="s">
        <v>25</v>
      </c>
      <c r="I610" s="5">
        <v>44501</v>
      </c>
      <c r="J610" s="6">
        <v>0</v>
      </c>
      <c r="K610" s="6">
        <v>0</v>
      </c>
      <c r="L610" s="6">
        <v>138.86199999999999</v>
      </c>
      <c r="M610" s="6">
        <v>130.53028</v>
      </c>
      <c r="N610" s="6">
        <v>138.86199999999999</v>
      </c>
      <c r="O610" s="6">
        <v>130.53028</v>
      </c>
      <c r="P610" s="6">
        <v>23</v>
      </c>
      <c r="Q610" s="4" t="s">
        <v>26</v>
      </c>
      <c r="R610" s="4">
        <v>0</v>
      </c>
      <c r="S610" s="4" t="s">
        <v>292</v>
      </c>
      <c r="T610" s="4" t="s">
        <v>462</v>
      </c>
      <c r="U610" s="4">
        <v>0</v>
      </c>
      <c r="V610" s="4">
        <v>68</v>
      </c>
      <c r="W610" s="4">
        <v>76</v>
      </c>
    </row>
    <row r="611" spans="1:23" ht="11.25" customHeight="1" x14ac:dyDescent="0.25">
      <c r="A611" s="4" t="s">
        <v>21</v>
      </c>
      <c r="B611" s="4" t="s">
        <v>36</v>
      </c>
      <c r="C611" s="4" t="s">
        <v>23</v>
      </c>
      <c r="D611" s="4" t="s">
        <v>48</v>
      </c>
      <c r="E611" s="4" t="s">
        <v>49</v>
      </c>
      <c r="F611" s="4" t="s">
        <v>25</v>
      </c>
      <c r="G611" s="4" t="s">
        <v>25</v>
      </c>
      <c r="H611" s="4" t="s">
        <v>25</v>
      </c>
      <c r="I611" s="5">
        <v>44531</v>
      </c>
      <c r="J611" s="6">
        <v>0</v>
      </c>
      <c r="K611" s="6">
        <v>0</v>
      </c>
      <c r="L611" s="6">
        <v>136.72</v>
      </c>
      <c r="M611" s="6">
        <v>128.51679999999999</v>
      </c>
      <c r="N611" s="6">
        <v>136.72</v>
      </c>
      <c r="O611" s="6">
        <v>128.51679999999999</v>
      </c>
      <c r="P611" s="6">
        <v>23</v>
      </c>
      <c r="Q611" s="4" t="s">
        <v>26</v>
      </c>
      <c r="R611" s="4">
        <v>0</v>
      </c>
      <c r="S611" s="4" t="s">
        <v>293</v>
      </c>
      <c r="T611" s="4" t="s">
        <v>463</v>
      </c>
      <c r="U611" s="4">
        <v>0</v>
      </c>
      <c r="V611" s="4">
        <v>68</v>
      </c>
      <c r="W611" s="4">
        <v>76</v>
      </c>
    </row>
    <row r="612" spans="1:23" ht="11.25" customHeight="1" x14ac:dyDescent="0.25">
      <c r="A612" s="4" t="s">
        <v>21</v>
      </c>
      <c r="B612" s="4" t="s">
        <v>36</v>
      </c>
      <c r="C612" s="4" t="s">
        <v>23</v>
      </c>
      <c r="D612" s="4" t="s">
        <v>48</v>
      </c>
      <c r="E612" s="4" t="s">
        <v>49</v>
      </c>
      <c r="F612" s="4" t="s">
        <v>25</v>
      </c>
      <c r="G612" s="4" t="s">
        <v>25</v>
      </c>
      <c r="H612" s="4" t="s">
        <v>25</v>
      </c>
      <c r="I612" s="5">
        <v>44562</v>
      </c>
      <c r="J612" s="6">
        <v>0</v>
      </c>
      <c r="K612" s="6">
        <v>0</v>
      </c>
      <c r="L612" s="6">
        <v>133.994</v>
      </c>
      <c r="M612" s="6">
        <v>125.95435999999999</v>
      </c>
      <c r="N612" s="6">
        <v>133.994</v>
      </c>
      <c r="O612" s="6">
        <v>125.95435999999999</v>
      </c>
      <c r="P612" s="6">
        <v>23</v>
      </c>
      <c r="Q612" s="4" t="s">
        <v>26</v>
      </c>
      <c r="R612" s="4">
        <v>0</v>
      </c>
      <c r="S612" s="4" t="s">
        <v>294</v>
      </c>
      <c r="T612" s="4" t="s">
        <v>464</v>
      </c>
      <c r="U612" s="4">
        <v>0</v>
      </c>
      <c r="V612" s="4">
        <v>68</v>
      </c>
      <c r="W612" s="4">
        <v>76</v>
      </c>
    </row>
    <row r="613" spans="1:23" ht="11.25" customHeight="1" x14ac:dyDescent="0.25">
      <c r="A613" s="4" t="s">
        <v>21</v>
      </c>
      <c r="B613" s="4" t="s">
        <v>36</v>
      </c>
      <c r="C613" s="4" t="s">
        <v>23</v>
      </c>
      <c r="D613" s="4" t="s">
        <v>48</v>
      </c>
      <c r="E613" s="4" t="s">
        <v>49</v>
      </c>
      <c r="F613" s="4" t="s">
        <v>25</v>
      </c>
      <c r="G613" s="4" t="s">
        <v>25</v>
      </c>
      <c r="H613" s="4" t="s">
        <v>25</v>
      </c>
      <c r="I613" s="5">
        <v>44593</v>
      </c>
      <c r="J613" s="6">
        <v>0</v>
      </c>
      <c r="K613" s="6">
        <v>0</v>
      </c>
      <c r="L613" s="6">
        <v>130.32300000000001</v>
      </c>
      <c r="M613" s="6">
        <v>122.50362</v>
      </c>
      <c r="N613" s="6">
        <v>130.32300000000001</v>
      </c>
      <c r="O613" s="6">
        <v>122.50362</v>
      </c>
      <c r="P613" s="6">
        <v>32</v>
      </c>
      <c r="Q613" s="4" t="s">
        <v>26</v>
      </c>
      <c r="R613" s="4">
        <v>0</v>
      </c>
      <c r="S613" s="4" t="s">
        <v>295</v>
      </c>
      <c r="T613" s="4" t="s">
        <v>465</v>
      </c>
      <c r="U613" s="4">
        <v>0</v>
      </c>
      <c r="V613" s="4">
        <v>68</v>
      </c>
      <c r="W613" s="4">
        <v>76</v>
      </c>
    </row>
    <row r="614" spans="1:23" ht="11.25" customHeight="1" x14ac:dyDescent="0.25">
      <c r="A614" s="4" t="s">
        <v>21</v>
      </c>
      <c r="B614" s="4" t="s">
        <v>36</v>
      </c>
      <c r="C614" s="4" t="s">
        <v>23</v>
      </c>
      <c r="D614" s="4" t="s">
        <v>48</v>
      </c>
      <c r="E614" s="4" t="s">
        <v>49</v>
      </c>
      <c r="F614" s="4" t="s">
        <v>25</v>
      </c>
      <c r="G614" s="4" t="s">
        <v>25</v>
      </c>
      <c r="H614" s="4" t="s">
        <v>25</v>
      </c>
      <c r="I614" s="5">
        <v>44621</v>
      </c>
      <c r="J614" s="6">
        <v>0</v>
      </c>
      <c r="K614" s="6">
        <v>0</v>
      </c>
      <c r="L614" s="6">
        <v>134.40899999999999</v>
      </c>
      <c r="M614" s="6">
        <v>126.34446</v>
      </c>
      <c r="N614" s="6">
        <v>134.40899999999999</v>
      </c>
      <c r="O614" s="6">
        <v>126.34446</v>
      </c>
      <c r="P614" s="6">
        <v>32</v>
      </c>
      <c r="Q614" s="4" t="s">
        <v>26</v>
      </c>
      <c r="R614" s="4">
        <v>0</v>
      </c>
      <c r="S614" s="4" t="s">
        <v>296</v>
      </c>
      <c r="T614" s="4" t="s">
        <v>466</v>
      </c>
      <c r="U614" s="4">
        <v>0</v>
      </c>
      <c r="V614" s="4">
        <v>68</v>
      </c>
      <c r="W614" s="4">
        <v>76</v>
      </c>
    </row>
    <row r="615" spans="1:23" ht="11.25" customHeight="1" x14ac:dyDescent="0.25">
      <c r="A615" s="4" t="s">
        <v>21</v>
      </c>
      <c r="B615" s="4" t="s">
        <v>36</v>
      </c>
      <c r="C615" s="4" t="s">
        <v>23</v>
      </c>
      <c r="D615" s="4" t="s">
        <v>48</v>
      </c>
      <c r="E615" s="4" t="s">
        <v>49</v>
      </c>
      <c r="F615" s="4" t="s">
        <v>25</v>
      </c>
      <c r="G615" s="4" t="s">
        <v>25</v>
      </c>
      <c r="H615" s="4" t="s">
        <v>25</v>
      </c>
      <c r="I615" s="5">
        <v>44652</v>
      </c>
      <c r="J615" s="6">
        <v>0</v>
      </c>
      <c r="K615" s="6">
        <v>0</v>
      </c>
      <c r="L615" s="6">
        <v>141.02799999999999</v>
      </c>
      <c r="M615" s="6">
        <v>132.56631999999999</v>
      </c>
      <c r="N615" s="6">
        <v>141.02799999999999</v>
      </c>
      <c r="O615" s="6">
        <v>132.56631999999999</v>
      </c>
      <c r="P615" s="6">
        <v>33</v>
      </c>
      <c r="Q615" s="4" t="s">
        <v>26</v>
      </c>
      <c r="R615" s="4">
        <v>0</v>
      </c>
      <c r="S615" s="4" t="s">
        <v>297</v>
      </c>
      <c r="T615" s="4" t="s">
        <v>467</v>
      </c>
      <c r="U615" s="4">
        <v>0</v>
      </c>
      <c r="V615" s="4">
        <v>68</v>
      </c>
      <c r="W615" s="4">
        <v>76</v>
      </c>
    </row>
    <row r="616" spans="1:23" ht="11.25" customHeight="1" x14ac:dyDescent="0.25">
      <c r="A616" s="4" t="s">
        <v>21</v>
      </c>
      <c r="B616" s="4" t="s">
        <v>36</v>
      </c>
      <c r="C616" s="4" t="s">
        <v>23</v>
      </c>
      <c r="D616" s="4" t="s">
        <v>48</v>
      </c>
      <c r="E616" s="4" t="s">
        <v>49</v>
      </c>
      <c r="F616" s="4" t="s">
        <v>25</v>
      </c>
      <c r="G616" s="4" t="s">
        <v>25</v>
      </c>
      <c r="H616" s="4" t="s">
        <v>25</v>
      </c>
      <c r="I616" s="5">
        <v>44682</v>
      </c>
      <c r="J616" s="6">
        <v>0</v>
      </c>
      <c r="K616" s="6">
        <v>0</v>
      </c>
      <c r="L616" s="6">
        <v>143.99799999999999</v>
      </c>
      <c r="M616" s="6">
        <v>135.35812000000001</v>
      </c>
      <c r="N616" s="6">
        <v>143.99799999999999</v>
      </c>
      <c r="O616" s="6">
        <v>135.35812000000001</v>
      </c>
      <c r="P616" s="6">
        <v>33</v>
      </c>
      <c r="Q616" s="4" t="s">
        <v>26</v>
      </c>
      <c r="R616" s="4">
        <v>0</v>
      </c>
      <c r="S616" s="4" t="s">
        <v>298</v>
      </c>
      <c r="T616" s="4" t="s">
        <v>468</v>
      </c>
      <c r="U616" s="4">
        <v>0</v>
      </c>
      <c r="V616" s="4">
        <v>68</v>
      </c>
      <c r="W616" s="4">
        <v>76</v>
      </c>
    </row>
    <row r="617" spans="1:23" ht="11.25" customHeight="1" x14ac:dyDescent="0.25">
      <c r="A617" s="4" t="s">
        <v>55</v>
      </c>
      <c r="B617" s="4" t="s">
        <v>36</v>
      </c>
      <c r="C617" s="4" t="s">
        <v>23</v>
      </c>
      <c r="D617" s="4" t="s">
        <v>48</v>
      </c>
      <c r="E617" s="4" t="s">
        <v>49</v>
      </c>
      <c r="F617" s="4" t="s">
        <v>25</v>
      </c>
      <c r="G617" s="4" t="s">
        <v>25</v>
      </c>
      <c r="H617" s="4" t="s">
        <v>25</v>
      </c>
      <c r="I617" s="5">
        <v>44713</v>
      </c>
      <c r="J617" s="6">
        <v>0</v>
      </c>
      <c r="K617" s="6">
        <v>0</v>
      </c>
      <c r="L617" s="6">
        <v>143.99799999999999</v>
      </c>
      <c r="M617" s="6">
        <v>135.35812000000001</v>
      </c>
      <c r="N617" s="6">
        <v>143.99799999999999</v>
      </c>
      <c r="O617" s="6">
        <v>135.35812000000001</v>
      </c>
      <c r="P617" s="6">
        <v>33</v>
      </c>
      <c r="Q617" s="4" t="s">
        <v>26</v>
      </c>
      <c r="R617" s="4">
        <v>0</v>
      </c>
      <c r="S617" s="4" t="s">
        <v>299</v>
      </c>
      <c r="T617" s="4" t="s">
        <v>469</v>
      </c>
      <c r="U617" s="4">
        <v>0</v>
      </c>
      <c r="V617" s="4">
        <v>68</v>
      </c>
      <c r="W617" s="4">
        <v>76</v>
      </c>
    </row>
    <row r="618" spans="1:23" ht="11.25" customHeight="1" x14ac:dyDescent="0.25">
      <c r="A618" s="4" t="s">
        <v>21</v>
      </c>
      <c r="B618" s="4" t="s">
        <v>45</v>
      </c>
      <c r="C618" s="4" t="s">
        <v>23</v>
      </c>
      <c r="D618" s="4" t="s">
        <v>46</v>
      </c>
      <c r="E618" s="4" t="s">
        <v>47</v>
      </c>
      <c r="F618" s="4" t="s">
        <v>25</v>
      </c>
      <c r="G618" s="4" t="s">
        <v>25</v>
      </c>
      <c r="H618" s="4" t="s">
        <v>25</v>
      </c>
      <c r="I618" s="5">
        <v>44378</v>
      </c>
      <c r="J618" s="6">
        <v>0</v>
      </c>
      <c r="K618" s="6">
        <v>0</v>
      </c>
      <c r="L618" s="6">
        <v>418.91800000000001</v>
      </c>
      <c r="M618" s="6">
        <v>418.91800000000001</v>
      </c>
      <c r="N618" s="6">
        <v>418.91800000000001</v>
      </c>
      <c r="O618" s="6">
        <v>418.91800000000001</v>
      </c>
      <c r="P618" s="6">
        <v>4</v>
      </c>
      <c r="Q618" s="4" t="s">
        <v>26</v>
      </c>
      <c r="R618" s="4">
        <v>0</v>
      </c>
      <c r="S618" s="4" t="s">
        <v>300</v>
      </c>
      <c r="T618" s="4" t="s">
        <v>470</v>
      </c>
      <c r="U618" s="4">
        <v>0</v>
      </c>
      <c r="V618" s="4">
        <v>74</v>
      </c>
      <c r="W618" s="4">
        <v>59</v>
      </c>
    </row>
    <row r="619" spans="1:23" ht="11.25" customHeight="1" x14ac:dyDescent="0.25">
      <c r="A619" s="4" t="s">
        <v>21</v>
      </c>
      <c r="B619" s="4" t="s">
        <v>45</v>
      </c>
      <c r="C619" s="4" t="s">
        <v>23</v>
      </c>
      <c r="D619" s="4" t="s">
        <v>46</v>
      </c>
      <c r="E619" s="4" t="s">
        <v>47</v>
      </c>
      <c r="F619" s="4" t="s">
        <v>25</v>
      </c>
      <c r="G619" s="4" t="s">
        <v>25</v>
      </c>
      <c r="H619" s="4" t="s">
        <v>25</v>
      </c>
      <c r="I619" s="5">
        <v>44409</v>
      </c>
      <c r="J619" s="6">
        <v>0</v>
      </c>
      <c r="K619" s="6">
        <v>0</v>
      </c>
      <c r="L619" s="6">
        <v>419.18200000000002</v>
      </c>
      <c r="M619" s="6">
        <v>419.18200000000002</v>
      </c>
      <c r="N619" s="6">
        <v>419.18200000000002</v>
      </c>
      <c r="O619" s="6">
        <v>419.18200000000002</v>
      </c>
      <c r="P619" s="6">
        <v>4</v>
      </c>
      <c r="Q619" s="4" t="s">
        <v>26</v>
      </c>
      <c r="R619" s="4">
        <v>0</v>
      </c>
      <c r="S619" s="4" t="s">
        <v>301</v>
      </c>
      <c r="T619" s="4" t="s">
        <v>471</v>
      </c>
      <c r="U619" s="4">
        <v>0</v>
      </c>
      <c r="V619" s="4">
        <v>74</v>
      </c>
      <c r="W619" s="4">
        <v>59</v>
      </c>
    </row>
    <row r="620" spans="1:23" ht="11.25" customHeight="1" x14ac:dyDescent="0.25">
      <c r="A620" s="4" t="s">
        <v>21</v>
      </c>
      <c r="B620" s="4" t="s">
        <v>45</v>
      </c>
      <c r="C620" s="4" t="s">
        <v>23</v>
      </c>
      <c r="D620" s="4" t="s">
        <v>46</v>
      </c>
      <c r="E620" s="4" t="s">
        <v>47</v>
      </c>
      <c r="F620" s="4" t="s">
        <v>25</v>
      </c>
      <c r="G620" s="4" t="s">
        <v>25</v>
      </c>
      <c r="H620" s="4" t="s">
        <v>25</v>
      </c>
      <c r="I620" s="5">
        <v>44440</v>
      </c>
      <c r="J620" s="6">
        <v>0</v>
      </c>
      <c r="K620" s="6">
        <v>0</v>
      </c>
      <c r="L620" s="6">
        <v>405.67500000000001</v>
      </c>
      <c r="M620" s="6">
        <v>405.67500000000001</v>
      </c>
      <c r="N620" s="6">
        <v>405.67500000000001</v>
      </c>
      <c r="O620" s="6">
        <v>405.67500000000001</v>
      </c>
      <c r="P620" s="6">
        <v>4</v>
      </c>
      <c r="Q620" s="4" t="s">
        <v>26</v>
      </c>
      <c r="R620" s="4">
        <v>0</v>
      </c>
      <c r="S620" s="4" t="s">
        <v>302</v>
      </c>
      <c r="T620" s="4" t="s">
        <v>472</v>
      </c>
      <c r="U620" s="4">
        <v>0</v>
      </c>
      <c r="V620" s="4">
        <v>74</v>
      </c>
      <c r="W620" s="4">
        <v>59</v>
      </c>
    </row>
    <row r="621" spans="1:23" ht="11.25" customHeight="1" x14ac:dyDescent="0.25">
      <c r="A621" s="4" t="s">
        <v>21</v>
      </c>
      <c r="B621" s="4" t="s">
        <v>45</v>
      </c>
      <c r="C621" s="4" t="s">
        <v>23</v>
      </c>
      <c r="D621" s="4" t="s">
        <v>46</v>
      </c>
      <c r="E621" s="4" t="s">
        <v>47</v>
      </c>
      <c r="F621" s="4" t="s">
        <v>25</v>
      </c>
      <c r="G621" s="4" t="s">
        <v>25</v>
      </c>
      <c r="H621" s="4" t="s">
        <v>25</v>
      </c>
      <c r="I621" s="5">
        <v>44470</v>
      </c>
      <c r="J621" s="6">
        <v>0</v>
      </c>
      <c r="K621" s="6">
        <v>0</v>
      </c>
      <c r="L621" s="6">
        <v>419.04899999999998</v>
      </c>
      <c r="M621" s="6">
        <v>419.04899999999998</v>
      </c>
      <c r="N621" s="6">
        <v>419.04899999999998</v>
      </c>
      <c r="O621" s="6">
        <v>419.04899999999998</v>
      </c>
      <c r="P621" s="6">
        <v>4</v>
      </c>
      <c r="Q621" s="4" t="s">
        <v>26</v>
      </c>
      <c r="R621" s="4">
        <v>0</v>
      </c>
      <c r="S621" s="4" t="s">
        <v>303</v>
      </c>
      <c r="T621" s="4" t="s">
        <v>473</v>
      </c>
      <c r="U621" s="4">
        <v>0</v>
      </c>
      <c r="V621" s="4">
        <v>74</v>
      </c>
      <c r="W621" s="4">
        <v>59</v>
      </c>
    </row>
    <row r="622" spans="1:23" ht="11.25" customHeight="1" x14ac:dyDescent="0.25">
      <c r="A622" s="4" t="s">
        <v>21</v>
      </c>
      <c r="B622" s="4" t="s">
        <v>45</v>
      </c>
      <c r="C622" s="4" t="s">
        <v>23</v>
      </c>
      <c r="D622" s="4" t="s">
        <v>46</v>
      </c>
      <c r="E622" s="4" t="s">
        <v>47</v>
      </c>
      <c r="F622" s="4" t="s">
        <v>25</v>
      </c>
      <c r="G622" s="4" t="s">
        <v>25</v>
      </c>
      <c r="H622" s="4" t="s">
        <v>25</v>
      </c>
      <c r="I622" s="5">
        <v>44501</v>
      </c>
      <c r="J622" s="6">
        <v>0</v>
      </c>
      <c r="K622" s="6">
        <v>0</v>
      </c>
      <c r="L622" s="6">
        <v>404.16300000000001</v>
      </c>
      <c r="M622" s="6">
        <v>404.16300000000001</v>
      </c>
      <c r="N622" s="6">
        <v>404.16300000000001</v>
      </c>
      <c r="O622" s="6">
        <v>404.16300000000001</v>
      </c>
      <c r="P622" s="6">
        <v>4</v>
      </c>
      <c r="Q622" s="4" t="s">
        <v>26</v>
      </c>
      <c r="R622" s="4">
        <v>0</v>
      </c>
      <c r="S622" s="4" t="s">
        <v>304</v>
      </c>
      <c r="T622" s="4" t="s">
        <v>474</v>
      </c>
      <c r="U622" s="4">
        <v>0</v>
      </c>
      <c r="V622" s="4">
        <v>74</v>
      </c>
      <c r="W622" s="4">
        <v>59</v>
      </c>
    </row>
    <row r="623" spans="1:23" ht="11.25" customHeight="1" x14ac:dyDescent="0.25">
      <c r="A623" s="4" t="s">
        <v>21</v>
      </c>
      <c r="B623" s="4" t="s">
        <v>45</v>
      </c>
      <c r="C623" s="4" t="s">
        <v>23</v>
      </c>
      <c r="D623" s="4" t="s">
        <v>46</v>
      </c>
      <c r="E623" s="4" t="s">
        <v>47</v>
      </c>
      <c r="F623" s="4" t="s">
        <v>25</v>
      </c>
      <c r="G623" s="4" t="s">
        <v>25</v>
      </c>
      <c r="H623" s="4" t="s">
        <v>25</v>
      </c>
      <c r="I623" s="5">
        <v>44531</v>
      </c>
      <c r="J623" s="6">
        <v>0</v>
      </c>
      <c r="K623" s="6">
        <v>0</v>
      </c>
      <c r="L623" s="6">
        <v>418.75099999999998</v>
      </c>
      <c r="M623" s="6">
        <v>418.75099999999998</v>
      </c>
      <c r="N623" s="6">
        <v>418.75099999999998</v>
      </c>
      <c r="O623" s="6">
        <v>418.75099999999998</v>
      </c>
      <c r="P623" s="6">
        <v>4</v>
      </c>
      <c r="Q623" s="4" t="s">
        <v>26</v>
      </c>
      <c r="R623" s="4">
        <v>0</v>
      </c>
      <c r="S623" s="4" t="s">
        <v>305</v>
      </c>
      <c r="T623" s="4" t="s">
        <v>475</v>
      </c>
      <c r="U623" s="4">
        <v>0</v>
      </c>
      <c r="V623" s="4">
        <v>74</v>
      </c>
      <c r="W623" s="4">
        <v>59</v>
      </c>
    </row>
    <row r="624" spans="1:23" ht="11.25" customHeight="1" x14ac:dyDescent="0.25">
      <c r="A624" s="4" t="s">
        <v>21</v>
      </c>
      <c r="B624" s="4" t="s">
        <v>45</v>
      </c>
      <c r="C624" s="4" t="s">
        <v>23</v>
      </c>
      <c r="D624" s="4" t="s">
        <v>46</v>
      </c>
      <c r="E624" s="4" t="s">
        <v>47</v>
      </c>
      <c r="F624" s="4" t="s">
        <v>25</v>
      </c>
      <c r="G624" s="4" t="s">
        <v>25</v>
      </c>
      <c r="H624" s="4" t="s">
        <v>25</v>
      </c>
      <c r="I624" s="5">
        <v>44562</v>
      </c>
      <c r="J624" s="6">
        <v>0</v>
      </c>
      <c r="K624" s="6">
        <v>0</v>
      </c>
      <c r="L624" s="6">
        <v>418.15899999999999</v>
      </c>
      <c r="M624" s="6">
        <v>418.15899999999999</v>
      </c>
      <c r="N624" s="6">
        <v>418.15899999999999</v>
      </c>
      <c r="O624" s="6">
        <v>418.15899999999999</v>
      </c>
      <c r="P624" s="6">
        <v>4</v>
      </c>
      <c r="Q624" s="4" t="s">
        <v>26</v>
      </c>
      <c r="R624" s="4">
        <v>0</v>
      </c>
      <c r="S624" s="4" t="s">
        <v>306</v>
      </c>
      <c r="T624" s="4" t="s">
        <v>476</v>
      </c>
      <c r="U624" s="4">
        <v>0</v>
      </c>
      <c r="V624" s="4">
        <v>74</v>
      </c>
      <c r="W624" s="4">
        <v>59</v>
      </c>
    </row>
    <row r="625" spans="1:23" ht="11.25" customHeight="1" x14ac:dyDescent="0.25">
      <c r="A625" s="4" t="s">
        <v>21</v>
      </c>
      <c r="B625" s="4" t="s">
        <v>45</v>
      </c>
      <c r="C625" s="4" t="s">
        <v>23</v>
      </c>
      <c r="D625" s="4" t="s">
        <v>46</v>
      </c>
      <c r="E625" s="4" t="s">
        <v>47</v>
      </c>
      <c r="F625" s="4" t="s">
        <v>25</v>
      </c>
      <c r="G625" s="4" t="s">
        <v>25</v>
      </c>
      <c r="H625" s="4" t="s">
        <v>25</v>
      </c>
      <c r="I625" s="5">
        <v>44593</v>
      </c>
      <c r="J625" s="6">
        <v>0</v>
      </c>
      <c r="K625" s="6">
        <v>0</v>
      </c>
      <c r="L625" s="6">
        <v>380.358</v>
      </c>
      <c r="M625" s="6">
        <v>380.358</v>
      </c>
      <c r="N625" s="6">
        <v>380.358</v>
      </c>
      <c r="O625" s="6">
        <v>380.358</v>
      </c>
      <c r="P625" s="6">
        <v>4</v>
      </c>
      <c r="Q625" s="4" t="s">
        <v>26</v>
      </c>
      <c r="R625" s="4">
        <v>0</v>
      </c>
      <c r="S625" s="4" t="s">
        <v>307</v>
      </c>
      <c r="T625" s="4" t="s">
        <v>477</v>
      </c>
      <c r="U625" s="4">
        <v>0</v>
      </c>
      <c r="V625" s="4">
        <v>74</v>
      </c>
      <c r="W625" s="4">
        <v>59</v>
      </c>
    </row>
    <row r="626" spans="1:23" ht="11.25" customHeight="1" x14ac:dyDescent="0.25">
      <c r="A626" s="4" t="s">
        <v>21</v>
      </c>
      <c r="B626" s="4" t="s">
        <v>45</v>
      </c>
      <c r="C626" s="4" t="s">
        <v>23</v>
      </c>
      <c r="D626" s="4" t="s">
        <v>46</v>
      </c>
      <c r="E626" s="4" t="s">
        <v>47</v>
      </c>
      <c r="F626" s="4" t="s">
        <v>25</v>
      </c>
      <c r="G626" s="4" t="s">
        <v>25</v>
      </c>
      <c r="H626" s="4" t="s">
        <v>25</v>
      </c>
      <c r="I626" s="5">
        <v>44621</v>
      </c>
      <c r="J626" s="6">
        <v>0</v>
      </c>
      <c r="K626" s="6">
        <v>0</v>
      </c>
      <c r="L626" s="6">
        <v>423.27</v>
      </c>
      <c r="M626" s="6">
        <v>423.27</v>
      </c>
      <c r="N626" s="6">
        <v>423.27</v>
      </c>
      <c r="O626" s="6">
        <v>423.27</v>
      </c>
      <c r="P626" s="6">
        <v>4</v>
      </c>
      <c r="Q626" s="4" t="s">
        <v>26</v>
      </c>
      <c r="R626" s="4">
        <v>0</v>
      </c>
      <c r="S626" s="4" t="s">
        <v>308</v>
      </c>
      <c r="T626" s="4" t="s">
        <v>478</v>
      </c>
      <c r="U626" s="4">
        <v>0</v>
      </c>
      <c r="V626" s="4">
        <v>74</v>
      </c>
      <c r="W626" s="4">
        <v>59</v>
      </c>
    </row>
    <row r="627" spans="1:23" ht="11.25" customHeight="1" x14ac:dyDescent="0.25">
      <c r="A627" s="4" t="s">
        <v>21</v>
      </c>
      <c r="B627" s="4" t="s">
        <v>45</v>
      </c>
      <c r="C627" s="4" t="s">
        <v>23</v>
      </c>
      <c r="D627" s="4" t="s">
        <v>46</v>
      </c>
      <c r="E627" s="4" t="s">
        <v>47</v>
      </c>
      <c r="F627" s="4" t="s">
        <v>25</v>
      </c>
      <c r="G627" s="4" t="s">
        <v>25</v>
      </c>
      <c r="H627" s="4" t="s">
        <v>25</v>
      </c>
      <c r="I627" s="5">
        <v>44652</v>
      </c>
      <c r="J627" s="6">
        <v>0</v>
      </c>
      <c r="K627" s="6">
        <v>0</v>
      </c>
      <c r="L627" s="6">
        <v>393.06099999999998</v>
      </c>
      <c r="M627" s="6">
        <v>393.06099999999998</v>
      </c>
      <c r="N627" s="6">
        <v>393.06099999999998</v>
      </c>
      <c r="O627" s="6">
        <v>393.06099999999998</v>
      </c>
      <c r="P627" s="6">
        <v>4</v>
      </c>
      <c r="Q627" s="4" t="s">
        <v>26</v>
      </c>
      <c r="R627" s="4">
        <v>0</v>
      </c>
      <c r="S627" s="4" t="s">
        <v>309</v>
      </c>
      <c r="T627" s="4" t="s">
        <v>479</v>
      </c>
      <c r="U627" s="4">
        <v>0</v>
      </c>
      <c r="V627" s="4">
        <v>74</v>
      </c>
      <c r="W627" s="4">
        <v>59</v>
      </c>
    </row>
    <row r="628" spans="1:23" ht="11.25" customHeight="1" x14ac:dyDescent="0.25">
      <c r="A628" s="4" t="s">
        <v>21</v>
      </c>
      <c r="B628" s="4" t="s">
        <v>45</v>
      </c>
      <c r="C628" s="4" t="s">
        <v>23</v>
      </c>
      <c r="D628" s="4" t="s">
        <v>46</v>
      </c>
      <c r="E628" s="4" t="s">
        <v>47</v>
      </c>
      <c r="F628" s="4" t="s">
        <v>25</v>
      </c>
      <c r="G628" s="4" t="s">
        <v>25</v>
      </c>
      <c r="H628" s="4" t="s">
        <v>25</v>
      </c>
      <c r="I628" s="5">
        <v>44682</v>
      </c>
      <c r="J628" s="6">
        <v>0</v>
      </c>
      <c r="K628" s="6">
        <v>0</v>
      </c>
      <c r="L628" s="6">
        <v>406.755</v>
      </c>
      <c r="M628" s="6">
        <v>406.755</v>
      </c>
      <c r="N628" s="6">
        <v>406.755</v>
      </c>
      <c r="O628" s="6">
        <v>406.755</v>
      </c>
      <c r="P628" s="6">
        <v>4</v>
      </c>
      <c r="Q628" s="4" t="s">
        <v>26</v>
      </c>
      <c r="R628" s="4">
        <v>0</v>
      </c>
      <c r="S628" s="4" t="s">
        <v>310</v>
      </c>
      <c r="T628" s="4" t="s">
        <v>480</v>
      </c>
      <c r="U628" s="4">
        <v>0</v>
      </c>
      <c r="V628" s="4">
        <v>74</v>
      </c>
      <c r="W628" s="4">
        <v>59</v>
      </c>
    </row>
    <row r="629" spans="1:23" ht="11.25" customHeight="1" x14ac:dyDescent="0.25">
      <c r="A629" s="4" t="s">
        <v>55</v>
      </c>
      <c r="B629" s="4" t="s">
        <v>45</v>
      </c>
      <c r="C629" s="4" t="s">
        <v>23</v>
      </c>
      <c r="D629" s="4" t="s">
        <v>46</v>
      </c>
      <c r="E629" s="4" t="s">
        <v>47</v>
      </c>
      <c r="F629" s="4" t="s">
        <v>25</v>
      </c>
      <c r="G629" s="4" t="s">
        <v>25</v>
      </c>
      <c r="H629" s="4" t="s">
        <v>25</v>
      </c>
      <c r="I629" s="5">
        <v>44713</v>
      </c>
      <c r="J629" s="6">
        <v>0</v>
      </c>
      <c r="K629" s="6">
        <v>0</v>
      </c>
      <c r="L629" s="6">
        <v>406.755</v>
      </c>
      <c r="M629" s="6">
        <v>406.755</v>
      </c>
      <c r="N629" s="6">
        <v>406.755</v>
      </c>
      <c r="O629" s="6">
        <v>406.755</v>
      </c>
      <c r="P629" s="6">
        <v>4</v>
      </c>
      <c r="Q629" s="4" t="s">
        <v>26</v>
      </c>
      <c r="R629" s="4">
        <v>0</v>
      </c>
      <c r="S629" s="4" t="s">
        <v>311</v>
      </c>
      <c r="T629" s="4" t="s">
        <v>481</v>
      </c>
      <c r="U629" s="4">
        <v>0</v>
      </c>
      <c r="V629" s="4">
        <v>74</v>
      </c>
      <c r="W629" s="4">
        <v>59</v>
      </c>
    </row>
  </sheetData>
  <sortState xmlns:xlrd2="http://schemas.microsoft.com/office/spreadsheetml/2017/richdata2" ref="A2:W629">
    <sortCondition ref="B2:B629"/>
    <sortCondition ref="C2:C629"/>
    <sortCondition ref="D2:D629"/>
    <sortCondition ref="E2:E629"/>
    <sortCondition ref="F2:F629"/>
    <sortCondition ref="H2:H629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B6818-AC48-4998-BE82-8E9F438E53B2}">
  <sheetPr codeName="Planilha3"/>
  <dimension ref="A1:H94"/>
  <sheetViews>
    <sheetView showGridLines="0" workbookViewId="0">
      <selection activeCell="H1" sqref="H1"/>
    </sheetView>
  </sheetViews>
  <sheetFormatPr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62</v>
      </c>
      <c r="B1" s="7" t="s">
        <v>63</v>
      </c>
      <c r="C1" s="7" t="s">
        <v>64</v>
      </c>
      <c r="D1" s="7" t="s">
        <v>65</v>
      </c>
      <c r="E1" s="7" t="s">
        <v>66</v>
      </c>
      <c r="G1" s="7" t="s">
        <v>67</v>
      </c>
      <c r="H1" s="7">
        <f>COUNTA(A:A)</f>
        <v>94</v>
      </c>
    </row>
    <row r="2" spans="1:8" ht="11.25" customHeight="1" x14ac:dyDescent="0.25">
      <c r="A2" s="8" t="s">
        <v>337</v>
      </c>
      <c r="B2" s="8" t="s">
        <v>338</v>
      </c>
      <c r="C2" s="8" t="s">
        <v>339</v>
      </c>
      <c r="D2" s="8">
        <v>74</v>
      </c>
      <c r="E2" s="8" t="s">
        <v>340</v>
      </c>
    </row>
    <row r="3" spans="1:8" ht="11.25" customHeight="1" x14ac:dyDescent="0.25">
      <c r="A3" s="8" t="s">
        <v>337</v>
      </c>
      <c r="B3" s="8" t="s">
        <v>338</v>
      </c>
      <c r="C3" s="8" t="s">
        <v>339</v>
      </c>
      <c r="D3" s="8">
        <v>75</v>
      </c>
      <c r="E3" s="8" t="s">
        <v>340</v>
      </c>
    </row>
    <row r="4" spans="1:8" ht="11.25" customHeight="1" x14ac:dyDescent="0.25">
      <c r="A4" s="8" t="s">
        <v>337</v>
      </c>
      <c r="B4" s="8" t="s">
        <v>338</v>
      </c>
      <c r="C4" s="8" t="s">
        <v>339</v>
      </c>
      <c r="D4" s="8">
        <v>76</v>
      </c>
      <c r="E4" s="8" t="s">
        <v>340</v>
      </c>
    </row>
    <row r="5" spans="1:8" ht="11.25" customHeight="1" x14ac:dyDescent="0.25">
      <c r="A5" s="8" t="s">
        <v>337</v>
      </c>
      <c r="B5" s="8" t="s">
        <v>338</v>
      </c>
      <c r="C5" s="8" t="s">
        <v>339</v>
      </c>
      <c r="D5" s="8">
        <v>77</v>
      </c>
      <c r="E5" s="8" t="s">
        <v>340</v>
      </c>
    </row>
    <row r="6" spans="1:8" ht="11.25" customHeight="1" x14ac:dyDescent="0.25">
      <c r="A6" s="8" t="s">
        <v>337</v>
      </c>
      <c r="B6" s="8" t="s">
        <v>338</v>
      </c>
      <c r="C6" s="8" t="s">
        <v>339</v>
      </c>
      <c r="D6" s="8">
        <v>78</v>
      </c>
      <c r="E6" s="8" t="s">
        <v>340</v>
      </c>
    </row>
    <row r="7" spans="1:8" ht="11.25" customHeight="1" x14ac:dyDescent="0.25">
      <c r="A7" s="8" t="s">
        <v>337</v>
      </c>
      <c r="B7" s="8" t="s">
        <v>338</v>
      </c>
      <c r="C7" s="8" t="s">
        <v>339</v>
      </c>
      <c r="D7" s="8">
        <v>79</v>
      </c>
      <c r="E7" s="8" t="s">
        <v>340</v>
      </c>
    </row>
    <row r="8" spans="1:8" ht="11.25" customHeight="1" x14ac:dyDescent="0.25">
      <c r="A8" s="8" t="s">
        <v>337</v>
      </c>
      <c r="B8" s="8" t="s">
        <v>338</v>
      </c>
      <c r="C8" s="8" t="s">
        <v>339</v>
      </c>
      <c r="D8" s="8">
        <v>80</v>
      </c>
      <c r="E8" s="8" t="s">
        <v>340</v>
      </c>
    </row>
    <row r="9" spans="1:8" ht="11.25" customHeight="1" x14ac:dyDescent="0.25">
      <c r="A9" s="8" t="s">
        <v>337</v>
      </c>
      <c r="B9" s="8" t="s">
        <v>338</v>
      </c>
      <c r="C9" s="8" t="s">
        <v>339</v>
      </c>
      <c r="D9" s="8">
        <v>81</v>
      </c>
      <c r="E9" s="8" t="s">
        <v>340</v>
      </c>
    </row>
    <row r="10" spans="1:8" ht="11.25" customHeight="1" x14ac:dyDescent="0.25">
      <c r="A10" s="8" t="s">
        <v>337</v>
      </c>
      <c r="B10" s="8" t="s">
        <v>338</v>
      </c>
      <c r="C10" s="8" t="s">
        <v>339</v>
      </c>
      <c r="D10" s="8">
        <v>82</v>
      </c>
      <c r="E10" s="8" t="s">
        <v>340</v>
      </c>
    </row>
    <row r="11" spans="1:8" ht="11.25" customHeight="1" x14ac:dyDescent="0.25">
      <c r="A11" s="8" t="s">
        <v>337</v>
      </c>
      <c r="B11" s="8" t="s">
        <v>338</v>
      </c>
      <c r="C11" s="8" t="s">
        <v>339</v>
      </c>
      <c r="D11" s="8">
        <v>83</v>
      </c>
      <c r="E11" s="8" t="s">
        <v>340</v>
      </c>
    </row>
    <row r="12" spans="1:8" ht="11.25" customHeight="1" x14ac:dyDescent="0.25">
      <c r="A12" s="8" t="s">
        <v>337</v>
      </c>
      <c r="B12" s="8" t="s">
        <v>338</v>
      </c>
      <c r="C12" s="8" t="s">
        <v>339</v>
      </c>
      <c r="D12" s="8">
        <v>84</v>
      </c>
      <c r="E12" s="8" t="s">
        <v>340</v>
      </c>
    </row>
    <row r="13" spans="1:8" ht="11.25" customHeight="1" x14ac:dyDescent="0.25">
      <c r="A13" s="8" t="s">
        <v>337</v>
      </c>
      <c r="B13" s="8" t="s">
        <v>338</v>
      </c>
      <c r="C13" s="8" t="s">
        <v>339</v>
      </c>
      <c r="D13" s="8">
        <v>85</v>
      </c>
      <c r="E13" s="8" t="s">
        <v>340</v>
      </c>
    </row>
    <row r="14" spans="1:8" ht="11.25" customHeight="1" x14ac:dyDescent="0.25">
      <c r="A14" s="8" t="s">
        <v>337</v>
      </c>
      <c r="B14" s="8" t="s">
        <v>338</v>
      </c>
      <c r="C14" s="8" t="s">
        <v>339</v>
      </c>
      <c r="D14" s="8">
        <v>86</v>
      </c>
      <c r="E14" s="8" t="s">
        <v>340</v>
      </c>
    </row>
    <row r="15" spans="1:8" ht="11.25" customHeight="1" x14ac:dyDescent="0.25">
      <c r="A15" s="8" t="s">
        <v>337</v>
      </c>
      <c r="B15" s="8" t="s">
        <v>338</v>
      </c>
      <c r="C15" s="8" t="s">
        <v>339</v>
      </c>
      <c r="D15" s="8">
        <v>87</v>
      </c>
      <c r="E15" s="8" t="s">
        <v>340</v>
      </c>
    </row>
    <row r="16" spans="1:8" ht="11.25" customHeight="1" x14ac:dyDescent="0.25">
      <c r="A16" s="8" t="s">
        <v>337</v>
      </c>
      <c r="B16" s="8" t="s">
        <v>338</v>
      </c>
      <c r="C16" s="8" t="s">
        <v>339</v>
      </c>
      <c r="D16" s="8">
        <v>88</v>
      </c>
      <c r="E16" s="8" t="s">
        <v>340</v>
      </c>
    </row>
    <row r="17" spans="1:5" ht="11.25" customHeight="1" x14ac:dyDescent="0.25">
      <c r="A17" s="8" t="s">
        <v>337</v>
      </c>
      <c r="B17" s="8" t="s">
        <v>338</v>
      </c>
      <c r="C17" s="8" t="s">
        <v>339</v>
      </c>
      <c r="D17" s="8">
        <v>89</v>
      </c>
      <c r="E17" s="8" t="s">
        <v>340</v>
      </c>
    </row>
    <row r="18" spans="1:5" ht="11.25" customHeight="1" x14ac:dyDescent="0.25">
      <c r="A18" s="8" t="s">
        <v>337</v>
      </c>
      <c r="B18" s="8" t="s">
        <v>338</v>
      </c>
      <c r="C18" s="8" t="s">
        <v>339</v>
      </c>
      <c r="D18" s="8">
        <v>90</v>
      </c>
      <c r="E18" s="8" t="s">
        <v>340</v>
      </c>
    </row>
    <row r="19" spans="1:5" ht="11.25" customHeight="1" x14ac:dyDescent="0.25">
      <c r="A19" s="8" t="s">
        <v>337</v>
      </c>
      <c r="B19" s="8" t="s">
        <v>338</v>
      </c>
      <c r="C19" s="8" t="s">
        <v>339</v>
      </c>
      <c r="D19" s="8">
        <v>91</v>
      </c>
      <c r="E19" s="8" t="s">
        <v>340</v>
      </c>
    </row>
    <row r="20" spans="1:5" ht="11.25" customHeight="1" x14ac:dyDescent="0.25">
      <c r="A20" s="8" t="s">
        <v>337</v>
      </c>
      <c r="B20" s="8" t="s">
        <v>338</v>
      </c>
      <c r="C20" s="8" t="s">
        <v>339</v>
      </c>
      <c r="D20" s="8">
        <v>92</v>
      </c>
      <c r="E20" s="8" t="s">
        <v>340</v>
      </c>
    </row>
    <row r="21" spans="1:5" ht="11.25" customHeight="1" x14ac:dyDescent="0.25">
      <c r="A21" s="8" t="s">
        <v>337</v>
      </c>
      <c r="B21" s="8" t="s">
        <v>338</v>
      </c>
      <c r="C21" s="8" t="s">
        <v>339</v>
      </c>
      <c r="D21" s="8">
        <v>93</v>
      </c>
      <c r="E21" s="8" t="s">
        <v>340</v>
      </c>
    </row>
    <row r="22" spans="1:5" ht="11.25" customHeight="1" x14ac:dyDescent="0.25">
      <c r="A22" s="8" t="s">
        <v>337</v>
      </c>
      <c r="B22" s="8" t="s">
        <v>338</v>
      </c>
      <c r="C22" s="8" t="s">
        <v>339</v>
      </c>
      <c r="D22" s="8">
        <v>94</v>
      </c>
      <c r="E22" s="8" t="s">
        <v>340</v>
      </c>
    </row>
    <row r="23" spans="1:5" ht="11.25" customHeight="1" x14ac:dyDescent="0.25">
      <c r="A23" s="8" t="s">
        <v>337</v>
      </c>
      <c r="B23" s="8" t="s">
        <v>338</v>
      </c>
      <c r="C23" s="8" t="s">
        <v>339</v>
      </c>
      <c r="D23" s="8">
        <v>95</v>
      </c>
      <c r="E23" s="8" t="s">
        <v>340</v>
      </c>
    </row>
    <row r="24" spans="1:5" ht="11.25" customHeight="1" x14ac:dyDescent="0.25">
      <c r="A24" s="8" t="s">
        <v>337</v>
      </c>
      <c r="B24" s="8" t="s">
        <v>338</v>
      </c>
      <c r="C24" s="8" t="s">
        <v>339</v>
      </c>
      <c r="D24" s="8">
        <v>96</v>
      </c>
      <c r="E24" s="8" t="s">
        <v>340</v>
      </c>
    </row>
    <row r="25" spans="1:5" ht="11.25" customHeight="1" x14ac:dyDescent="0.25">
      <c r="A25" s="8" t="s">
        <v>337</v>
      </c>
      <c r="B25" s="8" t="s">
        <v>338</v>
      </c>
      <c r="C25" s="8" t="s">
        <v>339</v>
      </c>
      <c r="D25" s="8">
        <v>97</v>
      </c>
      <c r="E25" s="8" t="s">
        <v>340</v>
      </c>
    </row>
    <row r="26" spans="1:5" ht="11.25" customHeight="1" x14ac:dyDescent="0.25">
      <c r="A26" s="8" t="s">
        <v>337</v>
      </c>
      <c r="B26" s="8" t="s">
        <v>338</v>
      </c>
      <c r="C26" s="8" t="s">
        <v>339</v>
      </c>
      <c r="D26" s="8">
        <v>182</v>
      </c>
      <c r="E26" s="8" t="s">
        <v>340</v>
      </c>
    </row>
    <row r="27" spans="1:5" ht="11.25" customHeight="1" x14ac:dyDescent="0.25">
      <c r="A27" s="8" t="s">
        <v>337</v>
      </c>
      <c r="B27" s="8" t="s">
        <v>338</v>
      </c>
      <c r="C27" s="8" t="s">
        <v>339</v>
      </c>
      <c r="D27" s="8">
        <v>183</v>
      </c>
      <c r="E27" s="8" t="s">
        <v>340</v>
      </c>
    </row>
    <row r="28" spans="1:5" ht="11.25" customHeight="1" x14ac:dyDescent="0.25">
      <c r="A28" s="8" t="s">
        <v>337</v>
      </c>
      <c r="B28" s="8" t="s">
        <v>338</v>
      </c>
      <c r="C28" s="8" t="s">
        <v>339</v>
      </c>
      <c r="D28" s="8">
        <v>184</v>
      </c>
      <c r="E28" s="8" t="s">
        <v>340</v>
      </c>
    </row>
    <row r="29" spans="1:5" ht="11.25" customHeight="1" x14ac:dyDescent="0.25">
      <c r="A29" s="8" t="s">
        <v>337</v>
      </c>
      <c r="B29" s="8" t="s">
        <v>338</v>
      </c>
      <c r="C29" s="8" t="s">
        <v>339</v>
      </c>
      <c r="D29" s="8">
        <v>185</v>
      </c>
      <c r="E29" s="8" t="s">
        <v>340</v>
      </c>
    </row>
    <row r="30" spans="1:5" ht="11.25" customHeight="1" x14ac:dyDescent="0.25">
      <c r="A30" s="8" t="s">
        <v>337</v>
      </c>
      <c r="B30" s="8" t="s">
        <v>338</v>
      </c>
      <c r="C30" s="8" t="s">
        <v>339</v>
      </c>
      <c r="D30" s="8">
        <v>186</v>
      </c>
      <c r="E30" s="8" t="s">
        <v>340</v>
      </c>
    </row>
    <row r="31" spans="1:5" ht="11.25" customHeight="1" x14ac:dyDescent="0.25">
      <c r="A31" s="8" t="s">
        <v>337</v>
      </c>
      <c r="B31" s="8" t="s">
        <v>338</v>
      </c>
      <c r="C31" s="8" t="s">
        <v>339</v>
      </c>
      <c r="D31" s="8">
        <v>187</v>
      </c>
      <c r="E31" s="8" t="s">
        <v>340</v>
      </c>
    </row>
    <row r="32" spans="1:5" ht="11.25" customHeight="1" x14ac:dyDescent="0.25">
      <c r="A32" s="8" t="s">
        <v>337</v>
      </c>
      <c r="B32" s="8" t="s">
        <v>338</v>
      </c>
      <c r="C32" s="8" t="s">
        <v>339</v>
      </c>
      <c r="D32" s="8">
        <v>188</v>
      </c>
      <c r="E32" s="8" t="s">
        <v>340</v>
      </c>
    </row>
    <row r="33" spans="1:5" ht="11.25" customHeight="1" x14ac:dyDescent="0.25">
      <c r="A33" s="8" t="s">
        <v>337</v>
      </c>
      <c r="B33" s="8" t="s">
        <v>338</v>
      </c>
      <c r="C33" s="8" t="s">
        <v>339</v>
      </c>
      <c r="D33" s="8">
        <v>189</v>
      </c>
      <c r="E33" s="8" t="s">
        <v>340</v>
      </c>
    </row>
    <row r="34" spans="1:5" ht="11.25" customHeight="1" x14ac:dyDescent="0.25">
      <c r="A34" s="8" t="s">
        <v>337</v>
      </c>
      <c r="B34" s="8" t="s">
        <v>338</v>
      </c>
      <c r="C34" s="8" t="s">
        <v>339</v>
      </c>
      <c r="D34" s="8">
        <v>190</v>
      </c>
      <c r="E34" s="8" t="s">
        <v>340</v>
      </c>
    </row>
    <row r="35" spans="1:5" ht="11.25" customHeight="1" x14ac:dyDescent="0.25">
      <c r="A35" s="8" t="s">
        <v>337</v>
      </c>
      <c r="B35" s="8" t="s">
        <v>338</v>
      </c>
      <c r="C35" s="8" t="s">
        <v>339</v>
      </c>
      <c r="D35" s="8">
        <v>191</v>
      </c>
      <c r="E35" s="8" t="s">
        <v>340</v>
      </c>
    </row>
    <row r="36" spans="1:5" ht="11.25" customHeight="1" x14ac:dyDescent="0.25">
      <c r="A36" s="8" t="s">
        <v>337</v>
      </c>
      <c r="B36" s="8" t="s">
        <v>338</v>
      </c>
      <c r="C36" s="8" t="s">
        <v>339</v>
      </c>
      <c r="D36" s="8">
        <v>192</v>
      </c>
      <c r="E36" s="8" t="s">
        <v>340</v>
      </c>
    </row>
    <row r="37" spans="1:5" ht="11.25" customHeight="1" x14ac:dyDescent="0.25">
      <c r="A37" s="8" t="s">
        <v>337</v>
      </c>
      <c r="B37" s="8" t="s">
        <v>338</v>
      </c>
      <c r="C37" s="8" t="s">
        <v>339</v>
      </c>
      <c r="D37" s="8">
        <v>193</v>
      </c>
      <c r="E37" s="8" t="s">
        <v>340</v>
      </c>
    </row>
    <row r="38" spans="1:5" ht="11.25" customHeight="1" x14ac:dyDescent="0.25">
      <c r="A38" s="8" t="s">
        <v>337</v>
      </c>
      <c r="B38" s="8" t="s">
        <v>338</v>
      </c>
      <c r="C38" s="8" t="s">
        <v>339</v>
      </c>
      <c r="D38" s="8">
        <v>194</v>
      </c>
      <c r="E38" s="8" t="s">
        <v>340</v>
      </c>
    </row>
    <row r="39" spans="1:5" ht="11.25" customHeight="1" x14ac:dyDescent="0.25">
      <c r="A39" s="8" t="s">
        <v>337</v>
      </c>
      <c r="B39" s="8" t="s">
        <v>338</v>
      </c>
      <c r="C39" s="8" t="s">
        <v>339</v>
      </c>
      <c r="D39" s="8">
        <v>195</v>
      </c>
      <c r="E39" s="8" t="s">
        <v>340</v>
      </c>
    </row>
    <row r="40" spans="1:5" ht="11.25" customHeight="1" x14ac:dyDescent="0.25">
      <c r="A40" s="8" t="s">
        <v>337</v>
      </c>
      <c r="B40" s="8" t="s">
        <v>338</v>
      </c>
      <c r="C40" s="8" t="s">
        <v>339</v>
      </c>
      <c r="D40" s="8">
        <v>196</v>
      </c>
      <c r="E40" s="8" t="s">
        <v>340</v>
      </c>
    </row>
    <row r="41" spans="1:5" ht="11.25" customHeight="1" x14ac:dyDescent="0.25">
      <c r="A41" s="8" t="s">
        <v>337</v>
      </c>
      <c r="B41" s="8" t="s">
        <v>338</v>
      </c>
      <c r="C41" s="8" t="s">
        <v>339</v>
      </c>
      <c r="D41" s="8">
        <v>197</v>
      </c>
      <c r="E41" s="8" t="s">
        <v>340</v>
      </c>
    </row>
    <row r="42" spans="1:5" ht="11.25" customHeight="1" x14ac:dyDescent="0.25">
      <c r="A42" s="8" t="s">
        <v>337</v>
      </c>
      <c r="B42" s="8" t="s">
        <v>338</v>
      </c>
      <c r="C42" s="8" t="s">
        <v>339</v>
      </c>
      <c r="D42" s="8">
        <v>198</v>
      </c>
      <c r="E42" s="8" t="s">
        <v>340</v>
      </c>
    </row>
    <row r="43" spans="1:5" ht="11.25" customHeight="1" x14ac:dyDescent="0.25">
      <c r="A43" s="8" t="s">
        <v>337</v>
      </c>
      <c r="B43" s="8" t="s">
        <v>338</v>
      </c>
      <c r="C43" s="8" t="s">
        <v>339</v>
      </c>
      <c r="D43" s="8">
        <v>199</v>
      </c>
      <c r="E43" s="8" t="s">
        <v>340</v>
      </c>
    </row>
    <row r="44" spans="1:5" ht="11.25" customHeight="1" x14ac:dyDescent="0.25">
      <c r="A44" s="8" t="s">
        <v>337</v>
      </c>
      <c r="B44" s="8" t="s">
        <v>338</v>
      </c>
      <c r="C44" s="8" t="s">
        <v>339</v>
      </c>
      <c r="D44" s="8">
        <v>200</v>
      </c>
      <c r="E44" s="8" t="s">
        <v>340</v>
      </c>
    </row>
    <row r="45" spans="1:5" ht="11.25" customHeight="1" x14ac:dyDescent="0.25">
      <c r="A45" s="8" t="s">
        <v>337</v>
      </c>
      <c r="B45" s="8" t="s">
        <v>338</v>
      </c>
      <c r="C45" s="8" t="s">
        <v>339</v>
      </c>
      <c r="D45" s="8">
        <v>201</v>
      </c>
      <c r="E45" s="8" t="s">
        <v>340</v>
      </c>
    </row>
    <row r="46" spans="1:5" ht="11.25" customHeight="1" x14ac:dyDescent="0.25">
      <c r="A46" s="8" t="s">
        <v>337</v>
      </c>
      <c r="B46" s="8" t="s">
        <v>338</v>
      </c>
      <c r="C46" s="8" t="s">
        <v>339</v>
      </c>
      <c r="D46" s="8">
        <v>202</v>
      </c>
      <c r="E46" s="8" t="s">
        <v>340</v>
      </c>
    </row>
    <row r="47" spans="1:5" ht="11.25" customHeight="1" x14ac:dyDescent="0.25">
      <c r="A47" s="8" t="s">
        <v>337</v>
      </c>
      <c r="B47" s="8" t="s">
        <v>338</v>
      </c>
      <c r="C47" s="8" t="s">
        <v>339</v>
      </c>
      <c r="D47" s="8">
        <v>203</v>
      </c>
      <c r="E47" s="8" t="s">
        <v>340</v>
      </c>
    </row>
    <row r="48" spans="1:5" ht="11.25" customHeight="1" x14ac:dyDescent="0.25">
      <c r="A48" s="8" t="s">
        <v>337</v>
      </c>
      <c r="B48" s="8" t="s">
        <v>338</v>
      </c>
      <c r="C48" s="8" t="s">
        <v>339</v>
      </c>
      <c r="D48" s="8">
        <v>204</v>
      </c>
      <c r="E48" s="8" t="s">
        <v>340</v>
      </c>
    </row>
    <row r="49" spans="1:5" ht="11.25" customHeight="1" x14ac:dyDescent="0.25">
      <c r="A49" s="8" t="s">
        <v>337</v>
      </c>
      <c r="B49" s="8" t="s">
        <v>338</v>
      </c>
      <c r="C49" s="8" t="s">
        <v>339</v>
      </c>
      <c r="D49" s="8">
        <v>205</v>
      </c>
      <c r="E49" s="8" t="s">
        <v>340</v>
      </c>
    </row>
    <row r="50" spans="1:5" ht="11.25" customHeight="1" x14ac:dyDescent="0.25">
      <c r="A50" s="8" t="s">
        <v>337</v>
      </c>
      <c r="B50" s="8" t="s">
        <v>338</v>
      </c>
      <c r="C50" s="8" t="s">
        <v>339</v>
      </c>
      <c r="D50" s="8">
        <v>242</v>
      </c>
      <c r="E50" s="8" t="s">
        <v>340</v>
      </c>
    </row>
    <row r="51" spans="1:5" ht="11.25" customHeight="1" x14ac:dyDescent="0.25">
      <c r="A51" s="8" t="s">
        <v>337</v>
      </c>
      <c r="B51" s="8" t="s">
        <v>338</v>
      </c>
      <c r="C51" s="8" t="s">
        <v>339</v>
      </c>
      <c r="D51" s="8">
        <v>243</v>
      </c>
      <c r="E51" s="8" t="s">
        <v>340</v>
      </c>
    </row>
    <row r="52" spans="1:5" ht="11.25" customHeight="1" x14ac:dyDescent="0.25">
      <c r="A52" s="8" t="s">
        <v>337</v>
      </c>
      <c r="B52" s="8" t="s">
        <v>338</v>
      </c>
      <c r="C52" s="8" t="s">
        <v>339</v>
      </c>
      <c r="D52" s="8">
        <v>244</v>
      </c>
      <c r="E52" s="8" t="s">
        <v>340</v>
      </c>
    </row>
    <row r="53" spans="1:5" ht="11.25" customHeight="1" x14ac:dyDescent="0.25">
      <c r="A53" s="8" t="s">
        <v>337</v>
      </c>
      <c r="B53" s="8" t="s">
        <v>338</v>
      </c>
      <c r="C53" s="8" t="s">
        <v>339</v>
      </c>
      <c r="D53" s="8">
        <v>245</v>
      </c>
      <c r="E53" s="8" t="s">
        <v>340</v>
      </c>
    </row>
    <row r="54" spans="1:5" ht="11.25" customHeight="1" x14ac:dyDescent="0.25">
      <c r="A54" s="8" t="s">
        <v>337</v>
      </c>
      <c r="B54" s="8" t="s">
        <v>338</v>
      </c>
      <c r="C54" s="8" t="s">
        <v>339</v>
      </c>
      <c r="D54" s="8">
        <v>246</v>
      </c>
      <c r="E54" s="8" t="s">
        <v>340</v>
      </c>
    </row>
    <row r="55" spans="1:5" ht="11.25" customHeight="1" x14ac:dyDescent="0.25">
      <c r="A55" s="8" t="s">
        <v>337</v>
      </c>
      <c r="B55" s="8" t="s">
        <v>338</v>
      </c>
      <c r="C55" s="8" t="s">
        <v>339</v>
      </c>
      <c r="D55" s="8">
        <v>247</v>
      </c>
      <c r="E55" s="8" t="s">
        <v>340</v>
      </c>
    </row>
    <row r="56" spans="1:5" ht="11.25" customHeight="1" x14ac:dyDescent="0.25">
      <c r="A56" s="8" t="s">
        <v>337</v>
      </c>
      <c r="B56" s="8" t="s">
        <v>338</v>
      </c>
      <c r="C56" s="8" t="s">
        <v>339</v>
      </c>
      <c r="D56" s="8">
        <v>248</v>
      </c>
      <c r="E56" s="8" t="s">
        <v>340</v>
      </c>
    </row>
    <row r="57" spans="1:5" ht="11.25" customHeight="1" x14ac:dyDescent="0.25">
      <c r="A57" s="8" t="s">
        <v>337</v>
      </c>
      <c r="B57" s="8" t="s">
        <v>338</v>
      </c>
      <c r="C57" s="8" t="s">
        <v>339</v>
      </c>
      <c r="D57" s="8">
        <v>249</v>
      </c>
      <c r="E57" s="8" t="s">
        <v>340</v>
      </c>
    </row>
    <row r="58" spans="1:5" ht="11.25" customHeight="1" x14ac:dyDescent="0.25">
      <c r="A58" s="8" t="s">
        <v>337</v>
      </c>
      <c r="B58" s="8" t="s">
        <v>338</v>
      </c>
      <c r="C58" s="8" t="s">
        <v>339</v>
      </c>
      <c r="D58" s="8">
        <v>250</v>
      </c>
      <c r="E58" s="8" t="s">
        <v>340</v>
      </c>
    </row>
    <row r="59" spans="1:5" ht="11.25" customHeight="1" x14ac:dyDescent="0.25">
      <c r="A59" s="8" t="s">
        <v>337</v>
      </c>
      <c r="B59" s="8" t="s">
        <v>338</v>
      </c>
      <c r="C59" s="8" t="s">
        <v>339</v>
      </c>
      <c r="D59" s="8">
        <v>251</v>
      </c>
      <c r="E59" s="8" t="s">
        <v>340</v>
      </c>
    </row>
    <row r="60" spans="1:5" ht="11.25" customHeight="1" x14ac:dyDescent="0.25">
      <c r="A60" s="8" t="s">
        <v>337</v>
      </c>
      <c r="B60" s="8" t="s">
        <v>338</v>
      </c>
      <c r="C60" s="8" t="s">
        <v>339</v>
      </c>
      <c r="D60" s="8">
        <v>252</v>
      </c>
      <c r="E60" s="8" t="s">
        <v>340</v>
      </c>
    </row>
    <row r="61" spans="1:5" ht="11.25" customHeight="1" x14ac:dyDescent="0.25">
      <c r="A61" s="8" t="s">
        <v>337</v>
      </c>
      <c r="B61" s="8" t="s">
        <v>338</v>
      </c>
      <c r="C61" s="8" t="s">
        <v>339</v>
      </c>
      <c r="D61" s="8">
        <v>253</v>
      </c>
      <c r="E61" s="8" t="s">
        <v>340</v>
      </c>
    </row>
    <row r="62" spans="1:5" ht="11.25" customHeight="1" x14ac:dyDescent="0.25">
      <c r="A62" s="8" t="s">
        <v>337</v>
      </c>
      <c r="B62" s="8" t="s">
        <v>338</v>
      </c>
      <c r="C62" s="8" t="s">
        <v>339</v>
      </c>
      <c r="D62" s="8">
        <v>290</v>
      </c>
      <c r="E62" s="8" t="s">
        <v>340</v>
      </c>
    </row>
    <row r="63" spans="1:5" ht="11.25" customHeight="1" x14ac:dyDescent="0.25">
      <c r="A63" s="8" t="s">
        <v>337</v>
      </c>
      <c r="B63" s="8" t="s">
        <v>338</v>
      </c>
      <c r="C63" s="8" t="s">
        <v>339</v>
      </c>
      <c r="D63" s="8">
        <v>291</v>
      </c>
      <c r="E63" s="8" t="s">
        <v>340</v>
      </c>
    </row>
    <row r="64" spans="1:5" ht="11.25" customHeight="1" x14ac:dyDescent="0.25">
      <c r="A64" s="8" t="s">
        <v>337</v>
      </c>
      <c r="B64" s="8" t="s">
        <v>338</v>
      </c>
      <c r="C64" s="8" t="s">
        <v>339</v>
      </c>
      <c r="D64" s="8">
        <v>292</v>
      </c>
      <c r="E64" s="8" t="s">
        <v>340</v>
      </c>
    </row>
    <row r="65" spans="1:5" ht="11.25" customHeight="1" x14ac:dyDescent="0.25">
      <c r="A65" s="8" t="s">
        <v>337</v>
      </c>
      <c r="B65" s="8" t="s">
        <v>338</v>
      </c>
      <c r="C65" s="8" t="s">
        <v>339</v>
      </c>
      <c r="D65" s="8">
        <v>293</v>
      </c>
      <c r="E65" s="8" t="s">
        <v>340</v>
      </c>
    </row>
    <row r="66" spans="1:5" ht="11.25" customHeight="1" x14ac:dyDescent="0.25">
      <c r="A66" s="8" t="s">
        <v>337</v>
      </c>
      <c r="B66" s="8" t="s">
        <v>338</v>
      </c>
      <c r="C66" s="8" t="s">
        <v>339</v>
      </c>
      <c r="D66" s="8">
        <v>294</v>
      </c>
      <c r="E66" s="8" t="s">
        <v>340</v>
      </c>
    </row>
    <row r="67" spans="1:5" ht="11.25" customHeight="1" x14ac:dyDescent="0.25">
      <c r="A67" s="8" t="s">
        <v>337</v>
      </c>
      <c r="B67" s="8" t="s">
        <v>338</v>
      </c>
      <c r="C67" s="8" t="s">
        <v>339</v>
      </c>
      <c r="D67" s="8">
        <v>295</v>
      </c>
      <c r="E67" s="8" t="s">
        <v>340</v>
      </c>
    </row>
    <row r="68" spans="1:5" ht="11.25" customHeight="1" x14ac:dyDescent="0.25">
      <c r="A68" s="8" t="s">
        <v>337</v>
      </c>
      <c r="B68" s="8" t="s">
        <v>338</v>
      </c>
      <c r="C68" s="8" t="s">
        <v>339</v>
      </c>
      <c r="D68" s="8">
        <v>296</v>
      </c>
      <c r="E68" s="8" t="s">
        <v>340</v>
      </c>
    </row>
    <row r="69" spans="1:5" ht="11.25" customHeight="1" x14ac:dyDescent="0.25">
      <c r="A69" s="8" t="s">
        <v>337</v>
      </c>
      <c r="B69" s="8" t="s">
        <v>338</v>
      </c>
      <c r="C69" s="8" t="s">
        <v>339</v>
      </c>
      <c r="D69" s="8">
        <v>297</v>
      </c>
      <c r="E69" s="8" t="s">
        <v>340</v>
      </c>
    </row>
    <row r="70" spans="1:5" ht="11.25" customHeight="1" x14ac:dyDescent="0.25">
      <c r="A70" s="8" t="s">
        <v>337</v>
      </c>
      <c r="B70" s="8" t="s">
        <v>338</v>
      </c>
      <c r="C70" s="8" t="s">
        <v>339</v>
      </c>
      <c r="D70" s="8">
        <v>298</v>
      </c>
      <c r="E70" s="8" t="s">
        <v>340</v>
      </c>
    </row>
    <row r="71" spans="1:5" ht="11.25" customHeight="1" x14ac:dyDescent="0.25">
      <c r="A71" s="8" t="s">
        <v>337</v>
      </c>
      <c r="B71" s="8" t="s">
        <v>338</v>
      </c>
      <c r="C71" s="8" t="s">
        <v>339</v>
      </c>
      <c r="D71" s="8">
        <v>299</v>
      </c>
      <c r="E71" s="8" t="s">
        <v>340</v>
      </c>
    </row>
    <row r="72" spans="1:5" ht="11.25" customHeight="1" x14ac:dyDescent="0.25">
      <c r="A72" s="8" t="s">
        <v>337</v>
      </c>
      <c r="B72" s="8" t="s">
        <v>338</v>
      </c>
      <c r="C72" s="8" t="s">
        <v>339</v>
      </c>
      <c r="D72" s="8">
        <v>300</v>
      </c>
      <c r="E72" s="8" t="s">
        <v>340</v>
      </c>
    </row>
    <row r="73" spans="1:5" ht="11.25" customHeight="1" x14ac:dyDescent="0.25">
      <c r="A73" s="8" t="s">
        <v>337</v>
      </c>
      <c r="B73" s="8" t="s">
        <v>338</v>
      </c>
      <c r="C73" s="8" t="s">
        <v>339</v>
      </c>
      <c r="D73" s="8">
        <v>301</v>
      </c>
      <c r="E73" s="8" t="s">
        <v>340</v>
      </c>
    </row>
    <row r="74" spans="1:5" ht="11.25" customHeight="1" x14ac:dyDescent="0.25">
      <c r="A74" s="8" t="s">
        <v>337</v>
      </c>
      <c r="B74" s="8" t="s">
        <v>338</v>
      </c>
      <c r="C74" s="8" t="s">
        <v>339</v>
      </c>
      <c r="D74" s="8">
        <v>326</v>
      </c>
      <c r="E74" s="8" t="s">
        <v>340</v>
      </c>
    </row>
    <row r="75" spans="1:5" ht="11.25" customHeight="1" x14ac:dyDescent="0.25">
      <c r="A75" s="8" t="s">
        <v>337</v>
      </c>
      <c r="B75" s="8" t="s">
        <v>338</v>
      </c>
      <c r="C75" s="8" t="s">
        <v>339</v>
      </c>
      <c r="D75" s="8">
        <v>327</v>
      </c>
      <c r="E75" s="8" t="s">
        <v>340</v>
      </c>
    </row>
    <row r="76" spans="1:5" ht="11.25" customHeight="1" x14ac:dyDescent="0.25">
      <c r="A76" s="8" t="s">
        <v>337</v>
      </c>
      <c r="B76" s="8" t="s">
        <v>338</v>
      </c>
      <c r="C76" s="8" t="s">
        <v>339</v>
      </c>
      <c r="D76" s="8">
        <v>328</v>
      </c>
      <c r="E76" s="8" t="s">
        <v>340</v>
      </c>
    </row>
    <row r="77" spans="1:5" ht="11.25" customHeight="1" x14ac:dyDescent="0.25">
      <c r="A77" s="8" t="s">
        <v>337</v>
      </c>
      <c r="B77" s="8" t="s">
        <v>338</v>
      </c>
      <c r="C77" s="8" t="s">
        <v>339</v>
      </c>
      <c r="D77" s="8">
        <v>329</v>
      </c>
      <c r="E77" s="8" t="s">
        <v>340</v>
      </c>
    </row>
    <row r="78" spans="1:5" ht="11.25" customHeight="1" x14ac:dyDescent="0.25">
      <c r="A78" s="8" t="s">
        <v>337</v>
      </c>
      <c r="B78" s="8" t="s">
        <v>338</v>
      </c>
      <c r="C78" s="8" t="s">
        <v>339</v>
      </c>
      <c r="D78" s="8">
        <v>330</v>
      </c>
      <c r="E78" s="8" t="s">
        <v>340</v>
      </c>
    </row>
    <row r="79" spans="1:5" ht="11.25" customHeight="1" x14ac:dyDescent="0.25">
      <c r="A79" s="8" t="s">
        <v>337</v>
      </c>
      <c r="B79" s="8" t="s">
        <v>338</v>
      </c>
      <c r="C79" s="8" t="s">
        <v>339</v>
      </c>
      <c r="D79" s="8">
        <v>331</v>
      </c>
      <c r="E79" s="8" t="s">
        <v>340</v>
      </c>
    </row>
    <row r="80" spans="1:5" ht="11.25" customHeight="1" x14ac:dyDescent="0.25">
      <c r="A80" s="8" t="s">
        <v>337</v>
      </c>
      <c r="B80" s="8" t="s">
        <v>338</v>
      </c>
      <c r="C80" s="8" t="s">
        <v>339</v>
      </c>
      <c r="D80" s="8">
        <v>332</v>
      </c>
      <c r="E80" s="8" t="s">
        <v>340</v>
      </c>
    </row>
    <row r="81" spans="1:5" ht="11.25" customHeight="1" x14ac:dyDescent="0.25">
      <c r="A81" s="8" t="s">
        <v>337</v>
      </c>
      <c r="B81" s="8" t="s">
        <v>338</v>
      </c>
      <c r="C81" s="8" t="s">
        <v>339</v>
      </c>
      <c r="D81" s="8">
        <v>333</v>
      </c>
      <c r="E81" s="8" t="s">
        <v>340</v>
      </c>
    </row>
    <row r="82" spans="1:5" ht="11.25" customHeight="1" x14ac:dyDescent="0.25">
      <c r="A82" s="8" t="s">
        <v>337</v>
      </c>
      <c r="B82" s="8" t="s">
        <v>338</v>
      </c>
      <c r="C82" s="8" t="s">
        <v>339</v>
      </c>
      <c r="D82" s="8">
        <v>334</v>
      </c>
      <c r="E82" s="8" t="s">
        <v>340</v>
      </c>
    </row>
    <row r="83" spans="1:5" ht="11.25" customHeight="1" x14ac:dyDescent="0.25">
      <c r="A83" s="8" t="s">
        <v>337</v>
      </c>
      <c r="B83" s="8" t="s">
        <v>338</v>
      </c>
      <c r="C83" s="8" t="s">
        <v>339</v>
      </c>
      <c r="D83" s="8">
        <v>335</v>
      </c>
      <c r="E83" s="8" t="s">
        <v>340</v>
      </c>
    </row>
    <row r="84" spans="1:5" ht="11.25" customHeight="1" x14ac:dyDescent="0.25">
      <c r="A84" s="8" t="s">
        <v>337</v>
      </c>
      <c r="B84" s="8" t="s">
        <v>338</v>
      </c>
      <c r="C84" s="8" t="s">
        <v>339</v>
      </c>
      <c r="D84" s="8">
        <v>336</v>
      </c>
      <c r="E84" s="8" t="s">
        <v>340</v>
      </c>
    </row>
    <row r="85" spans="1:5" ht="11.25" customHeight="1" x14ac:dyDescent="0.25">
      <c r="A85" s="8" t="s">
        <v>337</v>
      </c>
      <c r="B85" s="8" t="s">
        <v>338</v>
      </c>
      <c r="C85" s="8" t="s">
        <v>339</v>
      </c>
      <c r="D85" s="8">
        <v>337</v>
      </c>
      <c r="E85" s="8" t="s">
        <v>340</v>
      </c>
    </row>
    <row r="86" spans="1:5" ht="11.25" customHeight="1" x14ac:dyDescent="0.25">
      <c r="A86" s="8" t="s">
        <v>337</v>
      </c>
      <c r="C86" s="8" t="s">
        <v>571</v>
      </c>
      <c r="D86" s="8">
        <v>40</v>
      </c>
      <c r="E86" s="8" t="s">
        <v>9</v>
      </c>
    </row>
    <row r="87" spans="1:5" ht="11.25" customHeight="1" x14ac:dyDescent="0.25">
      <c r="A87" s="8" t="s">
        <v>337</v>
      </c>
      <c r="C87" s="8" t="s">
        <v>571</v>
      </c>
      <c r="D87" s="8">
        <v>40</v>
      </c>
      <c r="E87" s="8" t="s">
        <v>9</v>
      </c>
    </row>
    <row r="88" spans="1:5" ht="11.25" customHeight="1" x14ac:dyDescent="0.25">
      <c r="A88" s="8" t="s">
        <v>337</v>
      </c>
      <c r="C88" s="8" t="s">
        <v>571</v>
      </c>
      <c r="D88" s="8">
        <v>40</v>
      </c>
      <c r="E88" s="8" t="s">
        <v>9</v>
      </c>
    </row>
    <row r="89" spans="1:5" ht="11.25" customHeight="1" x14ac:dyDescent="0.25">
      <c r="A89" s="8" t="s">
        <v>337</v>
      </c>
      <c r="C89" s="8" t="s">
        <v>571</v>
      </c>
      <c r="D89" s="8">
        <v>40</v>
      </c>
      <c r="E89" s="8" t="s">
        <v>9</v>
      </c>
    </row>
    <row r="90" spans="1:5" ht="11.25" customHeight="1" x14ac:dyDescent="0.25">
      <c r="A90" s="8" t="s">
        <v>337</v>
      </c>
      <c r="C90" s="8" t="s">
        <v>571</v>
      </c>
      <c r="D90" s="8">
        <v>40</v>
      </c>
      <c r="E90" s="8" t="s">
        <v>9</v>
      </c>
    </row>
    <row r="91" spans="1:5" ht="11.25" customHeight="1" x14ac:dyDescent="0.25">
      <c r="A91" s="8" t="s">
        <v>337</v>
      </c>
      <c r="C91" s="8" t="s">
        <v>571</v>
      </c>
      <c r="D91" s="8">
        <v>40</v>
      </c>
      <c r="E91" s="8" t="s">
        <v>9</v>
      </c>
    </row>
    <row r="92" spans="1:5" ht="11.25" customHeight="1" x14ac:dyDescent="0.25">
      <c r="A92" s="8" t="s">
        <v>337</v>
      </c>
      <c r="C92" s="8" t="s">
        <v>571</v>
      </c>
      <c r="D92" s="8">
        <v>40</v>
      </c>
      <c r="E92" s="8" t="s">
        <v>9</v>
      </c>
    </row>
    <row r="93" spans="1:5" ht="11.25" customHeight="1" x14ac:dyDescent="0.25">
      <c r="A93" s="8" t="s">
        <v>337</v>
      </c>
      <c r="C93" s="8" t="s">
        <v>571</v>
      </c>
      <c r="D93" s="8">
        <v>40</v>
      </c>
      <c r="E93" s="8" t="s">
        <v>9</v>
      </c>
    </row>
    <row r="94" spans="1:5" ht="11.25" customHeight="1" x14ac:dyDescent="0.25">
      <c r="A94" s="8" t="s">
        <v>337</v>
      </c>
      <c r="C94" s="8" t="s">
        <v>571</v>
      </c>
      <c r="D94" s="8">
        <v>40</v>
      </c>
      <c r="E94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4B28A-1D27-4216-A780-B85914AF014B}">
  <sheetPr codeName="Planilha2"/>
  <dimension ref="A1:AX86"/>
  <sheetViews>
    <sheetView showGridLines="0" workbookViewId="0"/>
  </sheetViews>
  <sheetFormatPr defaultRowHeight="11.25" x14ac:dyDescent="0.25"/>
  <cols>
    <col min="1" max="1" width="4.7109375" style="94" bestFit="1" customWidth="1"/>
    <col min="2" max="2" width="8.85546875" style="94" bestFit="1" customWidth="1"/>
    <col min="3" max="3" width="8.7109375" style="94" bestFit="1" customWidth="1"/>
    <col min="4" max="4" width="27.140625" style="94" bestFit="1" customWidth="1"/>
    <col min="5" max="5" width="13.5703125" style="94" bestFit="1" customWidth="1"/>
    <col min="6" max="6" width="25.140625" style="94" bestFit="1" customWidth="1"/>
    <col min="7" max="9" width="10.28515625" style="94" bestFit="1" customWidth="1"/>
    <col min="10" max="10" width="6.85546875" style="94" bestFit="1" customWidth="1"/>
    <col min="11" max="11" width="4.5703125" style="94" bestFit="1" customWidth="1"/>
    <col min="12" max="12" width="4.42578125" style="94" bestFit="1" customWidth="1"/>
    <col min="13" max="13" width="6.7109375" style="94" bestFit="1" customWidth="1"/>
    <col min="14" max="14" width="6.28515625" style="94" bestFit="1" customWidth="1"/>
    <col min="15" max="15" width="11.140625" style="94" bestFit="1" customWidth="1"/>
    <col min="16" max="16" width="10.42578125" style="94" bestFit="1" customWidth="1"/>
    <col min="17" max="16384" width="9.140625" style="94"/>
  </cols>
  <sheetData>
    <row r="1" spans="1:50" ht="11.25" customHeight="1" x14ac:dyDescent="0.25">
      <c r="A1" s="95" t="s">
        <v>609</v>
      </c>
      <c r="B1" s="95" t="s">
        <v>600</v>
      </c>
      <c r="C1" s="95" t="s">
        <v>1</v>
      </c>
      <c r="D1" s="95" t="s">
        <v>2</v>
      </c>
      <c r="E1" s="95" t="s">
        <v>3</v>
      </c>
      <c r="F1" s="95" t="s">
        <v>4</v>
      </c>
      <c r="G1" s="95" t="s">
        <v>5</v>
      </c>
      <c r="H1" s="95" t="s">
        <v>6</v>
      </c>
      <c r="I1" s="95" t="s">
        <v>7</v>
      </c>
      <c r="J1" s="95" t="s">
        <v>601</v>
      </c>
      <c r="K1" s="95" t="s">
        <v>602</v>
      </c>
      <c r="L1" s="95" t="s">
        <v>603</v>
      </c>
      <c r="M1" s="95" t="s">
        <v>604</v>
      </c>
      <c r="N1" s="95" t="s">
        <v>605</v>
      </c>
      <c r="O1" s="95" t="s">
        <v>503</v>
      </c>
      <c r="P1" s="95" t="s">
        <v>489</v>
      </c>
      <c r="Q1" s="93"/>
      <c r="R1" s="93"/>
      <c r="S1" s="93"/>
      <c r="T1" s="93"/>
      <c r="U1" s="93"/>
      <c r="V1" s="93"/>
      <c r="W1" s="93"/>
      <c r="X1" s="93"/>
      <c r="Y1" s="93"/>
      <c r="Z1" s="93"/>
      <c r="AA1" s="93"/>
      <c r="AB1" s="93"/>
      <c r="AC1" s="93"/>
      <c r="AD1" s="93"/>
      <c r="AE1" s="93"/>
      <c r="AF1" s="93"/>
      <c r="AG1" s="93"/>
      <c r="AH1" s="9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</row>
    <row r="2" spans="1:50" ht="11.25" customHeight="1" x14ac:dyDescent="0.25">
      <c r="A2" s="79">
        <v>1</v>
      </c>
      <c r="B2" s="79" t="s">
        <v>483</v>
      </c>
      <c r="C2" s="79" t="s">
        <v>38</v>
      </c>
      <c r="D2" s="79" t="s">
        <v>50</v>
      </c>
      <c r="E2" s="79" t="s">
        <v>25</v>
      </c>
      <c r="F2" s="79" t="s">
        <v>25</v>
      </c>
      <c r="G2" s="79" t="s">
        <v>25</v>
      </c>
      <c r="H2" s="79" t="s">
        <v>25</v>
      </c>
      <c r="I2" s="79" t="s">
        <v>33</v>
      </c>
      <c r="J2" s="79" t="s">
        <v>606</v>
      </c>
      <c r="K2" s="79" t="s">
        <v>607</v>
      </c>
      <c r="L2" s="79" t="s">
        <v>83</v>
      </c>
      <c r="M2" s="79">
        <v>2021</v>
      </c>
      <c r="N2" s="79">
        <v>0</v>
      </c>
      <c r="O2" s="79">
        <v>21.6</v>
      </c>
      <c r="P2" s="79">
        <v>0</v>
      </c>
    </row>
    <row r="3" spans="1:50" ht="11.25" customHeight="1" x14ac:dyDescent="0.25">
      <c r="A3" s="79">
        <v>2</v>
      </c>
      <c r="B3" s="79" t="s">
        <v>483</v>
      </c>
      <c r="C3" s="79" t="s">
        <v>22</v>
      </c>
      <c r="D3" s="79" t="s">
        <v>32</v>
      </c>
      <c r="E3" s="79" t="s">
        <v>24</v>
      </c>
      <c r="F3" s="79" t="s">
        <v>24</v>
      </c>
      <c r="G3" s="79" t="s">
        <v>25</v>
      </c>
      <c r="H3" s="79" t="s">
        <v>25</v>
      </c>
      <c r="I3" s="79" t="s">
        <v>34</v>
      </c>
      <c r="J3" s="79" t="s">
        <v>608</v>
      </c>
      <c r="K3" s="79" t="s">
        <v>607</v>
      </c>
      <c r="L3" s="79" t="s">
        <v>78</v>
      </c>
      <c r="M3" s="79">
        <v>2021</v>
      </c>
      <c r="N3" s="79">
        <v>0</v>
      </c>
      <c r="O3" s="79">
        <v>155.24</v>
      </c>
      <c r="P3" s="79">
        <v>57.426977200981099</v>
      </c>
    </row>
    <row r="4" spans="1:50" ht="11.25" customHeight="1" x14ac:dyDescent="0.25">
      <c r="A4" s="79">
        <v>3</v>
      </c>
      <c r="B4" s="79" t="s">
        <v>483</v>
      </c>
      <c r="C4" s="79" t="s">
        <v>89</v>
      </c>
      <c r="D4" s="79" t="s">
        <v>58</v>
      </c>
      <c r="E4" s="79" t="s">
        <v>25</v>
      </c>
      <c r="F4" s="79" t="s">
        <v>25</v>
      </c>
      <c r="G4" s="79" t="s">
        <v>90</v>
      </c>
      <c r="H4" s="79" t="s">
        <v>25</v>
      </c>
      <c r="I4" s="79" t="s">
        <v>25</v>
      </c>
      <c r="J4" s="79" t="s">
        <v>606</v>
      </c>
      <c r="K4" s="79" t="s">
        <v>607</v>
      </c>
      <c r="L4" s="79" t="s">
        <v>83</v>
      </c>
      <c r="M4" s="79">
        <v>2021</v>
      </c>
      <c r="N4" s="79">
        <v>0</v>
      </c>
      <c r="O4" s="79">
        <v>10.07</v>
      </c>
      <c r="P4" s="79">
        <v>0</v>
      </c>
    </row>
    <row r="5" spans="1:50" ht="11.25" customHeight="1" x14ac:dyDescent="0.25">
      <c r="A5" s="79">
        <v>4</v>
      </c>
      <c r="B5" s="79" t="s">
        <v>483</v>
      </c>
      <c r="C5" s="79" t="s">
        <v>22</v>
      </c>
      <c r="D5" s="79" t="s">
        <v>94</v>
      </c>
      <c r="E5" s="79" t="s">
        <v>24</v>
      </c>
      <c r="F5" s="79" t="s">
        <v>30</v>
      </c>
      <c r="G5" s="79" t="s">
        <v>25</v>
      </c>
      <c r="H5" s="79" t="s">
        <v>25</v>
      </c>
      <c r="I5" s="79" t="s">
        <v>25</v>
      </c>
      <c r="J5" s="79" t="s">
        <v>608</v>
      </c>
      <c r="K5" s="79" t="s">
        <v>607</v>
      </c>
      <c r="L5" s="79" t="s">
        <v>78</v>
      </c>
      <c r="M5" s="79">
        <v>2021</v>
      </c>
      <c r="N5" s="79">
        <v>0</v>
      </c>
      <c r="O5" s="79">
        <v>227.74</v>
      </c>
      <c r="P5" s="79">
        <v>0</v>
      </c>
    </row>
    <row r="6" spans="1:50" ht="11.25" customHeight="1" x14ac:dyDescent="0.25">
      <c r="A6" s="79">
        <v>5</v>
      </c>
      <c r="B6" s="79" t="s">
        <v>483</v>
      </c>
      <c r="C6" s="79" t="s">
        <v>38</v>
      </c>
      <c r="D6" s="79" t="s">
        <v>58</v>
      </c>
      <c r="E6" s="79" t="s">
        <v>25</v>
      </c>
      <c r="F6" s="79" t="s">
        <v>25</v>
      </c>
      <c r="G6" s="79" t="s">
        <v>25</v>
      </c>
      <c r="H6" s="79" t="s">
        <v>25</v>
      </c>
      <c r="I6" s="79" t="s">
        <v>25</v>
      </c>
      <c r="J6" s="79" t="s">
        <v>606</v>
      </c>
      <c r="K6" s="79" t="s">
        <v>607</v>
      </c>
      <c r="L6" s="79" t="s">
        <v>83</v>
      </c>
      <c r="M6" s="79">
        <v>2021</v>
      </c>
      <c r="N6" s="79">
        <v>0</v>
      </c>
      <c r="O6" s="79">
        <v>5.65</v>
      </c>
      <c r="P6" s="79">
        <v>0</v>
      </c>
    </row>
    <row r="7" spans="1:50" ht="11.25" customHeight="1" x14ac:dyDescent="0.25">
      <c r="A7" s="79">
        <v>6</v>
      </c>
      <c r="B7" s="79" t="s">
        <v>483</v>
      </c>
      <c r="C7" s="79" t="s">
        <v>22</v>
      </c>
      <c r="D7" s="79" t="s">
        <v>23</v>
      </c>
      <c r="E7" s="79" t="s">
        <v>24</v>
      </c>
      <c r="F7" s="79" t="s">
        <v>29</v>
      </c>
      <c r="G7" s="79" t="s">
        <v>25</v>
      </c>
      <c r="H7" s="79" t="s">
        <v>25</v>
      </c>
      <c r="I7" s="79" t="s">
        <v>25</v>
      </c>
      <c r="J7" s="79" t="s">
        <v>608</v>
      </c>
      <c r="K7" s="79" t="s">
        <v>607</v>
      </c>
      <c r="L7" s="79" t="s">
        <v>78</v>
      </c>
      <c r="M7" s="79">
        <v>2021</v>
      </c>
      <c r="N7" s="79">
        <v>0</v>
      </c>
      <c r="O7" s="79">
        <v>151.83000000000001</v>
      </c>
      <c r="P7" s="79">
        <v>0</v>
      </c>
    </row>
    <row r="8" spans="1:50" ht="11.25" customHeight="1" x14ac:dyDescent="0.25">
      <c r="A8" s="79">
        <v>7</v>
      </c>
      <c r="B8" s="79" t="s">
        <v>483</v>
      </c>
      <c r="C8" s="79" t="s">
        <v>38</v>
      </c>
      <c r="D8" s="79" t="s">
        <v>39</v>
      </c>
      <c r="E8" s="79" t="s">
        <v>25</v>
      </c>
      <c r="F8" s="79" t="s">
        <v>25</v>
      </c>
      <c r="G8" s="79" t="s">
        <v>86</v>
      </c>
      <c r="H8" s="79" t="s">
        <v>25</v>
      </c>
      <c r="I8" s="79" t="s">
        <v>33</v>
      </c>
      <c r="J8" s="79" t="s">
        <v>608</v>
      </c>
      <c r="K8" s="79" t="s">
        <v>607</v>
      </c>
      <c r="L8" s="79" t="s">
        <v>78</v>
      </c>
      <c r="M8" s="79">
        <v>2021</v>
      </c>
      <c r="N8" s="79">
        <v>0</v>
      </c>
      <c r="O8" s="79">
        <v>531.26</v>
      </c>
      <c r="P8" s="79">
        <v>0</v>
      </c>
    </row>
    <row r="9" spans="1:50" ht="11.25" customHeight="1" x14ac:dyDescent="0.25">
      <c r="A9" s="79">
        <v>8</v>
      </c>
      <c r="B9" s="79" t="s">
        <v>483</v>
      </c>
      <c r="C9" s="79" t="s">
        <v>22</v>
      </c>
      <c r="D9" s="79" t="s">
        <v>94</v>
      </c>
      <c r="E9" s="79" t="s">
        <v>24</v>
      </c>
      <c r="F9" s="79" t="s">
        <v>28</v>
      </c>
      <c r="G9" s="79" t="s">
        <v>25</v>
      </c>
      <c r="H9" s="79" t="s">
        <v>25</v>
      </c>
      <c r="I9" s="79" t="s">
        <v>25</v>
      </c>
      <c r="J9" s="79" t="s">
        <v>608</v>
      </c>
      <c r="K9" s="79" t="s">
        <v>607</v>
      </c>
      <c r="L9" s="79" t="s">
        <v>78</v>
      </c>
      <c r="M9" s="79">
        <v>2021</v>
      </c>
      <c r="N9" s="79">
        <v>0</v>
      </c>
      <c r="O9" s="79">
        <v>88.57</v>
      </c>
      <c r="P9" s="79">
        <v>0</v>
      </c>
    </row>
    <row r="10" spans="1:50" ht="11.25" customHeight="1" x14ac:dyDescent="0.25">
      <c r="A10" s="79">
        <v>9</v>
      </c>
      <c r="B10" s="79" t="s">
        <v>483</v>
      </c>
      <c r="C10" s="79" t="s">
        <v>22</v>
      </c>
      <c r="D10" s="79" t="s">
        <v>32</v>
      </c>
      <c r="E10" s="79" t="s">
        <v>24</v>
      </c>
      <c r="F10" s="79" t="s">
        <v>24</v>
      </c>
      <c r="G10" s="79" t="s">
        <v>25</v>
      </c>
      <c r="H10" s="79" t="s">
        <v>25</v>
      </c>
      <c r="I10" s="79" t="s">
        <v>35</v>
      </c>
      <c r="J10" s="79" t="s">
        <v>608</v>
      </c>
      <c r="K10" s="79" t="s">
        <v>607</v>
      </c>
      <c r="L10" s="79" t="s">
        <v>78</v>
      </c>
      <c r="M10" s="79">
        <v>2021</v>
      </c>
      <c r="N10" s="79">
        <v>0</v>
      </c>
      <c r="O10" s="79">
        <v>493.16</v>
      </c>
      <c r="P10" s="79">
        <v>57.426977200981099</v>
      </c>
    </row>
    <row r="11" spans="1:50" ht="11.25" customHeight="1" x14ac:dyDescent="0.25">
      <c r="A11" s="79">
        <v>10</v>
      </c>
      <c r="B11" s="79" t="s">
        <v>483</v>
      </c>
      <c r="C11" s="79" t="s">
        <v>22</v>
      </c>
      <c r="D11" s="79" t="s">
        <v>23</v>
      </c>
      <c r="E11" s="79" t="s">
        <v>24</v>
      </c>
      <c r="F11" s="79" t="s">
        <v>30</v>
      </c>
      <c r="G11" s="79" t="s">
        <v>25</v>
      </c>
      <c r="H11" s="79" t="s">
        <v>25</v>
      </c>
      <c r="I11" s="79" t="s">
        <v>25</v>
      </c>
      <c r="J11" s="79" t="s">
        <v>608</v>
      </c>
      <c r="K11" s="79" t="s">
        <v>607</v>
      </c>
      <c r="L11" s="79" t="s">
        <v>78</v>
      </c>
      <c r="M11" s="79">
        <v>2021</v>
      </c>
      <c r="N11" s="79">
        <v>0</v>
      </c>
      <c r="O11" s="79">
        <v>227.74</v>
      </c>
      <c r="P11" s="79">
        <v>0</v>
      </c>
    </row>
    <row r="12" spans="1:50" ht="11.25" customHeight="1" x14ac:dyDescent="0.25">
      <c r="A12" s="79">
        <v>11</v>
      </c>
      <c r="B12" s="79" t="s">
        <v>483</v>
      </c>
      <c r="C12" s="79" t="s">
        <v>38</v>
      </c>
      <c r="D12" s="79" t="s">
        <v>50</v>
      </c>
      <c r="E12" s="79" t="s">
        <v>25</v>
      </c>
      <c r="F12" s="79" t="s">
        <v>25</v>
      </c>
      <c r="G12" s="79" t="s">
        <v>25</v>
      </c>
      <c r="H12" s="79" t="s">
        <v>25</v>
      </c>
      <c r="I12" s="79" t="s">
        <v>25</v>
      </c>
      <c r="J12" s="79" t="s">
        <v>608</v>
      </c>
      <c r="K12" s="79" t="s">
        <v>607</v>
      </c>
      <c r="L12" s="79" t="s">
        <v>78</v>
      </c>
      <c r="M12" s="79">
        <v>2021</v>
      </c>
      <c r="N12" s="79">
        <v>0</v>
      </c>
      <c r="O12" s="79">
        <v>71.260000000000005</v>
      </c>
      <c r="P12" s="79">
        <v>49.961470164853502</v>
      </c>
    </row>
    <row r="13" spans="1:50" ht="11.25" customHeight="1" x14ac:dyDescent="0.25">
      <c r="A13" s="79">
        <v>12</v>
      </c>
      <c r="B13" s="79" t="s">
        <v>483</v>
      </c>
      <c r="C13" s="79" t="s">
        <v>22</v>
      </c>
      <c r="D13" s="79" t="s">
        <v>23</v>
      </c>
      <c r="E13" s="79" t="s">
        <v>24</v>
      </c>
      <c r="F13" s="79" t="s">
        <v>24</v>
      </c>
      <c r="G13" s="79" t="s">
        <v>25</v>
      </c>
      <c r="H13" s="79" t="s">
        <v>25</v>
      </c>
      <c r="I13" s="79" t="s">
        <v>25</v>
      </c>
      <c r="J13" s="79" t="s">
        <v>608</v>
      </c>
      <c r="K13" s="79" t="s">
        <v>607</v>
      </c>
      <c r="L13" s="79" t="s">
        <v>78</v>
      </c>
      <c r="M13" s="79">
        <v>2021</v>
      </c>
      <c r="N13" s="79">
        <v>0</v>
      </c>
      <c r="O13" s="79">
        <v>326.98</v>
      </c>
      <c r="P13" s="79">
        <v>57.426977200981099</v>
      </c>
    </row>
    <row r="14" spans="1:50" ht="11.25" customHeight="1" x14ac:dyDescent="0.25">
      <c r="A14" s="79">
        <v>13</v>
      </c>
      <c r="B14" s="79" t="s">
        <v>483</v>
      </c>
      <c r="C14" s="79" t="s">
        <v>38</v>
      </c>
      <c r="D14" s="79" t="s">
        <v>50</v>
      </c>
      <c r="E14" s="79" t="s">
        <v>25</v>
      </c>
      <c r="F14" s="79" t="s">
        <v>25</v>
      </c>
      <c r="G14" s="79" t="s">
        <v>86</v>
      </c>
      <c r="H14" s="79" t="s">
        <v>25</v>
      </c>
      <c r="I14" s="79" t="s">
        <v>25</v>
      </c>
      <c r="J14" s="79" t="s">
        <v>608</v>
      </c>
      <c r="K14" s="79" t="s">
        <v>607</v>
      </c>
      <c r="L14" s="79" t="s">
        <v>78</v>
      </c>
      <c r="M14" s="79">
        <v>2021</v>
      </c>
      <c r="N14" s="79">
        <v>0</v>
      </c>
      <c r="O14" s="79">
        <v>5.74</v>
      </c>
      <c r="P14" s="79">
        <v>0</v>
      </c>
    </row>
    <row r="15" spans="1:50" ht="11.25" customHeight="1" x14ac:dyDescent="0.25">
      <c r="A15" s="79">
        <v>14</v>
      </c>
      <c r="B15" s="79" t="s">
        <v>483</v>
      </c>
      <c r="C15" s="79" t="s">
        <v>22</v>
      </c>
      <c r="D15" s="79" t="s">
        <v>23</v>
      </c>
      <c r="E15" s="79" t="s">
        <v>24</v>
      </c>
      <c r="F15" s="79" t="s">
        <v>28</v>
      </c>
      <c r="G15" s="79" t="s">
        <v>25</v>
      </c>
      <c r="H15" s="79" t="s">
        <v>25</v>
      </c>
      <c r="I15" s="79" t="s">
        <v>25</v>
      </c>
      <c r="J15" s="79" t="s">
        <v>608</v>
      </c>
      <c r="K15" s="79" t="s">
        <v>607</v>
      </c>
      <c r="L15" s="79" t="s">
        <v>78</v>
      </c>
      <c r="M15" s="79">
        <v>2021</v>
      </c>
      <c r="N15" s="79">
        <v>0</v>
      </c>
      <c r="O15" s="79">
        <v>88.57</v>
      </c>
      <c r="P15" s="79">
        <v>0</v>
      </c>
    </row>
    <row r="16" spans="1:50" ht="11.25" customHeight="1" x14ac:dyDescent="0.25">
      <c r="A16" s="79">
        <v>15</v>
      </c>
      <c r="B16" s="79" t="s">
        <v>483</v>
      </c>
      <c r="C16" s="79" t="s">
        <v>22</v>
      </c>
      <c r="D16" s="79" t="s">
        <v>32</v>
      </c>
      <c r="E16" s="79" t="s">
        <v>24</v>
      </c>
      <c r="F16" s="79" t="s">
        <v>24</v>
      </c>
      <c r="G16" s="79" t="s">
        <v>25</v>
      </c>
      <c r="H16" s="79" t="s">
        <v>25</v>
      </c>
      <c r="I16" s="79" t="s">
        <v>33</v>
      </c>
      <c r="J16" s="79" t="s">
        <v>608</v>
      </c>
      <c r="K16" s="79" t="s">
        <v>607</v>
      </c>
      <c r="L16" s="79" t="s">
        <v>78</v>
      </c>
      <c r="M16" s="79">
        <v>2021</v>
      </c>
      <c r="N16" s="79">
        <v>0</v>
      </c>
      <c r="O16" s="79">
        <v>874.51</v>
      </c>
      <c r="P16" s="79">
        <v>57.426977200981099</v>
      </c>
    </row>
    <row r="17" spans="1:16" ht="11.25" customHeight="1" x14ac:dyDescent="0.25">
      <c r="A17" s="79">
        <v>16</v>
      </c>
      <c r="B17" s="79" t="s">
        <v>483</v>
      </c>
      <c r="C17" s="79" t="s">
        <v>42</v>
      </c>
      <c r="D17" s="79" t="s">
        <v>32</v>
      </c>
      <c r="E17" s="79" t="s">
        <v>43</v>
      </c>
      <c r="F17" s="79" t="s">
        <v>25</v>
      </c>
      <c r="G17" s="79" t="s">
        <v>25</v>
      </c>
      <c r="H17" s="79" t="s">
        <v>25</v>
      </c>
      <c r="I17" s="79" t="s">
        <v>33</v>
      </c>
      <c r="J17" s="79" t="s">
        <v>608</v>
      </c>
      <c r="K17" s="79" t="s">
        <v>607</v>
      </c>
      <c r="L17" s="79" t="s">
        <v>78</v>
      </c>
      <c r="M17" s="79">
        <v>2021</v>
      </c>
      <c r="N17" s="79">
        <v>0</v>
      </c>
      <c r="O17" s="79">
        <v>922.2</v>
      </c>
      <c r="P17" s="79">
        <v>50.535739936863301</v>
      </c>
    </row>
    <row r="18" spans="1:16" ht="11.25" customHeight="1" x14ac:dyDescent="0.25">
      <c r="A18" s="79">
        <v>17</v>
      </c>
      <c r="B18" s="79" t="s">
        <v>483</v>
      </c>
      <c r="C18" s="79" t="s">
        <v>38</v>
      </c>
      <c r="D18" s="79" t="s">
        <v>39</v>
      </c>
      <c r="E18" s="79" t="s">
        <v>25</v>
      </c>
      <c r="F18" s="79" t="s">
        <v>25</v>
      </c>
      <c r="G18" s="79" t="s">
        <v>25</v>
      </c>
      <c r="H18" s="79" t="s">
        <v>25</v>
      </c>
      <c r="I18" s="79" t="s">
        <v>34</v>
      </c>
      <c r="J18" s="79" t="s">
        <v>608</v>
      </c>
      <c r="K18" s="79" t="s">
        <v>607</v>
      </c>
      <c r="L18" s="79" t="s">
        <v>78</v>
      </c>
      <c r="M18" s="79">
        <v>2021</v>
      </c>
      <c r="N18" s="79">
        <v>0</v>
      </c>
      <c r="O18" s="79">
        <v>71.260000000000005</v>
      </c>
      <c r="P18" s="79">
        <v>49.961470164853502</v>
      </c>
    </row>
    <row r="19" spans="1:16" ht="11.25" customHeight="1" x14ac:dyDescent="0.25">
      <c r="A19" s="79">
        <v>18</v>
      </c>
      <c r="B19" s="79" t="s">
        <v>483</v>
      </c>
      <c r="C19" s="79" t="s">
        <v>22</v>
      </c>
      <c r="D19" s="79" t="s">
        <v>94</v>
      </c>
      <c r="E19" s="79" t="s">
        <v>24</v>
      </c>
      <c r="F19" s="79" t="s">
        <v>24</v>
      </c>
      <c r="G19" s="79" t="s">
        <v>25</v>
      </c>
      <c r="H19" s="79" t="s">
        <v>25</v>
      </c>
      <c r="I19" s="79" t="s">
        <v>25</v>
      </c>
      <c r="J19" s="79" t="s">
        <v>608</v>
      </c>
      <c r="K19" s="79" t="s">
        <v>607</v>
      </c>
      <c r="L19" s="79" t="s">
        <v>78</v>
      </c>
      <c r="M19" s="79">
        <v>2021</v>
      </c>
      <c r="N19" s="79">
        <v>0</v>
      </c>
      <c r="O19" s="79">
        <v>326.98</v>
      </c>
      <c r="P19" s="79">
        <v>57.426977200981099</v>
      </c>
    </row>
    <row r="20" spans="1:16" ht="11.25" customHeight="1" x14ac:dyDescent="0.25">
      <c r="A20" s="79">
        <v>19</v>
      </c>
      <c r="B20" s="79" t="s">
        <v>483</v>
      </c>
      <c r="C20" s="79" t="s">
        <v>38</v>
      </c>
      <c r="D20" s="79" t="s">
        <v>39</v>
      </c>
      <c r="E20" s="79" t="s">
        <v>25</v>
      </c>
      <c r="F20" s="79" t="s">
        <v>25</v>
      </c>
      <c r="G20" s="79" t="s">
        <v>25</v>
      </c>
      <c r="H20" s="79" t="s">
        <v>25</v>
      </c>
      <c r="I20" s="79" t="s">
        <v>25</v>
      </c>
      <c r="J20" s="79" t="s">
        <v>606</v>
      </c>
      <c r="K20" s="79" t="s">
        <v>607</v>
      </c>
      <c r="L20" s="79" t="s">
        <v>83</v>
      </c>
      <c r="M20" s="79">
        <v>2021</v>
      </c>
      <c r="N20" s="79">
        <v>0</v>
      </c>
      <c r="O20" s="79">
        <v>16.29</v>
      </c>
      <c r="P20" s="79">
        <v>0</v>
      </c>
    </row>
    <row r="21" spans="1:16" ht="11.25" customHeight="1" x14ac:dyDescent="0.25">
      <c r="A21" s="79">
        <v>20</v>
      </c>
      <c r="B21" s="79" t="s">
        <v>483</v>
      </c>
      <c r="C21" s="79" t="s">
        <v>22</v>
      </c>
      <c r="D21" s="79" t="s">
        <v>23</v>
      </c>
      <c r="E21" s="79" t="s">
        <v>24</v>
      </c>
      <c r="F21" s="79" t="s">
        <v>31</v>
      </c>
      <c r="G21" s="79" t="s">
        <v>25</v>
      </c>
      <c r="H21" s="79" t="s">
        <v>25</v>
      </c>
      <c r="I21" s="79" t="s">
        <v>25</v>
      </c>
      <c r="J21" s="79" t="s">
        <v>608</v>
      </c>
      <c r="K21" s="79" t="s">
        <v>607</v>
      </c>
      <c r="L21" s="79" t="s">
        <v>78</v>
      </c>
      <c r="M21" s="79">
        <v>2021</v>
      </c>
      <c r="N21" s="79">
        <v>0</v>
      </c>
      <c r="O21" s="79">
        <v>253.04</v>
      </c>
      <c r="P21" s="79">
        <v>0</v>
      </c>
    </row>
    <row r="22" spans="1:16" ht="11.25" customHeight="1" x14ac:dyDescent="0.25">
      <c r="A22" s="79">
        <v>21</v>
      </c>
      <c r="B22" s="79" t="s">
        <v>483</v>
      </c>
      <c r="C22" s="79" t="s">
        <v>38</v>
      </c>
      <c r="D22" s="79" t="s">
        <v>39</v>
      </c>
      <c r="E22" s="79" t="s">
        <v>25</v>
      </c>
      <c r="F22" s="79" t="s">
        <v>25</v>
      </c>
      <c r="G22" s="79" t="s">
        <v>25</v>
      </c>
      <c r="H22" s="79" t="s">
        <v>25</v>
      </c>
      <c r="I22" s="79" t="s">
        <v>33</v>
      </c>
      <c r="J22" s="79" t="s">
        <v>608</v>
      </c>
      <c r="K22" s="79" t="s">
        <v>607</v>
      </c>
      <c r="L22" s="79" t="s">
        <v>78</v>
      </c>
      <c r="M22" s="79">
        <v>2021</v>
      </c>
      <c r="N22" s="79">
        <v>0</v>
      </c>
      <c r="O22" s="79">
        <v>596.78</v>
      </c>
      <c r="P22" s="79">
        <v>49.961470164853502</v>
      </c>
    </row>
    <row r="23" spans="1:16" ht="11.25" customHeight="1" x14ac:dyDescent="0.25">
      <c r="A23" s="79">
        <v>22</v>
      </c>
      <c r="B23" s="79" t="s">
        <v>483</v>
      </c>
      <c r="C23" s="79" t="s">
        <v>42</v>
      </c>
      <c r="D23" s="79" t="s">
        <v>32</v>
      </c>
      <c r="E23" s="79" t="s">
        <v>43</v>
      </c>
      <c r="F23" s="79" t="s">
        <v>25</v>
      </c>
      <c r="G23" s="79" t="s">
        <v>25</v>
      </c>
      <c r="H23" s="79" t="s">
        <v>25</v>
      </c>
      <c r="I23" s="79" t="s">
        <v>35</v>
      </c>
      <c r="J23" s="79" t="s">
        <v>608</v>
      </c>
      <c r="K23" s="79" t="s">
        <v>607</v>
      </c>
      <c r="L23" s="79" t="s">
        <v>78</v>
      </c>
      <c r="M23" s="79">
        <v>2021</v>
      </c>
      <c r="N23" s="79">
        <v>0</v>
      </c>
      <c r="O23" s="79">
        <v>502.42</v>
      </c>
      <c r="P23" s="79">
        <v>50.535739936863301</v>
      </c>
    </row>
    <row r="24" spans="1:16" ht="11.25" customHeight="1" x14ac:dyDescent="0.25">
      <c r="A24" s="79">
        <v>23</v>
      </c>
      <c r="B24" s="79" t="s">
        <v>483</v>
      </c>
      <c r="C24" s="79" t="s">
        <v>38</v>
      </c>
      <c r="D24" s="79" t="s">
        <v>50</v>
      </c>
      <c r="E24" s="79" t="s">
        <v>25</v>
      </c>
      <c r="F24" s="79" t="s">
        <v>25</v>
      </c>
      <c r="G24" s="79" t="s">
        <v>25</v>
      </c>
      <c r="H24" s="79" t="s">
        <v>25</v>
      </c>
      <c r="I24" s="79" t="s">
        <v>34</v>
      </c>
      <c r="J24" s="79" t="s">
        <v>606</v>
      </c>
      <c r="K24" s="79" t="s">
        <v>607</v>
      </c>
      <c r="L24" s="79" t="s">
        <v>83</v>
      </c>
      <c r="M24" s="79">
        <v>2021</v>
      </c>
      <c r="N24" s="79">
        <v>0</v>
      </c>
      <c r="O24" s="79">
        <v>16.29</v>
      </c>
      <c r="P24" s="79">
        <v>0</v>
      </c>
    </row>
    <row r="25" spans="1:16" ht="11.25" customHeight="1" x14ac:dyDescent="0.25">
      <c r="A25" s="79">
        <v>24</v>
      </c>
      <c r="B25" s="79" t="s">
        <v>483</v>
      </c>
      <c r="C25" s="79" t="s">
        <v>89</v>
      </c>
      <c r="D25" s="79" t="s">
        <v>58</v>
      </c>
      <c r="E25" s="79" t="s">
        <v>25</v>
      </c>
      <c r="F25" s="79" t="s">
        <v>25</v>
      </c>
      <c r="G25" s="79" t="s">
        <v>91</v>
      </c>
      <c r="H25" s="79" t="s">
        <v>25</v>
      </c>
      <c r="I25" s="79" t="s">
        <v>25</v>
      </c>
      <c r="J25" s="79" t="s">
        <v>606</v>
      </c>
      <c r="K25" s="79" t="s">
        <v>607</v>
      </c>
      <c r="L25" s="79" t="s">
        <v>83</v>
      </c>
      <c r="M25" s="79">
        <v>2021</v>
      </c>
      <c r="N25" s="79">
        <v>0</v>
      </c>
      <c r="O25" s="79">
        <v>13.06</v>
      </c>
      <c r="P25" s="79">
        <v>0</v>
      </c>
    </row>
    <row r="26" spans="1:16" ht="11.25" customHeight="1" x14ac:dyDescent="0.25">
      <c r="A26" s="79">
        <v>25</v>
      </c>
      <c r="B26" s="79" t="s">
        <v>483</v>
      </c>
      <c r="C26" s="79" t="s">
        <v>22</v>
      </c>
      <c r="D26" s="79" t="s">
        <v>94</v>
      </c>
      <c r="E26" s="79" t="s">
        <v>24</v>
      </c>
      <c r="F26" s="79" t="s">
        <v>31</v>
      </c>
      <c r="G26" s="79" t="s">
        <v>25</v>
      </c>
      <c r="H26" s="79" t="s">
        <v>25</v>
      </c>
      <c r="I26" s="79" t="s">
        <v>25</v>
      </c>
      <c r="J26" s="79" t="s">
        <v>608</v>
      </c>
      <c r="K26" s="79" t="s">
        <v>607</v>
      </c>
      <c r="L26" s="79" t="s">
        <v>78</v>
      </c>
      <c r="M26" s="79">
        <v>2021</v>
      </c>
      <c r="N26" s="79">
        <v>0</v>
      </c>
      <c r="O26" s="79">
        <v>253.04</v>
      </c>
      <c r="P26" s="79">
        <v>0</v>
      </c>
    </row>
    <row r="27" spans="1:16" ht="11.25" customHeight="1" x14ac:dyDescent="0.25">
      <c r="A27" s="79">
        <v>26</v>
      </c>
      <c r="B27" s="79" t="s">
        <v>483</v>
      </c>
      <c r="C27" s="79" t="s">
        <v>42</v>
      </c>
      <c r="D27" s="79" t="s">
        <v>32</v>
      </c>
      <c r="E27" s="79" t="s">
        <v>43</v>
      </c>
      <c r="F27" s="79" t="s">
        <v>95</v>
      </c>
      <c r="G27" s="79" t="s">
        <v>25</v>
      </c>
      <c r="H27" s="79" t="s">
        <v>25</v>
      </c>
      <c r="I27" s="79" t="s">
        <v>33</v>
      </c>
      <c r="J27" s="79" t="s">
        <v>608</v>
      </c>
      <c r="K27" s="79" t="s">
        <v>607</v>
      </c>
      <c r="L27" s="79" t="s">
        <v>78</v>
      </c>
      <c r="M27" s="79">
        <v>2021</v>
      </c>
      <c r="N27" s="79">
        <v>0</v>
      </c>
      <c r="O27" s="79">
        <v>922.2</v>
      </c>
      <c r="P27" s="79">
        <v>50.535739936863301</v>
      </c>
    </row>
    <row r="28" spans="1:16" ht="11.25" customHeight="1" x14ac:dyDescent="0.25">
      <c r="A28" s="79">
        <v>27</v>
      </c>
      <c r="B28" s="79" t="s">
        <v>483</v>
      </c>
      <c r="C28" s="79" t="s">
        <v>36</v>
      </c>
      <c r="D28" s="79" t="s">
        <v>32</v>
      </c>
      <c r="E28" s="79" t="s">
        <v>25</v>
      </c>
      <c r="F28" s="79" t="s">
        <v>25</v>
      </c>
      <c r="G28" s="79" t="s">
        <v>25</v>
      </c>
      <c r="H28" s="79" t="s">
        <v>25</v>
      </c>
      <c r="I28" s="79" t="s">
        <v>34</v>
      </c>
      <c r="J28" s="79" t="s">
        <v>608</v>
      </c>
      <c r="K28" s="79" t="s">
        <v>607</v>
      </c>
      <c r="L28" s="79" t="s">
        <v>78</v>
      </c>
      <c r="M28" s="79">
        <v>2021</v>
      </c>
      <c r="N28" s="79">
        <v>0</v>
      </c>
      <c r="O28" s="79">
        <v>289.85000000000002</v>
      </c>
      <c r="P28" s="79">
        <v>57.426977200981099</v>
      </c>
    </row>
    <row r="29" spans="1:16" ht="11.25" customHeight="1" x14ac:dyDescent="0.25">
      <c r="A29" s="79">
        <v>28</v>
      </c>
      <c r="B29" s="79" t="s">
        <v>483</v>
      </c>
      <c r="C29" s="79" t="s">
        <v>42</v>
      </c>
      <c r="D29" s="79" t="s">
        <v>32</v>
      </c>
      <c r="E29" s="79" t="s">
        <v>43</v>
      </c>
      <c r="F29" s="79" t="s">
        <v>25</v>
      </c>
      <c r="G29" s="79" t="s">
        <v>25</v>
      </c>
      <c r="H29" s="79" t="s">
        <v>25</v>
      </c>
      <c r="I29" s="79" t="s">
        <v>34</v>
      </c>
      <c r="J29" s="79" t="s">
        <v>608</v>
      </c>
      <c r="K29" s="79" t="s">
        <v>607</v>
      </c>
      <c r="L29" s="79" t="s">
        <v>78</v>
      </c>
      <c r="M29" s="79">
        <v>2021</v>
      </c>
      <c r="N29" s="79">
        <v>0</v>
      </c>
      <c r="O29" s="79">
        <v>171.33</v>
      </c>
      <c r="P29" s="79">
        <v>50.535739936863301</v>
      </c>
    </row>
    <row r="30" spans="1:16" ht="11.25" customHeight="1" x14ac:dyDescent="0.25">
      <c r="A30" s="79">
        <v>29</v>
      </c>
      <c r="B30" s="79" t="s">
        <v>483</v>
      </c>
      <c r="C30" s="79" t="s">
        <v>36</v>
      </c>
      <c r="D30" s="79" t="s">
        <v>32</v>
      </c>
      <c r="E30" s="79" t="s">
        <v>25</v>
      </c>
      <c r="F30" s="79" t="s">
        <v>25</v>
      </c>
      <c r="G30" s="79" t="s">
        <v>25</v>
      </c>
      <c r="H30" s="79" t="s">
        <v>25</v>
      </c>
      <c r="I30" s="79" t="s">
        <v>33</v>
      </c>
      <c r="J30" s="79" t="s">
        <v>608</v>
      </c>
      <c r="K30" s="79" t="s">
        <v>607</v>
      </c>
      <c r="L30" s="79" t="s">
        <v>78</v>
      </c>
      <c r="M30" s="79">
        <v>2021</v>
      </c>
      <c r="N30" s="79">
        <v>0</v>
      </c>
      <c r="O30" s="79">
        <v>543.29</v>
      </c>
      <c r="P30" s="79">
        <v>57.426977200981099</v>
      </c>
    </row>
    <row r="31" spans="1:16" ht="11.25" customHeight="1" x14ac:dyDescent="0.25">
      <c r="A31" s="79">
        <v>30</v>
      </c>
      <c r="B31" s="79" t="s">
        <v>483</v>
      </c>
      <c r="C31" s="79" t="s">
        <v>38</v>
      </c>
      <c r="D31" s="79" t="s">
        <v>39</v>
      </c>
      <c r="E31" s="79" t="s">
        <v>25</v>
      </c>
      <c r="F31" s="79" t="s">
        <v>25</v>
      </c>
      <c r="G31" s="79" t="s">
        <v>86</v>
      </c>
      <c r="H31" s="79" t="s">
        <v>25</v>
      </c>
      <c r="I31" s="79" t="s">
        <v>34</v>
      </c>
      <c r="J31" s="79" t="s">
        <v>608</v>
      </c>
      <c r="K31" s="79" t="s">
        <v>607</v>
      </c>
      <c r="L31" s="79" t="s">
        <v>78</v>
      </c>
      <c r="M31" s="79">
        <v>2021</v>
      </c>
      <c r="N31" s="79">
        <v>0</v>
      </c>
      <c r="O31" s="79">
        <v>5.74</v>
      </c>
      <c r="P31" s="79">
        <v>0</v>
      </c>
    </row>
    <row r="32" spans="1:16" ht="11.25" customHeight="1" x14ac:dyDescent="0.25">
      <c r="A32" s="79">
        <v>31</v>
      </c>
      <c r="B32" s="79" t="s">
        <v>483</v>
      </c>
      <c r="C32" s="79" t="s">
        <v>22</v>
      </c>
      <c r="D32" s="79" t="s">
        <v>94</v>
      </c>
      <c r="E32" s="79" t="s">
        <v>24</v>
      </c>
      <c r="F32" s="79" t="s">
        <v>29</v>
      </c>
      <c r="G32" s="79" t="s">
        <v>25</v>
      </c>
      <c r="H32" s="79" t="s">
        <v>25</v>
      </c>
      <c r="I32" s="79" t="s">
        <v>25</v>
      </c>
      <c r="J32" s="79" t="s">
        <v>608</v>
      </c>
      <c r="K32" s="79" t="s">
        <v>607</v>
      </c>
      <c r="L32" s="79" t="s">
        <v>78</v>
      </c>
      <c r="M32" s="79">
        <v>2021</v>
      </c>
      <c r="N32" s="79">
        <v>0</v>
      </c>
      <c r="O32" s="79">
        <v>151.83000000000001</v>
      </c>
      <c r="P32" s="79">
        <v>0</v>
      </c>
    </row>
    <row r="33" spans="1:16" ht="11.25" customHeight="1" x14ac:dyDescent="0.25">
      <c r="A33" s="79">
        <v>32</v>
      </c>
      <c r="B33" s="79" t="s">
        <v>483</v>
      </c>
      <c r="C33" s="79" t="s">
        <v>42</v>
      </c>
      <c r="D33" s="79" t="s">
        <v>23</v>
      </c>
      <c r="E33" s="79" t="s">
        <v>43</v>
      </c>
      <c r="F33" s="79" t="s">
        <v>25</v>
      </c>
      <c r="G33" s="79" t="s">
        <v>25</v>
      </c>
      <c r="H33" s="79" t="s">
        <v>25</v>
      </c>
      <c r="I33" s="79" t="s">
        <v>25</v>
      </c>
      <c r="J33" s="79" t="s">
        <v>608</v>
      </c>
      <c r="K33" s="79" t="s">
        <v>607</v>
      </c>
      <c r="L33" s="79" t="s">
        <v>78</v>
      </c>
      <c r="M33" s="79">
        <v>2021</v>
      </c>
      <c r="N33" s="79">
        <v>0</v>
      </c>
      <c r="O33" s="79">
        <v>287.75</v>
      </c>
      <c r="P33" s="79">
        <v>50.535739936863301</v>
      </c>
    </row>
    <row r="34" spans="1:16" ht="11.25" customHeight="1" x14ac:dyDescent="0.25">
      <c r="A34" s="79">
        <v>33</v>
      </c>
      <c r="B34" s="79" t="s">
        <v>483</v>
      </c>
      <c r="C34" s="79" t="s">
        <v>36</v>
      </c>
      <c r="D34" s="79" t="s">
        <v>32</v>
      </c>
      <c r="E34" s="79" t="s">
        <v>25</v>
      </c>
      <c r="F34" s="79" t="s">
        <v>25</v>
      </c>
      <c r="G34" s="79" t="s">
        <v>25</v>
      </c>
      <c r="H34" s="79" t="s">
        <v>25</v>
      </c>
      <c r="I34" s="79" t="s">
        <v>35</v>
      </c>
      <c r="J34" s="79" t="s">
        <v>608</v>
      </c>
      <c r="K34" s="79" t="s">
        <v>607</v>
      </c>
      <c r="L34" s="79" t="s">
        <v>78</v>
      </c>
      <c r="M34" s="79">
        <v>2021</v>
      </c>
      <c r="N34" s="79">
        <v>0</v>
      </c>
      <c r="O34" s="79">
        <v>484.8</v>
      </c>
      <c r="P34" s="79">
        <v>57.426977200981099</v>
      </c>
    </row>
    <row r="35" spans="1:16" ht="11.25" customHeight="1" x14ac:dyDescent="0.25">
      <c r="A35" s="79">
        <v>34</v>
      </c>
      <c r="B35" s="79" t="s">
        <v>483</v>
      </c>
      <c r="C35" s="79" t="s">
        <v>42</v>
      </c>
      <c r="D35" s="79" t="s">
        <v>23</v>
      </c>
      <c r="E35" s="79" t="s">
        <v>43</v>
      </c>
      <c r="F35" s="79" t="s">
        <v>96</v>
      </c>
      <c r="G35" s="79" t="s">
        <v>25</v>
      </c>
      <c r="H35" s="79" t="s">
        <v>25</v>
      </c>
      <c r="I35" s="79" t="s">
        <v>25</v>
      </c>
      <c r="J35" s="79" t="s">
        <v>608</v>
      </c>
      <c r="K35" s="79" t="s">
        <v>607</v>
      </c>
      <c r="L35" s="79" t="s">
        <v>78</v>
      </c>
      <c r="M35" s="79">
        <v>2021</v>
      </c>
      <c r="N35" s="79">
        <v>0</v>
      </c>
      <c r="O35" s="79">
        <v>274.67</v>
      </c>
      <c r="P35" s="79">
        <v>48.238660848824097</v>
      </c>
    </row>
    <row r="36" spans="1:16" ht="11.25" customHeight="1" x14ac:dyDescent="0.25">
      <c r="A36" s="79">
        <v>35</v>
      </c>
      <c r="B36" s="79" t="s">
        <v>511</v>
      </c>
      <c r="C36" s="79" t="s">
        <v>22</v>
      </c>
      <c r="D36" s="79" t="s">
        <v>93</v>
      </c>
      <c r="E36" s="79" t="s">
        <v>24</v>
      </c>
      <c r="F36" s="79" t="s">
        <v>24</v>
      </c>
      <c r="G36" s="79" t="s">
        <v>25</v>
      </c>
      <c r="H36" s="79" t="s">
        <v>25</v>
      </c>
      <c r="I36" s="79" t="s">
        <v>25</v>
      </c>
      <c r="J36" s="79" t="s">
        <v>608</v>
      </c>
      <c r="K36" s="79" t="s">
        <v>607</v>
      </c>
      <c r="L36" s="79" t="s">
        <v>78</v>
      </c>
      <c r="M36" s="79">
        <v>2021</v>
      </c>
      <c r="N36" s="79">
        <v>0</v>
      </c>
      <c r="O36" s="79">
        <v>314.52</v>
      </c>
      <c r="P36" s="79"/>
    </row>
    <row r="37" spans="1:16" ht="11.25" customHeight="1" x14ac:dyDescent="0.25">
      <c r="A37" s="79">
        <v>36</v>
      </c>
      <c r="B37" s="79" t="s">
        <v>483</v>
      </c>
      <c r="C37" s="79" t="s">
        <v>42</v>
      </c>
      <c r="D37" s="79" t="s">
        <v>32</v>
      </c>
      <c r="E37" s="79" t="s">
        <v>43</v>
      </c>
      <c r="F37" s="79" t="s">
        <v>95</v>
      </c>
      <c r="G37" s="79" t="s">
        <v>25</v>
      </c>
      <c r="H37" s="79" t="s">
        <v>25</v>
      </c>
      <c r="I37" s="79" t="s">
        <v>35</v>
      </c>
      <c r="J37" s="79" t="s">
        <v>608</v>
      </c>
      <c r="K37" s="79" t="s">
        <v>607</v>
      </c>
      <c r="L37" s="79" t="s">
        <v>78</v>
      </c>
      <c r="M37" s="79">
        <v>2021</v>
      </c>
      <c r="N37" s="79">
        <v>0</v>
      </c>
      <c r="O37" s="79">
        <v>502.42</v>
      </c>
      <c r="P37" s="79">
        <v>50.535739936863301</v>
      </c>
    </row>
    <row r="38" spans="1:16" ht="11.25" customHeight="1" x14ac:dyDescent="0.25">
      <c r="A38" s="79">
        <v>37</v>
      </c>
      <c r="B38" s="79" t="s">
        <v>511</v>
      </c>
      <c r="C38" s="79" t="s">
        <v>22</v>
      </c>
      <c r="D38" s="79" t="s">
        <v>77</v>
      </c>
      <c r="E38" s="79" t="s">
        <v>24</v>
      </c>
      <c r="F38" s="79" t="s">
        <v>24</v>
      </c>
      <c r="G38" s="79" t="s">
        <v>25</v>
      </c>
      <c r="H38" s="79" t="s">
        <v>25</v>
      </c>
      <c r="I38" s="79" t="s">
        <v>34</v>
      </c>
      <c r="J38" s="79" t="s">
        <v>608</v>
      </c>
      <c r="K38" s="79" t="s">
        <v>607</v>
      </c>
      <c r="L38" s="79" t="s">
        <v>78</v>
      </c>
      <c r="M38" s="79">
        <v>2021</v>
      </c>
      <c r="N38" s="79">
        <v>0</v>
      </c>
      <c r="O38" s="79">
        <v>297.31</v>
      </c>
      <c r="P38" s="79"/>
    </row>
    <row r="39" spans="1:16" ht="11.25" customHeight="1" x14ac:dyDescent="0.25">
      <c r="A39" s="79">
        <v>38</v>
      </c>
      <c r="B39" s="79" t="s">
        <v>483</v>
      </c>
      <c r="C39" s="79" t="s">
        <v>42</v>
      </c>
      <c r="D39" s="79" t="s">
        <v>32</v>
      </c>
      <c r="E39" s="79" t="s">
        <v>43</v>
      </c>
      <c r="F39" s="79" t="s">
        <v>96</v>
      </c>
      <c r="G39" s="79" t="s">
        <v>25</v>
      </c>
      <c r="H39" s="79" t="s">
        <v>25</v>
      </c>
      <c r="I39" s="79" t="s">
        <v>34</v>
      </c>
      <c r="J39" s="79" t="s">
        <v>608</v>
      </c>
      <c r="K39" s="79" t="s">
        <v>607</v>
      </c>
      <c r="L39" s="79" t="s">
        <v>78</v>
      </c>
      <c r="M39" s="79">
        <v>2021</v>
      </c>
      <c r="N39" s="79">
        <v>0</v>
      </c>
      <c r="O39" s="79">
        <v>163.55000000000001</v>
      </c>
      <c r="P39" s="79">
        <v>48.238660848824097</v>
      </c>
    </row>
    <row r="40" spans="1:16" ht="11.25" customHeight="1" x14ac:dyDescent="0.25">
      <c r="A40" s="79">
        <v>39</v>
      </c>
      <c r="B40" s="79" t="s">
        <v>511</v>
      </c>
      <c r="C40" s="79" t="s">
        <v>22</v>
      </c>
      <c r="D40" s="79" t="s">
        <v>81</v>
      </c>
      <c r="E40" s="79" t="s">
        <v>24</v>
      </c>
      <c r="F40" s="79" t="s">
        <v>31</v>
      </c>
      <c r="G40" s="79" t="s">
        <v>25</v>
      </c>
      <c r="H40" s="79" t="s">
        <v>25</v>
      </c>
      <c r="I40" s="79" t="s">
        <v>25</v>
      </c>
      <c r="J40" s="79" t="s">
        <v>608</v>
      </c>
      <c r="K40" s="79" t="s">
        <v>607</v>
      </c>
      <c r="L40" s="79" t="s">
        <v>78</v>
      </c>
      <c r="M40" s="79">
        <v>2021</v>
      </c>
      <c r="N40" s="79">
        <v>0</v>
      </c>
      <c r="O40" s="79">
        <v>314.52</v>
      </c>
      <c r="P40" s="79"/>
    </row>
    <row r="41" spans="1:16" ht="11.25" customHeight="1" x14ac:dyDescent="0.25">
      <c r="A41" s="79">
        <v>40</v>
      </c>
      <c r="B41" s="79" t="s">
        <v>483</v>
      </c>
      <c r="C41" s="79" t="s">
        <v>42</v>
      </c>
      <c r="D41" s="79" t="s">
        <v>94</v>
      </c>
      <c r="E41" s="79" t="s">
        <v>43</v>
      </c>
      <c r="F41" s="79" t="s">
        <v>25</v>
      </c>
      <c r="G41" s="79" t="s">
        <v>25</v>
      </c>
      <c r="H41" s="79" t="s">
        <v>25</v>
      </c>
      <c r="I41" s="79" t="s">
        <v>25</v>
      </c>
      <c r="J41" s="79" t="s">
        <v>608</v>
      </c>
      <c r="K41" s="79" t="s">
        <v>607</v>
      </c>
      <c r="L41" s="79" t="s">
        <v>78</v>
      </c>
      <c r="M41" s="79">
        <v>2021</v>
      </c>
      <c r="N41" s="79">
        <v>0</v>
      </c>
      <c r="O41" s="79">
        <v>287.75</v>
      </c>
      <c r="P41" s="79">
        <v>50.535739936863301</v>
      </c>
    </row>
    <row r="42" spans="1:16" ht="11.25" customHeight="1" x14ac:dyDescent="0.25">
      <c r="A42" s="79">
        <v>41</v>
      </c>
      <c r="B42" s="79" t="s">
        <v>511</v>
      </c>
      <c r="C42" s="79" t="s">
        <v>22</v>
      </c>
      <c r="D42" s="79" t="s">
        <v>93</v>
      </c>
      <c r="E42" s="79" t="s">
        <v>24</v>
      </c>
      <c r="F42" s="79" t="s">
        <v>28</v>
      </c>
      <c r="G42" s="79" t="s">
        <v>25</v>
      </c>
      <c r="H42" s="79" t="s">
        <v>25</v>
      </c>
      <c r="I42" s="79" t="s">
        <v>25</v>
      </c>
      <c r="J42" s="79" t="s">
        <v>608</v>
      </c>
      <c r="K42" s="79" t="s">
        <v>607</v>
      </c>
      <c r="L42" s="79" t="s">
        <v>78</v>
      </c>
      <c r="M42" s="79">
        <v>2021</v>
      </c>
      <c r="N42" s="79">
        <v>0</v>
      </c>
      <c r="O42" s="79">
        <v>110.08</v>
      </c>
      <c r="P42" s="79"/>
    </row>
    <row r="43" spans="1:16" ht="11.25" customHeight="1" x14ac:dyDescent="0.25">
      <c r="A43" s="79">
        <v>42</v>
      </c>
      <c r="B43" s="79" t="s">
        <v>483</v>
      </c>
      <c r="C43" s="79" t="s">
        <v>42</v>
      </c>
      <c r="D43" s="79" t="s">
        <v>94</v>
      </c>
      <c r="E43" s="79" t="s">
        <v>43</v>
      </c>
      <c r="F43" s="79" t="s">
        <v>96</v>
      </c>
      <c r="G43" s="79" t="s">
        <v>25</v>
      </c>
      <c r="H43" s="79" t="s">
        <v>25</v>
      </c>
      <c r="I43" s="79" t="s">
        <v>25</v>
      </c>
      <c r="J43" s="79" t="s">
        <v>608</v>
      </c>
      <c r="K43" s="79" t="s">
        <v>607</v>
      </c>
      <c r="L43" s="79" t="s">
        <v>78</v>
      </c>
      <c r="M43" s="79">
        <v>2021</v>
      </c>
      <c r="N43" s="79">
        <v>0</v>
      </c>
      <c r="O43" s="79">
        <v>274.67</v>
      </c>
      <c r="P43" s="79">
        <v>48.238660848824097</v>
      </c>
    </row>
    <row r="44" spans="1:16" ht="11.25" customHeight="1" x14ac:dyDescent="0.25">
      <c r="A44" s="79">
        <v>43</v>
      </c>
      <c r="B44" s="79" t="s">
        <v>511</v>
      </c>
      <c r="C44" s="79" t="s">
        <v>22</v>
      </c>
      <c r="D44" s="79" t="s">
        <v>93</v>
      </c>
      <c r="E44" s="79" t="s">
        <v>24</v>
      </c>
      <c r="F44" s="79" t="s">
        <v>30</v>
      </c>
      <c r="G44" s="79" t="s">
        <v>25</v>
      </c>
      <c r="H44" s="79" t="s">
        <v>25</v>
      </c>
      <c r="I44" s="79" t="s">
        <v>25</v>
      </c>
      <c r="J44" s="79" t="s">
        <v>608</v>
      </c>
      <c r="K44" s="79" t="s">
        <v>607</v>
      </c>
      <c r="L44" s="79" t="s">
        <v>78</v>
      </c>
      <c r="M44" s="79">
        <v>2021</v>
      </c>
      <c r="N44" s="79">
        <v>0</v>
      </c>
      <c r="O44" s="79">
        <v>283.07</v>
      </c>
      <c r="P44" s="79"/>
    </row>
    <row r="45" spans="1:16" ht="11.25" customHeight="1" x14ac:dyDescent="0.25">
      <c r="A45" s="79">
        <v>44</v>
      </c>
      <c r="B45" s="79" t="s">
        <v>483</v>
      </c>
      <c r="C45" s="79" t="s">
        <v>42</v>
      </c>
      <c r="D45" s="79" t="s">
        <v>94</v>
      </c>
      <c r="E45" s="79" t="s">
        <v>43</v>
      </c>
      <c r="F45" s="79" t="s">
        <v>95</v>
      </c>
      <c r="G45" s="79" t="s">
        <v>25</v>
      </c>
      <c r="H45" s="79" t="s">
        <v>25</v>
      </c>
      <c r="I45" s="79" t="s">
        <v>25</v>
      </c>
      <c r="J45" s="79" t="s">
        <v>608</v>
      </c>
      <c r="K45" s="79" t="s">
        <v>607</v>
      </c>
      <c r="L45" s="79" t="s">
        <v>78</v>
      </c>
      <c r="M45" s="79">
        <v>2021</v>
      </c>
      <c r="N45" s="79">
        <v>0</v>
      </c>
      <c r="O45" s="79">
        <v>287.75</v>
      </c>
      <c r="P45" s="79">
        <v>50.535739936863301</v>
      </c>
    </row>
    <row r="46" spans="1:16" ht="11.25" customHeight="1" x14ac:dyDescent="0.25">
      <c r="A46" s="79">
        <v>45</v>
      </c>
      <c r="B46" s="79" t="s">
        <v>511</v>
      </c>
      <c r="C46" s="79" t="s">
        <v>22</v>
      </c>
      <c r="D46" s="79" t="s">
        <v>93</v>
      </c>
      <c r="E46" s="79" t="s">
        <v>24</v>
      </c>
      <c r="F46" s="79" t="s">
        <v>29</v>
      </c>
      <c r="G46" s="79" t="s">
        <v>25</v>
      </c>
      <c r="H46" s="79" t="s">
        <v>25</v>
      </c>
      <c r="I46" s="79" t="s">
        <v>25</v>
      </c>
      <c r="J46" s="79" t="s">
        <v>608</v>
      </c>
      <c r="K46" s="79" t="s">
        <v>607</v>
      </c>
      <c r="L46" s="79" t="s">
        <v>78</v>
      </c>
      <c r="M46" s="79">
        <v>2021</v>
      </c>
      <c r="N46" s="79">
        <v>0</v>
      </c>
      <c r="O46" s="79">
        <v>188.71</v>
      </c>
      <c r="P46" s="79"/>
    </row>
    <row r="47" spans="1:16" ht="11.25" customHeight="1" x14ac:dyDescent="0.25">
      <c r="A47" s="79">
        <v>46</v>
      </c>
      <c r="B47" s="79" t="s">
        <v>511</v>
      </c>
      <c r="C47" s="79" t="s">
        <v>22</v>
      </c>
      <c r="D47" s="79" t="s">
        <v>77</v>
      </c>
      <c r="E47" s="79" t="s">
        <v>24</v>
      </c>
      <c r="F47" s="79" t="s">
        <v>24</v>
      </c>
      <c r="G47" s="79" t="s">
        <v>25</v>
      </c>
      <c r="H47" s="79" t="s">
        <v>25</v>
      </c>
      <c r="I47" s="79" t="s">
        <v>35</v>
      </c>
      <c r="J47" s="79" t="s">
        <v>608</v>
      </c>
      <c r="K47" s="79" t="s">
        <v>607</v>
      </c>
      <c r="L47" s="79" t="s">
        <v>78</v>
      </c>
      <c r="M47" s="79">
        <v>2021</v>
      </c>
      <c r="N47" s="79">
        <v>0</v>
      </c>
      <c r="O47" s="79">
        <v>297.31</v>
      </c>
      <c r="P47" s="79"/>
    </row>
    <row r="48" spans="1:16" ht="11.25" customHeight="1" x14ac:dyDescent="0.25">
      <c r="A48" s="79">
        <v>47</v>
      </c>
      <c r="B48" s="79" t="s">
        <v>483</v>
      </c>
      <c r="C48" s="79" t="s">
        <v>42</v>
      </c>
      <c r="D48" s="79" t="s">
        <v>32</v>
      </c>
      <c r="E48" s="79" t="s">
        <v>43</v>
      </c>
      <c r="F48" s="79" t="s">
        <v>95</v>
      </c>
      <c r="G48" s="79" t="s">
        <v>25</v>
      </c>
      <c r="H48" s="79" t="s">
        <v>25</v>
      </c>
      <c r="I48" s="79" t="s">
        <v>34</v>
      </c>
      <c r="J48" s="79" t="s">
        <v>608</v>
      </c>
      <c r="K48" s="79" t="s">
        <v>607</v>
      </c>
      <c r="L48" s="79" t="s">
        <v>78</v>
      </c>
      <c r="M48" s="79">
        <v>2021</v>
      </c>
      <c r="N48" s="79">
        <v>0</v>
      </c>
      <c r="O48" s="79">
        <v>171.33</v>
      </c>
      <c r="P48" s="79">
        <v>50.535739936863301</v>
      </c>
    </row>
    <row r="49" spans="1:16" ht="11.25" customHeight="1" x14ac:dyDescent="0.25">
      <c r="A49" s="79">
        <v>48</v>
      </c>
      <c r="B49" s="79" t="s">
        <v>511</v>
      </c>
      <c r="C49" s="79" t="s">
        <v>22</v>
      </c>
      <c r="D49" s="79" t="s">
        <v>81</v>
      </c>
      <c r="E49" s="79" t="s">
        <v>24</v>
      </c>
      <c r="F49" s="79" t="s">
        <v>24</v>
      </c>
      <c r="G49" s="79" t="s">
        <v>25</v>
      </c>
      <c r="H49" s="79" t="s">
        <v>25</v>
      </c>
      <c r="I49" s="79" t="s">
        <v>25</v>
      </c>
      <c r="J49" s="79" t="s">
        <v>608</v>
      </c>
      <c r="K49" s="79" t="s">
        <v>607</v>
      </c>
      <c r="L49" s="79" t="s">
        <v>78</v>
      </c>
      <c r="M49" s="79">
        <v>2021</v>
      </c>
      <c r="N49" s="79">
        <v>0</v>
      </c>
      <c r="O49" s="79">
        <v>314.52</v>
      </c>
      <c r="P49" s="79"/>
    </row>
    <row r="50" spans="1:16" ht="11.25" customHeight="1" x14ac:dyDescent="0.25">
      <c r="A50" s="79">
        <v>49</v>
      </c>
      <c r="B50" s="79" t="s">
        <v>483</v>
      </c>
      <c r="C50" s="79" t="s">
        <v>42</v>
      </c>
      <c r="D50" s="79" t="s">
        <v>32</v>
      </c>
      <c r="E50" s="79" t="s">
        <v>43</v>
      </c>
      <c r="F50" s="79" t="s">
        <v>96</v>
      </c>
      <c r="G50" s="79" t="s">
        <v>25</v>
      </c>
      <c r="H50" s="79" t="s">
        <v>25</v>
      </c>
      <c r="I50" s="79" t="s">
        <v>33</v>
      </c>
      <c r="J50" s="79" t="s">
        <v>608</v>
      </c>
      <c r="K50" s="79" t="s">
        <v>607</v>
      </c>
      <c r="L50" s="79" t="s">
        <v>78</v>
      </c>
      <c r="M50" s="79">
        <v>2021</v>
      </c>
      <c r="N50" s="79">
        <v>0</v>
      </c>
      <c r="O50" s="79">
        <v>880.28</v>
      </c>
      <c r="P50" s="79">
        <v>48.238660848824097</v>
      </c>
    </row>
    <row r="51" spans="1:16" ht="11.25" customHeight="1" x14ac:dyDescent="0.25">
      <c r="A51" s="79">
        <v>50</v>
      </c>
      <c r="B51" s="79" t="s">
        <v>511</v>
      </c>
      <c r="C51" s="79" t="s">
        <v>22</v>
      </c>
      <c r="D51" s="79" t="s">
        <v>81</v>
      </c>
      <c r="E51" s="79" t="s">
        <v>24</v>
      </c>
      <c r="F51" s="79" t="s">
        <v>29</v>
      </c>
      <c r="G51" s="79" t="s">
        <v>25</v>
      </c>
      <c r="H51" s="79" t="s">
        <v>25</v>
      </c>
      <c r="I51" s="79" t="s">
        <v>25</v>
      </c>
      <c r="J51" s="79" t="s">
        <v>608</v>
      </c>
      <c r="K51" s="79" t="s">
        <v>607</v>
      </c>
      <c r="L51" s="79" t="s">
        <v>78</v>
      </c>
      <c r="M51" s="79">
        <v>2021</v>
      </c>
      <c r="N51" s="79">
        <v>0</v>
      </c>
      <c r="O51" s="79">
        <v>188.71</v>
      </c>
      <c r="P51" s="79"/>
    </row>
    <row r="52" spans="1:16" ht="11.25" customHeight="1" x14ac:dyDescent="0.25">
      <c r="A52" s="79">
        <v>51</v>
      </c>
      <c r="B52" s="79" t="s">
        <v>483</v>
      </c>
      <c r="C52" s="79" t="s">
        <v>42</v>
      </c>
      <c r="D52" s="79" t="s">
        <v>23</v>
      </c>
      <c r="E52" s="79" t="s">
        <v>43</v>
      </c>
      <c r="F52" s="79" t="s">
        <v>95</v>
      </c>
      <c r="G52" s="79" t="s">
        <v>25</v>
      </c>
      <c r="H52" s="79" t="s">
        <v>25</v>
      </c>
      <c r="I52" s="79" t="s">
        <v>25</v>
      </c>
      <c r="J52" s="79" t="s">
        <v>608</v>
      </c>
      <c r="K52" s="79" t="s">
        <v>607</v>
      </c>
      <c r="L52" s="79" t="s">
        <v>78</v>
      </c>
      <c r="M52" s="79">
        <v>2021</v>
      </c>
      <c r="N52" s="79">
        <v>0</v>
      </c>
      <c r="O52" s="79">
        <v>287.75</v>
      </c>
      <c r="P52" s="79">
        <v>50.535739936863301</v>
      </c>
    </row>
    <row r="53" spans="1:16" ht="11.25" customHeight="1" x14ac:dyDescent="0.25">
      <c r="A53" s="79">
        <v>52</v>
      </c>
      <c r="B53" s="79" t="s">
        <v>511</v>
      </c>
      <c r="C53" s="79" t="s">
        <v>22</v>
      </c>
      <c r="D53" s="79" t="s">
        <v>81</v>
      </c>
      <c r="E53" s="79" t="s">
        <v>24</v>
      </c>
      <c r="F53" s="79" t="s">
        <v>28</v>
      </c>
      <c r="G53" s="79" t="s">
        <v>25</v>
      </c>
      <c r="H53" s="79" t="s">
        <v>25</v>
      </c>
      <c r="I53" s="79" t="s">
        <v>25</v>
      </c>
      <c r="J53" s="79" t="s">
        <v>608</v>
      </c>
      <c r="K53" s="79" t="s">
        <v>607</v>
      </c>
      <c r="L53" s="79" t="s">
        <v>78</v>
      </c>
      <c r="M53" s="79">
        <v>2021</v>
      </c>
      <c r="N53" s="79">
        <v>0</v>
      </c>
      <c r="O53" s="79">
        <v>110.08</v>
      </c>
      <c r="P53" s="79"/>
    </row>
    <row r="54" spans="1:16" ht="11.25" customHeight="1" x14ac:dyDescent="0.25">
      <c r="A54" s="79">
        <v>53</v>
      </c>
      <c r="B54" s="79" t="s">
        <v>511</v>
      </c>
      <c r="C54" s="79" t="s">
        <v>42</v>
      </c>
      <c r="D54" s="79" t="s">
        <v>77</v>
      </c>
      <c r="E54" s="79" t="s">
        <v>43</v>
      </c>
      <c r="F54" s="79" t="s">
        <v>25</v>
      </c>
      <c r="G54" s="79" t="s">
        <v>25</v>
      </c>
      <c r="H54" s="79" t="s">
        <v>25</v>
      </c>
      <c r="I54" s="79" t="s">
        <v>35</v>
      </c>
      <c r="J54" s="79" t="s">
        <v>608</v>
      </c>
      <c r="K54" s="79" t="s">
        <v>607</v>
      </c>
      <c r="L54" s="79" t="s">
        <v>78</v>
      </c>
      <c r="M54" s="79">
        <v>2021</v>
      </c>
      <c r="N54" s="79">
        <v>0</v>
      </c>
      <c r="O54" s="79">
        <v>261.63</v>
      </c>
      <c r="P54" s="79"/>
    </row>
    <row r="55" spans="1:16" ht="11.25" customHeight="1" x14ac:dyDescent="0.25">
      <c r="A55" s="79">
        <v>54</v>
      </c>
      <c r="B55" s="79" t="s">
        <v>483</v>
      </c>
      <c r="C55" s="79" t="s">
        <v>42</v>
      </c>
      <c r="D55" s="79" t="s">
        <v>32</v>
      </c>
      <c r="E55" s="79" t="s">
        <v>43</v>
      </c>
      <c r="F55" s="79" t="s">
        <v>96</v>
      </c>
      <c r="G55" s="79" t="s">
        <v>25</v>
      </c>
      <c r="H55" s="79" t="s">
        <v>25</v>
      </c>
      <c r="I55" s="79" t="s">
        <v>35</v>
      </c>
      <c r="J55" s="79" t="s">
        <v>608</v>
      </c>
      <c r="K55" s="79" t="s">
        <v>607</v>
      </c>
      <c r="L55" s="79" t="s">
        <v>78</v>
      </c>
      <c r="M55" s="79">
        <v>2021</v>
      </c>
      <c r="N55" s="79">
        <v>0</v>
      </c>
      <c r="O55" s="79">
        <v>479.58</v>
      </c>
      <c r="P55" s="79">
        <v>48.238660848824097</v>
      </c>
    </row>
    <row r="56" spans="1:16" ht="11.25" customHeight="1" x14ac:dyDescent="0.25">
      <c r="A56" s="79">
        <v>55</v>
      </c>
      <c r="B56" s="79" t="s">
        <v>511</v>
      </c>
      <c r="C56" s="79" t="s">
        <v>22</v>
      </c>
      <c r="D56" s="79" t="s">
        <v>81</v>
      </c>
      <c r="E56" s="79" t="s">
        <v>24</v>
      </c>
      <c r="F56" s="79" t="s">
        <v>30</v>
      </c>
      <c r="G56" s="79" t="s">
        <v>25</v>
      </c>
      <c r="H56" s="79" t="s">
        <v>25</v>
      </c>
      <c r="I56" s="79" t="s">
        <v>25</v>
      </c>
      <c r="J56" s="79" t="s">
        <v>608</v>
      </c>
      <c r="K56" s="79" t="s">
        <v>607</v>
      </c>
      <c r="L56" s="79" t="s">
        <v>78</v>
      </c>
      <c r="M56" s="79">
        <v>2021</v>
      </c>
      <c r="N56" s="79">
        <v>0</v>
      </c>
      <c r="O56" s="79">
        <v>283.07</v>
      </c>
      <c r="P56" s="79"/>
    </row>
    <row r="57" spans="1:16" ht="11.25" customHeight="1" x14ac:dyDescent="0.25">
      <c r="A57" s="79">
        <v>56</v>
      </c>
      <c r="B57" s="79" t="s">
        <v>511</v>
      </c>
      <c r="C57" s="79" t="s">
        <v>42</v>
      </c>
      <c r="D57" s="79" t="s">
        <v>81</v>
      </c>
      <c r="E57" s="79" t="s">
        <v>43</v>
      </c>
      <c r="F57" s="79" t="s">
        <v>25</v>
      </c>
      <c r="G57" s="79" t="s">
        <v>25</v>
      </c>
      <c r="H57" s="79" t="s">
        <v>25</v>
      </c>
      <c r="I57" s="79" t="s">
        <v>25</v>
      </c>
      <c r="J57" s="79" t="s">
        <v>608</v>
      </c>
      <c r="K57" s="79" t="s">
        <v>607</v>
      </c>
      <c r="L57" s="79" t="s">
        <v>78</v>
      </c>
      <c r="M57" s="79">
        <v>2021</v>
      </c>
      <c r="N57" s="79">
        <v>0</v>
      </c>
      <c r="O57" s="79">
        <v>276.77999999999997</v>
      </c>
      <c r="P57" s="79"/>
    </row>
    <row r="58" spans="1:16" ht="11.25" customHeight="1" x14ac:dyDescent="0.25">
      <c r="A58" s="79">
        <v>57</v>
      </c>
      <c r="B58" s="79" t="s">
        <v>511</v>
      </c>
      <c r="C58" s="79" t="s">
        <v>42</v>
      </c>
      <c r="D58" s="79" t="s">
        <v>77</v>
      </c>
      <c r="E58" s="79" t="s">
        <v>43</v>
      </c>
      <c r="F58" s="79" t="s">
        <v>96</v>
      </c>
      <c r="G58" s="79" t="s">
        <v>25</v>
      </c>
      <c r="H58" s="79" t="s">
        <v>25</v>
      </c>
      <c r="I58" s="79" t="s">
        <v>34</v>
      </c>
      <c r="J58" s="79" t="s">
        <v>608</v>
      </c>
      <c r="K58" s="79" t="s">
        <v>607</v>
      </c>
      <c r="L58" s="79" t="s">
        <v>78</v>
      </c>
      <c r="M58" s="79">
        <v>2021</v>
      </c>
      <c r="N58" s="79">
        <v>0</v>
      </c>
      <c r="O58" s="79">
        <v>249.74</v>
      </c>
      <c r="P58" s="79"/>
    </row>
    <row r="59" spans="1:16" ht="11.25" customHeight="1" x14ac:dyDescent="0.25">
      <c r="A59" s="79">
        <v>58</v>
      </c>
      <c r="B59" s="79" t="s">
        <v>511</v>
      </c>
      <c r="C59" s="79" t="s">
        <v>42</v>
      </c>
      <c r="D59" s="79" t="s">
        <v>77</v>
      </c>
      <c r="E59" s="79" t="s">
        <v>43</v>
      </c>
      <c r="F59" s="79" t="s">
        <v>25</v>
      </c>
      <c r="G59" s="79" t="s">
        <v>25</v>
      </c>
      <c r="H59" s="79" t="s">
        <v>25</v>
      </c>
      <c r="I59" s="79" t="s">
        <v>33</v>
      </c>
      <c r="J59" s="79" t="s">
        <v>608</v>
      </c>
      <c r="K59" s="79" t="s">
        <v>607</v>
      </c>
      <c r="L59" s="79" t="s">
        <v>78</v>
      </c>
      <c r="M59" s="79">
        <v>2021</v>
      </c>
      <c r="N59" s="79">
        <v>0</v>
      </c>
      <c r="O59" s="79">
        <v>443.36</v>
      </c>
      <c r="P59" s="79"/>
    </row>
    <row r="60" spans="1:16" ht="11.25" customHeight="1" x14ac:dyDescent="0.25">
      <c r="A60" s="79">
        <v>59</v>
      </c>
      <c r="B60" s="79" t="s">
        <v>511</v>
      </c>
      <c r="C60" s="79" t="s">
        <v>45</v>
      </c>
      <c r="D60" s="79" t="s">
        <v>81</v>
      </c>
      <c r="E60" s="79" t="s">
        <v>46</v>
      </c>
      <c r="F60" s="79" t="s">
        <v>47</v>
      </c>
      <c r="G60" s="79" t="s">
        <v>25</v>
      </c>
      <c r="H60" s="79" t="s">
        <v>25</v>
      </c>
      <c r="I60" s="79" t="s">
        <v>25</v>
      </c>
      <c r="J60" s="79" t="s">
        <v>608</v>
      </c>
      <c r="K60" s="79" t="s">
        <v>607</v>
      </c>
      <c r="L60" s="79" t="s">
        <v>78</v>
      </c>
      <c r="M60" s="79">
        <v>2021</v>
      </c>
      <c r="N60" s="79">
        <v>0</v>
      </c>
      <c r="O60" s="79">
        <v>172.98</v>
      </c>
      <c r="P60" s="79"/>
    </row>
    <row r="61" spans="1:16" ht="11.25" customHeight="1" x14ac:dyDescent="0.25">
      <c r="A61" s="79">
        <v>60</v>
      </c>
      <c r="B61" s="79" t="s">
        <v>511</v>
      </c>
      <c r="C61" s="79" t="s">
        <v>42</v>
      </c>
      <c r="D61" s="79" t="s">
        <v>77</v>
      </c>
      <c r="E61" s="79" t="s">
        <v>43</v>
      </c>
      <c r="F61" s="79" t="s">
        <v>25</v>
      </c>
      <c r="G61" s="79" t="s">
        <v>25</v>
      </c>
      <c r="H61" s="79" t="s">
        <v>25</v>
      </c>
      <c r="I61" s="79" t="s">
        <v>34</v>
      </c>
      <c r="J61" s="79" t="s">
        <v>608</v>
      </c>
      <c r="K61" s="79" t="s">
        <v>607</v>
      </c>
      <c r="L61" s="79" t="s">
        <v>78</v>
      </c>
      <c r="M61" s="79">
        <v>2021</v>
      </c>
      <c r="N61" s="79">
        <v>0</v>
      </c>
      <c r="O61" s="79">
        <v>261.63</v>
      </c>
      <c r="P61" s="79"/>
    </row>
    <row r="62" spans="1:16" ht="11.25" customHeight="1" x14ac:dyDescent="0.25">
      <c r="A62" s="79">
        <v>61</v>
      </c>
      <c r="B62" s="79" t="s">
        <v>511</v>
      </c>
      <c r="C62" s="79" t="s">
        <v>42</v>
      </c>
      <c r="D62" s="79" t="s">
        <v>77</v>
      </c>
      <c r="E62" s="79" t="s">
        <v>43</v>
      </c>
      <c r="F62" s="79" t="s">
        <v>96</v>
      </c>
      <c r="G62" s="79" t="s">
        <v>25</v>
      </c>
      <c r="H62" s="79" t="s">
        <v>25</v>
      </c>
      <c r="I62" s="79" t="s">
        <v>35</v>
      </c>
      <c r="J62" s="79" t="s">
        <v>608</v>
      </c>
      <c r="K62" s="79" t="s">
        <v>607</v>
      </c>
      <c r="L62" s="79" t="s">
        <v>78</v>
      </c>
      <c r="M62" s="79">
        <v>2021</v>
      </c>
      <c r="N62" s="79">
        <v>0</v>
      </c>
      <c r="O62" s="79">
        <v>249.74</v>
      </c>
      <c r="P62" s="79"/>
    </row>
    <row r="63" spans="1:16" ht="11.25" customHeight="1" x14ac:dyDescent="0.25">
      <c r="A63" s="79">
        <v>62</v>
      </c>
      <c r="B63" s="79" t="s">
        <v>511</v>
      </c>
      <c r="C63" s="79" t="s">
        <v>42</v>
      </c>
      <c r="D63" s="79" t="s">
        <v>77</v>
      </c>
      <c r="E63" s="79" t="s">
        <v>43</v>
      </c>
      <c r="F63" s="79" t="s">
        <v>95</v>
      </c>
      <c r="G63" s="79" t="s">
        <v>25</v>
      </c>
      <c r="H63" s="79" t="s">
        <v>25</v>
      </c>
      <c r="I63" s="79" t="s">
        <v>35</v>
      </c>
      <c r="J63" s="79" t="s">
        <v>608</v>
      </c>
      <c r="K63" s="79" t="s">
        <v>607</v>
      </c>
      <c r="L63" s="79" t="s">
        <v>78</v>
      </c>
      <c r="M63" s="79">
        <v>2021</v>
      </c>
      <c r="N63" s="79">
        <v>0</v>
      </c>
      <c r="O63" s="79">
        <v>261.63</v>
      </c>
      <c r="P63" s="79"/>
    </row>
    <row r="64" spans="1:16" ht="11.25" customHeight="1" x14ac:dyDescent="0.25">
      <c r="A64" s="79">
        <v>63</v>
      </c>
      <c r="B64" s="79" t="s">
        <v>511</v>
      </c>
      <c r="C64" s="79" t="s">
        <v>42</v>
      </c>
      <c r="D64" s="79" t="s">
        <v>93</v>
      </c>
      <c r="E64" s="79" t="s">
        <v>43</v>
      </c>
      <c r="F64" s="79" t="s">
        <v>25</v>
      </c>
      <c r="G64" s="79" t="s">
        <v>25</v>
      </c>
      <c r="H64" s="79" t="s">
        <v>25</v>
      </c>
      <c r="I64" s="79" t="s">
        <v>25</v>
      </c>
      <c r="J64" s="79" t="s">
        <v>608</v>
      </c>
      <c r="K64" s="79" t="s">
        <v>607</v>
      </c>
      <c r="L64" s="79" t="s">
        <v>78</v>
      </c>
      <c r="M64" s="79">
        <v>2021</v>
      </c>
      <c r="N64" s="79">
        <v>0</v>
      </c>
      <c r="O64" s="79">
        <v>276.77999999999997</v>
      </c>
      <c r="P64" s="79"/>
    </row>
    <row r="65" spans="1:16" ht="11.25" customHeight="1" x14ac:dyDescent="0.25">
      <c r="A65" s="79">
        <v>64</v>
      </c>
      <c r="B65" s="79" t="s">
        <v>511</v>
      </c>
      <c r="C65" s="79" t="s">
        <v>42</v>
      </c>
      <c r="D65" s="79" t="s">
        <v>77</v>
      </c>
      <c r="E65" s="79" t="s">
        <v>43</v>
      </c>
      <c r="F65" s="79" t="s">
        <v>96</v>
      </c>
      <c r="G65" s="79" t="s">
        <v>25</v>
      </c>
      <c r="H65" s="79" t="s">
        <v>25</v>
      </c>
      <c r="I65" s="79" t="s">
        <v>33</v>
      </c>
      <c r="J65" s="79" t="s">
        <v>608</v>
      </c>
      <c r="K65" s="79" t="s">
        <v>607</v>
      </c>
      <c r="L65" s="79" t="s">
        <v>78</v>
      </c>
      <c r="M65" s="79">
        <v>2021</v>
      </c>
      <c r="N65" s="79">
        <v>0</v>
      </c>
      <c r="O65" s="79">
        <v>423.21</v>
      </c>
      <c r="P65" s="79"/>
    </row>
    <row r="66" spans="1:16" ht="11.25" customHeight="1" x14ac:dyDescent="0.25">
      <c r="A66" s="79">
        <v>65</v>
      </c>
      <c r="B66" s="79" t="s">
        <v>511</v>
      </c>
      <c r="C66" s="79" t="s">
        <v>22</v>
      </c>
      <c r="D66" s="79" t="s">
        <v>93</v>
      </c>
      <c r="E66" s="79" t="s">
        <v>24</v>
      </c>
      <c r="F66" s="79" t="s">
        <v>31</v>
      </c>
      <c r="G66" s="79" t="s">
        <v>25</v>
      </c>
      <c r="H66" s="79" t="s">
        <v>25</v>
      </c>
      <c r="I66" s="79" t="s">
        <v>25</v>
      </c>
      <c r="J66" s="79" t="s">
        <v>608</v>
      </c>
      <c r="K66" s="79" t="s">
        <v>607</v>
      </c>
      <c r="L66" s="79" t="s">
        <v>78</v>
      </c>
      <c r="M66" s="79">
        <v>2021</v>
      </c>
      <c r="N66" s="79">
        <v>0</v>
      </c>
      <c r="O66" s="79">
        <v>314.52</v>
      </c>
      <c r="P66" s="79"/>
    </row>
    <row r="67" spans="1:16" ht="11.25" customHeight="1" x14ac:dyDescent="0.25">
      <c r="A67" s="79">
        <v>66</v>
      </c>
      <c r="B67" s="79" t="s">
        <v>511</v>
      </c>
      <c r="C67" s="79" t="s">
        <v>38</v>
      </c>
      <c r="D67" s="79" t="s">
        <v>77</v>
      </c>
      <c r="E67" s="79" t="s">
        <v>25</v>
      </c>
      <c r="F67" s="79" t="s">
        <v>25</v>
      </c>
      <c r="G67" s="79" t="s">
        <v>25</v>
      </c>
      <c r="H67" s="79" t="s">
        <v>25</v>
      </c>
      <c r="I67" s="79" t="s">
        <v>33</v>
      </c>
      <c r="J67" s="79" t="s">
        <v>608</v>
      </c>
      <c r="K67" s="79" t="s">
        <v>607</v>
      </c>
      <c r="L67" s="79" t="s">
        <v>78</v>
      </c>
      <c r="M67" s="79">
        <v>2021</v>
      </c>
      <c r="N67" s="79">
        <v>0</v>
      </c>
      <c r="O67" s="79">
        <v>503.82</v>
      </c>
      <c r="P67" s="79"/>
    </row>
    <row r="68" spans="1:16" ht="11.25" customHeight="1" x14ac:dyDescent="0.25">
      <c r="A68" s="79">
        <v>67</v>
      </c>
      <c r="B68" s="79" t="s">
        <v>511</v>
      </c>
      <c r="C68" s="79" t="s">
        <v>36</v>
      </c>
      <c r="D68" s="79" t="s">
        <v>77</v>
      </c>
      <c r="E68" s="79" t="s">
        <v>25</v>
      </c>
      <c r="F68" s="79" t="s">
        <v>25</v>
      </c>
      <c r="G68" s="79" t="s">
        <v>25</v>
      </c>
      <c r="H68" s="79" t="s">
        <v>25</v>
      </c>
      <c r="I68" s="79" t="s">
        <v>33</v>
      </c>
      <c r="J68" s="79" t="s">
        <v>608</v>
      </c>
      <c r="K68" s="79" t="s">
        <v>607</v>
      </c>
      <c r="L68" s="79" t="s">
        <v>78</v>
      </c>
      <c r="M68" s="79">
        <v>2021</v>
      </c>
      <c r="N68" s="79">
        <v>0</v>
      </c>
      <c r="O68" s="79">
        <v>503.82</v>
      </c>
      <c r="P68" s="79"/>
    </row>
    <row r="69" spans="1:16" ht="11.25" customHeight="1" x14ac:dyDescent="0.25">
      <c r="A69" s="79">
        <v>68</v>
      </c>
      <c r="B69" s="79" t="s">
        <v>483</v>
      </c>
      <c r="C69" s="79" t="s">
        <v>36</v>
      </c>
      <c r="D69" s="79" t="s">
        <v>23</v>
      </c>
      <c r="E69" s="79" t="s">
        <v>25</v>
      </c>
      <c r="F69" s="79" t="s">
        <v>25</v>
      </c>
      <c r="G69" s="79" t="s">
        <v>25</v>
      </c>
      <c r="H69" s="79" t="s">
        <v>25</v>
      </c>
      <c r="I69" s="79" t="s">
        <v>25</v>
      </c>
      <c r="J69" s="79" t="s">
        <v>608</v>
      </c>
      <c r="K69" s="79" t="s">
        <v>607</v>
      </c>
      <c r="L69" s="79" t="s">
        <v>78</v>
      </c>
      <c r="M69" s="79">
        <v>2021</v>
      </c>
      <c r="N69" s="79">
        <v>0</v>
      </c>
      <c r="O69" s="79">
        <v>326.98</v>
      </c>
      <c r="P69" s="79">
        <v>57.426977200981099</v>
      </c>
    </row>
    <row r="70" spans="1:16" ht="11.25" customHeight="1" x14ac:dyDescent="0.25">
      <c r="A70" s="79">
        <v>69</v>
      </c>
      <c r="B70" s="79" t="s">
        <v>511</v>
      </c>
      <c r="C70" s="79" t="s">
        <v>22</v>
      </c>
      <c r="D70" s="79" t="s">
        <v>77</v>
      </c>
      <c r="E70" s="79" t="s">
        <v>24</v>
      </c>
      <c r="F70" s="79" t="s">
        <v>24</v>
      </c>
      <c r="G70" s="79" t="s">
        <v>25</v>
      </c>
      <c r="H70" s="79" t="s">
        <v>25</v>
      </c>
      <c r="I70" s="79" t="s">
        <v>33</v>
      </c>
      <c r="J70" s="79" t="s">
        <v>608</v>
      </c>
      <c r="K70" s="79" t="s">
        <v>607</v>
      </c>
      <c r="L70" s="79" t="s">
        <v>78</v>
      </c>
      <c r="M70" s="79">
        <v>2021</v>
      </c>
      <c r="N70" s="79">
        <v>0</v>
      </c>
      <c r="O70" s="79">
        <v>503.82</v>
      </c>
      <c r="P70" s="79"/>
    </row>
    <row r="71" spans="1:16" ht="11.25" customHeight="1" x14ac:dyDescent="0.25">
      <c r="A71" s="79">
        <v>70</v>
      </c>
      <c r="B71" s="79" t="s">
        <v>511</v>
      </c>
      <c r="C71" s="79" t="s">
        <v>42</v>
      </c>
      <c r="D71" s="79" t="s">
        <v>77</v>
      </c>
      <c r="E71" s="79" t="s">
        <v>43</v>
      </c>
      <c r="F71" s="79" t="s">
        <v>95</v>
      </c>
      <c r="G71" s="79" t="s">
        <v>25</v>
      </c>
      <c r="H71" s="79" t="s">
        <v>25</v>
      </c>
      <c r="I71" s="79" t="s">
        <v>34</v>
      </c>
      <c r="J71" s="79" t="s">
        <v>608</v>
      </c>
      <c r="K71" s="79" t="s">
        <v>607</v>
      </c>
      <c r="L71" s="79" t="s">
        <v>78</v>
      </c>
      <c r="M71" s="79">
        <v>2021</v>
      </c>
      <c r="N71" s="79">
        <v>0</v>
      </c>
      <c r="O71" s="79">
        <v>261.63</v>
      </c>
      <c r="P71" s="79"/>
    </row>
    <row r="72" spans="1:16" ht="11.25" customHeight="1" x14ac:dyDescent="0.25">
      <c r="A72" s="79">
        <v>71</v>
      </c>
      <c r="B72" s="79" t="s">
        <v>511</v>
      </c>
      <c r="C72" s="79" t="s">
        <v>42</v>
      </c>
      <c r="D72" s="79" t="s">
        <v>93</v>
      </c>
      <c r="E72" s="79" t="s">
        <v>43</v>
      </c>
      <c r="F72" s="79" t="s">
        <v>95</v>
      </c>
      <c r="G72" s="79" t="s">
        <v>25</v>
      </c>
      <c r="H72" s="79" t="s">
        <v>25</v>
      </c>
      <c r="I72" s="79" t="s">
        <v>25</v>
      </c>
      <c r="J72" s="79" t="s">
        <v>608</v>
      </c>
      <c r="K72" s="79" t="s">
        <v>607</v>
      </c>
      <c r="L72" s="79" t="s">
        <v>78</v>
      </c>
      <c r="M72" s="79">
        <v>2021</v>
      </c>
      <c r="N72" s="79">
        <v>0</v>
      </c>
      <c r="O72" s="79">
        <v>276.77999999999997</v>
      </c>
      <c r="P72" s="79"/>
    </row>
    <row r="73" spans="1:16" ht="11.25" customHeight="1" x14ac:dyDescent="0.25">
      <c r="A73" s="79">
        <v>72</v>
      </c>
      <c r="B73" s="79" t="s">
        <v>511</v>
      </c>
      <c r="C73" s="79" t="s">
        <v>45</v>
      </c>
      <c r="D73" s="79" t="s">
        <v>81</v>
      </c>
      <c r="E73" s="79" t="s">
        <v>46</v>
      </c>
      <c r="F73" s="79" t="s">
        <v>97</v>
      </c>
      <c r="G73" s="79" t="s">
        <v>25</v>
      </c>
      <c r="H73" s="79" t="s">
        <v>25</v>
      </c>
      <c r="I73" s="79" t="s">
        <v>25</v>
      </c>
      <c r="J73" s="79" t="s">
        <v>608</v>
      </c>
      <c r="K73" s="79" t="s">
        <v>607</v>
      </c>
      <c r="L73" s="79" t="s">
        <v>78</v>
      </c>
      <c r="M73" s="79">
        <v>2021</v>
      </c>
      <c r="N73" s="79">
        <v>0</v>
      </c>
      <c r="O73" s="79">
        <v>188.71</v>
      </c>
      <c r="P73" s="79"/>
    </row>
    <row r="74" spans="1:16" ht="11.25" customHeight="1" x14ac:dyDescent="0.25">
      <c r="A74" s="79">
        <v>73</v>
      </c>
      <c r="B74" s="79" t="s">
        <v>511</v>
      </c>
      <c r="C74" s="79" t="s">
        <v>38</v>
      </c>
      <c r="D74" s="79" t="s">
        <v>81</v>
      </c>
      <c r="E74" s="79" t="s">
        <v>25</v>
      </c>
      <c r="F74" s="79" t="s">
        <v>25</v>
      </c>
      <c r="G74" s="79" t="s">
        <v>25</v>
      </c>
      <c r="H74" s="79" t="s">
        <v>25</v>
      </c>
      <c r="I74" s="79" t="s">
        <v>25</v>
      </c>
      <c r="J74" s="79" t="s">
        <v>608</v>
      </c>
      <c r="K74" s="79" t="s">
        <v>607</v>
      </c>
      <c r="L74" s="79" t="s">
        <v>78</v>
      </c>
      <c r="M74" s="79">
        <v>2021</v>
      </c>
      <c r="N74" s="79">
        <v>0</v>
      </c>
      <c r="O74" s="79">
        <v>314.52</v>
      </c>
      <c r="P74" s="79"/>
    </row>
    <row r="75" spans="1:16" ht="11.25" customHeight="1" x14ac:dyDescent="0.25">
      <c r="A75" s="79">
        <v>74</v>
      </c>
      <c r="B75" s="79" t="s">
        <v>483</v>
      </c>
      <c r="C75" s="79" t="s">
        <v>45</v>
      </c>
      <c r="D75" s="79" t="s">
        <v>23</v>
      </c>
      <c r="E75" s="79" t="s">
        <v>46</v>
      </c>
      <c r="F75" s="79" t="s">
        <v>47</v>
      </c>
      <c r="G75" s="79" t="s">
        <v>25</v>
      </c>
      <c r="H75" s="79" t="s">
        <v>25</v>
      </c>
      <c r="I75" s="79" t="s">
        <v>25</v>
      </c>
      <c r="J75" s="79" t="s">
        <v>608</v>
      </c>
      <c r="K75" s="79" t="s">
        <v>607</v>
      </c>
      <c r="L75" s="79" t="s">
        <v>78</v>
      </c>
      <c r="M75" s="79">
        <v>2021</v>
      </c>
      <c r="N75" s="79">
        <v>0</v>
      </c>
      <c r="O75" s="79">
        <v>179.84</v>
      </c>
      <c r="P75" s="79">
        <v>31.5848374605396</v>
      </c>
    </row>
    <row r="76" spans="1:16" ht="11.25" customHeight="1" x14ac:dyDescent="0.25">
      <c r="A76" s="79">
        <v>75</v>
      </c>
      <c r="B76" s="79" t="s">
        <v>511</v>
      </c>
      <c r="C76" s="79" t="s">
        <v>36</v>
      </c>
      <c r="D76" s="79" t="s">
        <v>77</v>
      </c>
      <c r="E76" s="79" t="s">
        <v>25</v>
      </c>
      <c r="F76" s="79" t="s">
        <v>25</v>
      </c>
      <c r="G76" s="79" t="s">
        <v>25</v>
      </c>
      <c r="H76" s="79" t="s">
        <v>25</v>
      </c>
      <c r="I76" s="79" t="s">
        <v>34</v>
      </c>
      <c r="J76" s="79" t="s">
        <v>608</v>
      </c>
      <c r="K76" s="79" t="s">
        <v>607</v>
      </c>
      <c r="L76" s="79" t="s">
        <v>78</v>
      </c>
      <c r="M76" s="79">
        <v>2021</v>
      </c>
      <c r="N76" s="79">
        <v>0</v>
      </c>
      <c r="O76" s="79">
        <v>297.31</v>
      </c>
      <c r="P76" s="79"/>
    </row>
    <row r="77" spans="1:16" ht="11.25" customHeight="1" x14ac:dyDescent="0.25">
      <c r="A77" s="79">
        <v>76</v>
      </c>
      <c r="B77" s="79" t="s">
        <v>511</v>
      </c>
      <c r="C77" s="79" t="s">
        <v>36</v>
      </c>
      <c r="D77" s="79" t="s">
        <v>81</v>
      </c>
      <c r="E77" s="79" t="s">
        <v>25</v>
      </c>
      <c r="F77" s="79" t="s">
        <v>25</v>
      </c>
      <c r="G77" s="79" t="s">
        <v>25</v>
      </c>
      <c r="H77" s="79" t="s">
        <v>25</v>
      </c>
      <c r="I77" s="79" t="s">
        <v>25</v>
      </c>
      <c r="J77" s="79" t="s">
        <v>608</v>
      </c>
      <c r="K77" s="79" t="s">
        <v>607</v>
      </c>
      <c r="L77" s="79" t="s">
        <v>78</v>
      </c>
      <c r="M77" s="79">
        <v>2021</v>
      </c>
      <c r="N77" s="79">
        <v>0</v>
      </c>
      <c r="O77" s="79">
        <v>314.52</v>
      </c>
      <c r="P77" s="79"/>
    </row>
    <row r="78" spans="1:16" ht="11.25" customHeight="1" x14ac:dyDescent="0.25">
      <c r="A78" s="79">
        <v>77</v>
      </c>
      <c r="B78" s="79" t="s">
        <v>511</v>
      </c>
      <c r="C78" s="79" t="s">
        <v>36</v>
      </c>
      <c r="D78" s="79" t="s">
        <v>93</v>
      </c>
      <c r="E78" s="79" t="s">
        <v>25</v>
      </c>
      <c r="F78" s="79" t="s">
        <v>25</v>
      </c>
      <c r="G78" s="79" t="s">
        <v>25</v>
      </c>
      <c r="H78" s="79" t="s">
        <v>25</v>
      </c>
      <c r="I78" s="79" t="s">
        <v>25</v>
      </c>
      <c r="J78" s="79" t="s">
        <v>608</v>
      </c>
      <c r="K78" s="79" t="s">
        <v>607</v>
      </c>
      <c r="L78" s="79" t="s">
        <v>78</v>
      </c>
      <c r="M78" s="79">
        <v>2021</v>
      </c>
      <c r="N78" s="79">
        <v>0</v>
      </c>
      <c r="O78" s="79">
        <v>314.52</v>
      </c>
      <c r="P78" s="79"/>
    </row>
    <row r="79" spans="1:16" ht="11.25" customHeight="1" x14ac:dyDescent="0.25">
      <c r="A79" s="79">
        <v>78</v>
      </c>
      <c r="B79" s="79" t="s">
        <v>511</v>
      </c>
      <c r="C79" s="79" t="s">
        <v>38</v>
      </c>
      <c r="D79" s="79" t="s">
        <v>77</v>
      </c>
      <c r="E79" s="79" t="s">
        <v>25</v>
      </c>
      <c r="F79" s="79" t="s">
        <v>25</v>
      </c>
      <c r="G79" s="79" t="s">
        <v>25</v>
      </c>
      <c r="H79" s="79" t="s">
        <v>25</v>
      </c>
      <c r="I79" s="79" t="s">
        <v>34</v>
      </c>
      <c r="J79" s="79" t="s">
        <v>608</v>
      </c>
      <c r="K79" s="79" t="s">
        <v>607</v>
      </c>
      <c r="L79" s="79" t="s">
        <v>78</v>
      </c>
      <c r="M79" s="79">
        <v>2021</v>
      </c>
      <c r="N79" s="79">
        <v>0</v>
      </c>
      <c r="O79" s="79">
        <v>297.31</v>
      </c>
      <c r="P79" s="79"/>
    </row>
    <row r="80" spans="1:16" ht="11.25" customHeight="1" x14ac:dyDescent="0.25">
      <c r="A80" s="79">
        <v>79</v>
      </c>
      <c r="B80" s="79" t="s">
        <v>511</v>
      </c>
      <c r="C80" s="79" t="s">
        <v>36</v>
      </c>
      <c r="D80" s="79" t="s">
        <v>77</v>
      </c>
      <c r="E80" s="79" t="s">
        <v>25</v>
      </c>
      <c r="F80" s="79" t="s">
        <v>25</v>
      </c>
      <c r="G80" s="79" t="s">
        <v>25</v>
      </c>
      <c r="H80" s="79" t="s">
        <v>25</v>
      </c>
      <c r="I80" s="79" t="s">
        <v>35</v>
      </c>
      <c r="J80" s="79" t="s">
        <v>608</v>
      </c>
      <c r="K80" s="79" t="s">
        <v>607</v>
      </c>
      <c r="L80" s="79" t="s">
        <v>78</v>
      </c>
      <c r="M80" s="79">
        <v>2021</v>
      </c>
      <c r="N80" s="79">
        <v>0</v>
      </c>
      <c r="O80" s="79">
        <v>297.31</v>
      </c>
      <c r="P80" s="79"/>
    </row>
    <row r="81" spans="1:16" ht="11.25" customHeight="1" x14ac:dyDescent="0.25">
      <c r="A81" s="79">
        <v>80</v>
      </c>
      <c r="B81" s="79" t="s">
        <v>483</v>
      </c>
      <c r="C81" s="79" t="s">
        <v>36</v>
      </c>
      <c r="D81" s="79" t="s">
        <v>94</v>
      </c>
      <c r="E81" s="79" t="s">
        <v>25</v>
      </c>
      <c r="F81" s="79" t="s">
        <v>25</v>
      </c>
      <c r="G81" s="79" t="s">
        <v>25</v>
      </c>
      <c r="H81" s="79" t="s">
        <v>25</v>
      </c>
      <c r="I81" s="79" t="s">
        <v>25</v>
      </c>
      <c r="J81" s="79" t="s">
        <v>608</v>
      </c>
      <c r="K81" s="79" t="s">
        <v>607</v>
      </c>
      <c r="L81" s="79" t="s">
        <v>78</v>
      </c>
      <c r="M81" s="79">
        <v>2021</v>
      </c>
      <c r="N81" s="79">
        <v>0</v>
      </c>
      <c r="O81" s="79">
        <v>326.98</v>
      </c>
      <c r="P81" s="79">
        <v>57.426977200981099</v>
      </c>
    </row>
    <row r="82" spans="1:16" ht="11.25" customHeight="1" x14ac:dyDescent="0.25">
      <c r="A82" s="79">
        <v>81</v>
      </c>
      <c r="B82" s="79" t="s">
        <v>511</v>
      </c>
      <c r="C82" s="79" t="s">
        <v>42</v>
      </c>
      <c r="D82" s="79" t="s">
        <v>81</v>
      </c>
      <c r="E82" s="79" t="s">
        <v>43</v>
      </c>
      <c r="F82" s="79" t="s">
        <v>95</v>
      </c>
      <c r="G82" s="79" t="s">
        <v>25</v>
      </c>
      <c r="H82" s="79" t="s">
        <v>25</v>
      </c>
      <c r="I82" s="79" t="s">
        <v>25</v>
      </c>
      <c r="J82" s="79" t="s">
        <v>608</v>
      </c>
      <c r="K82" s="79" t="s">
        <v>607</v>
      </c>
      <c r="L82" s="79" t="s">
        <v>78</v>
      </c>
      <c r="M82" s="79">
        <v>2021</v>
      </c>
      <c r="N82" s="79">
        <v>0</v>
      </c>
      <c r="O82" s="79">
        <v>276.77999999999997</v>
      </c>
      <c r="P82" s="79"/>
    </row>
    <row r="83" spans="1:16" ht="11.25" customHeight="1" x14ac:dyDescent="0.25">
      <c r="A83" s="79">
        <v>82</v>
      </c>
      <c r="B83" s="79" t="s">
        <v>511</v>
      </c>
      <c r="C83" s="79" t="s">
        <v>42</v>
      </c>
      <c r="D83" s="79" t="s">
        <v>93</v>
      </c>
      <c r="E83" s="79" t="s">
        <v>43</v>
      </c>
      <c r="F83" s="79" t="s">
        <v>96</v>
      </c>
      <c r="G83" s="79" t="s">
        <v>25</v>
      </c>
      <c r="H83" s="79" t="s">
        <v>25</v>
      </c>
      <c r="I83" s="79" t="s">
        <v>25</v>
      </c>
      <c r="J83" s="79" t="s">
        <v>608</v>
      </c>
      <c r="K83" s="79" t="s">
        <v>607</v>
      </c>
      <c r="L83" s="79" t="s">
        <v>78</v>
      </c>
      <c r="M83" s="79">
        <v>2021</v>
      </c>
      <c r="N83" s="79">
        <v>0</v>
      </c>
      <c r="O83" s="79">
        <v>264.19</v>
      </c>
      <c r="P83" s="79"/>
    </row>
    <row r="84" spans="1:16" ht="11.25" customHeight="1" x14ac:dyDescent="0.25">
      <c r="A84" s="79">
        <v>83</v>
      </c>
      <c r="B84" s="79" t="s">
        <v>483</v>
      </c>
      <c r="C84" s="79" t="s">
        <v>45</v>
      </c>
      <c r="D84" s="79" t="s">
        <v>23</v>
      </c>
      <c r="E84" s="79" t="s">
        <v>46</v>
      </c>
      <c r="F84" s="79" t="s">
        <v>97</v>
      </c>
      <c r="G84" s="79" t="s">
        <v>25</v>
      </c>
      <c r="H84" s="79" t="s">
        <v>25</v>
      </c>
      <c r="I84" s="79" t="s">
        <v>25</v>
      </c>
      <c r="J84" s="79" t="s">
        <v>608</v>
      </c>
      <c r="K84" s="79" t="s">
        <v>607</v>
      </c>
      <c r="L84" s="79" t="s">
        <v>78</v>
      </c>
      <c r="M84" s="79">
        <v>2021</v>
      </c>
      <c r="N84" s="79">
        <v>0</v>
      </c>
      <c r="O84" s="79">
        <v>196.19</v>
      </c>
      <c r="P84" s="79">
        <v>34.4561863205886</v>
      </c>
    </row>
    <row r="85" spans="1:16" ht="11.25" customHeight="1" x14ac:dyDescent="0.25">
      <c r="A85" s="79">
        <v>84</v>
      </c>
      <c r="B85" s="79" t="s">
        <v>511</v>
      </c>
      <c r="C85" s="79" t="s">
        <v>42</v>
      </c>
      <c r="D85" s="79" t="s">
        <v>77</v>
      </c>
      <c r="E85" s="79" t="s">
        <v>43</v>
      </c>
      <c r="F85" s="79" t="s">
        <v>95</v>
      </c>
      <c r="G85" s="79" t="s">
        <v>25</v>
      </c>
      <c r="H85" s="79" t="s">
        <v>25</v>
      </c>
      <c r="I85" s="79" t="s">
        <v>33</v>
      </c>
      <c r="J85" s="79" t="s">
        <v>608</v>
      </c>
      <c r="K85" s="79" t="s">
        <v>607</v>
      </c>
      <c r="L85" s="79" t="s">
        <v>78</v>
      </c>
      <c r="M85" s="79">
        <v>2021</v>
      </c>
      <c r="N85" s="79">
        <v>0</v>
      </c>
      <c r="O85" s="79">
        <v>443.36</v>
      </c>
      <c r="P85" s="79"/>
    </row>
    <row r="86" spans="1:16" ht="11.25" customHeight="1" x14ac:dyDescent="0.25">
      <c r="A86" s="79">
        <v>85</v>
      </c>
      <c r="B86" s="79" t="s">
        <v>511</v>
      </c>
      <c r="C86" s="79" t="s">
        <v>42</v>
      </c>
      <c r="D86" s="79" t="s">
        <v>81</v>
      </c>
      <c r="E86" s="79" t="s">
        <v>43</v>
      </c>
      <c r="F86" s="79" t="s">
        <v>96</v>
      </c>
      <c r="G86" s="79" t="s">
        <v>25</v>
      </c>
      <c r="H86" s="79" t="s">
        <v>25</v>
      </c>
      <c r="I86" s="79" t="s">
        <v>25</v>
      </c>
      <c r="J86" s="79" t="s">
        <v>608</v>
      </c>
      <c r="K86" s="79" t="s">
        <v>607</v>
      </c>
      <c r="L86" s="79" t="s">
        <v>78</v>
      </c>
      <c r="M86" s="79">
        <v>2021</v>
      </c>
      <c r="N86" s="79">
        <v>0</v>
      </c>
      <c r="O86" s="79">
        <v>264.19</v>
      </c>
      <c r="P86" s="79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6603F-70E9-4585-BE87-5A0BD74B8FB4}">
  <sheetPr codeName="Planilha4"/>
  <dimension ref="A1:AD49"/>
  <sheetViews>
    <sheetView showGridLines="0" workbookViewId="0">
      <selection sqref="A1:W49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68</v>
      </c>
      <c r="B1" s="10" t="s">
        <v>69</v>
      </c>
      <c r="C1" s="10" t="s">
        <v>70</v>
      </c>
      <c r="D1" s="10" t="s">
        <v>71</v>
      </c>
      <c r="E1" s="10" t="s">
        <v>72</v>
      </c>
      <c r="F1" s="10" t="s">
        <v>73</v>
      </c>
      <c r="G1" s="10" t="s">
        <v>74</v>
      </c>
      <c r="H1" s="10" t="s">
        <v>75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76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51" t="s">
        <v>38</v>
      </c>
      <c r="B2" s="151" t="s">
        <v>50</v>
      </c>
      <c r="C2" s="151" t="s">
        <v>25</v>
      </c>
      <c r="D2" s="151" t="s">
        <v>25</v>
      </c>
      <c r="E2" s="151" t="s">
        <v>25</v>
      </c>
      <c r="F2" s="151" t="s">
        <v>25</v>
      </c>
      <c r="G2" s="12" t="s">
        <v>84</v>
      </c>
      <c r="H2" s="12" t="s">
        <v>83</v>
      </c>
      <c r="I2" s="12">
        <f>SUMIF(Mercado_Receita!$S$2:$S$629,"44378A4AzulNão se aplicaNão se aplicaNão se aplicaNão se aplicaPonta",Mercado_Receita!$J$2:$J$629)+SUMIF(Mercado_Receita!$S$2:$S$629,"44378A4AzulNão se aplicaNão se aplicaAPENão se aplicaPonta",Mercado_Receita!$J$2:$J$629)</f>
        <v>245</v>
      </c>
      <c r="J2" s="12">
        <f>SUMIF(Mercado_Receita!$S$2:$S$629,"44409A4AzulNão se aplicaNão se aplicaNão se aplicaNão se aplicaPonta",Mercado_Receita!$J$2:$J$629)+SUMIF(Mercado_Receita!$S$2:$S$629,"44409A4AzulNão se aplicaNão se aplicaAPENão se aplicaPonta",Mercado_Receita!$J$2:$J$629)</f>
        <v>245</v>
      </c>
      <c r="K2" s="12">
        <f>SUMIF(Mercado_Receita!$S$2:$S$629,"44440A4AzulNão se aplicaNão se aplicaNão se aplicaNão se aplicaPonta",Mercado_Receita!$J$2:$J$629)+SUMIF(Mercado_Receita!$S$2:$S$629,"44440A4AzulNão se aplicaNão se aplicaAPENão se aplicaPonta",Mercado_Receita!$J$2:$J$629)</f>
        <v>245</v>
      </c>
      <c r="L2" s="12">
        <f>SUMIF(Mercado_Receita!$S$2:$S$629,"44470A4AzulNão se aplicaNão se aplicaNão se aplicaNão se aplicaPonta",Mercado_Receita!$J$2:$J$629)+SUMIF(Mercado_Receita!$S$2:$S$629,"44470A4AzulNão se aplicaNão se aplicaAPENão se aplicaPonta",Mercado_Receita!$J$2:$J$629)</f>
        <v>245</v>
      </c>
      <c r="M2" s="12">
        <f>SUMIF(Mercado_Receita!$S$2:$S$629,"44501A4AzulNão se aplicaNão se aplicaNão se aplicaNão se aplicaPonta",Mercado_Receita!$J$2:$J$629)+SUMIF(Mercado_Receita!$S$2:$S$629,"44501A4AzulNão se aplicaNão se aplicaAPENão se aplicaPonta",Mercado_Receita!$J$2:$J$629)</f>
        <v>245</v>
      </c>
      <c r="N2" s="12">
        <f>SUMIF(Mercado_Receita!$S$2:$S$629,"44531A4AzulNão se aplicaNão se aplicaNão se aplicaNão se aplicaPonta",Mercado_Receita!$J$2:$J$629)+SUMIF(Mercado_Receita!$S$2:$S$629,"44531A4AzulNão se aplicaNão se aplicaAPENão se aplicaPonta",Mercado_Receita!$J$2:$J$629)</f>
        <v>245</v>
      </c>
      <c r="O2" s="12">
        <f>SUMIF(Mercado_Receita!$S$2:$S$629,"44562A4AzulNão se aplicaNão se aplicaNão se aplicaNão se aplicaPonta",Mercado_Receita!$J$2:$J$629)+SUMIF(Mercado_Receita!$S$2:$S$629,"44562A4AzulNão se aplicaNão se aplicaAPENão se aplicaPonta",Mercado_Receita!$J$2:$J$629)</f>
        <v>245</v>
      </c>
      <c r="P2" s="12">
        <f>SUMIF(Mercado_Receita!$S$2:$S$629,"44593A4AzulNão se aplicaNão se aplicaNão se aplicaNão se aplicaPonta",Mercado_Receita!$J$2:$J$629)+SUMIF(Mercado_Receita!$S$2:$S$629,"44593A4AzulNão se aplicaNão se aplicaAPENão se aplicaPonta",Mercado_Receita!$J$2:$J$629)</f>
        <v>245</v>
      </c>
      <c r="Q2" s="12">
        <f>SUMIF(Mercado_Receita!$S$2:$S$629,"44621A4AzulNão se aplicaNão se aplicaNão se aplicaNão se aplicaPonta",Mercado_Receita!$J$2:$J$629)+SUMIF(Mercado_Receita!$S$2:$S$629,"44621A4AzulNão se aplicaNão se aplicaAPENão se aplicaPonta",Mercado_Receita!$J$2:$J$629)</f>
        <v>245</v>
      </c>
      <c r="R2" s="12">
        <f>SUMIF(Mercado_Receita!$S$2:$S$629,"44652A4AzulNão se aplicaNão se aplicaNão se aplicaNão se aplicaPonta",Mercado_Receita!$J$2:$J$629)+SUMIF(Mercado_Receita!$S$2:$S$629,"44652A4AzulNão se aplicaNão se aplicaAPENão se aplicaPonta",Mercado_Receita!$J$2:$J$629)</f>
        <v>245</v>
      </c>
      <c r="S2" s="12">
        <f>SUMIF(Mercado_Receita!$S$2:$S$629,"44682A4AzulNão se aplicaNão se aplicaNão se aplicaNão se aplicaPonta",Mercado_Receita!$J$2:$J$629)+SUMIF(Mercado_Receita!$S$2:$S$629,"44682A4AzulNão se aplicaNão se aplicaAPENão se aplicaPonta",Mercado_Receita!$J$2:$J$629)</f>
        <v>245</v>
      </c>
      <c r="T2" s="12">
        <f>SUMIF(Mercado_Receita!$S$2:$S$629,"44713A4AzulNão se aplicaNão se aplicaNão se aplicaNão se aplicaPonta",Mercado_Receita!$J$2:$J$629)+SUMIF(Mercado_Receita!$S$2:$S$629,"44713A4AzulNão se aplicaNão se aplicaAPENão se aplicaPonta",Mercado_Receita!$J$2:$J$629)</f>
        <v>245</v>
      </c>
      <c r="U2" s="12">
        <f t="shared" ref="U2:U48" si="0">SUM(I2:T2)</f>
        <v>2940</v>
      </c>
      <c r="V2" s="12"/>
      <c r="W2" s="12"/>
    </row>
    <row r="3" spans="1:30" ht="11.25" customHeight="1" x14ac:dyDescent="0.25">
      <c r="A3" s="152"/>
      <c r="B3" s="152"/>
      <c r="C3" s="152"/>
      <c r="D3" s="152"/>
      <c r="E3" s="152"/>
      <c r="F3" s="152"/>
      <c r="G3" s="12" t="s">
        <v>85</v>
      </c>
      <c r="H3" s="12" t="s">
        <v>83</v>
      </c>
      <c r="I3" s="12">
        <f>SUMIF(Mercado_Receita!$S$2:$S$629,"44378A4AzulNão se aplicaNão se aplicaNão se aplicaNão se aplicaFora ponta",Mercado_Receita!$J$2:$J$629)+SUMIF(Mercado_Receita!$S$2:$S$629,"44378A4AzulNão se aplicaNão se aplicaAPENão se aplicaFora ponta",Mercado_Receita!$J$2:$J$629)</f>
        <v>245</v>
      </c>
      <c r="J3" s="12">
        <f>SUMIF(Mercado_Receita!$S$2:$S$629,"44409A4AzulNão se aplicaNão se aplicaNão se aplicaNão se aplicaFora ponta",Mercado_Receita!$J$2:$J$629)+SUMIF(Mercado_Receita!$S$2:$S$629,"44409A4AzulNão se aplicaNão se aplicaAPENão se aplicaFora ponta",Mercado_Receita!$J$2:$J$629)</f>
        <v>245</v>
      </c>
      <c r="K3" s="12">
        <f>SUMIF(Mercado_Receita!$S$2:$S$629,"44440A4AzulNão se aplicaNão se aplicaNão se aplicaNão se aplicaFora ponta",Mercado_Receita!$J$2:$J$629)+SUMIF(Mercado_Receita!$S$2:$S$629,"44440A4AzulNão se aplicaNão se aplicaAPENão se aplicaFora ponta",Mercado_Receita!$J$2:$J$629)</f>
        <v>245</v>
      </c>
      <c r="L3" s="12">
        <f>SUMIF(Mercado_Receita!$S$2:$S$629,"44470A4AzulNão se aplicaNão se aplicaNão se aplicaNão se aplicaFora ponta",Mercado_Receita!$J$2:$J$629)+SUMIF(Mercado_Receita!$S$2:$S$629,"44470A4AzulNão se aplicaNão se aplicaAPENão se aplicaFora ponta",Mercado_Receita!$J$2:$J$629)</f>
        <v>245</v>
      </c>
      <c r="M3" s="12">
        <f>SUMIF(Mercado_Receita!$S$2:$S$629,"44501A4AzulNão se aplicaNão se aplicaNão se aplicaNão se aplicaFora ponta",Mercado_Receita!$J$2:$J$629)+SUMIF(Mercado_Receita!$S$2:$S$629,"44501A4AzulNão se aplicaNão se aplicaAPENão se aplicaFora ponta",Mercado_Receita!$J$2:$J$629)</f>
        <v>245</v>
      </c>
      <c r="N3" s="12">
        <f>SUMIF(Mercado_Receita!$S$2:$S$629,"44531A4AzulNão se aplicaNão se aplicaNão se aplicaNão se aplicaFora ponta",Mercado_Receita!$J$2:$J$629)+SUMIF(Mercado_Receita!$S$2:$S$629,"44531A4AzulNão se aplicaNão se aplicaAPENão se aplicaFora ponta",Mercado_Receita!$J$2:$J$629)</f>
        <v>245</v>
      </c>
      <c r="O3" s="12">
        <f>SUMIF(Mercado_Receita!$S$2:$S$629,"44562A4AzulNão se aplicaNão se aplicaNão se aplicaNão se aplicaFora ponta",Mercado_Receita!$J$2:$J$629)+SUMIF(Mercado_Receita!$S$2:$S$629,"44562A4AzulNão se aplicaNão se aplicaAPENão se aplicaFora ponta",Mercado_Receita!$J$2:$J$629)</f>
        <v>245</v>
      </c>
      <c r="P3" s="12">
        <f>SUMIF(Mercado_Receita!$S$2:$S$629,"44593A4AzulNão se aplicaNão se aplicaNão se aplicaNão se aplicaFora ponta",Mercado_Receita!$J$2:$J$629)+SUMIF(Mercado_Receita!$S$2:$S$629,"44593A4AzulNão se aplicaNão se aplicaAPENão se aplicaFora ponta",Mercado_Receita!$J$2:$J$629)</f>
        <v>245</v>
      </c>
      <c r="Q3" s="12">
        <f>SUMIF(Mercado_Receita!$S$2:$S$629,"44621A4AzulNão se aplicaNão se aplicaNão se aplicaNão se aplicaFora ponta",Mercado_Receita!$J$2:$J$629)+SUMIF(Mercado_Receita!$S$2:$S$629,"44621A4AzulNão se aplicaNão se aplicaAPENão se aplicaFora ponta",Mercado_Receita!$J$2:$J$629)</f>
        <v>245</v>
      </c>
      <c r="R3" s="12">
        <f>SUMIF(Mercado_Receita!$S$2:$S$629,"44652A4AzulNão se aplicaNão se aplicaNão se aplicaNão se aplicaFora ponta",Mercado_Receita!$J$2:$J$629)+SUMIF(Mercado_Receita!$S$2:$S$629,"44652A4AzulNão se aplicaNão se aplicaAPENão se aplicaFora ponta",Mercado_Receita!$J$2:$J$629)</f>
        <v>245</v>
      </c>
      <c r="S3" s="12">
        <f>SUMIF(Mercado_Receita!$S$2:$S$629,"44682A4AzulNão se aplicaNão se aplicaNão se aplicaNão se aplicaFora ponta",Mercado_Receita!$J$2:$J$629)+SUMIF(Mercado_Receita!$S$2:$S$629,"44682A4AzulNão se aplicaNão se aplicaAPENão se aplicaFora ponta",Mercado_Receita!$J$2:$J$629)</f>
        <v>245</v>
      </c>
      <c r="T3" s="12">
        <f>SUMIF(Mercado_Receita!$S$2:$S$629,"44713A4AzulNão se aplicaNão se aplicaNão se aplicaNão se aplicaFora ponta",Mercado_Receita!$J$2:$J$629)+SUMIF(Mercado_Receita!$S$2:$S$629,"44713A4AzulNão se aplicaNão se aplicaAPENão se aplicaFora ponta",Mercado_Receita!$J$2:$J$629)</f>
        <v>245</v>
      </c>
      <c r="U3" s="12">
        <f t="shared" si="0"/>
        <v>2940</v>
      </c>
      <c r="V3" s="12"/>
      <c r="W3" s="12"/>
    </row>
    <row r="4" spans="1:30" ht="11.25" customHeight="1" x14ac:dyDescent="0.25">
      <c r="A4" s="152"/>
      <c r="B4" s="152"/>
      <c r="C4" s="152"/>
      <c r="D4" s="152"/>
      <c r="E4" s="152"/>
      <c r="F4" s="152"/>
      <c r="G4" s="12" t="s">
        <v>82</v>
      </c>
      <c r="H4" s="12" t="s">
        <v>78</v>
      </c>
      <c r="I4" s="12">
        <f>SUMIF(Mercado_Receita!$S$2:$S$629,"44378A4AzulNão se aplicaNão se aplicaNão se aplicaNão se aplicaPonta",Mercado_Receita!$L$2:$L$629)+SUMIF(Mercado_Receita!$S$2:$S$629,"44378A4AzulNão se aplicaNão se aplicaNão se aplicaNão se aplicaFora ponta",Mercado_Receita!$L$2:$L$629)+SUMIF(Mercado_Receita!$S$2:$S$629,"44378A4AzulNão se aplicaNão se aplicaNão se aplicaNão se aplicaIntermediário",Mercado_Receita!$L$2:$L$629)+SUMIF(Mercado_Receita!$S$2:$S$629,"44378A4AzulNão se aplicaNão se aplicaNão se aplicaNão se aplicaNão se aplica",Mercado_Receita!$L$2:$L$629)</f>
        <v>116.64100000000001</v>
      </c>
      <c r="J4" s="12">
        <f>SUMIF(Mercado_Receita!$S$2:$S$629,"44409A4AzulNão se aplicaNão se aplicaNão se aplicaNão se aplicaPonta",Mercado_Receita!$L$2:$L$629)+SUMIF(Mercado_Receita!$S$2:$S$629,"44409A4AzulNão se aplicaNão se aplicaNão se aplicaNão se aplicaFora ponta",Mercado_Receita!$L$2:$L$629)+SUMIF(Mercado_Receita!$S$2:$S$629,"44409A4AzulNão se aplicaNão se aplicaNão se aplicaNão se aplicaIntermediário",Mercado_Receita!$L$2:$L$629)+SUMIF(Mercado_Receita!$S$2:$S$629,"44409A4AzulNão se aplicaNão se aplicaNão se aplicaNão se aplicaNão se aplica",Mercado_Receita!$L$2:$L$629)</f>
        <v>128.81700000000001</v>
      </c>
      <c r="K4" s="12">
        <f>SUMIF(Mercado_Receita!$S$2:$S$629,"44440A4AzulNão se aplicaNão se aplicaNão se aplicaNão se aplicaPonta",Mercado_Receita!$L$2:$L$629)+SUMIF(Mercado_Receita!$S$2:$S$629,"44440A4AzulNão se aplicaNão se aplicaNão se aplicaNão se aplicaFora ponta",Mercado_Receita!$L$2:$L$629)+SUMIF(Mercado_Receita!$S$2:$S$629,"44440A4AzulNão se aplicaNão se aplicaNão se aplicaNão se aplicaIntermediário",Mercado_Receita!$L$2:$L$629)+SUMIF(Mercado_Receita!$S$2:$S$629,"44440A4AzulNão se aplicaNão se aplicaNão se aplicaNão se aplicaNão se aplica",Mercado_Receita!$L$2:$L$629)</f>
        <v>109.68199999999999</v>
      </c>
      <c r="L4" s="12">
        <f>SUMIF(Mercado_Receita!$S$2:$S$629,"44470A4AzulNão se aplicaNão se aplicaNão se aplicaNão se aplicaPonta",Mercado_Receita!$L$2:$L$629)+SUMIF(Mercado_Receita!$S$2:$S$629,"44470A4AzulNão se aplicaNão se aplicaNão se aplicaNão se aplicaFora ponta",Mercado_Receita!$L$2:$L$629)+SUMIF(Mercado_Receita!$S$2:$S$629,"44470A4AzulNão se aplicaNão se aplicaNão se aplicaNão se aplicaIntermediário",Mercado_Receita!$L$2:$L$629)+SUMIF(Mercado_Receita!$S$2:$S$629,"44470A4AzulNão se aplicaNão se aplicaNão se aplicaNão se aplicaNão se aplica",Mercado_Receita!$L$2:$L$629)</f>
        <v>110.877</v>
      </c>
      <c r="M4" s="12">
        <f>SUMIF(Mercado_Receita!$S$2:$S$629,"44501A4AzulNão se aplicaNão se aplicaNão se aplicaNão se aplicaPonta",Mercado_Receita!$L$2:$L$629)+SUMIF(Mercado_Receita!$S$2:$S$629,"44501A4AzulNão se aplicaNão se aplicaNão se aplicaNão se aplicaFora ponta",Mercado_Receita!$L$2:$L$629)+SUMIF(Mercado_Receita!$S$2:$S$629,"44501A4AzulNão se aplicaNão se aplicaNão se aplicaNão se aplicaIntermediário",Mercado_Receita!$L$2:$L$629)+SUMIF(Mercado_Receita!$S$2:$S$629,"44501A4AzulNão se aplicaNão se aplicaNão se aplicaNão se aplicaNão se aplica",Mercado_Receita!$L$2:$L$629)</f>
        <v>122.51700000000001</v>
      </c>
      <c r="N4" s="12">
        <f>SUMIF(Mercado_Receita!$S$2:$S$629,"44531A4AzulNão se aplicaNão se aplicaNão se aplicaNão se aplicaPonta",Mercado_Receita!$L$2:$L$629)+SUMIF(Mercado_Receita!$S$2:$S$629,"44531A4AzulNão se aplicaNão se aplicaNão se aplicaNão se aplicaFora ponta",Mercado_Receita!$L$2:$L$629)+SUMIF(Mercado_Receita!$S$2:$S$629,"44531A4AzulNão se aplicaNão se aplicaNão se aplicaNão se aplicaIntermediário",Mercado_Receita!$L$2:$L$629)+SUMIF(Mercado_Receita!$S$2:$S$629,"44531A4AzulNão se aplicaNão se aplicaNão se aplicaNão se aplicaNão se aplica",Mercado_Receita!$L$2:$L$629)</f>
        <v>125.812</v>
      </c>
      <c r="O4" s="12">
        <f>SUMIF(Mercado_Receita!$S$2:$S$629,"44562A4AzulNão se aplicaNão se aplicaNão se aplicaNão se aplicaPonta",Mercado_Receita!$L$2:$L$629)+SUMIF(Mercado_Receita!$S$2:$S$629,"44562A4AzulNão se aplicaNão se aplicaNão se aplicaNão se aplicaFora ponta",Mercado_Receita!$L$2:$L$629)+SUMIF(Mercado_Receita!$S$2:$S$629,"44562A4AzulNão se aplicaNão se aplicaNão se aplicaNão se aplicaIntermediário",Mercado_Receita!$L$2:$L$629)+SUMIF(Mercado_Receita!$S$2:$S$629,"44562A4AzulNão se aplicaNão se aplicaNão se aplicaNão se aplicaNão se aplica",Mercado_Receita!$L$2:$L$629)</f>
        <v>125.32299999999999</v>
      </c>
      <c r="P4" s="12">
        <f>SUMIF(Mercado_Receita!$S$2:$S$629,"44593A4AzulNão se aplicaNão se aplicaNão se aplicaNão se aplicaPonta",Mercado_Receita!$L$2:$L$629)+SUMIF(Mercado_Receita!$S$2:$S$629,"44593A4AzulNão se aplicaNão se aplicaNão se aplicaNão se aplicaFora ponta",Mercado_Receita!$L$2:$L$629)+SUMIF(Mercado_Receita!$S$2:$S$629,"44593A4AzulNão se aplicaNão se aplicaNão se aplicaNão se aplicaIntermediário",Mercado_Receita!$L$2:$L$629)+SUMIF(Mercado_Receita!$S$2:$S$629,"44593A4AzulNão se aplicaNão se aplicaNão se aplicaNão se aplicaNão se aplica",Mercado_Receita!$L$2:$L$629)</f>
        <v>113.839</v>
      </c>
      <c r="Q4" s="12">
        <f>SUMIF(Mercado_Receita!$S$2:$S$629,"44621A4AzulNão se aplicaNão se aplicaNão se aplicaNão se aplicaPonta",Mercado_Receita!$L$2:$L$629)+SUMIF(Mercado_Receita!$S$2:$S$629,"44621A4AzulNão se aplicaNão se aplicaNão se aplicaNão se aplicaFora ponta",Mercado_Receita!$L$2:$L$629)+SUMIF(Mercado_Receita!$S$2:$S$629,"44621A4AzulNão se aplicaNão se aplicaNão se aplicaNão se aplicaIntermediário",Mercado_Receita!$L$2:$L$629)+SUMIF(Mercado_Receita!$S$2:$S$629,"44621A4AzulNão se aplicaNão se aplicaNão se aplicaNão se aplicaNão se aplica",Mercado_Receita!$L$2:$L$629)</f>
        <v>126.22</v>
      </c>
      <c r="R4" s="12">
        <f>SUMIF(Mercado_Receita!$S$2:$S$629,"44652A4AzulNão se aplicaNão se aplicaNão se aplicaNão se aplicaPonta",Mercado_Receita!$L$2:$L$629)+SUMIF(Mercado_Receita!$S$2:$S$629,"44652A4AzulNão se aplicaNão se aplicaNão se aplicaNão se aplicaFora ponta",Mercado_Receita!$L$2:$L$629)+SUMIF(Mercado_Receita!$S$2:$S$629,"44652A4AzulNão se aplicaNão se aplicaNão se aplicaNão se aplicaIntermediário",Mercado_Receita!$L$2:$L$629)+SUMIF(Mercado_Receita!$S$2:$S$629,"44652A4AzulNão se aplicaNão se aplicaNão se aplicaNão se aplicaNão se aplica",Mercado_Receita!$L$2:$L$629)</f>
        <v>120.77</v>
      </c>
      <c r="S4" s="12">
        <f>SUMIF(Mercado_Receita!$S$2:$S$629,"44682A4AzulNão se aplicaNão se aplicaNão se aplicaNão se aplicaPonta",Mercado_Receita!$L$2:$L$629)+SUMIF(Mercado_Receita!$S$2:$S$629,"44682A4AzulNão se aplicaNão se aplicaNão se aplicaNão se aplicaFora ponta",Mercado_Receita!$L$2:$L$629)+SUMIF(Mercado_Receita!$S$2:$S$629,"44682A4AzulNão se aplicaNão se aplicaNão se aplicaNão se aplicaIntermediário",Mercado_Receita!$L$2:$L$629)+SUMIF(Mercado_Receita!$S$2:$S$629,"44682A4AzulNão se aplicaNão se aplicaNão se aplicaNão se aplicaNão se aplica",Mercado_Receita!$L$2:$L$629)</f>
        <v>116.64999999999999</v>
      </c>
      <c r="T4" s="12">
        <f>SUMIF(Mercado_Receita!$S$2:$S$629,"44713A4AzulNão se aplicaNão se aplicaNão se aplicaNão se aplicaPonta",Mercado_Receita!$L$2:$L$629)+SUMIF(Mercado_Receita!$S$2:$S$629,"44713A4AzulNão se aplicaNão se aplicaNão se aplicaNão se aplicaFora ponta",Mercado_Receita!$L$2:$L$629)+SUMIF(Mercado_Receita!$S$2:$S$629,"44713A4AzulNão se aplicaNão se aplicaNão se aplicaNão se aplicaIntermediário",Mercado_Receita!$L$2:$L$629)+SUMIF(Mercado_Receita!$S$2:$S$629,"44713A4AzulNão se aplicaNão se aplicaNão se aplicaNão se aplicaNão se aplica",Mercado_Receita!$L$2:$L$629)</f>
        <v>116.64999999999999</v>
      </c>
      <c r="U4" s="12">
        <f t="shared" si="0"/>
        <v>1433.7980000000002</v>
      </c>
      <c r="V4" s="12"/>
      <c r="W4" s="12"/>
    </row>
    <row r="5" spans="1:30" ht="11.25" customHeight="1" x14ac:dyDescent="0.25">
      <c r="A5" s="152"/>
      <c r="B5" s="152"/>
      <c r="C5" s="152"/>
      <c r="D5" s="152"/>
      <c r="E5" s="13" t="s">
        <v>86</v>
      </c>
      <c r="F5" s="13" t="s">
        <v>25</v>
      </c>
      <c r="G5" s="12" t="s">
        <v>82</v>
      </c>
      <c r="H5" s="12" t="s">
        <v>78</v>
      </c>
      <c r="I5" s="12">
        <f>SUMIF(Mercado_Receita!$S$2:$S$629,"44378A4AzulNão se aplicaNão se aplicaAPENão se aplicaPonta",Mercado_Receita!$L$2:$L$629)+SUMIF(Mercado_Receita!$S$2:$S$629,"44378A4AzulNão se aplicaNão se aplicaAPENão se aplicaFora ponta",Mercado_Receita!$L$2:$L$629)+SUMIF(Mercado_Receita!$S$2:$S$629,"44378A4AzulNão se aplicaNão se aplicaAPENão se aplicaIntermediário",Mercado_Receita!$L$2:$L$629)+SUMIF(Mercado_Receita!$S$2:$S$629,"44378A4AzulNão se aplicaNão se aplicaAPENão se aplicaNão se aplica",Mercado_Receita!$L$2:$L$629)</f>
        <v>0</v>
      </c>
      <c r="J5" s="12">
        <f>SUMIF(Mercado_Receita!$S$2:$S$629,"44409A4AzulNão se aplicaNão se aplicaAPENão se aplicaPonta",Mercado_Receita!$L$2:$L$629)+SUMIF(Mercado_Receita!$S$2:$S$629,"44409A4AzulNão se aplicaNão se aplicaAPENão se aplicaFora ponta",Mercado_Receita!$L$2:$L$629)+SUMIF(Mercado_Receita!$S$2:$S$629,"44409A4AzulNão se aplicaNão se aplicaAPENão se aplicaIntermediário",Mercado_Receita!$L$2:$L$629)+SUMIF(Mercado_Receita!$S$2:$S$629,"44409A4AzulNão se aplicaNão se aplicaAPENão se aplicaNão se aplica",Mercado_Receita!$L$2:$L$629)</f>
        <v>0</v>
      </c>
      <c r="K5" s="12">
        <f>SUMIF(Mercado_Receita!$S$2:$S$629,"44440A4AzulNão se aplicaNão se aplicaAPENão se aplicaPonta",Mercado_Receita!$L$2:$L$629)+SUMIF(Mercado_Receita!$S$2:$S$629,"44440A4AzulNão se aplicaNão se aplicaAPENão se aplicaFora ponta",Mercado_Receita!$L$2:$L$629)+SUMIF(Mercado_Receita!$S$2:$S$629,"44440A4AzulNão se aplicaNão se aplicaAPENão se aplicaIntermediário",Mercado_Receita!$L$2:$L$629)+SUMIF(Mercado_Receita!$S$2:$S$629,"44440A4AzulNão se aplicaNão se aplicaAPENão se aplicaNão se aplica",Mercado_Receita!$L$2:$L$629)</f>
        <v>0</v>
      </c>
      <c r="L5" s="12">
        <f>SUMIF(Mercado_Receita!$S$2:$S$629,"44470A4AzulNão se aplicaNão se aplicaAPENão se aplicaPonta",Mercado_Receita!$L$2:$L$629)+SUMIF(Mercado_Receita!$S$2:$S$629,"44470A4AzulNão se aplicaNão se aplicaAPENão se aplicaFora ponta",Mercado_Receita!$L$2:$L$629)+SUMIF(Mercado_Receita!$S$2:$S$629,"44470A4AzulNão se aplicaNão se aplicaAPENão se aplicaIntermediário",Mercado_Receita!$L$2:$L$629)+SUMIF(Mercado_Receita!$S$2:$S$629,"44470A4AzulNão se aplicaNão se aplicaAPENão se aplicaNão se aplica",Mercado_Receita!$L$2:$L$629)</f>
        <v>0</v>
      </c>
      <c r="M5" s="12">
        <f>SUMIF(Mercado_Receita!$S$2:$S$629,"44501A4AzulNão se aplicaNão se aplicaAPENão se aplicaPonta",Mercado_Receita!$L$2:$L$629)+SUMIF(Mercado_Receita!$S$2:$S$629,"44501A4AzulNão se aplicaNão se aplicaAPENão se aplicaFora ponta",Mercado_Receita!$L$2:$L$629)+SUMIF(Mercado_Receita!$S$2:$S$629,"44501A4AzulNão se aplicaNão se aplicaAPENão se aplicaIntermediário",Mercado_Receita!$L$2:$L$629)+SUMIF(Mercado_Receita!$S$2:$S$629,"44501A4AzulNão se aplicaNão se aplicaAPENão se aplicaNão se aplica",Mercado_Receita!$L$2:$L$629)</f>
        <v>0</v>
      </c>
      <c r="N5" s="12">
        <f>SUMIF(Mercado_Receita!$S$2:$S$629,"44531A4AzulNão se aplicaNão se aplicaAPENão se aplicaPonta",Mercado_Receita!$L$2:$L$629)+SUMIF(Mercado_Receita!$S$2:$S$629,"44531A4AzulNão se aplicaNão se aplicaAPENão se aplicaFora ponta",Mercado_Receita!$L$2:$L$629)+SUMIF(Mercado_Receita!$S$2:$S$629,"44531A4AzulNão se aplicaNão se aplicaAPENão se aplicaIntermediário",Mercado_Receita!$L$2:$L$629)+SUMIF(Mercado_Receita!$S$2:$S$629,"44531A4AzulNão se aplicaNão se aplicaAPENão se aplicaNão se aplica",Mercado_Receita!$L$2:$L$629)</f>
        <v>0</v>
      </c>
      <c r="O5" s="12">
        <f>SUMIF(Mercado_Receita!$S$2:$S$629,"44562A4AzulNão se aplicaNão se aplicaAPENão se aplicaPonta",Mercado_Receita!$L$2:$L$629)+SUMIF(Mercado_Receita!$S$2:$S$629,"44562A4AzulNão se aplicaNão se aplicaAPENão se aplicaFora ponta",Mercado_Receita!$L$2:$L$629)+SUMIF(Mercado_Receita!$S$2:$S$629,"44562A4AzulNão se aplicaNão se aplicaAPENão se aplicaIntermediário",Mercado_Receita!$L$2:$L$629)+SUMIF(Mercado_Receita!$S$2:$S$629,"44562A4AzulNão se aplicaNão se aplicaAPENão se aplicaNão se aplica",Mercado_Receita!$L$2:$L$629)</f>
        <v>0</v>
      </c>
      <c r="P5" s="12">
        <f>SUMIF(Mercado_Receita!$S$2:$S$629,"44593A4AzulNão se aplicaNão se aplicaAPENão se aplicaPonta",Mercado_Receita!$L$2:$L$629)+SUMIF(Mercado_Receita!$S$2:$S$629,"44593A4AzulNão se aplicaNão se aplicaAPENão se aplicaFora ponta",Mercado_Receita!$L$2:$L$629)+SUMIF(Mercado_Receita!$S$2:$S$629,"44593A4AzulNão se aplicaNão se aplicaAPENão se aplicaIntermediário",Mercado_Receita!$L$2:$L$629)+SUMIF(Mercado_Receita!$S$2:$S$629,"44593A4AzulNão se aplicaNão se aplicaAPENão se aplicaNão se aplica",Mercado_Receita!$L$2:$L$629)</f>
        <v>0</v>
      </c>
      <c r="Q5" s="12">
        <f>SUMIF(Mercado_Receita!$S$2:$S$629,"44621A4AzulNão se aplicaNão se aplicaAPENão se aplicaPonta",Mercado_Receita!$L$2:$L$629)+SUMIF(Mercado_Receita!$S$2:$S$629,"44621A4AzulNão se aplicaNão se aplicaAPENão se aplicaFora ponta",Mercado_Receita!$L$2:$L$629)+SUMIF(Mercado_Receita!$S$2:$S$629,"44621A4AzulNão se aplicaNão se aplicaAPENão se aplicaIntermediário",Mercado_Receita!$L$2:$L$629)+SUMIF(Mercado_Receita!$S$2:$S$629,"44621A4AzulNão se aplicaNão se aplicaAPENão se aplicaNão se aplica",Mercado_Receita!$L$2:$L$629)</f>
        <v>0</v>
      </c>
      <c r="R5" s="12">
        <f>SUMIF(Mercado_Receita!$S$2:$S$629,"44652A4AzulNão se aplicaNão se aplicaAPENão se aplicaPonta",Mercado_Receita!$L$2:$L$629)+SUMIF(Mercado_Receita!$S$2:$S$629,"44652A4AzulNão se aplicaNão se aplicaAPENão se aplicaFora ponta",Mercado_Receita!$L$2:$L$629)+SUMIF(Mercado_Receita!$S$2:$S$629,"44652A4AzulNão se aplicaNão se aplicaAPENão se aplicaIntermediário",Mercado_Receita!$L$2:$L$629)+SUMIF(Mercado_Receita!$S$2:$S$629,"44652A4AzulNão se aplicaNão se aplicaAPENão se aplicaNão se aplica",Mercado_Receita!$L$2:$L$629)</f>
        <v>0</v>
      </c>
      <c r="S5" s="12">
        <f>SUMIF(Mercado_Receita!$S$2:$S$629,"44682A4AzulNão se aplicaNão se aplicaAPENão se aplicaPonta",Mercado_Receita!$L$2:$L$629)+SUMIF(Mercado_Receita!$S$2:$S$629,"44682A4AzulNão se aplicaNão se aplicaAPENão se aplicaFora ponta",Mercado_Receita!$L$2:$L$629)+SUMIF(Mercado_Receita!$S$2:$S$629,"44682A4AzulNão se aplicaNão se aplicaAPENão se aplicaIntermediário",Mercado_Receita!$L$2:$L$629)+SUMIF(Mercado_Receita!$S$2:$S$629,"44682A4AzulNão se aplicaNão se aplicaAPENão se aplicaNão se aplica",Mercado_Receita!$L$2:$L$629)</f>
        <v>0</v>
      </c>
      <c r="T5" s="12">
        <f>SUMIF(Mercado_Receita!$S$2:$S$629,"44713A4AzulNão se aplicaNão se aplicaAPENão se aplicaPonta",Mercado_Receita!$L$2:$L$629)+SUMIF(Mercado_Receita!$S$2:$S$629,"44713A4AzulNão se aplicaNão se aplicaAPENão se aplicaFora ponta",Mercado_Receita!$L$2:$L$629)+SUMIF(Mercado_Receita!$S$2:$S$629,"44713A4AzulNão se aplicaNão se aplicaAPENão se aplicaIntermediário",Mercado_Receita!$L$2:$L$629)+SUMIF(Mercado_Receita!$S$2:$S$629,"44713A4AzulNão se aplicaNão se aplicaAPENão se aplicaNão se aplica",Mercado_Receita!$L$2:$L$629)</f>
        <v>0</v>
      </c>
      <c r="U5" s="12">
        <f t="shared" si="0"/>
        <v>0</v>
      </c>
      <c r="V5" s="12"/>
      <c r="W5" s="12"/>
    </row>
    <row r="6" spans="1:30" ht="11.25" customHeight="1" x14ac:dyDescent="0.25">
      <c r="A6" s="152"/>
      <c r="B6" s="13" t="s">
        <v>58</v>
      </c>
      <c r="C6" s="13" t="s">
        <v>25</v>
      </c>
      <c r="D6" s="13" t="s">
        <v>25</v>
      </c>
      <c r="E6" s="13" t="s">
        <v>25</v>
      </c>
      <c r="F6" s="13" t="s">
        <v>25</v>
      </c>
      <c r="G6" s="12" t="s">
        <v>9</v>
      </c>
      <c r="H6" s="12" t="s">
        <v>83</v>
      </c>
      <c r="I6" s="12">
        <f>SUMIF(Mercado_Receita!$S$2:$S$629,"44378A4GeraçãoNão se aplicaNão se aplicaNão se aplicaNão se aplicaNão se aplica",Mercado_Receita!$J$2:$J$629)+SUMIF(Mercado_Receita!$S$2:$S$629,"44378A4GeraçãoNão se aplicaNão se aplicaAPENão se aplicaNão se aplica",Mercado_Receita!$J$2:$J$629)</f>
        <v>1680</v>
      </c>
      <c r="J6" s="12">
        <f>SUMIF(Mercado_Receita!$S$2:$S$629,"44409A4GeraçãoNão se aplicaNão se aplicaNão se aplicaNão se aplicaNão se aplica",Mercado_Receita!$J$2:$J$629)+SUMIF(Mercado_Receita!$S$2:$S$629,"44409A4GeraçãoNão se aplicaNão se aplicaAPENão se aplicaNão se aplica",Mercado_Receita!$J$2:$J$629)</f>
        <v>1680</v>
      </c>
      <c r="K6" s="12">
        <f>SUMIF(Mercado_Receita!$S$2:$S$629,"44440A4GeraçãoNão se aplicaNão se aplicaNão se aplicaNão se aplicaNão se aplica",Mercado_Receita!$J$2:$J$629)+SUMIF(Mercado_Receita!$S$2:$S$629,"44440A4GeraçãoNão se aplicaNão se aplicaAPENão se aplicaNão se aplica",Mercado_Receita!$J$2:$J$629)</f>
        <v>1741</v>
      </c>
      <c r="L6" s="12">
        <f>SUMIF(Mercado_Receita!$S$2:$S$629,"44470A4GeraçãoNão se aplicaNão se aplicaNão se aplicaNão se aplicaNão se aplica",Mercado_Receita!$J$2:$J$629)+SUMIF(Mercado_Receita!$S$2:$S$629,"44470A4GeraçãoNão se aplicaNão se aplicaAPENão se aplicaNão se aplica",Mercado_Receita!$J$2:$J$629)</f>
        <v>1743</v>
      </c>
      <c r="M6" s="12">
        <f>SUMIF(Mercado_Receita!$S$2:$S$629,"44501A4GeraçãoNão se aplicaNão se aplicaNão se aplicaNão se aplicaNão se aplica",Mercado_Receita!$J$2:$J$629)+SUMIF(Mercado_Receita!$S$2:$S$629,"44501A4GeraçãoNão se aplicaNão se aplicaAPENão se aplicaNão se aplica",Mercado_Receita!$J$2:$J$629)</f>
        <v>1732</v>
      </c>
      <c r="N6" s="12">
        <f>SUMIF(Mercado_Receita!$S$2:$S$629,"44531A4GeraçãoNão se aplicaNão se aplicaNão se aplicaNão se aplicaNão se aplica",Mercado_Receita!$J$2:$J$629)+SUMIF(Mercado_Receita!$S$2:$S$629,"44531A4GeraçãoNão se aplicaNão se aplicaAPENão se aplicaNão se aplica",Mercado_Receita!$J$2:$J$629)</f>
        <v>1680</v>
      </c>
      <c r="O6" s="12">
        <f>SUMIF(Mercado_Receita!$S$2:$S$629,"44562A4GeraçãoNão se aplicaNão se aplicaNão se aplicaNão se aplicaNão se aplica",Mercado_Receita!$J$2:$J$629)+SUMIF(Mercado_Receita!$S$2:$S$629,"44562A4GeraçãoNão se aplicaNão se aplicaAPENão se aplicaNão se aplica",Mercado_Receita!$J$2:$J$629)</f>
        <v>1680</v>
      </c>
      <c r="P6" s="12">
        <f>SUMIF(Mercado_Receita!$S$2:$S$629,"44593A4GeraçãoNão se aplicaNão se aplicaNão se aplicaNão se aplicaNão se aplica",Mercado_Receita!$J$2:$J$629)+SUMIF(Mercado_Receita!$S$2:$S$629,"44593A4GeraçãoNão se aplicaNão se aplicaAPENão se aplicaNão se aplica",Mercado_Receita!$J$2:$J$629)</f>
        <v>1680</v>
      </c>
      <c r="Q6" s="12">
        <f>SUMIF(Mercado_Receita!$S$2:$S$629,"44621A4GeraçãoNão se aplicaNão se aplicaNão se aplicaNão se aplicaNão se aplica",Mercado_Receita!$J$2:$J$629)+SUMIF(Mercado_Receita!$S$2:$S$629,"44621A4GeraçãoNão se aplicaNão se aplicaAPENão se aplicaNão se aplica",Mercado_Receita!$J$2:$J$629)</f>
        <v>1680</v>
      </c>
      <c r="R6" s="12">
        <f>SUMIF(Mercado_Receita!$S$2:$S$629,"44652A4GeraçãoNão se aplicaNão se aplicaNão se aplicaNão se aplicaNão se aplica",Mercado_Receita!$J$2:$J$629)+SUMIF(Mercado_Receita!$S$2:$S$629,"44652A4GeraçãoNão se aplicaNão se aplicaAPENão se aplicaNão se aplica",Mercado_Receita!$J$2:$J$629)</f>
        <v>1725</v>
      </c>
      <c r="S6" s="12">
        <f>SUMIF(Mercado_Receita!$S$2:$S$629,"44682A4GeraçãoNão se aplicaNão se aplicaNão se aplicaNão se aplicaNão se aplica",Mercado_Receita!$J$2:$J$629)+SUMIF(Mercado_Receita!$S$2:$S$629,"44682A4GeraçãoNão se aplicaNão se aplicaAPENão se aplicaNão se aplica",Mercado_Receita!$J$2:$J$629)</f>
        <v>1855</v>
      </c>
      <c r="T6" s="12">
        <f>SUMIF(Mercado_Receita!$S$2:$S$629,"44713A4GeraçãoNão se aplicaNão se aplicaNão se aplicaNão se aplicaNão se aplica",Mercado_Receita!$J$2:$J$629)+SUMIF(Mercado_Receita!$S$2:$S$629,"44713A4GeraçãoNão se aplicaNão se aplicaAPENão se aplicaNão se aplica",Mercado_Receita!$J$2:$J$629)</f>
        <v>1855</v>
      </c>
      <c r="U6" s="12">
        <f t="shared" si="0"/>
        <v>20731</v>
      </c>
      <c r="V6" s="12"/>
      <c r="W6" s="12"/>
    </row>
    <row r="7" spans="1:30" ht="11.25" customHeight="1" x14ac:dyDescent="0.25">
      <c r="A7" s="152"/>
      <c r="B7" s="151" t="s">
        <v>39</v>
      </c>
      <c r="C7" s="151" t="s">
        <v>25</v>
      </c>
      <c r="D7" s="151" t="s">
        <v>25</v>
      </c>
      <c r="E7" s="151" t="s">
        <v>25</v>
      </c>
      <c r="F7" s="151" t="s">
        <v>25</v>
      </c>
      <c r="G7" s="12" t="s">
        <v>9</v>
      </c>
      <c r="H7" s="12" t="s">
        <v>83</v>
      </c>
      <c r="I7" s="12">
        <f>SUMIF(Mercado_Receita!$S$2:$S$629,"44378A4VerdeNão se aplicaNão se aplicaNão se aplicaNão se aplicaNão se aplica",Mercado_Receita!$J$2:$J$629)+SUMIF(Mercado_Receita!$S$2:$S$629,"44378A4VerdeNão se aplicaNão se aplicaAPENão se aplicaNão se aplica",Mercado_Receita!$J$2:$J$629)</f>
        <v>21011</v>
      </c>
      <c r="J7" s="12">
        <f>SUMIF(Mercado_Receita!$S$2:$S$629,"44409A4VerdeNão se aplicaNão se aplicaNão se aplicaNão se aplicaNão se aplica",Mercado_Receita!$J$2:$J$629)+SUMIF(Mercado_Receita!$S$2:$S$629,"44409A4VerdeNão se aplicaNão se aplicaAPENão se aplicaNão se aplica",Mercado_Receita!$J$2:$J$629)</f>
        <v>20073</v>
      </c>
      <c r="K7" s="12">
        <f>SUMIF(Mercado_Receita!$S$2:$S$629,"44440A4VerdeNão se aplicaNão se aplicaNão se aplicaNão se aplicaNão se aplica",Mercado_Receita!$J$2:$J$629)+SUMIF(Mercado_Receita!$S$2:$S$629,"44440A4VerdeNão se aplicaNão se aplicaAPENão se aplicaNão se aplica",Mercado_Receita!$J$2:$J$629)</f>
        <v>20840</v>
      </c>
      <c r="L7" s="12">
        <f>SUMIF(Mercado_Receita!$S$2:$S$629,"44470A4VerdeNão se aplicaNão se aplicaNão se aplicaNão se aplicaNão se aplica",Mercado_Receita!$J$2:$J$629)+SUMIF(Mercado_Receita!$S$2:$S$629,"44470A4VerdeNão se aplicaNão se aplicaAPENão se aplicaNão se aplica",Mercado_Receita!$J$2:$J$629)</f>
        <v>20592</v>
      </c>
      <c r="M7" s="12">
        <f>SUMIF(Mercado_Receita!$S$2:$S$629,"44501A4VerdeNão se aplicaNão se aplicaNão se aplicaNão se aplicaNão se aplica",Mercado_Receita!$J$2:$J$629)+SUMIF(Mercado_Receita!$S$2:$S$629,"44501A4VerdeNão se aplicaNão se aplicaAPENão se aplicaNão se aplica",Mercado_Receita!$J$2:$J$629)</f>
        <v>20860</v>
      </c>
      <c r="N7" s="12">
        <f>SUMIF(Mercado_Receita!$S$2:$S$629,"44531A4VerdeNão se aplicaNão se aplicaNão se aplicaNão se aplicaNão se aplica",Mercado_Receita!$J$2:$J$629)+SUMIF(Mercado_Receita!$S$2:$S$629,"44531A4VerdeNão se aplicaNão se aplicaAPENão se aplicaNão se aplica",Mercado_Receita!$J$2:$J$629)</f>
        <v>21231</v>
      </c>
      <c r="O7" s="12">
        <f>SUMIF(Mercado_Receita!$S$2:$S$629,"44562A4VerdeNão se aplicaNão se aplicaNão se aplicaNão se aplicaNão se aplica",Mercado_Receita!$J$2:$J$629)+SUMIF(Mercado_Receita!$S$2:$S$629,"44562A4VerdeNão se aplicaNão se aplicaAPENão se aplicaNão se aplica",Mercado_Receita!$J$2:$J$629)</f>
        <v>21222</v>
      </c>
      <c r="P7" s="12">
        <f>SUMIF(Mercado_Receita!$S$2:$S$629,"44593A4VerdeNão se aplicaNão se aplicaNão se aplicaNão se aplicaNão se aplica",Mercado_Receita!$J$2:$J$629)+SUMIF(Mercado_Receita!$S$2:$S$629,"44593A4VerdeNão se aplicaNão se aplicaAPENão se aplicaNão se aplica",Mercado_Receita!$J$2:$J$629)</f>
        <v>21161</v>
      </c>
      <c r="Q7" s="12">
        <f>SUMIF(Mercado_Receita!$S$2:$S$629,"44621A4VerdeNão se aplicaNão se aplicaNão se aplicaNão se aplicaNão se aplica",Mercado_Receita!$J$2:$J$629)+SUMIF(Mercado_Receita!$S$2:$S$629,"44621A4VerdeNão se aplicaNão se aplicaAPENão se aplicaNão se aplica",Mercado_Receita!$J$2:$J$629)</f>
        <v>21005</v>
      </c>
      <c r="R7" s="12">
        <f>SUMIF(Mercado_Receita!$S$2:$S$629,"44652A4VerdeNão se aplicaNão se aplicaNão se aplicaNão se aplicaNão se aplica",Mercado_Receita!$J$2:$J$629)+SUMIF(Mercado_Receita!$S$2:$S$629,"44652A4VerdeNão se aplicaNão se aplicaAPENão se aplicaNão se aplica",Mercado_Receita!$J$2:$J$629)</f>
        <v>21646</v>
      </c>
      <c r="S7" s="12">
        <f>SUMIF(Mercado_Receita!$S$2:$S$629,"44682A4VerdeNão se aplicaNão se aplicaNão se aplicaNão se aplicaNão se aplica",Mercado_Receita!$J$2:$J$629)+SUMIF(Mercado_Receita!$S$2:$S$629,"44682A4VerdeNão se aplicaNão se aplicaAPENão se aplicaNão se aplica",Mercado_Receita!$J$2:$J$629)</f>
        <v>21405</v>
      </c>
      <c r="T7" s="12">
        <f>SUMIF(Mercado_Receita!$S$2:$S$629,"44713A4VerdeNão se aplicaNão se aplicaNão se aplicaNão se aplicaNão se aplica",Mercado_Receita!$J$2:$J$629)+SUMIF(Mercado_Receita!$S$2:$S$629,"44713A4VerdeNão se aplicaNão se aplicaAPENão se aplicaNão se aplica",Mercado_Receita!$J$2:$J$629)</f>
        <v>21405</v>
      </c>
      <c r="U7" s="12">
        <f t="shared" si="0"/>
        <v>252451</v>
      </c>
      <c r="V7" s="12"/>
      <c r="W7" s="12"/>
    </row>
    <row r="8" spans="1:30" ht="11.25" customHeight="1" x14ac:dyDescent="0.25">
      <c r="A8" s="152"/>
      <c r="B8" s="152"/>
      <c r="C8" s="152"/>
      <c r="D8" s="152"/>
      <c r="E8" s="152"/>
      <c r="F8" s="152"/>
      <c r="G8" s="12" t="s">
        <v>79</v>
      </c>
      <c r="H8" s="12" t="s">
        <v>78</v>
      </c>
      <c r="I8" s="12">
        <f>SUMIF(Mercado_Receita!$S$2:$S$629,"44378A4VerdeNão se aplicaNão se aplicaNão se aplicaNão se aplicaPonta",Mercado_Receita!$L$2:$L$629)</f>
        <v>504.05599999999998</v>
      </c>
      <c r="J8" s="12">
        <f>SUMIF(Mercado_Receita!$S$2:$S$629,"44409A4VerdeNão se aplicaNão se aplicaNão se aplicaNão se aplicaPonta",Mercado_Receita!$L$2:$L$629)</f>
        <v>516.74200000000008</v>
      </c>
      <c r="K8" s="12">
        <f>SUMIF(Mercado_Receita!$S$2:$S$629,"44440A4VerdeNão se aplicaNão se aplicaNão se aplicaNão se aplicaPonta",Mercado_Receita!$L$2:$L$629)</f>
        <v>469.44099999999992</v>
      </c>
      <c r="L8" s="12">
        <f>SUMIF(Mercado_Receita!$S$2:$S$629,"44470A4VerdeNão se aplicaNão se aplicaNão se aplicaNão se aplicaPonta",Mercado_Receita!$L$2:$L$629)</f>
        <v>447.94999999999993</v>
      </c>
      <c r="M8" s="12">
        <f>SUMIF(Mercado_Receita!$S$2:$S$629,"44501A4VerdeNão se aplicaNão se aplicaNão se aplicaNão se aplicaPonta",Mercado_Receita!$L$2:$L$629)</f>
        <v>503.81099999999992</v>
      </c>
      <c r="N8" s="12">
        <f>SUMIF(Mercado_Receita!$S$2:$S$629,"44531A4VerdeNão se aplicaNão se aplicaNão se aplicaNão se aplicaPonta",Mercado_Receita!$L$2:$L$629)</f>
        <v>480.47799999999995</v>
      </c>
      <c r="O8" s="12">
        <f>SUMIF(Mercado_Receita!$S$2:$S$629,"44562A4VerdeNão se aplicaNão se aplicaNão se aplicaNão se aplicaPonta",Mercado_Receita!$L$2:$L$629)</f>
        <v>519.471</v>
      </c>
      <c r="P8" s="12">
        <f>SUMIF(Mercado_Receita!$S$2:$S$629,"44593A4VerdeNão se aplicaNão se aplicaNão se aplicaNão se aplicaPonta",Mercado_Receita!$L$2:$L$629)</f>
        <v>509.89500000000004</v>
      </c>
      <c r="Q8" s="12">
        <f>SUMIF(Mercado_Receita!$S$2:$S$629,"44621A4VerdeNão se aplicaNão se aplicaNão se aplicaNão se aplicaPonta",Mercado_Receita!$L$2:$L$629)</f>
        <v>600.61799999999994</v>
      </c>
      <c r="R8" s="12">
        <f>SUMIF(Mercado_Receita!$S$2:$S$629,"44652A4VerdeNão se aplicaNão se aplicaNão se aplicaNão se aplicaPonta",Mercado_Receita!$L$2:$L$629)</f>
        <v>489.10399999999998</v>
      </c>
      <c r="S8" s="12">
        <f>SUMIF(Mercado_Receita!$S$2:$S$629,"44682A4VerdeNão se aplicaNão se aplicaNão se aplicaNão se aplicaPonta",Mercado_Receita!$L$2:$L$629)</f>
        <v>561.74599999999998</v>
      </c>
      <c r="T8" s="12">
        <f>SUMIF(Mercado_Receita!$S$2:$S$629,"44713A4VerdeNão se aplicaNão se aplicaNão se aplicaNão se aplicaPonta",Mercado_Receita!$L$2:$L$629)</f>
        <v>561.74599999999998</v>
      </c>
      <c r="U8" s="12">
        <f t="shared" si="0"/>
        <v>6165.058</v>
      </c>
      <c r="V8" s="12"/>
      <c r="W8" s="12"/>
    </row>
    <row r="9" spans="1:30" ht="11.25" customHeight="1" x14ac:dyDescent="0.25">
      <c r="A9" s="152"/>
      <c r="B9" s="152"/>
      <c r="C9" s="152"/>
      <c r="D9" s="152"/>
      <c r="E9" s="152"/>
      <c r="F9" s="152"/>
      <c r="G9" s="12" t="s">
        <v>80</v>
      </c>
      <c r="H9" s="12" t="s">
        <v>78</v>
      </c>
      <c r="I9" s="12">
        <f>SUMIF(Mercado_Receita!$S$2:$S$629,"44378A4VerdeNão se aplicaNão se aplicaNão se aplicaNão se aplicaFora ponta",Mercado_Receita!$L$2:$L$629)</f>
        <v>4956.7449999999999</v>
      </c>
      <c r="J9" s="12">
        <f>SUMIF(Mercado_Receita!$S$2:$S$629,"44409A4VerdeNão se aplicaNão se aplicaNão se aplicaNão se aplicaFora ponta",Mercado_Receita!$L$2:$L$629)</f>
        <v>5065.4479999999994</v>
      </c>
      <c r="K9" s="12">
        <f>SUMIF(Mercado_Receita!$S$2:$S$629,"44440A4VerdeNão se aplicaNão se aplicaNão se aplicaNão se aplicaFora ponta",Mercado_Receita!$L$2:$L$629)</f>
        <v>4651.5210000000006</v>
      </c>
      <c r="L9" s="12">
        <f>SUMIF(Mercado_Receita!$S$2:$S$629,"44470A4VerdeNão se aplicaNão se aplicaNão se aplicaNão se aplicaFora ponta",Mercado_Receita!$L$2:$L$629)</f>
        <v>4611.8289999999997</v>
      </c>
      <c r="M9" s="12">
        <f>SUMIF(Mercado_Receita!$S$2:$S$629,"44501A4VerdeNão se aplicaNão se aplicaNão se aplicaNão se aplicaFora ponta",Mercado_Receita!$L$2:$L$629)</f>
        <v>5057.7759999999998</v>
      </c>
      <c r="N9" s="12">
        <f>SUMIF(Mercado_Receita!$S$2:$S$629,"44531A4VerdeNão se aplicaNão se aplicaNão se aplicaNão se aplicaFora ponta",Mercado_Receita!$L$2:$L$629)</f>
        <v>4892.6640000000007</v>
      </c>
      <c r="O9" s="12">
        <f>SUMIF(Mercado_Receita!$S$2:$S$629,"44562A4VerdeNão se aplicaNão se aplicaNão se aplicaNão se aplicaFora ponta",Mercado_Receita!$L$2:$L$629)</f>
        <v>5284.1850000000013</v>
      </c>
      <c r="P9" s="12">
        <f>SUMIF(Mercado_Receita!$S$2:$S$629,"44593A4VerdeNão se aplicaNão se aplicaNão se aplicaNão se aplicaFora ponta",Mercado_Receita!$L$2:$L$629)</f>
        <v>5010.8830000000016</v>
      </c>
      <c r="Q9" s="12">
        <f>SUMIF(Mercado_Receita!$S$2:$S$629,"44621A4VerdeNão se aplicaNão se aplicaNão se aplicaNão se aplicaFora ponta",Mercado_Receita!$L$2:$L$629)</f>
        <v>5663.4390000000003</v>
      </c>
      <c r="R9" s="12">
        <f>SUMIF(Mercado_Receita!$S$2:$S$629,"44652A4VerdeNão se aplicaNão se aplicaNão se aplicaNão se aplicaFora ponta",Mercado_Receita!$L$2:$L$629)</f>
        <v>4853.6549999999997</v>
      </c>
      <c r="S9" s="12">
        <f>SUMIF(Mercado_Receita!$S$2:$S$629,"44682A4VerdeNão se aplicaNão se aplicaNão se aplicaNão se aplicaFora ponta",Mercado_Receita!$L$2:$L$629)</f>
        <v>5223.7269999999999</v>
      </c>
      <c r="T9" s="12">
        <f>SUMIF(Mercado_Receita!$S$2:$S$629,"44713A4VerdeNão se aplicaNão se aplicaNão se aplicaNão se aplicaFora ponta",Mercado_Receita!$L$2:$L$629)</f>
        <v>5223.7269999999999</v>
      </c>
      <c r="U9" s="12">
        <f t="shared" si="0"/>
        <v>60495.598999999995</v>
      </c>
      <c r="V9" s="12"/>
      <c r="W9" s="12"/>
    </row>
    <row r="10" spans="1:30" ht="11.25" customHeight="1" x14ac:dyDescent="0.25">
      <c r="A10" s="152"/>
      <c r="B10" s="152"/>
      <c r="C10" s="152"/>
      <c r="D10" s="152"/>
      <c r="E10" s="151" t="s">
        <v>86</v>
      </c>
      <c r="F10" s="151" t="s">
        <v>25</v>
      </c>
      <c r="G10" s="12" t="s">
        <v>79</v>
      </c>
      <c r="H10" s="12" t="s">
        <v>78</v>
      </c>
      <c r="I10" s="12">
        <f>SUMIF(Mercado_Receita!$S$2:$S$629,"44378A4VerdeNão se aplicaNão se aplicaAPENão se aplicaPonta",Mercado_Receita!$L$2:$L$629)</f>
        <v>0</v>
      </c>
      <c r="J10" s="12">
        <f>SUMIF(Mercado_Receita!$S$2:$S$629,"44409A4VerdeNão se aplicaNão se aplicaAPENão se aplicaPonta",Mercado_Receita!$L$2:$L$629)</f>
        <v>0</v>
      </c>
      <c r="K10" s="12">
        <f>SUMIF(Mercado_Receita!$S$2:$S$629,"44440A4VerdeNão se aplicaNão se aplicaAPENão se aplicaPonta",Mercado_Receita!$L$2:$L$629)</f>
        <v>0</v>
      </c>
      <c r="L10" s="12">
        <f>SUMIF(Mercado_Receita!$S$2:$S$629,"44470A4VerdeNão se aplicaNão se aplicaAPENão se aplicaPonta",Mercado_Receita!$L$2:$L$629)</f>
        <v>0</v>
      </c>
      <c r="M10" s="12">
        <f>SUMIF(Mercado_Receita!$S$2:$S$629,"44501A4VerdeNão se aplicaNão se aplicaAPENão se aplicaPonta",Mercado_Receita!$L$2:$L$629)</f>
        <v>0</v>
      </c>
      <c r="N10" s="12">
        <f>SUMIF(Mercado_Receita!$S$2:$S$629,"44531A4VerdeNão se aplicaNão se aplicaAPENão se aplicaPonta",Mercado_Receita!$L$2:$L$629)</f>
        <v>0</v>
      </c>
      <c r="O10" s="12">
        <f>SUMIF(Mercado_Receita!$S$2:$S$629,"44562A4VerdeNão se aplicaNão se aplicaAPENão se aplicaPonta",Mercado_Receita!$L$2:$L$629)</f>
        <v>0</v>
      </c>
      <c r="P10" s="12">
        <f>SUMIF(Mercado_Receita!$S$2:$S$629,"44593A4VerdeNão se aplicaNão se aplicaAPENão se aplicaPonta",Mercado_Receita!$L$2:$L$629)</f>
        <v>0</v>
      </c>
      <c r="Q10" s="12">
        <f>SUMIF(Mercado_Receita!$S$2:$S$629,"44621A4VerdeNão se aplicaNão se aplicaAPENão se aplicaPonta",Mercado_Receita!$L$2:$L$629)</f>
        <v>0</v>
      </c>
      <c r="R10" s="12">
        <f>SUMIF(Mercado_Receita!$S$2:$S$629,"44652A4VerdeNão se aplicaNão se aplicaAPENão se aplicaPonta",Mercado_Receita!$L$2:$L$629)</f>
        <v>0</v>
      </c>
      <c r="S10" s="12">
        <f>SUMIF(Mercado_Receita!$S$2:$S$629,"44682A4VerdeNão se aplicaNão se aplicaAPENão se aplicaPonta",Mercado_Receita!$L$2:$L$629)</f>
        <v>0</v>
      </c>
      <c r="T10" s="12">
        <f>SUMIF(Mercado_Receita!$S$2:$S$629,"44713A4VerdeNão se aplicaNão se aplicaAPENão se aplicaPonta",Mercado_Receita!$L$2:$L$629)</f>
        <v>0</v>
      </c>
      <c r="U10" s="12">
        <f t="shared" si="0"/>
        <v>0</v>
      </c>
      <c r="V10" s="12"/>
      <c r="W10" s="12"/>
    </row>
    <row r="11" spans="1:30" ht="11.25" customHeight="1" x14ac:dyDescent="0.25">
      <c r="A11" s="152"/>
      <c r="B11" s="152"/>
      <c r="C11" s="152"/>
      <c r="D11" s="152"/>
      <c r="E11" s="152"/>
      <c r="F11" s="152"/>
      <c r="G11" s="12" t="s">
        <v>80</v>
      </c>
      <c r="H11" s="12" t="s">
        <v>78</v>
      </c>
      <c r="I11" s="12">
        <f>SUMIF(Mercado_Receita!$S$2:$S$629,"44378A4VerdeNão se aplicaNão se aplicaAPENão se aplicaFora ponta",Mercado_Receita!$L$2:$L$629)</f>
        <v>0</v>
      </c>
      <c r="J11" s="12">
        <f>SUMIF(Mercado_Receita!$S$2:$S$629,"44409A4VerdeNão se aplicaNão se aplicaAPENão se aplicaFora ponta",Mercado_Receita!$L$2:$L$629)</f>
        <v>0</v>
      </c>
      <c r="K11" s="12">
        <f>SUMIF(Mercado_Receita!$S$2:$S$629,"44440A4VerdeNão se aplicaNão se aplicaAPENão se aplicaFora ponta",Mercado_Receita!$L$2:$L$629)</f>
        <v>0</v>
      </c>
      <c r="L11" s="12">
        <f>SUMIF(Mercado_Receita!$S$2:$S$629,"44470A4VerdeNão se aplicaNão se aplicaAPENão se aplicaFora ponta",Mercado_Receita!$L$2:$L$629)</f>
        <v>0</v>
      </c>
      <c r="M11" s="12">
        <f>SUMIF(Mercado_Receita!$S$2:$S$629,"44501A4VerdeNão se aplicaNão se aplicaAPENão se aplicaFora ponta",Mercado_Receita!$L$2:$L$629)</f>
        <v>0</v>
      </c>
      <c r="N11" s="12">
        <f>SUMIF(Mercado_Receita!$S$2:$S$629,"44531A4VerdeNão se aplicaNão se aplicaAPENão se aplicaFora ponta",Mercado_Receita!$L$2:$L$629)</f>
        <v>0</v>
      </c>
      <c r="O11" s="12">
        <f>SUMIF(Mercado_Receita!$S$2:$S$629,"44562A4VerdeNão se aplicaNão se aplicaAPENão se aplicaFora ponta",Mercado_Receita!$L$2:$L$629)</f>
        <v>0</v>
      </c>
      <c r="P11" s="12">
        <f>SUMIF(Mercado_Receita!$S$2:$S$629,"44593A4VerdeNão se aplicaNão se aplicaAPENão se aplicaFora ponta",Mercado_Receita!$L$2:$L$629)</f>
        <v>0</v>
      </c>
      <c r="Q11" s="12">
        <f>SUMIF(Mercado_Receita!$S$2:$S$629,"44621A4VerdeNão se aplicaNão se aplicaAPENão se aplicaFora ponta",Mercado_Receita!$L$2:$L$629)</f>
        <v>0</v>
      </c>
      <c r="R11" s="12">
        <f>SUMIF(Mercado_Receita!$S$2:$S$629,"44652A4VerdeNão se aplicaNão se aplicaAPENão se aplicaFora ponta",Mercado_Receita!$L$2:$L$629)</f>
        <v>0</v>
      </c>
      <c r="S11" s="12">
        <f>SUMIF(Mercado_Receita!$S$2:$S$629,"44682A4VerdeNão se aplicaNão se aplicaAPENão se aplicaFora ponta",Mercado_Receita!$L$2:$L$629)</f>
        <v>0</v>
      </c>
      <c r="T11" s="12">
        <f>SUMIF(Mercado_Receita!$S$2:$S$629,"44713A4VerdeNão se aplicaNão se aplicaAPENão se aplicaFora ponta",Mercado_Receita!$L$2:$L$629)</f>
        <v>0</v>
      </c>
      <c r="U11" s="12">
        <f t="shared" si="0"/>
        <v>0</v>
      </c>
      <c r="V11" s="12"/>
      <c r="W11" s="12"/>
    </row>
    <row r="12" spans="1:30" ht="11.25" customHeight="1" x14ac:dyDescent="0.25">
      <c r="A12" s="151" t="s">
        <v>89</v>
      </c>
      <c r="B12" s="151" t="s">
        <v>58</v>
      </c>
      <c r="C12" s="151" t="s">
        <v>25</v>
      </c>
      <c r="D12" s="151" t="s">
        <v>25</v>
      </c>
      <c r="E12" s="13" t="s">
        <v>90</v>
      </c>
      <c r="F12" s="13" t="s">
        <v>25</v>
      </c>
      <c r="G12" s="12" t="s">
        <v>9</v>
      </c>
      <c r="H12" s="12" t="s">
        <v>83</v>
      </c>
      <c r="I12" s="12">
        <f>SUMIF(Mercado_Receita!$S$2:$S$629,"44378BGeraçãoNão se aplicaNão se aplicaTIPO 01Não se aplicaNão se aplica",Mercado_Receita!$J$2:$J$629)+SUMIF(Mercado_Receita!$S$2:$S$629,"44378BGeraçãoNão se aplicaNão se aplicaAPENão se aplicaNão se aplica",Mercado_Receita!$J$2:$J$629)</f>
        <v>0</v>
      </c>
      <c r="J12" s="12">
        <f>SUMIF(Mercado_Receita!$S$2:$S$629,"44409BGeraçãoNão se aplicaNão se aplicaTIPO 01Não se aplicaNão se aplica",Mercado_Receita!$J$2:$J$629)+SUMIF(Mercado_Receita!$S$2:$S$629,"44409BGeraçãoNão se aplicaNão se aplicaAPENão se aplicaNão se aplica",Mercado_Receita!$J$2:$J$629)</f>
        <v>0</v>
      </c>
      <c r="K12" s="12">
        <f>SUMIF(Mercado_Receita!$S$2:$S$629,"44440BGeraçãoNão se aplicaNão se aplicaTIPO 01Não se aplicaNão se aplica",Mercado_Receita!$J$2:$J$629)+SUMIF(Mercado_Receita!$S$2:$S$629,"44440BGeraçãoNão se aplicaNão se aplicaAPENão se aplicaNão se aplica",Mercado_Receita!$J$2:$J$629)</f>
        <v>0</v>
      </c>
      <c r="L12" s="12">
        <f>SUMIF(Mercado_Receita!$S$2:$S$629,"44470BGeraçãoNão se aplicaNão se aplicaTIPO 01Não se aplicaNão se aplica",Mercado_Receita!$J$2:$J$629)+SUMIF(Mercado_Receita!$S$2:$S$629,"44470BGeraçãoNão se aplicaNão se aplicaAPENão se aplicaNão se aplica",Mercado_Receita!$J$2:$J$629)</f>
        <v>0</v>
      </c>
      <c r="M12" s="12">
        <f>SUMIF(Mercado_Receita!$S$2:$S$629,"44501BGeraçãoNão se aplicaNão se aplicaTIPO 01Não se aplicaNão se aplica",Mercado_Receita!$J$2:$J$629)+SUMIF(Mercado_Receita!$S$2:$S$629,"44501BGeraçãoNão se aplicaNão se aplicaAPENão se aplicaNão se aplica",Mercado_Receita!$J$2:$J$629)</f>
        <v>0</v>
      </c>
      <c r="N12" s="12">
        <f>SUMIF(Mercado_Receita!$S$2:$S$629,"44531BGeraçãoNão se aplicaNão se aplicaTIPO 01Não se aplicaNão se aplica",Mercado_Receita!$J$2:$J$629)+SUMIF(Mercado_Receita!$S$2:$S$629,"44531BGeraçãoNão se aplicaNão se aplicaAPENão se aplicaNão se aplica",Mercado_Receita!$J$2:$J$629)</f>
        <v>0</v>
      </c>
      <c r="O12" s="12">
        <f>SUMIF(Mercado_Receita!$S$2:$S$629,"44562BGeraçãoNão se aplicaNão se aplicaTIPO 01Não se aplicaNão se aplica",Mercado_Receita!$J$2:$J$629)+SUMIF(Mercado_Receita!$S$2:$S$629,"44562BGeraçãoNão se aplicaNão se aplicaAPENão se aplicaNão se aplica",Mercado_Receita!$J$2:$J$629)</f>
        <v>0</v>
      </c>
      <c r="P12" s="12">
        <f>SUMIF(Mercado_Receita!$S$2:$S$629,"44593BGeraçãoNão se aplicaNão se aplicaTIPO 01Não se aplicaNão se aplica",Mercado_Receita!$J$2:$J$629)+SUMIF(Mercado_Receita!$S$2:$S$629,"44593BGeraçãoNão se aplicaNão se aplicaAPENão se aplicaNão se aplica",Mercado_Receita!$J$2:$J$629)</f>
        <v>0</v>
      </c>
      <c r="Q12" s="12">
        <f>SUMIF(Mercado_Receita!$S$2:$S$629,"44621BGeraçãoNão se aplicaNão se aplicaTIPO 01Não se aplicaNão se aplica",Mercado_Receita!$J$2:$J$629)+SUMIF(Mercado_Receita!$S$2:$S$629,"44621BGeraçãoNão se aplicaNão se aplicaAPENão se aplicaNão se aplica",Mercado_Receita!$J$2:$J$629)</f>
        <v>0</v>
      </c>
      <c r="R12" s="12">
        <f>SUMIF(Mercado_Receita!$S$2:$S$629,"44652BGeraçãoNão se aplicaNão se aplicaTIPO 01Não se aplicaNão se aplica",Mercado_Receita!$J$2:$J$629)+SUMIF(Mercado_Receita!$S$2:$S$629,"44652BGeraçãoNão se aplicaNão se aplicaAPENão se aplicaNão se aplica",Mercado_Receita!$J$2:$J$629)</f>
        <v>0</v>
      </c>
      <c r="S12" s="12">
        <f>SUMIF(Mercado_Receita!$S$2:$S$629,"44682BGeraçãoNão se aplicaNão se aplicaTIPO 01Não se aplicaNão se aplica",Mercado_Receita!$J$2:$J$629)+SUMIF(Mercado_Receita!$S$2:$S$629,"44682BGeraçãoNão se aplicaNão se aplicaAPENão se aplicaNão se aplica",Mercado_Receita!$J$2:$J$629)</f>
        <v>0</v>
      </c>
      <c r="T12" s="12">
        <f>SUMIF(Mercado_Receita!$S$2:$S$629,"44713BGeraçãoNão se aplicaNão se aplicaTIPO 01Não se aplicaNão se aplica",Mercado_Receita!$J$2:$J$629)+SUMIF(Mercado_Receita!$S$2:$S$629,"44713BGeraçãoNão se aplicaNão se aplicaAPENão se aplicaNão se aplica",Mercado_Receita!$J$2:$J$629)</f>
        <v>0</v>
      </c>
      <c r="U12" s="12">
        <f t="shared" si="0"/>
        <v>0</v>
      </c>
      <c r="V12" s="12"/>
      <c r="W12" s="12"/>
    </row>
    <row r="13" spans="1:30" ht="11.25" customHeight="1" x14ac:dyDescent="0.25">
      <c r="A13" s="152"/>
      <c r="B13" s="152"/>
      <c r="C13" s="152"/>
      <c r="D13" s="152"/>
      <c r="E13" s="13" t="s">
        <v>91</v>
      </c>
      <c r="F13" s="13" t="s">
        <v>25</v>
      </c>
      <c r="G13" s="12" t="s">
        <v>9</v>
      </c>
      <c r="H13" s="12" t="s">
        <v>83</v>
      </c>
      <c r="I13" s="12">
        <f>SUMIF(Mercado_Receita!$S$2:$S$629,"44378BGeraçãoNão se aplicaNão se aplicaTIPO 02Não se aplicaNão se aplica",Mercado_Receita!$J$2:$J$629)+SUMIF(Mercado_Receita!$S$2:$S$629,"44378BGeraçãoNão se aplicaNão se aplicaAPENão se aplicaNão se aplica",Mercado_Receita!$J$2:$J$629)</f>
        <v>0</v>
      </c>
      <c r="J13" s="12">
        <f>SUMIF(Mercado_Receita!$S$2:$S$629,"44409BGeraçãoNão se aplicaNão se aplicaTIPO 02Não se aplicaNão se aplica",Mercado_Receita!$J$2:$J$629)+SUMIF(Mercado_Receita!$S$2:$S$629,"44409BGeraçãoNão se aplicaNão se aplicaAPENão se aplicaNão se aplica",Mercado_Receita!$J$2:$J$629)</f>
        <v>0</v>
      </c>
      <c r="K13" s="12">
        <f>SUMIF(Mercado_Receita!$S$2:$S$629,"44440BGeraçãoNão se aplicaNão se aplicaTIPO 02Não se aplicaNão se aplica",Mercado_Receita!$J$2:$J$629)+SUMIF(Mercado_Receita!$S$2:$S$629,"44440BGeraçãoNão se aplicaNão se aplicaAPENão se aplicaNão se aplica",Mercado_Receita!$J$2:$J$629)</f>
        <v>0</v>
      </c>
      <c r="L13" s="12">
        <f>SUMIF(Mercado_Receita!$S$2:$S$629,"44470BGeraçãoNão se aplicaNão se aplicaTIPO 02Não se aplicaNão se aplica",Mercado_Receita!$J$2:$J$629)+SUMIF(Mercado_Receita!$S$2:$S$629,"44470BGeraçãoNão se aplicaNão se aplicaAPENão se aplicaNão se aplica",Mercado_Receita!$J$2:$J$629)</f>
        <v>0</v>
      </c>
      <c r="M13" s="12">
        <f>SUMIF(Mercado_Receita!$S$2:$S$629,"44501BGeraçãoNão se aplicaNão se aplicaTIPO 02Não se aplicaNão se aplica",Mercado_Receita!$J$2:$J$629)+SUMIF(Mercado_Receita!$S$2:$S$629,"44501BGeraçãoNão se aplicaNão se aplicaAPENão se aplicaNão se aplica",Mercado_Receita!$J$2:$J$629)</f>
        <v>0</v>
      </c>
      <c r="N13" s="12">
        <f>SUMIF(Mercado_Receita!$S$2:$S$629,"44531BGeraçãoNão se aplicaNão se aplicaTIPO 02Não se aplicaNão se aplica",Mercado_Receita!$J$2:$J$629)+SUMIF(Mercado_Receita!$S$2:$S$629,"44531BGeraçãoNão se aplicaNão se aplicaAPENão se aplicaNão se aplica",Mercado_Receita!$J$2:$J$629)</f>
        <v>0</v>
      </c>
      <c r="O13" s="12">
        <f>SUMIF(Mercado_Receita!$S$2:$S$629,"44562BGeraçãoNão se aplicaNão se aplicaTIPO 02Não se aplicaNão se aplica",Mercado_Receita!$J$2:$J$629)+SUMIF(Mercado_Receita!$S$2:$S$629,"44562BGeraçãoNão se aplicaNão se aplicaAPENão se aplicaNão se aplica",Mercado_Receita!$J$2:$J$629)</f>
        <v>0</v>
      </c>
      <c r="P13" s="12">
        <f>SUMIF(Mercado_Receita!$S$2:$S$629,"44593BGeraçãoNão se aplicaNão se aplicaTIPO 02Não se aplicaNão se aplica",Mercado_Receita!$J$2:$J$629)+SUMIF(Mercado_Receita!$S$2:$S$629,"44593BGeraçãoNão se aplicaNão se aplicaAPENão se aplicaNão se aplica",Mercado_Receita!$J$2:$J$629)</f>
        <v>0</v>
      </c>
      <c r="Q13" s="12">
        <f>SUMIF(Mercado_Receita!$S$2:$S$629,"44621BGeraçãoNão se aplicaNão se aplicaTIPO 02Não se aplicaNão se aplica",Mercado_Receita!$J$2:$J$629)+SUMIF(Mercado_Receita!$S$2:$S$629,"44621BGeraçãoNão se aplicaNão se aplicaAPENão se aplicaNão se aplica",Mercado_Receita!$J$2:$J$629)</f>
        <v>0</v>
      </c>
      <c r="R13" s="12">
        <f>SUMIF(Mercado_Receita!$S$2:$S$629,"44652BGeraçãoNão se aplicaNão se aplicaTIPO 02Não se aplicaNão se aplica",Mercado_Receita!$J$2:$J$629)+SUMIF(Mercado_Receita!$S$2:$S$629,"44652BGeraçãoNão se aplicaNão se aplicaAPENão se aplicaNão se aplica",Mercado_Receita!$J$2:$J$629)</f>
        <v>0</v>
      </c>
      <c r="S13" s="12">
        <f>SUMIF(Mercado_Receita!$S$2:$S$629,"44682BGeraçãoNão se aplicaNão se aplicaTIPO 02Não se aplicaNão se aplica",Mercado_Receita!$J$2:$J$629)+SUMIF(Mercado_Receita!$S$2:$S$629,"44682BGeraçãoNão se aplicaNão se aplicaAPENão se aplicaNão se aplica",Mercado_Receita!$J$2:$J$629)</f>
        <v>0</v>
      </c>
      <c r="T13" s="12">
        <f>SUMIF(Mercado_Receita!$S$2:$S$629,"44713BGeraçãoNão se aplicaNão se aplicaTIPO 02Não se aplicaNão se aplica",Mercado_Receita!$J$2:$J$629)+SUMIF(Mercado_Receita!$S$2:$S$629,"44713BGeraçãoNão se aplicaNão se aplicaAPENão se aplicaNão se aplica",Mercado_Receita!$J$2:$J$629)</f>
        <v>0</v>
      </c>
      <c r="U13" s="12">
        <f t="shared" si="0"/>
        <v>0</v>
      </c>
      <c r="V13" s="12"/>
      <c r="W13" s="12"/>
    </row>
    <row r="14" spans="1:30" ht="11.25" customHeight="1" x14ac:dyDescent="0.25">
      <c r="A14" s="151" t="s">
        <v>22</v>
      </c>
      <c r="B14" s="151" t="s">
        <v>32</v>
      </c>
      <c r="C14" s="151" t="s">
        <v>24</v>
      </c>
      <c r="D14" s="151" t="s">
        <v>24</v>
      </c>
      <c r="E14" s="151" t="s">
        <v>25</v>
      </c>
      <c r="F14" s="151" t="s">
        <v>25</v>
      </c>
      <c r="G14" s="12" t="s">
        <v>79</v>
      </c>
      <c r="H14" s="12" t="s">
        <v>78</v>
      </c>
      <c r="I14" s="12">
        <f>SUMIF(Mercado_Receita!$S$2:$S$629,"44378B1BrancaResidencialResidencialNão se aplicaNão se aplicaPonta",Mercado_Receita!$L$2:$L$629)</f>
        <v>0.32800000000000001</v>
      </c>
      <c r="J14" s="12">
        <f>SUMIF(Mercado_Receita!$S$2:$S$629,"44409B1BrancaResidencialResidencialNão se aplicaNão se aplicaPonta",Mercado_Receita!$L$2:$L$629)</f>
        <v>0.30399999999999999</v>
      </c>
      <c r="K14" s="12">
        <f>SUMIF(Mercado_Receita!$S$2:$S$629,"44440B1BrancaResidencialResidencialNão se aplicaNão se aplicaPonta",Mercado_Receita!$L$2:$L$629)</f>
        <v>0.223</v>
      </c>
      <c r="L14" s="12">
        <f>SUMIF(Mercado_Receita!$S$2:$S$629,"44470B1BrancaResidencialResidencialNão se aplicaNão se aplicaPonta",Mercado_Receita!$L$2:$L$629)</f>
        <v>0.192</v>
      </c>
      <c r="M14" s="12">
        <f>SUMIF(Mercado_Receita!$S$2:$S$629,"44501B1BrancaResidencialResidencialNão se aplicaNão se aplicaPonta",Mercado_Receita!$L$2:$L$629)</f>
        <v>0.2</v>
      </c>
      <c r="N14" s="12">
        <f>SUMIF(Mercado_Receita!$S$2:$S$629,"44531B1BrancaResidencialResidencialNão se aplicaNão se aplicaPonta",Mercado_Receita!$L$2:$L$629)</f>
        <v>0.187</v>
      </c>
      <c r="O14" s="12">
        <f>SUMIF(Mercado_Receita!$S$2:$S$629,"44562B1BrancaResidencialResidencialNão se aplicaNão se aplicaPonta",Mercado_Receita!$L$2:$L$629)</f>
        <v>0.252</v>
      </c>
      <c r="P14" s="12">
        <f>SUMIF(Mercado_Receita!$S$2:$S$629,"44593B1BrancaResidencialResidencialNão se aplicaNão se aplicaPonta",Mercado_Receita!$L$2:$L$629)</f>
        <v>0.20300000000000001</v>
      </c>
      <c r="Q14" s="12">
        <f>SUMIF(Mercado_Receita!$S$2:$S$629,"44621B1BrancaResidencialResidencialNão se aplicaNão se aplicaPonta",Mercado_Receita!$L$2:$L$629)</f>
        <v>0.24299999999999999</v>
      </c>
      <c r="R14" s="12">
        <f>SUMIF(Mercado_Receita!$S$2:$S$629,"44652B1BrancaResidencialResidencialNão se aplicaNão se aplicaPonta",Mercado_Receita!$L$2:$L$629)</f>
        <v>0.184</v>
      </c>
      <c r="S14" s="12">
        <f>SUMIF(Mercado_Receita!$S$2:$S$629,"44682B1BrancaResidencialResidencialNão se aplicaNão se aplicaPonta",Mercado_Receita!$L$2:$L$629)</f>
        <v>0.221</v>
      </c>
      <c r="T14" s="12">
        <f>SUMIF(Mercado_Receita!$S$2:$S$629,"44713B1BrancaResidencialResidencialNão se aplicaNão se aplicaPonta",Mercado_Receita!$L$2:$L$629)</f>
        <v>0.221</v>
      </c>
      <c r="U14" s="12">
        <f t="shared" si="0"/>
        <v>2.7580000000000005</v>
      </c>
      <c r="V14" s="12"/>
      <c r="W14" s="12"/>
    </row>
    <row r="15" spans="1:30" ht="11.25" customHeight="1" x14ac:dyDescent="0.25">
      <c r="A15" s="152"/>
      <c r="B15" s="152"/>
      <c r="C15" s="152"/>
      <c r="D15" s="152"/>
      <c r="E15" s="152"/>
      <c r="F15" s="152"/>
      <c r="G15" s="12" t="s">
        <v>92</v>
      </c>
      <c r="H15" s="12" t="s">
        <v>78</v>
      </c>
      <c r="I15" s="12">
        <f>SUMIF(Mercado_Receita!$S$2:$S$629,"44378B1BrancaResidencialResidencialNão se aplicaNão se aplicaIntermediário",Mercado_Receita!$L$2:$L$629)</f>
        <v>0.192</v>
      </c>
      <c r="J15" s="12">
        <f>SUMIF(Mercado_Receita!$S$2:$S$629,"44409B1BrancaResidencialResidencialNão se aplicaNão se aplicaIntermediário",Mercado_Receita!$L$2:$L$629)</f>
        <v>0.184</v>
      </c>
      <c r="K15" s="12">
        <f>SUMIF(Mercado_Receita!$S$2:$S$629,"44440B1BrancaResidencialResidencialNão se aplicaNão se aplicaIntermediário",Mercado_Receita!$L$2:$L$629)</f>
        <v>0.123</v>
      </c>
      <c r="L15" s="12">
        <f>SUMIF(Mercado_Receita!$S$2:$S$629,"44470B1BrancaResidencialResidencialNão se aplicaNão se aplicaIntermediário",Mercado_Receita!$L$2:$L$629)</f>
        <v>0.105</v>
      </c>
      <c r="M15" s="12">
        <f>SUMIF(Mercado_Receita!$S$2:$S$629,"44501B1BrancaResidencialResidencialNão se aplicaNão se aplicaIntermediário",Mercado_Receita!$L$2:$L$629)</f>
        <v>9.7000000000000003E-2</v>
      </c>
      <c r="N15" s="12">
        <f>SUMIF(Mercado_Receita!$S$2:$S$629,"44531B1BrancaResidencialResidencialNão se aplicaNão se aplicaIntermediário",Mercado_Receita!$L$2:$L$629)</f>
        <v>0.108</v>
      </c>
      <c r="O15" s="12">
        <f>SUMIF(Mercado_Receita!$S$2:$S$629,"44562B1BrancaResidencialResidencialNão se aplicaNão se aplicaIntermediário",Mercado_Receita!$L$2:$L$629)</f>
        <v>0.16300000000000001</v>
      </c>
      <c r="P15" s="12">
        <f>SUMIF(Mercado_Receita!$S$2:$S$629,"44593B1BrancaResidencialResidencialNão se aplicaNão se aplicaIntermediário",Mercado_Receita!$L$2:$L$629)</f>
        <v>0.13200000000000001</v>
      </c>
      <c r="Q15" s="12">
        <f>SUMIF(Mercado_Receita!$S$2:$S$629,"44621B1BrancaResidencialResidencialNão se aplicaNão se aplicaIntermediário",Mercado_Receita!$L$2:$L$629)</f>
        <v>0.14899999999999999</v>
      </c>
      <c r="R15" s="12">
        <f>SUMIF(Mercado_Receita!$S$2:$S$629,"44652B1BrancaResidencialResidencialNão se aplicaNão se aplicaIntermediário",Mercado_Receita!$L$2:$L$629)</f>
        <v>8.4000000000000005E-2</v>
      </c>
      <c r="S15" s="12">
        <f>SUMIF(Mercado_Receita!$S$2:$S$629,"44682B1BrancaResidencialResidencialNão se aplicaNão se aplicaIntermediário",Mercado_Receita!$L$2:$L$629)</f>
        <v>0.32500000000000001</v>
      </c>
      <c r="T15" s="12">
        <f>SUMIF(Mercado_Receita!$S$2:$S$629,"44713B1BrancaResidencialResidencialNão se aplicaNão se aplicaIntermediário",Mercado_Receita!$L$2:$L$629)</f>
        <v>0.32500000000000001</v>
      </c>
      <c r="U15" s="12">
        <f t="shared" si="0"/>
        <v>1.9870000000000001</v>
      </c>
      <c r="V15" s="12"/>
      <c r="W15" s="12"/>
    </row>
    <row r="16" spans="1:30" ht="11.25" customHeight="1" x14ac:dyDescent="0.25">
      <c r="A16" s="152"/>
      <c r="B16" s="152"/>
      <c r="C16" s="152"/>
      <c r="D16" s="152"/>
      <c r="E16" s="152"/>
      <c r="F16" s="152"/>
      <c r="G16" s="12" t="s">
        <v>80</v>
      </c>
      <c r="H16" s="12" t="s">
        <v>78</v>
      </c>
      <c r="I16" s="12">
        <f>SUMIF(Mercado_Receita!$S$2:$S$629,"44378B1BrancaResidencialResidencialNão se aplicaNão se aplicaFora ponta",Mercado_Receita!$L$2:$L$629)</f>
        <v>2.1110000000000002</v>
      </c>
      <c r="J16" s="12">
        <f>SUMIF(Mercado_Receita!$S$2:$S$629,"44409B1BrancaResidencialResidencialNão se aplicaNão se aplicaFora ponta",Mercado_Receita!$L$2:$L$629)</f>
        <v>1.8939999999999999</v>
      </c>
      <c r="K16" s="12">
        <f>SUMIF(Mercado_Receita!$S$2:$S$629,"44440B1BrancaResidencialResidencialNão se aplicaNão se aplicaFora ponta",Mercado_Receita!$L$2:$L$629)</f>
        <v>1.3680000000000001</v>
      </c>
      <c r="L16" s="12">
        <f>SUMIF(Mercado_Receita!$S$2:$S$629,"44470B1BrancaResidencialResidencialNão se aplicaNão se aplicaFora ponta",Mercado_Receita!$L$2:$L$629)</f>
        <v>1.0580000000000001</v>
      </c>
      <c r="M16" s="12">
        <f>SUMIF(Mercado_Receita!$S$2:$S$629,"44501B1BrancaResidencialResidencialNão se aplicaNão se aplicaFora ponta",Mercado_Receita!$L$2:$L$629)</f>
        <v>1.204</v>
      </c>
      <c r="N16" s="12">
        <f>SUMIF(Mercado_Receita!$S$2:$S$629,"44531B1BrancaResidencialResidencialNão se aplicaNão se aplicaFora ponta",Mercado_Receita!$L$2:$L$629)</f>
        <v>1.3480000000000001</v>
      </c>
      <c r="O16" s="12">
        <f>SUMIF(Mercado_Receita!$S$2:$S$629,"44562B1BrancaResidencialResidencialNão se aplicaNão se aplicaFora ponta",Mercado_Receita!$L$2:$L$629)</f>
        <v>1.6739999999999999</v>
      </c>
      <c r="P16" s="12">
        <f>SUMIF(Mercado_Receita!$S$2:$S$629,"44593B1BrancaResidencialResidencialNão se aplicaNão se aplicaFora ponta",Mercado_Receita!$L$2:$L$629)</f>
        <v>1.49</v>
      </c>
      <c r="Q16" s="12">
        <f>SUMIF(Mercado_Receita!$S$2:$S$629,"44621B1BrancaResidencialResidencialNão se aplicaNão se aplicaFora ponta",Mercado_Receita!$L$2:$L$629)</f>
        <v>1.5249999999999999</v>
      </c>
      <c r="R16" s="12">
        <f>SUMIF(Mercado_Receita!$S$2:$S$629,"44652B1BrancaResidencialResidencialNão se aplicaNão se aplicaFora ponta",Mercado_Receita!$L$2:$L$629)</f>
        <v>0.93600000000000005</v>
      </c>
      <c r="S16" s="12">
        <f>SUMIF(Mercado_Receita!$S$2:$S$629,"44682B1BrancaResidencialResidencialNão se aplicaNão se aplicaFora ponta",Mercado_Receita!$L$2:$L$629)</f>
        <v>1.093</v>
      </c>
      <c r="T16" s="12">
        <f>SUMIF(Mercado_Receita!$S$2:$S$629,"44713B1BrancaResidencialResidencialNão se aplicaNão se aplicaFora ponta",Mercado_Receita!$L$2:$L$629)</f>
        <v>1.093</v>
      </c>
      <c r="U16" s="12">
        <f t="shared" si="0"/>
        <v>16.794</v>
      </c>
      <c r="V16" s="12"/>
      <c r="W16" s="12"/>
    </row>
    <row r="17" spans="1:23" ht="11.25" customHeight="1" x14ac:dyDescent="0.25">
      <c r="A17" s="152"/>
      <c r="B17" s="151" t="s">
        <v>23</v>
      </c>
      <c r="C17" s="151" t="s">
        <v>24</v>
      </c>
      <c r="D17" s="13" t="s">
        <v>24</v>
      </c>
      <c r="E17" s="13" t="s">
        <v>25</v>
      </c>
      <c r="F17" s="13" t="s">
        <v>25</v>
      </c>
      <c r="G17" s="12" t="s">
        <v>82</v>
      </c>
      <c r="H17" s="12" t="s">
        <v>78</v>
      </c>
      <c r="I17" s="12">
        <f>SUMIF(Mercado_Receita!$S$2:$S$629,"44378B1ConvencionalResidencialResidencialNão se aplicaNão se aplicaPonta",Mercado_Receita!$L$2:$L$629)+SUMIF(Mercado_Receita!$S$2:$S$629,"44378B1ConvencionalResidencialResidencialNão se aplicaNão se aplicaFora ponta",Mercado_Receita!$L$2:$L$629)+SUMIF(Mercado_Receita!$S$2:$S$629,"44378B1ConvencionalResidencialResidencialNão se aplicaNão se aplicaIntermediário",Mercado_Receita!$L$2:$L$629)+SUMIF(Mercado_Receita!$S$2:$S$629,"44378B1ConvencionalResidencialResidencialNão se aplicaNão se aplicaNão se aplica",Mercado_Receita!$L$2:$L$629)</f>
        <v>3201.058</v>
      </c>
      <c r="J17" s="12">
        <f>SUMIF(Mercado_Receita!$S$2:$S$629,"44409B1ConvencionalResidencialResidencialNão se aplicaNão se aplicaPonta",Mercado_Receita!$L$2:$L$629)+SUMIF(Mercado_Receita!$S$2:$S$629,"44409B1ConvencionalResidencialResidencialNão se aplicaNão se aplicaFora ponta",Mercado_Receita!$L$2:$L$629)+SUMIF(Mercado_Receita!$S$2:$S$629,"44409B1ConvencionalResidencialResidencialNão se aplicaNão se aplicaIntermediário",Mercado_Receita!$L$2:$L$629)+SUMIF(Mercado_Receita!$S$2:$S$629,"44409B1ConvencionalResidencialResidencialNão se aplicaNão se aplicaNão se aplica",Mercado_Receita!$L$2:$L$629)</f>
        <v>3133.799</v>
      </c>
      <c r="K17" s="12">
        <f>SUMIF(Mercado_Receita!$S$2:$S$629,"44440B1ConvencionalResidencialResidencialNão se aplicaNão se aplicaPonta",Mercado_Receita!$L$2:$L$629)+SUMIF(Mercado_Receita!$S$2:$S$629,"44440B1ConvencionalResidencialResidencialNão se aplicaNão se aplicaFora ponta",Mercado_Receita!$L$2:$L$629)+SUMIF(Mercado_Receita!$S$2:$S$629,"44440B1ConvencionalResidencialResidencialNão se aplicaNão se aplicaIntermediário",Mercado_Receita!$L$2:$L$629)+SUMIF(Mercado_Receita!$S$2:$S$629,"44440B1ConvencionalResidencialResidencialNão se aplicaNão se aplicaNão se aplica",Mercado_Receita!$L$2:$L$629)</f>
        <v>2873.5050000000001</v>
      </c>
      <c r="L17" s="12">
        <f>SUMIF(Mercado_Receita!$S$2:$S$629,"44470B1ConvencionalResidencialResidencialNão se aplicaNão se aplicaPonta",Mercado_Receita!$L$2:$L$629)+SUMIF(Mercado_Receita!$S$2:$S$629,"44470B1ConvencionalResidencialResidencialNão se aplicaNão se aplicaFora ponta",Mercado_Receita!$L$2:$L$629)+SUMIF(Mercado_Receita!$S$2:$S$629,"44470B1ConvencionalResidencialResidencialNão se aplicaNão se aplicaIntermediário",Mercado_Receita!$L$2:$L$629)+SUMIF(Mercado_Receita!$S$2:$S$629,"44470B1ConvencionalResidencialResidencialNão se aplicaNão se aplicaNão se aplica",Mercado_Receita!$L$2:$L$629)</f>
        <v>2809.6169999999997</v>
      </c>
      <c r="M17" s="12">
        <f>SUMIF(Mercado_Receita!$S$2:$S$629,"44501B1ConvencionalResidencialResidencialNão se aplicaNão se aplicaPonta",Mercado_Receita!$L$2:$L$629)+SUMIF(Mercado_Receita!$S$2:$S$629,"44501B1ConvencionalResidencialResidencialNão se aplicaNão se aplicaFora ponta",Mercado_Receita!$L$2:$L$629)+SUMIF(Mercado_Receita!$S$2:$S$629,"44501B1ConvencionalResidencialResidencialNão se aplicaNão se aplicaIntermediário",Mercado_Receita!$L$2:$L$629)+SUMIF(Mercado_Receita!$S$2:$S$629,"44501B1ConvencionalResidencialResidencialNão se aplicaNão se aplicaNão se aplica",Mercado_Receita!$L$2:$L$629)</f>
        <v>3158.4720000000002</v>
      </c>
      <c r="N17" s="12">
        <f>SUMIF(Mercado_Receita!$S$2:$S$629,"44531B1ConvencionalResidencialResidencialNão se aplicaNão se aplicaPonta",Mercado_Receita!$L$2:$L$629)+SUMIF(Mercado_Receita!$S$2:$S$629,"44531B1ConvencionalResidencialResidencialNão se aplicaNão se aplicaFora ponta",Mercado_Receita!$L$2:$L$629)+SUMIF(Mercado_Receita!$S$2:$S$629,"44531B1ConvencionalResidencialResidencialNão se aplicaNão se aplicaIntermediário",Mercado_Receita!$L$2:$L$629)+SUMIF(Mercado_Receita!$S$2:$S$629,"44531B1ConvencionalResidencialResidencialNão se aplicaNão se aplicaNão se aplica",Mercado_Receita!$L$2:$L$629)</f>
        <v>3381.8830000000003</v>
      </c>
      <c r="O17" s="12">
        <f>SUMIF(Mercado_Receita!$S$2:$S$629,"44562B1ConvencionalResidencialResidencialNão se aplicaNão se aplicaPonta",Mercado_Receita!$L$2:$L$629)+SUMIF(Mercado_Receita!$S$2:$S$629,"44562B1ConvencionalResidencialResidencialNão se aplicaNão se aplicaFora ponta",Mercado_Receita!$L$2:$L$629)+SUMIF(Mercado_Receita!$S$2:$S$629,"44562B1ConvencionalResidencialResidencialNão se aplicaNão se aplicaIntermediário",Mercado_Receita!$L$2:$L$629)+SUMIF(Mercado_Receita!$S$2:$S$629,"44562B1ConvencionalResidencialResidencialNão se aplicaNão se aplicaNão se aplica",Mercado_Receita!$L$2:$L$629)</f>
        <v>3891.1400000000003</v>
      </c>
      <c r="P17" s="12">
        <f>SUMIF(Mercado_Receita!$S$2:$S$629,"44593B1ConvencionalResidencialResidencialNão se aplicaNão se aplicaPonta",Mercado_Receita!$L$2:$L$629)+SUMIF(Mercado_Receita!$S$2:$S$629,"44593B1ConvencionalResidencialResidencialNão se aplicaNão se aplicaFora ponta",Mercado_Receita!$L$2:$L$629)+SUMIF(Mercado_Receita!$S$2:$S$629,"44593B1ConvencionalResidencialResidencialNão se aplicaNão se aplicaIntermediário",Mercado_Receita!$L$2:$L$629)+SUMIF(Mercado_Receita!$S$2:$S$629,"44593B1ConvencionalResidencialResidencialNão se aplicaNão se aplicaNão se aplica",Mercado_Receita!$L$2:$L$629)</f>
        <v>3426.5709999999999</v>
      </c>
      <c r="Q17" s="12">
        <f>SUMIF(Mercado_Receita!$S$2:$S$629,"44621B1ConvencionalResidencialResidencialNão se aplicaNão se aplicaPonta",Mercado_Receita!$L$2:$L$629)+SUMIF(Mercado_Receita!$S$2:$S$629,"44621B1ConvencionalResidencialResidencialNão se aplicaNão se aplicaFora ponta",Mercado_Receita!$L$2:$L$629)+SUMIF(Mercado_Receita!$S$2:$S$629,"44621B1ConvencionalResidencialResidencialNão se aplicaNão se aplicaIntermediário",Mercado_Receita!$L$2:$L$629)+SUMIF(Mercado_Receita!$S$2:$S$629,"44621B1ConvencionalResidencialResidencialNão se aplicaNão se aplicaNão se aplica",Mercado_Receita!$L$2:$L$629)</f>
        <v>3594.7960000000003</v>
      </c>
      <c r="R17" s="12">
        <f>SUMIF(Mercado_Receita!$S$2:$S$629,"44652B1ConvencionalResidencialResidencialNão se aplicaNão se aplicaPonta",Mercado_Receita!$L$2:$L$629)+SUMIF(Mercado_Receita!$S$2:$S$629,"44652B1ConvencionalResidencialResidencialNão se aplicaNão se aplicaFora ponta",Mercado_Receita!$L$2:$L$629)+SUMIF(Mercado_Receita!$S$2:$S$629,"44652B1ConvencionalResidencialResidencialNão se aplicaNão se aplicaIntermediário",Mercado_Receita!$L$2:$L$629)+SUMIF(Mercado_Receita!$S$2:$S$629,"44652B1ConvencionalResidencialResidencialNão se aplicaNão se aplicaNão se aplica",Mercado_Receita!$L$2:$L$629)</f>
        <v>2700.2060000000001</v>
      </c>
      <c r="S17" s="12">
        <f>SUMIF(Mercado_Receita!$S$2:$S$629,"44682B1ConvencionalResidencialResidencialNão se aplicaNão se aplicaPonta",Mercado_Receita!$L$2:$L$629)+SUMIF(Mercado_Receita!$S$2:$S$629,"44682B1ConvencionalResidencialResidencialNão se aplicaNão se aplicaFora ponta",Mercado_Receita!$L$2:$L$629)+SUMIF(Mercado_Receita!$S$2:$S$629,"44682B1ConvencionalResidencialResidencialNão se aplicaNão se aplicaIntermediário",Mercado_Receita!$L$2:$L$629)+SUMIF(Mercado_Receita!$S$2:$S$629,"44682B1ConvencionalResidencialResidencialNão se aplicaNão se aplicaNão se aplica",Mercado_Receita!$L$2:$L$629)</f>
        <v>2945.0030000000002</v>
      </c>
      <c r="T17" s="12">
        <f>SUMIF(Mercado_Receita!$S$2:$S$629,"44713B1ConvencionalResidencialResidencialNão se aplicaNão se aplicaPonta",Mercado_Receita!$L$2:$L$629)+SUMIF(Mercado_Receita!$S$2:$S$629,"44713B1ConvencionalResidencialResidencialNão se aplicaNão se aplicaFora ponta",Mercado_Receita!$L$2:$L$629)+SUMIF(Mercado_Receita!$S$2:$S$629,"44713B1ConvencionalResidencialResidencialNão se aplicaNão se aplicaIntermediário",Mercado_Receita!$L$2:$L$629)+SUMIF(Mercado_Receita!$S$2:$S$629,"44713B1ConvencionalResidencialResidencialNão se aplicaNão se aplicaNão se aplica",Mercado_Receita!$L$2:$L$629)</f>
        <v>2945.0030000000002</v>
      </c>
      <c r="U17" s="12">
        <f t="shared" si="0"/>
        <v>38061.052999999993</v>
      </c>
      <c r="V17" s="12"/>
      <c r="W17" s="12"/>
    </row>
    <row r="18" spans="1:23" ht="11.25" customHeight="1" x14ac:dyDescent="0.25">
      <c r="A18" s="152"/>
      <c r="B18" s="152"/>
      <c r="C18" s="152"/>
      <c r="D18" s="13" t="s">
        <v>28</v>
      </c>
      <c r="E18" s="13" t="s">
        <v>25</v>
      </c>
      <c r="F18" s="13" t="s">
        <v>25</v>
      </c>
      <c r="G18" s="12" t="s">
        <v>82</v>
      </c>
      <c r="H18" s="12" t="s">
        <v>78</v>
      </c>
      <c r="I18" s="12">
        <f>SUMIF(Mercado_Receita!$S$2:$S$629,"44378B1ConvencionalResidencialResidencial baixa renda – faixa 01Não se aplicaNão se aplicaPonta",Mercado_Receita!$L$2:$L$629)+SUMIF(Mercado_Receita!$S$2:$S$629,"44378B1ConvencionalResidencialResidencial baixa renda – faixa 01Não se aplicaNão se aplicaFora ponta",Mercado_Receita!$L$2:$L$629)+SUMIF(Mercado_Receita!$S$2:$S$629,"44378B1ConvencionalResidencialResidencial baixa renda – faixa 01Não se aplicaNão se aplicaIntermediário",Mercado_Receita!$L$2:$L$629)+SUMIF(Mercado_Receita!$S$2:$S$629,"44378B1ConvencionalResidencialResidencial baixa renda – faixa 01Não se aplicaNão se aplicaNão se aplica",Mercado_Receita!$L$2:$L$629)</f>
        <v>18.510000000000002</v>
      </c>
      <c r="J18" s="12">
        <f>SUMIF(Mercado_Receita!$S$2:$S$629,"44409B1ConvencionalResidencialResidencial baixa renda – faixa 01Não se aplicaNão se aplicaPonta",Mercado_Receita!$L$2:$L$629)+SUMIF(Mercado_Receita!$S$2:$S$629,"44409B1ConvencionalResidencialResidencial baixa renda – faixa 01Não se aplicaNão se aplicaFora ponta",Mercado_Receita!$L$2:$L$629)+SUMIF(Mercado_Receita!$S$2:$S$629,"44409B1ConvencionalResidencialResidencial baixa renda – faixa 01Não se aplicaNão se aplicaIntermediário",Mercado_Receita!$L$2:$L$629)+SUMIF(Mercado_Receita!$S$2:$S$629,"44409B1ConvencionalResidencialResidencial baixa renda – faixa 01Não se aplicaNão se aplicaNão se aplica",Mercado_Receita!$L$2:$L$629)</f>
        <v>18.72</v>
      </c>
      <c r="K18" s="12">
        <f>SUMIF(Mercado_Receita!$S$2:$S$629,"44440B1ConvencionalResidencialResidencial baixa renda – faixa 01Não se aplicaNão se aplicaPonta",Mercado_Receita!$L$2:$L$629)+SUMIF(Mercado_Receita!$S$2:$S$629,"44440B1ConvencionalResidencialResidencial baixa renda – faixa 01Não se aplicaNão se aplicaFora ponta",Mercado_Receita!$L$2:$L$629)+SUMIF(Mercado_Receita!$S$2:$S$629,"44440B1ConvencionalResidencialResidencial baixa renda – faixa 01Não se aplicaNão se aplicaIntermediário",Mercado_Receita!$L$2:$L$629)+SUMIF(Mercado_Receita!$S$2:$S$629,"44440B1ConvencionalResidencialResidencial baixa renda – faixa 01Não se aplicaNão se aplicaNão se aplica",Mercado_Receita!$L$2:$L$629)</f>
        <v>18.93</v>
      </c>
      <c r="L18" s="12">
        <f>SUMIF(Mercado_Receita!$S$2:$S$629,"44470B1ConvencionalResidencialResidencial baixa renda – faixa 01Não se aplicaNão se aplicaPonta",Mercado_Receita!$L$2:$L$629)+SUMIF(Mercado_Receita!$S$2:$S$629,"44470B1ConvencionalResidencialResidencial baixa renda – faixa 01Não se aplicaNão se aplicaFora ponta",Mercado_Receita!$L$2:$L$629)+SUMIF(Mercado_Receita!$S$2:$S$629,"44470B1ConvencionalResidencialResidencial baixa renda – faixa 01Não se aplicaNão se aplicaIntermediário",Mercado_Receita!$L$2:$L$629)+SUMIF(Mercado_Receita!$S$2:$S$629,"44470B1ConvencionalResidencialResidencial baixa renda – faixa 01Não se aplicaNão se aplicaNão se aplica",Mercado_Receita!$L$2:$L$629)</f>
        <v>19.02</v>
      </c>
      <c r="M18" s="12">
        <f>SUMIF(Mercado_Receita!$S$2:$S$629,"44501B1ConvencionalResidencialResidencial baixa renda – faixa 01Não se aplicaNão se aplicaPonta",Mercado_Receita!$L$2:$L$629)+SUMIF(Mercado_Receita!$S$2:$S$629,"44501B1ConvencionalResidencialResidencial baixa renda – faixa 01Não se aplicaNão se aplicaFora ponta",Mercado_Receita!$L$2:$L$629)+SUMIF(Mercado_Receita!$S$2:$S$629,"44501B1ConvencionalResidencialResidencial baixa renda – faixa 01Não se aplicaNão se aplicaIntermediário",Mercado_Receita!$L$2:$L$629)+SUMIF(Mercado_Receita!$S$2:$S$629,"44501B1ConvencionalResidencialResidencial baixa renda – faixa 01Não se aplicaNão se aplicaNão se aplica",Mercado_Receita!$L$2:$L$629)</f>
        <v>19.14</v>
      </c>
      <c r="N18" s="12">
        <f>SUMIF(Mercado_Receita!$S$2:$S$629,"44531B1ConvencionalResidencialResidencial baixa renda – faixa 01Não se aplicaNão se aplicaPonta",Mercado_Receita!$L$2:$L$629)+SUMIF(Mercado_Receita!$S$2:$S$629,"44531B1ConvencionalResidencialResidencial baixa renda – faixa 01Não se aplicaNão se aplicaFora ponta",Mercado_Receita!$L$2:$L$629)+SUMIF(Mercado_Receita!$S$2:$S$629,"44531B1ConvencionalResidencialResidencial baixa renda – faixa 01Não se aplicaNão se aplicaIntermediário",Mercado_Receita!$L$2:$L$629)+SUMIF(Mercado_Receita!$S$2:$S$629,"44531B1ConvencionalResidencialResidencial baixa renda – faixa 01Não se aplicaNão se aplicaNão se aplica",Mercado_Receita!$L$2:$L$629)</f>
        <v>19.260000000000002</v>
      </c>
      <c r="O18" s="12">
        <f>SUMIF(Mercado_Receita!$S$2:$S$629,"44562B1ConvencionalResidencialResidencial baixa renda – faixa 01Não se aplicaNão se aplicaPonta",Mercado_Receita!$L$2:$L$629)+SUMIF(Mercado_Receita!$S$2:$S$629,"44562B1ConvencionalResidencialResidencial baixa renda – faixa 01Não se aplicaNão se aplicaFora ponta",Mercado_Receita!$L$2:$L$629)+SUMIF(Mercado_Receita!$S$2:$S$629,"44562B1ConvencionalResidencialResidencial baixa renda – faixa 01Não se aplicaNão se aplicaIntermediário",Mercado_Receita!$L$2:$L$629)+SUMIF(Mercado_Receita!$S$2:$S$629,"44562B1ConvencionalResidencialResidencial baixa renda – faixa 01Não se aplicaNão se aplicaNão se aplica",Mercado_Receita!$L$2:$L$629)</f>
        <v>23.896999999999998</v>
      </c>
      <c r="P18" s="12">
        <f>SUMIF(Mercado_Receita!$S$2:$S$629,"44593B1ConvencionalResidencialResidencial baixa renda – faixa 01Não se aplicaNão se aplicaPonta",Mercado_Receita!$L$2:$L$629)+SUMIF(Mercado_Receita!$S$2:$S$629,"44593B1ConvencionalResidencialResidencial baixa renda – faixa 01Não se aplicaNão se aplicaFora ponta",Mercado_Receita!$L$2:$L$629)+SUMIF(Mercado_Receita!$S$2:$S$629,"44593B1ConvencionalResidencialResidencial baixa renda – faixa 01Não se aplicaNão se aplicaIntermediário",Mercado_Receita!$L$2:$L$629)+SUMIF(Mercado_Receita!$S$2:$S$629,"44593B1ConvencionalResidencialResidencial baixa renda – faixa 01Não se aplicaNão se aplicaNão se aplica",Mercado_Receita!$L$2:$L$629)</f>
        <v>24.66</v>
      </c>
      <c r="Q18" s="12">
        <f>SUMIF(Mercado_Receita!$S$2:$S$629,"44621B1ConvencionalResidencialResidencial baixa renda – faixa 01Não se aplicaNão se aplicaPonta",Mercado_Receita!$L$2:$L$629)+SUMIF(Mercado_Receita!$S$2:$S$629,"44621B1ConvencionalResidencialResidencial baixa renda – faixa 01Não se aplicaNão se aplicaFora ponta",Mercado_Receita!$L$2:$L$629)+SUMIF(Mercado_Receita!$S$2:$S$629,"44621B1ConvencionalResidencialResidencial baixa renda – faixa 01Não se aplicaNão se aplicaIntermediário",Mercado_Receita!$L$2:$L$629)+SUMIF(Mercado_Receita!$S$2:$S$629,"44621B1ConvencionalResidencialResidencial baixa renda – faixa 01Não se aplicaNão se aplicaNão se aplica",Mercado_Receita!$L$2:$L$629)</f>
        <v>25.83</v>
      </c>
      <c r="R18" s="12">
        <f>SUMIF(Mercado_Receita!$S$2:$S$629,"44652B1ConvencionalResidencialResidencial baixa renda – faixa 01Não se aplicaNão se aplicaPonta",Mercado_Receita!$L$2:$L$629)+SUMIF(Mercado_Receita!$S$2:$S$629,"44652B1ConvencionalResidencialResidencial baixa renda – faixa 01Não se aplicaNão se aplicaFora ponta",Mercado_Receita!$L$2:$L$629)+SUMIF(Mercado_Receita!$S$2:$S$629,"44652B1ConvencionalResidencialResidencial baixa renda – faixa 01Não se aplicaNão se aplicaIntermediário",Mercado_Receita!$L$2:$L$629)+SUMIF(Mercado_Receita!$S$2:$S$629,"44652B1ConvencionalResidencialResidencial baixa renda – faixa 01Não se aplicaNão se aplicaNão se aplica",Mercado_Receita!$L$2:$L$629)</f>
        <v>26.37</v>
      </c>
      <c r="S18" s="12">
        <f>SUMIF(Mercado_Receita!$S$2:$S$629,"44682B1ConvencionalResidencialResidencial baixa renda – faixa 01Não se aplicaNão se aplicaPonta",Mercado_Receita!$L$2:$L$629)+SUMIF(Mercado_Receita!$S$2:$S$629,"44682B1ConvencionalResidencialResidencial baixa renda – faixa 01Não se aplicaNão se aplicaFora ponta",Mercado_Receita!$L$2:$L$629)+SUMIF(Mercado_Receita!$S$2:$S$629,"44682B1ConvencionalResidencialResidencial baixa renda – faixa 01Não se aplicaNão se aplicaIntermediário",Mercado_Receita!$L$2:$L$629)+SUMIF(Mercado_Receita!$S$2:$S$629,"44682B1ConvencionalResidencialResidencial baixa renda – faixa 01Não se aplicaNão se aplicaNão se aplica",Mercado_Receita!$L$2:$L$629)</f>
        <v>25.295999999999999</v>
      </c>
      <c r="T18" s="12">
        <f>SUMIF(Mercado_Receita!$S$2:$S$629,"44713B1ConvencionalResidencialResidencial baixa renda – faixa 01Não se aplicaNão se aplicaPonta",Mercado_Receita!$L$2:$L$629)+SUMIF(Mercado_Receita!$S$2:$S$629,"44713B1ConvencionalResidencialResidencial baixa renda – faixa 01Não se aplicaNão se aplicaFora ponta",Mercado_Receita!$L$2:$L$629)+SUMIF(Mercado_Receita!$S$2:$S$629,"44713B1ConvencionalResidencialResidencial baixa renda – faixa 01Não se aplicaNão se aplicaIntermediário",Mercado_Receita!$L$2:$L$629)+SUMIF(Mercado_Receita!$S$2:$S$629,"44713B1ConvencionalResidencialResidencial baixa renda – faixa 01Não se aplicaNão se aplicaNão se aplica",Mercado_Receita!$L$2:$L$629)</f>
        <v>25.295999999999999</v>
      </c>
      <c r="U18" s="12">
        <f t="shared" si="0"/>
        <v>264.92899999999997</v>
      </c>
      <c r="V18" s="12"/>
      <c r="W18" s="12"/>
    </row>
    <row r="19" spans="1:23" ht="11.25" customHeight="1" x14ac:dyDescent="0.25">
      <c r="A19" s="152"/>
      <c r="B19" s="152"/>
      <c r="C19" s="152"/>
      <c r="D19" s="13" t="s">
        <v>29</v>
      </c>
      <c r="E19" s="13" t="s">
        <v>25</v>
      </c>
      <c r="F19" s="13" t="s">
        <v>25</v>
      </c>
      <c r="G19" s="12" t="s">
        <v>82</v>
      </c>
      <c r="H19" s="12" t="s">
        <v>78</v>
      </c>
      <c r="I19" s="12">
        <f>SUMIF(Mercado_Receita!$S$2:$S$629,"44378B1ConvencionalResidencialResidencial baixa renda – faixa 02Não se aplicaNão se aplicaPonta",Mercado_Receita!$L$2:$L$629)+SUMIF(Mercado_Receita!$S$2:$S$629,"44378B1ConvencionalResidencialResidencial baixa renda – faixa 02Não se aplicaNão se aplicaFora ponta",Mercado_Receita!$L$2:$L$629)+SUMIF(Mercado_Receita!$S$2:$S$629,"44378B1ConvencionalResidencialResidencial baixa renda – faixa 02Não se aplicaNão se aplicaIntermediário",Mercado_Receita!$L$2:$L$629)+SUMIF(Mercado_Receita!$S$2:$S$629,"44378B1ConvencionalResidencialResidencial baixa renda – faixa 02Não se aplicaNão se aplicaNão se aplica",Mercado_Receita!$L$2:$L$629)</f>
        <v>36.993000000000002</v>
      </c>
      <c r="J19" s="12">
        <f>SUMIF(Mercado_Receita!$S$2:$S$629,"44409B1ConvencionalResidencialResidencial baixa renda – faixa 02Não se aplicaNão se aplicaPonta",Mercado_Receita!$L$2:$L$629)+SUMIF(Mercado_Receita!$S$2:$S$629,"44409B1ConvencionalResidencialResidencial baixa renda – faixa 02Não se aplicaNão se aplicaFora ponta",Mercado_Receita!$L$2:$L$629)+SUMIF(Mercado_Receita!$S$2:$S$629,"44409B1ConvencionalResidencialResidencial baixa renda – faixa 02Não se aplicaNão se aplicaIntermediário",Mercado_Receita!$L$2:$L$629)+SUMIF(Mercado_Receita!$S$2:$S$629,"44409B1ConvencionalResidencialResidencial baixa renda – faixa 02Não se aplicaNão se aplicaNão se aplica",Mercado_Receita!$L$2:$L$629)</f>
        <v>38.11</v>
      </c>
      <c r="K19" s="12">
        <f>SUMIF(Mercado_Receita!$S$2:$S$629,"44440B1ConvencionalResidencialResidencial baixa renda – faixa 02Não se aplicaNão se aplicaPonta",Mercado_Receita!$L$2:$L$629)+SUMIF(Mercado_Receita!$S$2:$S$629,"44440B1ConvencionalResidencialResidencial baixa renda – faixa 02Não se aplicaNão se aplicaFora ponta",Mercado_Receita!$L$2:$L$629)+SUMIF(Mercado_Receita!$S$2:$S$629,"44440B1ConvencionalResidencialResidencial baixa renda – faixa 02Não se aplicaNão se aplicaIntermediário",Mercado_Receita!$L$2:$L$629)+SUMIF(Mercado_Receita!$S$2:$S$629,"44440B1ConvencionalResidencialResidencial baixa renda – faixa 02Não se aplicaNão se aplicaNão se aplica",Mercado_Receita!$L$2:$L$629)</f>
        <v>39.01</v>
      </c>
      <c r="L19" s="12">
        <f>SUMIF(Mercado_Receita!$S$2:$S$629,"44470B1ConvencionalResidencialResidencial baixa renda – faixa 02Não se aplicaNão se aplicaPonta",Mercado_Receita!$L$2:$L$629)+SUMIF(Mercado_Receita!$S$2:$S$629,"44470B1ConvencionalResidencialResidencial baixa renda – faixa 02Não se aplicaNão se aplicaFora ponta",Mercado_Receita!$L$2:$L$629)+SUMIF(Mercado_Receita!$S$2:$S$629,"44470B1ConvencionalResidencialResidencial baixa renda – faixa 02Não se aplicaNão se aplicaIntermediário",Mercado_Receita!$L$2:$L$629)+SUMIF(Mercado_Receita!$S$2:$S$629,"44470B1ConvencionalResidencialResidencial baixa renda – faixa 02Não se aplicaNão se aplicaNão se aplica",Mercado_Receita!$L$2:$L$629)</f>
        <v>39.098999999999997</v>
      </c>
      <c r="M19" s="12">
        <f>SUMIF(Mercado_Receita!$S$2:$S$629,"44501B1ConvencionalResidencialResidencial baixa renda – faixa 02Não se aplicaNão se aplicaPonta",Mercado_Receita!$L$2:$L$629)+SUMIF(Mercado_Receita!$S$2:$S$629,"44501B1ConvencionalResidencialResidencial baixa renda – faixa 02Não se aplicaNão se aplicaFora ponta",Mercado_Receita!$L$2:$L$629)+SUMIF(Mercado_Receita!$S$2:$S$629,"44501B1ConvencionalResidencialResidencial baixa renda – faixa 02Não se aplicaNão se aplicaIntermediário",Mercado_Receita!$L$2:$L$629)+SUMIF(Mercado_Receita!$S$2:$S$629,"44501B1ConvencionalResidencialResidencial baixa renda – faixa 02Não se aplicaNão se aplicaNão se aplica",Mercado_Receita!$L$2:$L$629)</f>
        <v>40.432000000000002</v>
      </c>
      <c r="N19" s="12">
        <f>SUMIF(Mercado_Receita!$S$2:$S$629,"44531B1ConvencionalResidencialResidencial baixa renda – faixa 02Não se aplicaNão se aplicaPonta",Mercado_Receita!$L$2:$L$629)+SUMIF(Mercado_Receita!$S$2:$S$629,"44531B1ConvencionalResidencialResidencial baixa renda – faixa 02Não se aplicaNão se aplicaFora ponta",Mercado_Receita!$L$2:$L$629)+SUMIF(Mercado_Receita!$S$2:$S$629,"44531B1ConvencionalResidencialResidencial baixa renda – faixa 02Não se aplicaNão se aplicaIntermediário",Mercado_Receita!$L$2:$L$629)+SUMIF(Mercado_Receita!$S$2:$S$629,"44531B1ConvencionalResidencialResidencial baixa renda – faixa 02Não se aplicaNão se aplicaNão se aplica",Mercado_Receita!$L$2:$L$629)</f>
        <v>40.883000000000003</v>
      </c>
      <c r="O19" s="12">
        <f>SUMIF(Mercado_Receita!$S$2:$S$629,"44562B1ConvencionalResidencialResidencial baixa renda – faixa 02Não se aplicaNão se aplicaPonta",Mercado_Receita!$L$2:$L$629)+SUMIF(Mercado_Receita!$S$2:$S$629,"44562B1ConvencionalResidencialResidencial baixa renda – faixa 02Não se aplicaNão se aplicaFora ponta",Mercado_Receita!$L$2:$L$629)+SUMIF(Mercado_Receita!$S$2:$S$629,"44562B1ConvencionalResidencialResidencial baixa renda – faixa 02Não se aplicaNão se aplicaIntermediário",Mercado_Receita!$L$2:$L$629)+SUMIF(Mercado_Receita!$S$2:$S$629,"44562B1ConvencionalResidencialResidencial baixa renda – faixa 02Não se aplicaNão se aplicaNão se aplica",Mercado_Receita!$L$2:$L$629)</f>
        <v>51.283999999999999</v>
      </c>
      <c r="P19" s="12">
        <f>SUMIF(Mercado_Receita!$S$2:$S$629,"44593B1ConvencionalResidencialResidencial baixa renda – faixa 02Não se aplicaNão se aplicaPonta",Mercado_Receita!$L$2:$L$629)+SUMIF(Mercado_Receita!$S$2:$S$629,"44593B1ConvencionalResidencialResidencial baixa renda – faixa 02Não se aplicaNão se aplicaFora ponta",Mercado_Receita!$L$2:$L$629)+SUMIF(Mercado_Receita!$S$2:$S$629,"44593B1ConvencionalResidencialResidencial baixa renda – faixa 02Não se aplicaNão se aplicaIntermediário",Mercado_Receita!$L$2:$L$629)+SUMIF(Mercado_Receita!$S$2:$S$629,"44593B1ConvencionalResidencialResidencial baixa renda – faixa 02Não se aplicaNão se aplicaNão se aplica",Mercado_Receita!$L$2:$L$629)</f>
        <v>51.893999999999998</v>
      </c>
      <c r="Q19" s="12">
        <f>SUMIF(Mercado_Receita!$S$2:$S$629,"44621B1ConvencionalResidencialResidencial baixa renda – faixa 02Não se aplicaNão se aplicaPonta",Mercado_Receita!$L$2:$L$629)+SUMIF(Mercado_Receita!$S$2:$S$629,"44621B1ConvencionalResidencialResidencial baixa renda – faixa 02Não se aplicaNão se aplicaFora ponta",Mercado_Receita!$L$2:$L$629)+SUMIF(Mercado_Receita!$S$2:$S$629,"44621B1ConvencionalResidencialResidencial baixa renda – faixa 02Não se aplicaNão se aplicaIntermediário",Mercado_Receita!$L$2:$L$629)+SUMIF(Mercado_Receita!$S$2:$S$629,"44621B1ConvencionalResidencialResidencial baixa renda – faixa 02Não se aplicaNão se aplicaNão se aplica",Mercado_Receita!$L$2:$L$629)</f>
        <v>55.418999999999997</v>
      </c>
      <c r="R19" s="12">
        <f>SUMIF(Mercado_Receita!$S$2:$S$629,"44652B1ConvencionalResidencialResidencial baixa renda – faixa 02Não se aplicaNão se aplicaPonta",Mercado_Receita!$L$2:$L$629)+SUMIF(Mercado_Receita!$S$2:$S$629,"44652B1ConvencionalResidencialResidencial baixa renda – faixa 02Não se aplicaNão se aplicaFora ponta",Mercado_Receita!$L$2:$L$629)+SUMIF(Mercado_Receita!$S$2:$S$629,"44652B1ConvencionalResidencialResidencial baixa renda – faixa 02Não se aplicaNão se aplicaIntermediário",Mercado_Receita!$L$2:$L$629)+SUMIF(Mercado_Receita!$S$2:$S$629,"44652B1ConvencionalResidencialResidencial baixa renda – faixa 02Não se aplicaNão se aplicaNão se aplica",Mercado_Receita!$L$2:$L$629)</f>
        <v>53.268999999999998</v>
      </c>
      <c r="S19" s="12">
        <f>SUMIF(Mercado_Receita!$S$2:$S$629,"44682B1ConvencionalResidencialResidencial baixa renda – faixa 02Não se aplicaNão se aplicaPonta",Mercado_Receita!$L$2:$L$629)+SUMIF(Mercado_Receita!$S$2:$S$629,"44682B1ConvencionalResidencialResidencial baixa renda – faixa 02Não se aplicaNão se aplicaFora ponta",Mercado_Receita!$L$2:$L$629)+SUMIF(Mercado_Receita!$S$2:$S$629,"44682B1ConvencionalResidencialResidencial baixa renda – faixa 02Não se aplicaNão se aplicaIntermediário",Mercado_Receita!$L$2:$L$629)+SUMIF(Mercado_Receita!$S$2:$S$629,"44682B1ConvencionalResidencialResidencial baixa renda – faixa 02Não se aplicaNão se aplicaNão se aplica",Mercado_Receita!$L$2:$L$629)</f>
        <v>50.295000000000002</v>
      </c>
      <c r="T19" s="12">
        <f>SUMIF(Mercado_Receita!$S$2:$S$629,"44713B1ConvencionalResidencialResidencial baixa renda – faixa 02Não se aplicaNão se aplicaPonta",Mercado_Receita!$L$2:$L$629)+SUMIF(Mercado_Receita!$S$2:$S$629,"44713B1ConvencionalResidencialResidencial baixa renda – faixa 02Não se aplicaNão se aplicaFora ponta",Mercado_Receita!$L$2:$L$629)+SUMIF(Mercado_Receita!$S$2:$S$629,"44713B1ConvencionalResidencialResidencial baixa renda – faixa 02Não se aplicaNão se aplicaIntermediário",Mercado_Receita!$L$2:$L$629)+SUMIF(Mercado_Receita!$S$2:$S$629,"44713B1ConvencionalResidencialResidencial baixa renda – faixa 02Não se aplicaNão se aplicaNão se aplica",Mercado_Receita!$L$2:$L$629)</f>
        <v>50.295000000000002</v>
      </c>
      <c r="U19" s="12">
        <f t="shared" si="0"/>
        <v>546.98300000000006</v>
      </c>
      <c r="V19" s="12"/>
      <c r="W19" s="12"/>
    </row>
    <row r="20" spans="1:23" ht="11.25" customHeight="1" x14ac:dyDescent="0.25">
      <c r="A20" s="152"/>
      <c r="B20" s="152"/>
      <c r="C20" s="152"/>
      <c r="D20" s="13" t="s">
        <v>30</v>
      </c>
      <c r="E20" s="13" t="s">
        <v>25</v>
      </c>
      <c r="F20" s="13" t="s">
        <v>25</v>
      </c>
      <c r="G20" s="12" t="s">
        <v>82</v>
      </c>
      <c r="H20" s="12" t="s">
        <v>78</v>
      </c>
      <c r="I20" s="12">
        <f>SUMIF(Mercado_Receita!$S$2:$S$629,"44378B1ConvencionalResidencialResidencial baixa renda – faixa 03Não se aplicaNão se aplicaPonta",Mercado_Receita!$L$2:$L$629)+SUMIF(Mercado_Receita!$S$2:$S$629,"44378B1ConvencionalResidencialResidencial baixa renda – faixa 03Não se aplicaNão se aplicaFora ponta",Mercado_Receita!$L$2:$L$629)+SUMIF(Mercado_Receita!$S$2:$S$629,"44378B1ConvencionalResidencialResidencial baixa renda – faixa 03Não se aplicaNão se aplicaIntermediário",Mercado_Receita!$L$2:$L$629)+SUMIF(Mercado_Receita!$S$2:$S$629,"44378B1ConvencionalResidencialResidencial baixa renda – faixa 03Não se aplicaNão se aplicaNão se aplica",Mercado_Receita!$L$2:$L$629)</f>
        <v>30.233000000000001</v>
      </c>
      <c r="J20" s="12">
        <f>SUMIF(Mercado_Receita!$S$2:$S$629,"44409B1ConvencionalResidencialResidencial baixa renda – faixa 03Não se aplicaNão se aplicaPonta",Mercado_Receita!$L$2:$L$629)+SUMIF(Mercado_Receita!$S$2:$S$629,"44409B1ConvencionalResidencialResidencial baixa renda – faixa 03Não se aplicaNão se aplicaFora ponta",Mercado_Receita!$L$2:$L$629)+SUMIF(Mercado_Receita!$S$2:$S$629,"44409B1ConvencionalResidencialResidencial baixa renda – faixa 03Não se aplicaNão se aplicaIntermediário",Mercado_Receita!$L$2:$L$629)+SUMIF(Mercado_Receita!$S$2:$S$629,"44409B1ConvencionalResidencialResidencial baixa renda – faixa 03Não se aplicaNão se aplicaNão se aplica",Mercado_Receita!$L$2:$L$629)</f>
        <v>32.238</v>
      </c>
      <c r="K20" s="12">
        <f>SUMIF(Mercado_Receita!$S$2:$S$629,"44440B1ConvencionalResidencialResidencial baixa renda – faixa 03Não se aplicaNão se aplicaPonta",Mercado_Receita!$L$2:$L$629)+SUMIF(Mercado_Receita!$S$2:$S$629,"44440B1ConvencionalResidencialResidencial baixa renda – faixa 03Não se aplicaNão se aplicaFora ponta",Mercado_Receita!$L$2:$L$629)+SUMIF(Mercado_Receita!$S$2:$S$629,"44440B1ConvencionalResidencialResidencial baixa renda – faixa 03Não se aplicaNão se aplicaIntermediário",Mercado_Receita!$L$2:$L$629)+SUMIF(Mercado_Receita!$S$2:$S$629,"44440B1ConvencionalResidencialResidencial baixa renda – faixa 03Não se aplicaNão se aplicaNão se aplica",Mercado_Receita!$L$2:$L$629)</f>
        <v>31.712</v>
      </c>
      <c r="L20" s="12">
        <f>SUMIF(Mercado_Receita!$S$2:$S$629,"44470B1ConvencionalResidencialResidencial baixa renda – faixa 03Não se aplicaNão se aplicaPonta",Mercado_Receita!$L$2:$L$629)+SUMIF(Mercado_Receita!$S$2:$S$629,"44470B1ConvencionalResidencialResidencial baixa renda – faixa 03Não se aplicaNão se aplicaFora ponta",Mercado_Receita!$L$2:$L$629)+SUMIF(Mercado_Receita!$S$2:$S$629,"44470B1ConvencionalResidencialResidencial baixa renda – faixa 03Não se aplicaNão se aplicaIntermediário",Mercado_Receita!$L$2:$L$629)+SUMIF(Mercado_Receita!$S$2:$S$629,"44470B1ConvencionalResidencialResidencial baixa renda – faixa 03Não se aplicaNão se aplicaNão se aplica",Mercado_Receita!$L$2:$L$629)</f>
        <v>29.334</v>
      </c>
      <c r="M20" s="12">
        <f>SUMIF(Mercado_Receita!$S$2:$S$629,"44501B1ConvencionalResidencialResidencial baixa renda – faixa 03Não se aplicaNão se aplicaPonta",Mercado_Receita!$L$2:$L$629)+SUMIF(Mercado_Receita!$S$2:$S$629,"44501B1ConvencionalResidencialResidencial baixa renda – faixa 03Não se aplicaNão se aplicaFora ponta",Mercado_Receita!$L$2:$L$629)+SUMIF(Mercado_Receita!$S$2:$S$629,"44501B1ConvencionalResidencialResidencial baixa renda – faixa 03Não se aplicaNão se aplicaIntermediário",Mercado_Receita!$L$2:$L$629)+SUMIF(Mercado_Receita!$S$2:$S$629,"44501B1ConvencionalResidencialResidencial baixa renda – faixa 03Não se aplicaNão se aplicaNão se aplica",Mercado_Receita!$L$2:$L$629)</f>
        <v>36.238999999999997</v>
      </c>
      <c r="N20" s="12">
        <f>SUMIF(Mercado_Receita!$S$2:$S$629,"44531B1ConvencionalResidencialResidencial baixa renda – faixa 03Não se aplicaNão se aplicaPonta",Mercado_Receita!$L$2:$L$629)+SUMIF(Mercado_Receita!$S$2:$S$629,"44531B1ConvencionalResidencialResidencial baixa renda – faixa 03Não se aplicaNão se aplicaFora ponta",Mercado_Receita!$L$2:$L$629)+SUMIF(Mercado_Receita!$S$2:$S$629,"44531B1ConvencionalResidencialResidencial baixa renda – faixa 03Não se aplicaNão se aplicaIntermediário",Mercado_Receita!$L$2:$L$629)+SUMIF(Mercado_Receita!$S$2:$S$629,"44531B1ConvencionalResidencialResidencial baixa renda – faixa 03Não se aplicaNão se aplicaNão se aplica",Mercado_Receita!$L$2:$L$629)</f>
        <v>38.415999999999997</v>
      </c>
      <c r="O20" s="12">
        <f>SUMIF(Mercado_Receita!$S$2:$S$629,"44562B1ConvencionalResidencialResidencial baixa renda – faixa 03Não se aplicaNão se aplicaPonta",Mercado_Receita!$L$2:$L$629)+SUMIF(Mercado_Receita!$S$2:$S$629,"44562B1ConvencionalResidencialResidencial baixa renda – faixa 03Não se aplicaNão se aplicaFora ponta",Mercado_Receita!$L$2:$L$629)+SUMIF(Mercado_Receita!$S$2:$S$629,"44562B1ConvencionalResidencialResidencial baixa renda – faixa 03Não se aplicaNão se aplicaIntermediário",Mercado_Receita!$L$2:$L$629)+SUMIF(Mercado_Receita!$S$2:$S$629,"44562B1ConvencionalResidencialResidencial baixa renda – faixa 03Não se aplicaNão se aplicaNão se aplica",Mercado_Receita!$L$2:$L$629)</f>
        <v>52.863</v>
      </c>
      <c r="P20" s="12">
        <f>SUMIF(Mercado_Receita!$S$2:$S$629,"44593B1ConvencionalResidencialResidencial baixa renda – faixa 03Não se aplicaNão se aplicaPonta",Mercado_Receita!$L$2:$L$629)+SUMIF(Mercado_Receita!$S$2:$S$629,"44593B1ConvencionalResidencialResidencial baixa renda – faixa 03Não se aplicaNão se aplicaFora ponta",Mercado_Receita!$L$2:$L$629)+SUMIF(Mercado_Receita!$S$2:$S$629,"44593B1ConvencionalResidencialResidencial baixa renda – faixa 03Não se aplicaNão se aplicaIntermediário",Mercado_Receita!$L$2:$L$629)+SUMIF(Mercado_Receita!$S$2:$S$629,"44593B1ConvencionalResidencialResidencial baixa renda – faixa 03Não se aplicaNão se aplicaNão se aplica",Mercado_Receita!$L$2:$L$629)</f>
        <v>46.892000000000003</v>
      </c>
      <c r="Q20" s="12">
        <f>SUMIF(Mercado_Receita!$S$2:$S$629,"44621B1ConvencionalResidencialResidencial baixa renda – faixa 03Não se aplicaNão se aplicaPonta",Mercado_Receita!$L$2:$L$629)+SUMIF(Mercado_Receita!$S$2:$S$629,"44621B1ConvencionalResidencialResidencial baixa renda – faixa 03Não se aplicaNão se aplicaFora ponta",Mercado_Receita!$L$2:$L$629)+SUMIF(Mercado_Receita!$S$2:$S$629,"44621B1ConvencionalResidencialResidencial baixa renda – faixa 03Não se aplicaNão se aplicaIntermediário",Mercado_Receita!$L$2:$L$629)+SUMIF(Mercado_Receita!$S$2:$S$629,"44621B1ConvencionalResidencialResidencial baixa renda – faixa 03Não se aplicaNão se aplicaNão se aplica",Mercado_Receita!$L$2:$L$629)</f>
        <v>57.16</v>
      </c>
      <c r="R20" s="12">
        <f>SUMIF(Mercado_Receita!$S$2:$S$629,"44652B1ConvencionalResidencialResidencial baixa renda – faixa 03Não se aplicaNão se aplicaPonta",Mercado_Receita!$L$2:$L$629)+SUMIF(Mercado_Receita!$S$2:$S$629,"44652B1ConvencionalResidencialResidencial baixa renda – faixa 03Não se aplicaNão se aplicaFora ponta",Mercado_Receita!$L$2:$L$629)+SUMIF(Mercado_Receita!$S$2:$S$629,"44652B1ConvencionalResidencialResidencial baixa renda – faixa 03Não se aplicaNão se aplicaIntermediário",Mercado_Receita!$L$2:$L$629)+SUMIF(Mercado_Receita!$S$2:$S$629,"44652B1ConvencionalResidencialResidencial baixa renda – faixa 03Não se aplicaNão se aplicaNão se aplica",Mercado_Receita!$L$2:$L$629)</f>
        <v>41.701999999999998</v>
      </c>
      <c r="S20" s="12">
        <f>SUMIF(Mercado_Receita!$S$2:$S$629,"44682B1ConvencionalResidencialResidencial baixa renda – faixa 03Não se aplicaNão se aplicaPonta",Mercado_Receita!$L$2:$L$629)+SUMIF(Mercado_Receita!$S$2:$S$629,"44682B1ConvencionalResidencialResidencial baixa renda – faixa 03Não se aplicaNão se aplicaFora ponta",Mercado_Receita!$L$2:$L$629)+SUMIF(Mercado_Receita!$S$2:$S$629,"44682B1ConvencionalResidencialResidencial baixa renda – faixa 03Não se aplicaNão se aplicaIntermediário",Mercado_Receita!$L$2:$L$629)+SUMIF(Mercado_Receita!$S$2:$S$629,"44682B1ConvencionalResidencialResidencial baixa renda – faixa 03Não se aplicaNão se aplicaNão se aplica",Mercado_Receita!$L$2:$L$629)</f>
        <v>41.696999999999996</v>
      </c>
      <c r="T20" s="12">
        <f>SUMIF(Mercado_Receita!$S$2:$S$629,"44713B1ConvencionalResidencialResidencial baixa renda – faixa 03Não se aplicaNão se aplicaPonta",Mercado_Receita!$L$2:$L$629)+SUMIF(Mercado_Receita!$S$2:$S$629,"44713B1ConvencionalResidencialResidencial baixa renda – faixa 03Não se aplicaNão se aplicaFora ponta",Mercado_Receita!$L$2:$L$629)+SUMIF(Mercado_Receita!$S$2:$S$629,"44713B1ConvencionalResidencialResidencial baixa renda – faixa 03Não se aplicaNão se aplicaIntermediário",Mercado_Receita!$L$2:$L$629)+SUMIF(Mercado_Receita!$S$2:$S$629,"44713B1ConvencionalResidencialResidencial baixa renda – faixa 03Não se aplicaNão se aplicaNão se aplica",Mercado_Receita!$L$2:$L$629)</f>
        <v>41.696999999999996</v>
      </c>
      <c r="U20" s="12">
        <f t="shared" si="0"/>
        <v>480.18299999999999</v>
      </c>
      <c r="V20" s="12"/>
      <c r="W20" s="12"/>
    </row>
    <row r="21" spans="1:23" ht="11.25" customHeight="1" x14ac:dyDescent="0.25">
      <c r="A21" s="152"/>
      <c r="B21" s="152"/>
      <c r="C21" s="152"/>
      <c r="D21" s="13" t="s">
        <v>31</v>
      </c>
      <c r="E21" s="13" t="s">
        <v>25</v>
      </c>
      <c r="F21" s="13" t="s">
        <v>25</v>
      </c>
      <c r="G21" s="12" t="s">
        <v>82</v>
      </c>
      <c r="H21" s="12" t="s">
        <v>78</v>
      </c>
      <c r="I21" s="12">
        <f>SUMIF(Mercado_Receita!$S$2:$S$629,"44378B1ConvencionalResidencialResidencial baixa renda – faixa 04Não se aplicaNão se aplicaPonta",Mercado_Receita!$L$2:$L$629)+SUMIF(Mercado_Receita!$S$2:$S$629,"44378B1ConvencionalResidencialResidencial baixa renda – faixa 04Não se aplicaNão se aplicaFora ponta",Mercado_Receita!$L$2:$L$629)+SUMIF(Mercado_Receita!$S$2:$S$629,"44378B1ConvencionalResidencialResidencial baixa renda – faixa 04Não se aplicaNão se aplicaIntermediário",Mercado_Receita!$L$2:$L$629)+SUMIF(Mercado_Receita!$S$2:$S$629,"44378B1ConvencionalResidencialResidencial baixa renda – faixa 04Não se aplicaNão se aplicaNão se aplica",Mercado_Receita!$L$2:$L$629)</f>
        <v>7.76</v>
      </c>
      <c r="J21" s="12">
        <f>SUMIF(Mercado_Receita!$S$2:$S$629,"44409B1ConvencionalResidencialResidencial baixa renda – faixa 04Não se aplicaNão se aplicaPonta",Mercado_Receita!$L$2:$L$629)+SUMIF(Mercado_Receita!$S$2:$S$629,"44409B1ConvencionalResidencialResidencial baixa renda – faixa 04Não se aplicaNão se aplicaFora ponta",Mercado_Receita!$L$2:$L$629)+SUMIF(Mercado_Receita!$S$2:$S$629,"44409B1ConvencionalResidencialResidencial baixa renda – faixa 04Não se aplicaNão se aplicaIntermediário",Mercado_Receita!$L$2:$L$629)+SUMIF(Mercado_Receita!$S$2:$S$629,"44409B1ConvencionalResidencialResidencial baixa renda – faixa 04Não se aplicaNão se aplicaNão se aplica",Mercado_Receita!$L$2:$L$629)</f>
        <v>7.2859999999999996</v>
      </c>
      <c r="K21" s="12">
        <f>SUMIF(Mercado_Receita!$S$2:$S$629,"44440B1ConvencionalResidencialResidencial baixa renda – faixa 04Não se aplicaNão se aplicaPonta",Mercado_Receita!$L$2:$L$629)+SUMIF(Mercado_Receita!$S$2:$S$629,"44440B1ConvencionalResidencialResidencial baixa renda – faixa 04Não se aplicaNão se aplicaFora ponta",Mercado_Receita!$L$2:$L$629)+SUMIF(Mercado_Receita!$S$2:$S$629,"44440B1ConvencionalResidencialResidencial baixa renda – faixa 04Não se aplicaNão se aplicaIntermediário",Mercado_Receita!$L$2:$L$629)+SUMIF(Mercado_Receita!$S$2:$S$629,"44440B1ConvencionalResidencialResidencial baixa renda – faixa 04Não se aplicaNão se aplicaNão se aplica",Mercado_Receita!$L$2:$L$629)</f>
        <v>6.76</v>
      </c>
      <c r="L21" s="12">
        <f>SUMIF(Mercado_Receita!$S$2:$S$629,"44470B1ConvencionalResidencialResidencial baixa renda – faixa 04Não se aplicaNão se aplicaPonta",Mercado_Receita!$L$2:$L$629)+SUMIF(Mercado_Receita!$S$2:$S$629,"44470B1ConvencionalResidencialResidencial baixa renda – faixa 04Não se aplicaNão se aplicaFora ponta",Mercado_Receita!$L$2:$L$629)+SUMIF(Mercado_Receita!$S$2:$S$629,"44470B1ConvencionalResidencialResidencial baixa renda – faixa 04Não se aplicaNão se aplicaIntermediário",Mercado_Receita!$L$2:$L$629)+SUMIF(Mercado_Receita!$S$2:$S$629,"44470B1ConvencionalResidencialResidencial baixa renda – faixa 04Não se aplicaNão se aplicaNão se aplica",Mercado_Receita!$L$2:$L$629)</f>
        <v>5.4669999999999996</v>
      </c>
      <c r="M21" s="12">
        <f>SUMIF(Mercado_Receita!$S$2:$S$629,"44501B1ConvencionalResidencialResidencial baixa renda – faixa 04Não se aplicaNão se aplicaPonta",Mercado_Receita!$L$2:$L$629)+SUMIF(Mercado_Receita!$S$2:$S$629,"44501B1ConvencionalResidencialResidencial baixa renda – faixa 04Não se aplicaNão se aplicaFora ponta",Mercado_Receita!$L$2:$L$629)+SUMIF(Mercado_Receita!$S$2:$S$629,"44501B1ConvencionalResidencialResidencial baixa renda – faixa 04Não se aplicaNão se aplicaIntermediário",Mercado_Receita!$L$2:$L$629)+SUMIF(Mercado_Receita!$S$2:$S$629,"44501B1ConvencionalResidencialResidencial baixa renda – faixa 04Não se aplicaNão se aplicaNão se aplica",Mercado_Receita!$L$2:$L$629)</f>
        <v>9.23</v>
      </c>
      <c r="N21" s="12">
        <f>SUMIF(Mercado_Receita!$S$2:$S$629,"44531B1ConvencionalResidencialResidencial baixa renda – faixa 04Não se aplicaNão se aplicaPonta",Mercado_Receita!$L$2:$L$629)+SUMIF(Mercado_Receita!$S$2:$S$629,"44531B1ConvencionalResidencialResidencial baixa renda – faixa 04Não se aplicaNão se aplicaFora ponta",Mercado_Receita!$L$2:$L$629)+SUMIF(Mercado_Receita!$S$2:$S$629,"44531B1ConvencionalResidencialResidencial baixa renda – faixa 04Não se aplicaNão se aplicaIntermediário",Mercado_Receita!$L$2:$L$629)+SUMIF(Mercado_Receita!$S$2:$S$629,"44531B1ConvencionalResidencialResidencial baixa renda – faixa 04Não se aplicaNão se aplicaNão se aplica",Mercado_Receita!$L$2:$L$629)</f>
        <v>12.256</v>
      </c>
      <c r="O21" s="12">
        <f>SUMIF(Mercado_Receita!$S$2:$S$629,"44562B1ConvencionalResidencialResidencial baixa renda – faixa 04Não se aplicaNão se aplicaPonta",Mercado_Receita!$L$2:$L$629)+SUMIF(Mercado_Receita!$S$2:$S$629,"44562B1ConvencionalResidencialResidencial baixa renda – faixa 04Não se aplicaNão se aplicaFora ponta",Mercado_Receita!$L$2:$L$629)+SUMIF(Mercado_Receita!$S$2:$S$629,"44562B1ConvencionalResidencialResidencial baixa renda – faixa 04Não se aplicaNão se aplicaIntermediário",Mercado_Receita!$L$2:$L$629)+SUMIF(Mercado_Receita!$S$2:$S$629,"44562B1ConvencionalResidencialResidencial baixa renda – faixa 04Não se aplicaNão se aplicaNão se aplica",Mercado_Receita!$L$2:$L$629)</f>
        <v>22.928000000000001</v>
      </c>
      <c r="P21" s="12">
        <f>SUMIF(Mercado_Receita!$S$2:$S$629,"44593B1ConvencionalResidencialResidencial baixa renda – faixa 04Não se aplicaNão se aplicaPonta",Mercado_Receita!$L$2:$L$629)+SUMIF(Mercado_Receita!$S$2:$S$629,"44593B1ConvencionalResidencialResidencial baixa renda – faixa 04Não se aplicaNão se aplicaFora ponta",Mercado_Receita!$L$2:$L$629)+SUMIF(Mercado_Receita!$S$2:$S$629,"44593B1ConvencionalResidencialResidencial baixa renda – faixa 04Não se aplicaNão se aplicaIntermediário",Mercado_Receita!$L$2:$L$629)+SUMIF(Mercado_Receita!$S$2:$S$629,"44593B1ConvencionalResidencialResidencial baixa renda – faixa 04Não se aplicaNão se aplicaNão se aplica",Mercado_Receita!$L$2:$L$629)</f>
        <v>16.157</v>
      </c>
      <c r="Q21" s="12">
        <f>SUMIF(Mercado_Receita!$S$2:$S$629,"44621B1ConvencionalResidencialResidencial baixa renda – faixa 04Não se aplicaNão se aplicaPonta",Mercado_Receita!$L$2:$L$629)+SUMIF(Mercado_Receita!$S$2:$S$629,"44621B1ConvencionalResidencialResidencial baixa renda – faixa 04Não se aplicaNão se aplicaFora ponta",Mercado_Receita!$L$2:$L$629)+SUMIF(Mercado_Receita!$S$2:$S$629,"44621B1ConvencionalResidencialResidencial baixa renda – faixa 04Não se aplicaNão se aplicaIntermediário",Mercado_Receita!$L$2:$L$629)+SUMIF(Mercado_Receita!$S$2:$S$629,"44621B1ConvencionalResidencialResidencial baixa renda – faixa 04Não se aplicaNão se aplicaNão se aplica",Mercado_Receita!$L$2:$L$629)</f>
        <v>24.401</v>
      </c>
      <c r="R21" s="12">
        <f>SUMIF(Mercado_Receita!$S$2:$S$629,"44652B1ConvencionalResidencialResidencial baixa renda – faixa 04Não se aplicaNão se aplicaPonta",Mercado_Receita!$L$2:$L$629)+SUMIF(Mercado_Receita!$S$2:$S$629,"44652B1ConvencionalResidencialResidencial baixa renda – faixa 04Não se aplicaNão se aplicaFora ponta",Mercado_Receita!$L$2:$L$629)+SUMIF(Mercado_Receita!$S$2:$S$629,"44652B1ConvencionalResidencialResidencial baixa renda – faixa 04Não se aplicaNão se aplicaIntermediário",Mercado_Receita!$L$2:$L$629)+SUMIF(Mercado_Receita!$S$2:$S$629,"44652B1ConvencionalResidencialResidencial baixa renda – faixa 04Não se aplicaNão se aplicaNão se aplica",Mercado_Receita!$L$2:$L$629)</f>
        <v>10.157999999999999</v>
      </c>
      <c r="S21" s="12">
        <f>SUMIF(Mercado_Receita!$S$2:$S$629,"44682B1ConvencionalResidencialResidencial baixa renda – faixa 04Não se aplicaNão se aplicaPonta",Mercado_Receita!$L$2:$L$629)+SUMIF(Mercado_Receita!$S$2:$S$629,"44682B1ConvencionalResidencialResidencial baixa renda – faixa 04Não se aplicaNão se aplicaFora ponta",Mercado_Receita!$L$2:$L$629)+SUMIF(Mercado_Receita!$S$2:$S$629,"44682B1ConvencionalResidencialResidencial baixa renda – faixa 04Não se aplicaNão se aplicaIntermediário",Mercado_Receita!$L$2:$L$629)+SUMIF(Mercado_Receita!$S$2:$S$629,"44682B1ConvencionalResidencialResidencial baixa renda – faixa 04Não se aplicaNão se aplicaNão se aplica",Mercado_Receita!$L$2:$L$629)</f>
        <v>11.754</v>
      </c>
      <c r="T21" s="12">
        <f>SUMIF(Mercado_Receita!$S$2:$S$629,"44713B1ConvencionalResidencialResidencial baixa renda – faixa 04Não se aplicaNão se aplicaPonta",Mercado_Receita!$L$2:$L$629)+SUMIF(Mercado_Receita!$S$2:$S$629,"44713B1ConvencionalResidencialResidencial baixa renda – faixa 04Não se aplicaNão se aplicaFora ponta",Mercado_Receita!$L$2:$L$629)+SUMIF(Mercado_Receita!$S$2:$S$629,"44713B1ConvencionalResidencialResidencial baixa renda – faixa 04Não se aplicaNão se aplicaIntermediário",Mercado_Receita!$L$2:$L$629)+SUMIF(Mercado_Receita!$S$2:$S$629,"44713B1ConvencionalResidencialResidencial baixa renda – faixa 04Não se aplicaNão se aplicaNão se aplica",Mercado_Receita!$L$2:$L$629)</f>
        <v>11.754</v>
      </c>
      <c r="U21" s="12">
        <f t="shared" si="0"/>
        <v>145.91099999999997</v>
      </c>
      <c r="V21" s="12"/>
      <c r="W21" s="12"/>
    </row>
    <row r="22" spans="1:23" ht="11.25" customHeight="1" x14ac:dyDescent="0.25">
      <c r="A22" s="152"/>
      <c r="B22" s="151" t="s">
        <v>94</v>
      </c>
      <c r="C22" s="151" t="s">
        <v>24</v>
      </c>
      <c r="D22" s="13" t="s">
        <v>24</v>
      </c>
      <c r="E22" s="13" t="s">
        <v>25</v>
      </c>
      <c r="F22" s="13" t="s">
        <v>25</v>
      </c>
      <c r="G22" s="12" t="s">
        <v>82</v>
      </c>
      <c r="H22" s="12" t="s">
        <v>78</v>
      </c>
      <c r="I22" s="12">
        <f>SUMIF(Mercado_Receita!$S$2:$S$629,"44378B1Convencional pré-pagamentoResidencialResidencialNão se aplicaNão se aplicaPonta",Mercado_Receita!$L$2:$L$629)+SUMIF(Mercado_Receita!$S$2:$S$629,"44378B1Convencional pré-pagamentoResidencialResidencialNão se aplicaNão se aplicaFora ponta",Mercado_Receita!$L$2:$L$629)+SUMIF(Mercado_Receita!$S$2:$S$629,"44378B1Convencional pré-pagamentoResidencialResidencialNão se aplicaNão se aplicaIntermediário",Mercado_Receita!$L$2:$L$629)+SUMIF(Mercado_Receita!$S$2:$S$629,"44378B1Convencional pré-pagamentoResidencialResidencialNão se aplicaNão se aplicaNão se aplica",Mercado_Receita!$L$2:$L$629)</f>
        <v>0</v>
      </c>
      <c r="J22" s="12">
        <f>SUMIF(Mercado_Receita!$S$2:$S$629,"44409B1Convencional pré-pagamentoResidencialResidencialNão se aplicaNão se aplicaPonta",Mercado_Receita!$L$2:$L$629)+SUMIF(Mercado_Receita!$S$2:$S$629,"44409B1Convencional pré-pagamentoResidencialResidencialNão se aplicaNão se aplicaFora ponta",Mercado_Receita!$L$2:$L$629)+SUMIF(Mercado_Receita!$S$2:$S$629,"44409B1Convencional pré-pagamentoResidencialResidencialNão se aplicaNão se aplicaIntermediário",Mercado_Receita!$L$2:$L$629)+SUMIF(Mercado_Receita!$S$2:$S$629,"44409B1Convencional pré-pagamentoResidencialResidencialNão se aplicaNão se aplicaNão se aplica",Mercado_Receita!$L$2:$L$629)</f>
        <v>0</v>
      </c>
      <c r="K22" s="12">
        <f>SUMIF(Mercado_Receita!$S$2:$S$629,"44440B1Convencional pré-pagamentoResidencialResidencialNão se aplicaNão se aplicaPonta",Mercado_Receita!$L$2:$L$629)+SUMIF(Mercado_Receita!$S$2:$S$629,"44440B1Convencional pré-pagamentoResidencialResidencialNão se aplicaNão se aplicaFora ponta",Mercado_Receita!$L$2:$L$629)+SUMIF(Mercado_Receita!$S$2:$S$629,"44440B1Convencional pré-pagamentoResidencialResidencialNão se aplicaNão se aplicaIntermediário",Mercado_Receita!$L$2:$L$629)+SUMIF(Mercado_Receita!$S$2:$S$629,"44440B1Convencional pré-pagamentoResidencialResidencialNão se aplicaNão se aplicaNão se aplica",Mercado_Receita!$L$2:$L$629)</f>
        <v>0</v>
      </c>
      <c r="L22" s="12">
        <f>SUMIF(Mercado_Receita!$S$2:$S$629,"44470B1Convencional pré-pagamentoResidencialResidencialNão se aplicaNão se aplicaPonta",Mercado_Receita!$L$2:$L$629)+SUMIF(Mercado_Receita!$S$2:$S$629,"44470B1Convencional pré-pagamentoResidencialResidencialNão se aplicaNão se aplicaFora ponta",Mercado_Receita!$L$2:$L$629)+SUMIF(Mercado_Receita!$S$2:$S$629,"44470B1Convencional pré-pagamentoResidencialResidencialNão se aplicaNão se aplicaIntermediário",Mercado_Receita!$L$2:$L$629)+SUMIF(Mercado_Receita!$S$2:$S$629,"44470B1Convencional pré-pagamentoResidencialResidencialNão se aplicaNão se aplicaNão se aplica",Mercado_Receita!$L$2:$L$629)</f>
        <v>0</v>
      </c>
      <c r="M22" s="12">
        <f>SUMIF(Mercado_Receita!$S$2:$S$629,"44501B1Convencional pré-pagamentoResidencialResidencialNão se aplicaNão se aplicaPonta",Mercado_Receita!$L$2:$L$629)+SUMIF(Mercado_Receita!$S$2:$S$629,"44501B1Convencional pré-pagamentoResidencialResidencialNão se aplicaNão se aplicaFora ponta",Mercado_Receita!$L$2:$L$629)+SUMIF(Mercado_Receita!$S$2:$S$629,"44501B1Convencional pré-pagamentoResidencialResidencialNão se aplicaNão se aplicaIntermediário",Mercado_Receita!$L$2:$L$629)+SUMIF(Mercado_Receita!$S$2:$S$629,"44501B1Convencional pré-pagamentoResidencialResidencialNão se aplicaNão se aplicaNão se aplica",Mercado_Receita!$L$2:$L$629)</f>
        <v>0</v>
      </c>
      <c r="N22" s="12">
        <f>SUMIF(Mercado_Receita!$S$2:$S$629,"44531B1Convencional pré-pagamentoResidencialResidencialNão se aplicaNão se aplicaPonta",Mercado_Receita!$L$2:$L$629)+SUMIF(Mercado_Receita!$S$2:$S$629,"44531B1Convencional pré-pagamentoResidencialResidencialNão se aplicaNão se aplicaFora ponta",Mercado_Receita!$L$2:$L$629)+SUMIF(Mercado_Receita!$S$2:$S$629,"44531B1Convencional pré-pagamentoResidencialResidencialNão se aplicaNão se aplicaIntermediário",Mercado_Receita!$L$2:$L$629)+SUMIF(Mercado_Receita!$S$2:$S$629,"44531B1Convencional pré-pagamentoResidencialResidencialNão se aplicaNão se aplicaNão se aplica",Mercado_Receita!$L$2:$L$629)</f>
        <v>0</v>
      </c>
      <c r="O22" s="12">
        <f>SUMIF(Mercado_Receita!$S$2:$S$629,"44562B1Convencional pré-pagamentoResidencialResidencialNão se aplicaNão se aplicaPonta",Mercado_Receita!$L$2:$L$629)+SUMIF(Mercado_Receita!$S$2:$S$629,"44562B1Convencional pré-pagamentoResidencialResidencialNão se aplicaNão se aplicaFora ponta",Mercado_Receita!$L$2:$L$629)+SUMIF(Mercado_Receita!$S$2:$S$629,"44562B1Convencional pré-pagamentoResidencialResidencialNão se aplicaNão se aplicaIntermediário",Mercado_Receita!$L$2:$L$629)+SUMIF(Mercado_Receita!$S$2:$S$629,"44562B1Convencional pré-pagamentoResidencialResidencialNão se aplicaNão se aplicaNão se aplica",Mercado_Receita!$L$2:$L$629)</f>
        <v>0</v>
      </c>
      <c r="P22" s="12">
        <f>SUMIF(Mercado_Receita!$S$2:$S$629,"44593B1Convencional pré-pagamentoResidencialResidencialNão se aplicaNão se aplicaPonta",Mercado_Receita!$L$2:$L$629)+SUMIF(Mercado_Receita!$S$2:$S$629,"44593B1Convencional pré-pagamentoResidencialResidencialNão se aplicaNão se aplicaFora ponta",Mercado_Receita!$L$2:$L$629)+SUMIF(Mercado_Receita!$S$2:$S$629,"44593B1Convencional pré-pagamentoResidencialResidencialNão se aplicaNão se aplicaIntermediário",Mercado_Receita!$L$2:$L$629)+SUMIF(Mercado_Receita!$S$2:$S$629,"44593B1Convencional pré-pagamentoResidencialResidencialNão se aplicaNão se aplicaNão se aplica",Mercado_Receita!$L$2:$L$629)</f>
        <v>0</v>
      </c>
      <c r="Q22" s="12">
        <f>SUMIF(Mercado_Receita!$S$2:$S$629,"44621B1Convencional pré-pagamentoResidencialResidencialNão se aplicaNão se aplicaPonta",Mercado_Receita!$L$2:$L$629)+SUMIF(Mercado_Receita!$S$2:$S$629,"44621B1Convencional pré-pagamentoResidencialResidencialNão se aplicaNão se aplicaFora ponta",Mercado_Receita!$L$2:$L$629)+SUMIF(Mercado_Receita!$S$2:$S$629,"44621B1Convencional pré-pagamentoResidencialResidencialNão se aplicaNão se aplicaIntermediário",Mercado_Receita!$L$2:$L$629)+SUMIF(Mercado_Receita!$S$2:$S$629,"44621B1Convencional pré-pagamentoResidencialResidencialNão se aplicaNão se aplicaNão se aplica",Mercado_Receita!$L$2:$L$629)</f>
        <v>0</v>
      </c>
      <c r="R22" s="12">
        <f>SUMIF(Mercado_Receita!$S$2:$S$629,"44652B1Convencional pré-pagamentoResidencialResidencialNão se aplicaNão se aplicaPonta",Mercado_Receita!$L$2:$L$629)+SUMIF(Mercado_Receita!$S$2:$S$629,"44652B1Convencional pré-pagamentoResidencialResidencialNão se aplicaNão se aplicaFora ponta",Mercado_Receita!$L$2:$L$629)+SUMIF(Mercado_Receita!$S$2:$S$629,"44652B1Convencional pré-pagamentoResidencialResidencialNão se aplicaNão se aplicaIntermediário",Mercado_Receita!$L$2:$L$629)+SUMIF(Mercado_Receita!$S$2:$S$629,"44652B1Convencional pré-pagamentoResidencialResidencialNão se aplicaNão se aplicaNão se aplica",Mercado_Receita!$L$2:$L$629)</f>
        <v>0</v>
      </c>
      <c r="S22" s="12">
        <f>SUMIF(Mercado_Receita!$S$2:$S$629,"44682B1Convencional pré-pagamentoResidencialResidencialNão se aplicaNão se aplicaPonta",Mercado_Receita!$L$2:$L$629)+SUMIF(Mercado_Receita!$S$2:$S$629,"44682B1Convencional pré-pagamentoResidencialResidencialNão se aplicaNão se aplicaFora ponta",Mercado_Receita!$L$2:$L$629)+SUMIF(Mercado_Receita!$S$2:$S$629,"44682B1Convencional pré-pagamentoResidencialResidencialNão se aplicaNão se aplicaIntermediário",Mercado_Receita!$L$2:$L$629)+SUMIF(Mercado_Receita!$S$2:$S$629,"44682B1Convencional pré-pagamentoResidencialResidencialNão se aplicaNão se aplicaNão se aplica",Mercado_Receita!$L$2:$L$629)</f>
        <v>0</v>
      </c>
      <c r="T22" s="12">
        <f>SUMIF(Mercado_Receita!$S$2:$S$629,"44713B1Convencional pré-pagamentoResidencialResidencialNão se aplicaNão se aplicaPonta",Mercado_Receita!$L$2:$L$629)+SUMIF(Mercado_Receita!$S$2:$S$629,"44713B1Convencional pré-pagamentoResidencialResidencialNão se aplicaNão se aplicaFora ponta",Mercado_Receita!$L$2:$L$629)+SUMIF(Mercado_Receita!$S$2:$S$629,"44713B1Convencional pré-pagamentoResidencialResidencialNão se aplicaNão se aplicaIntermediário",Mercado_Receita!$L$2:$L$629)+SUMIF(Mercado_Receita!$S$2:$S$629,"44713B1Convencional pré-pagamentoResidencialResidencialNão se aplicaNão se aplicaNão se aplica",Mercado_Receita!$L$2:$L$629)</f>
        <v>0</v>
      </c>
      <c r="U22" s="12">
        <f t="shared" si="0"/>
        <v>0</v>
      </c>
      <c r="V22" s="12"/>
      <c r="W22" s="12"/>
    </row>
    <row r="23" spans="1:23" ht="11.25" customHeight="1" x14ac:dyDescent="0.25">
      <c r="A23" s="152"/>
      <c r="B23" s="152"/>
      <c r="C23" s="152"/>
      <c r="D23" s="13" t="s">
        <v>28</v>
      </c>
      <c r="E23" s="13" t="s">
        <v>25</v>
      </c>
      <c r="F23" s="13" t="s">
        <v>25</v>
      </c>
      <c r="G23" s="12" t="s">
        <v>82</v>
      </c>
      <c r="H23" s="12" t="s">
        <v>78</v>
      </c>
      <c r="I23" s="12">
        <f>SUMIF(Mercado_Receita!$S$2:$S$629,"44378B1Convencional pré-pagamentoResidencialResidencial baixa renda – faixa 01Não se aplicaNão se aplicaPonta",Mercado_Receita!$L$2:$L$629)+SUMIF(Mercado_Receita!$S$2:$S$629,"44378B1Convencional pré-pagamentoResidencialResidencial baixa renda – faixa 01Não se aplicaNão se aplicaFora ponta",Mercado_Receita!$L$2:$L$629)+SUMIF(Mercado_Receita!$S$2:$S$629,"44378B1Convencional pré-pagamentoResidencialResidencial baixa renda – faixa 01Não se aplicaNão se aplicaIntermediário",Mercado_Receita!$L$2:$L$629)+SUMIF(Mercado_Receita!$S$2:$S$629,"44378B1Convencional pré-pagamentoResidencialResidencial baixa renda – faixa 01Não se aplicaNão se aplicaNão se aplica",Mercado_Receita!$L$2:$L$629)</f>
        <v>0</v>
      </c>
      <c r="J23" s="12">
        <f>SUMIF(Mercado_Receita!$S$2:$S$629,"44409B1Convencional pré-pagamentoResidencialResidencial baixa renda – faixa 01Não se aplicaNão se aplicaPonta",Mercado_Receita!$L$2:$L$629)+SUMIF(Mercado_Receita!$S$2:$S$629,"44409B1Convencional pré-pagamentoResidencialResidencial baixa renda – faixa 01Não se aplicaNão se aplicaFora ponta",Mercado_Receita!$L$2:$L$629)+SUMIF(Mercado_Receita!$S$2:$S$629,"44409B1Convencional pré-pagamentoResidencialResidencial baixa renda – faixa 01Não se aplicaNão se aplicaIntermediário",Mercado_Receita!$L$2:$L$629)+SUMIF(Mercado_Receita!$S$2:$S$629,"44409B1Convencional pré-pagamentoResidencialResidencial baixa renda – faixa 01Não se aplicaNão se aplicaNão se aplica",Mercado_Receita!$L$2:$L$629)</f>
        <v>0</v>
      </c>
      <c r="K23" s="12">
        <f>SUMIF(Mercado_Receita!$S$2:$S$629,"44440B1Convencional pré-pagamentoResidencialResidencial baixa renda – faixa 01Não se aplicaNão se aplicaPonta",Mercado_Receita!$L$2:$L$629)+SUMIF(Mercado_Receita!$S$2:$S$629,"44440B1Convencional pré-pagamentoResidencialResidencial baixa renda – faixa 01Não se aplicaNão se aplicaFora ponta",Mercado_Receita!$L$2:$L$629)+SUMIF(Mercado_Receita!$S$2:$S$629,"44440B1Convencional pré-pagamentoResidencialResidencial baixa renda – faixa 01Não se aplicaNão se aplicaIntermediário",Mercado_Receita!$L$2:$L$629)+SUMIF(Mercado_Receita!$S$2:$S$629,"44440B1Convencional pré-pagamentoResidencialResidencial baixa renda – faixa 01Não se aplicaNão se aplicaNão se aplica",Mercado_Receita!$L$2:$L$629)</f>
        <v>0</v>
      </c>
      <c r="L23" s="12">
        <f>SUMIF(Mercado_Receita!$S$2:$S$629,"44470B1Convencional pré-pagamentoResidencialResidencial baixa renda – faixa 01Não se aplicaNão se aplicaPonta",Mercado_Receita!$L$2:$L$629)+SUMIF(Mercado_Receita!$S$2:$S$629,"44470B1Convencional pré-pagamentoResidencialResidencial baixa renda – faixa 01Não se aplicaNão se aplicaFora ponta",Mercado_Receita!$L$2:$L$629)+SUMIF(Mercado_Receita!$S$2:$S$629,"44470B1Convencional pré-pagamentoResidencialResidencial baixa renda – faixa 01Não se aplicaNão se aplicaIntermediário",Mercado_Receita!$L$2:$L$629)+SUMIF(Mercado_Receita!$S$2:$S$629,"44470B1Convencional pré-pagamentoResidencialResidencial baixa renda – faixa 01Não se aplicaNão se aplicaNão se aplica",Mercado_Receita!$L$2:$L$629)</f>
        <v>0</v>
      </c>
      <c r="M23" s="12">
        <f>SUMIF(Mercado_Receita!$S$2:$S$629,"44501B1Convencional pré-pagamentoResidencialResidencial baixa renda – faixa 01Não se aplicaNão se aplicaPonta",Mercado_Receita!$L$2:$L$629)+SUMIF(Mercado_Receita!$S$2:$S$629,"44501B1Convencional pré-pagamentoResidencialResidencial baixa renda – faixa 01Não se aplicaNão se aplicaFora ponta",Mercado_Receita!$L$2:$L$629)+SUMIF(Mercado_Receita!$S$2:$S$629,"44501B1Convencional pré-pagamentoResidencialResidencial baixa renda – faixa 01Não se aplicaNão se aplicaIntermediário",Mercado_Receita!$L$2:$L$629)+SUMIF(Mercado_Receita!$S$2:$S$629,"44501B1Convencional pré-pagamentoResidencialResidencial baixa renda – faixa 01Não se aplicaNão se aplicaNão se aplica",Mercado_Receita!$L$2:$L$629)</f>
        <v>0</v>
      </c>
      <c r="N23" s="12">
        <f>SUMIF(Mercado_Receita!$S$2:$S$629,"44531B1Convencional pré-pagamentoResidencialResidencial baixa renda – faixa 01Não se aplicaNão se aplicaPonta",Mercado_Receita!$L$2:$L$629)+SUMIF(Mercado_Receita!$S$2:$S$629,"44531B1Convencional pré-pagamentoResidencialResidencial baixa renda – faixa 01Não se aplicaNão se aplicaFora ponta",Mercado_Receita!$L$2:$L$629)+SUMIF(Mercado_Receita!$S$2:$S$629,"44531B1Convencional pré-pagamentoResidencialResidencial baixa renda – faixa 01Não se aplicaNão se aplicaIntermediário",Mercado_Receita!$L$2:$L$629)+SUMIF(Mercado_Receita!$S$2:$S$629,"44531B1Convencional pré-pagamentoResidencialResidencial baixa renda – faixa 01Não se aplicaNão se aplicaNão se aplica",Mercado_Receita!$L$2:$L$629)</f>
        <v>0</v>
      </c>
      <c r="O23" s="12">
        <f>SUMIF(Mercado_Receita!$S$2:$S$629,"44562B1Convencional pré-pagamentoResidencialResidencial baixa renda – faixa 01Não se aplicaNão se aplicaPonta",Mercado_Receita!$L$2:$L$629)+SUMIF(Mercado_Receita!$S$2:$S$629,"44562B1Convencional pré-pagamentoResidencialResidencial baixa renda – faixa 01Não se aplicaNão se aplicaFora ponta",Mercado_Receita!$L$2:$L$629)+SUMIF(Mercado_Receita!$S$2:$S$629,"44562B1Convencional pré-pagamentoResidencialResidencial baixa renda – faixa 01Não se aplicaNão se aplicaIntermediário",Mercado_Receita!$L$2:$L$629)+SUMIF(Mercado_Receita!$S$2:$S$629,"44562B1Convencional pré-pagamentoResidencialResidencial baixa renda – faixa 01Não se aplicaNão se aplicaNão se aplica",Mercado_Receita!$L$2:$L$629)</f>
        <v>0</v>
      </c>
      <c r="P23" s="12">
        <f>SUMIF(Mercado_Receita!$S$2:$S$629,"44593B1Convencional pré-pagamentoResidencialResidencial baixa renda – faixa 01Não se aplicaNão se aplicaPonta",Mercado_Receita!$L$2:$L$629)+SUMIF(Mercado_Receita!$S$2:$S$629,"44593B1Convencional pré-pagamentoResidencialResidencial baixa renda – faixa 01Não se aplicaNão se aplicaFora ponta",Mercado_Receita!$L$2:$L$629)+SUMIF(Mercado_Receita!$S$2:$S$629,"44593B1Convencional pré-pagamentoResidencialResidencial baixa renda – faixa 01Não se aplicaNão se aplicaIntermediário",Mercado_Receita!$L$2:$L$629)+SUMIF(Mercado_Receita!$S$2:$S$629,"44593B1Convencional pré-pagamentoResidencialResidencial baixa renda – faixa 01Não se aplicaNão se aplicaNão se aplica",Mercado_Receita!$L$2:$L$629)</f>
        <v>0</v>
      </c>
      <c r="Q23" s="12">
        <f>SUMIF(Mercado_Receita!$S$2:$S$629,"44621B1Convencional pré-pagamentoResidencialResidencial baixa renda – faixa 01Não se aplicaNão se aplicaPonta",Mercado_Receita!$L$2:$L$629)+SUMIF(Mercado_Receita!$S$2:$S$629,"44621B1Convencional pré-pagamentoResidencialResidencial baixa renda – faixa 01Não se aplicaNão se aplicaFora ponta",Mercado_Receita!$L$2:$L$629)+SUMIF(Mercado_Receita!$S$2:$S$629,"44621B1Convencional pré-pagamentoResidencialResidencial baixa renda – faixa 01Não se aplicaNão se aplicaIntermediário",Mercado_Receita!$L$2:$L$629)+SUMIF(Mercado_Receita!$S$2:$S$629,"44621B1Convencional pré-pagamentoResidencialResidencial baixa renda – faixa 01Não se aplicaNão se aplicaNão se aplica",Mercado_Receita!$L$2:$L$629)</f>
        <v>0</v>
      </c>
      <c r="R23" s="12">
        <f>SUMIF(Mercado_Receita!$S$2:$S$629,"44652B1Convencional pré-pagamentoResidencialResidencial baixa renda – faixa 01Não se aplicaNão se aplicaPonta",Mercado_Receita!$L$2:$L$629)+SUMIF(Mercado_Receita!$S$2:$S$629,"44652B1Convencional pré-pagamentoResidencialResidencial baixa renda – faixa 01Não se aplicaNão se aplicaFora ponta",Mercado_Receita!$L$2:$L$629)+SUMIF(Mercado_Receita!$S$2:$S$629,"44652B1Convencional pré-pagamentoResidencialResidencial baixa renda – faixa 01Não se aplicaNão se aplicaIntermediário",Mercado_Receita!$L$2:$L$629)+SUMIF(Mercado_Receita!$S$2:$S$629,"44652B1Convencional pré-pagamentoResidencialResidencial baixa renda – faixa 01Não se aplicaNão se aplicaNão se aplica",Mercado_Receita!$L$2:$L$629)</f>
        <v>0</v>
      </c>
      <c r="S23" s="12">
        <f>SUMIF(Mercado_Receita!$S$2:$S$629,"44682B1Convencional pré-pagamentoResidencialResidencial baixa renda – faixa 01Não se aplicaNão se aplicaPonta",Mercado_Receita!$L$2:$L$629)+SUMIF(Mercado_Receita!$S$2:$S$629,"44682B1Convencional pré-pagamentoResidencialResidencial baixa renda – faixa 01Não se aplicaNão se aplicaFora ponta",Mercado_Receita!$L$2:$L$629)+SUMIF(Mercado_Receita!$S$2:$S$629,"44682B1Convencional pré-pagamentoResidencialResidencial baixa renda – faixa 01Não se aplicaNão se aplicaIntermediário",Mercado_Receita!$L$2:$L$629)+SUMIF(Mercado_Receita!$S$2:$S$629,"44682B1Convencional pré-pagamentoResidencialResidencial baixa renda – faixa 01Não se aplicaNão se aplicaNão se aplica",Mercado_Receita!$L$2:$L$629)</f>
        <v>0</v>
      </c>
      <c r="T23" s="12">
        <f>SUMIF(Mercado_Receita!$S$2:$S$629,"44713B1Convencional pré-pagamentoResidencialResidencial baixa renda – faixa 01Não se aplicaNão se aplicaPonta",Mercado_Receita!$L$2:$L$629)+SUMIF(Mercado_Receita!$S$2:$S$629,"44713B1Convencional pré-pagamentoResidencialResidencial baixa renda – faixa 01Não se aplicaNão se aplicaFora ponta",Mercado_Receita!$L$2:$L$629)+SUMIF(Mercado_Receita!$S$2:$S$629,"44713B1Convencional pré-pagamentoResidencialResidencial baixa renda – faixa 01Não se aplicaNão se aplicaIntermediário",Mercado_Receita!$L$2:$L$629)+SUMIF(Mercado_Receita!$S$2:$S$629,"44713B1Convencional pré-pagamentoResidencialResidencial baixa renda – faixa 01Não se aplicaNão se aplicaNão se aplica",Mercado_Receita!$L$2:$L$629)</f>
        <v>0</v>
      </c>
      <c r="U23" s="12">
        <f t="shared" si="0"/>
        <v>0</v>
      </c>
      <c r="V23" s="12"/>
      <c r="W23" s="12"/>
    </row>
    <row r="24" spans="1:23" ht="11.25" customHeight="1" x14ac:dyDescent="0.25">
      <c r="A24" s="152"/>
      <c r="B24" s="152"/>
      <c r="C24" s="152"/>
      <c r="D24" s="13" t="s">
        <v>29</v>
      </c>
      <c r="E24" s="13" t="s">
        <v>25</v>
      </c>
      <c r="F24" s="13" t="s">
        <v>25</v>
      </c>
      <c r="G24" s="12" t="s">
        <v>82</v>
      </c>
      <c r="H24" s="12" t="s">
        <v>78</v>
      </c>
      <c r="I24" s="12">
        <f>SUMIF(Mercado_Receita!$S$2:$S$629,"44378B1Convencional pré-pagamentoResidencialResidencial baixa renda – faixa 02Não se aplicaNão se aplicaPonta",Mercado_Receita!$L$2:$L$629)+SUMIF(Mercado_Receita!$S$2:$S$629,"44378B1Convencional pré-pagamentoResidencialResidencial baixa renda – faixa 02Não se aplicaNão se aplicaFora ponta",Mercado_Receita!$L$2:$L$629)+SUMIF(Mercado_Receita!$S$2:$S$629,"44378B1Convencional pré-pagamentoResidencialResidencial baixa renda – faixa 02Não se aplicaNão se aplicaIntermediário",Mercado_Receita!$L$2:$L$629)+SUMIF(Mercado_Receita!$S$2:$S$629,"44378B1Convencional pré-pagamentoResidencialResidencial baixa renda – faixa 02Não se aplicaNão se aplicaNão se aplica",Mercado_Receita!$L$2:$L$629)</f>
        <v>0</v>
      </c>
      <c r="J24" s="12">
        <f>SUMIF(Mercado_Receita!$S$2:$S$629,"44409B1Convencional pré-pagamentoResidencialResidencial baixa renda – faixa 02Não se aplicaNão se aplicaPonta",Mercado_Receita!$L$2:$L$629)+SUMIF(Mercado_Receita!$S$2:$S$629,"44409B1Convencional pré-pagamentoResidencialResidencial baixa renda – faixa 02Não se aplicaNão se aplicaFora ponta",Mercado_Receita!$L$2:$L$629)+SUMIF(Mercado_Receita!$S$2:$S$629,"44409B1Convencional pré-pagamentoResidencialResidencial baixa renda – faixa 02Não se aplicaNão se aplicaIntermediário",Mercado_Receita!$L$2:$L$629)+SUMIF(Mercado_Receita!$S$2:$S$629,"44409B1Convencional pré-pagamentoResidencialResidencial baixa renda – faixa 02Não se aplicaNão se aplicaNão se aplica",Mercado_Receita!$L$2:$L$629)</f>
        <v>0</v>
      </c>
      <c r="K24" s="12">
        <f>SUMIF(Mercado_Receita!$S$2:$S$629,"44440B1Convencional pré-pagamentoResidencialResidencial baixa renda – faixa 02Não se aplicaNão se aplicaPonta",Mercado_Receita!$L$2:$L$629)+SUMIF(Mercado_Receita!$S$2:$S$629,"44440B1Convencional pré-pagamentoResidencialResidencial baixa renda – faixa 02Não se aplicaNão se aplicaFora ponta",Mercado_Receita!$L$2:$L$629)+SUMIF(Mercado_Receita!$S$2:$S$629,"44440B1Convencional pré-pagamentoResidencialResidencial baixa renda – faixa 02Não se aplicaNão se aplicaIntermediário",Mercado_Receita!$L$2:$L$629)+SUMIF(Mercado_Receita!$S$2:$S$629,"44440B1Convencional pré-pagamentoResidencialResidencial baixa renda – faixa 02Não se aplicaNão se aplicaNão se aplica",Mercado_Receita!$L$2:$L$629)</f>
        <v>0</v>
      </c>
      <c r="L24" s="12">
        <f>SUMIF(Mercado_Receita!$S$2:$S$629,"44470B1Convencional pré-pagamentoResidencialResidencial baixa renda – faixa 02Não se aplicaNão se aplicaPonta",Mercado_Receita!$L$2:$L$629)+SUMIF(Mercado_Receita!$S$2:$S$629,"44470B1Convencional pré-pagamentoResidencialResidencial baixa renda – faixa 02Não se aplicaNão se aplicaFora ponta",Mercado_Receita!$L$2:$L$629)+SUMIF(Mercado_Receita!$S$2:$S$629,"44470B1Convencional pré-pagamentoResidencialResidencial baixa renda – faixa 02Não se aplicaNão se aplicaIntermediário",Mercado_Receita!$L$2:$L$629)+SUMIF(Mercado_Receita!$S$2:$S$629,"44470B1Convencional pré-pagamentoResidencialResidencial baixa renda – faixa 02Não se aplicaNão se aplicaNão se aplica",Mercado_Receita!$L$2:$L$629)</f>
        <v>0</v>
      </c>
      <c r="M24" s="12">
        <f>SUMIF(Mercado_Receita!$S$2:$S$629,"44501B1Convencional pré-pagamentoResidencialResidencial baixa renda – faixa 02Não se aplicaNão se aplicaPonta",Mercado_Receita!$L$2:$L$629)+SUMIF(Mercado_Receita!$S$2:$S$629,"44501B1Convencional pré-pagamentoResidencialResidencial baixa renda – faixa 02Não se aplicaNão se aplicaFora ponta",Mercado_Receita!$L$2:$L$629)+SUMIF(Mercado_Receita!$S$2:$S$629,"44501B1Convencional pré-pagamentoResidencialResidencial baixa renda – faixa 02Não se aplicaNão se aplicaIntermediário",Mercado_Receita!$L$2:$L$629)+SUMIF(Mercado_Receita!$S$2:$S$629,"44501B1Convencional pré-pagamentoResidencialResidencial baixa renda – faixa 02Não se aplicaNão se aplicaNão se aplica",Mercado_Receita!$L$2:$L$629)</f>
        <v>0</v>
      </c>
      <c r="N24" s="12">
        <f>SUMIF(Mercado_Receita!$S$2:$S$629,"44531B1Convencional pré-pagamentoResidencialResidencial baixa renda – faixa 02Não se aplicaNão se aplicaPonta",Mercado_Receita!$L$2:$L$629)+SUMIF(Mercado_Receita!$S$2:$S$629,"44531B1Convencional pré-pagamentoResidencialResidencial baixa renda – faixa 02Não se aplicaNão se aplicaFora ponta",Mercado_Receita!$L$2:$L$629)+SUMIF(Mercado_Receita!$S$2:$S$629,"44531B1Convencional pré-pagamentoResidencialResidencial baixa renda – faixa 02Não se aplicaNão se aplicaIntermediário",Mercado_Receita!$L$2:$L$629)+SUMIF(Mercado_Receita!$S$2:$S$629,"44531B1Convencional pré-pagamentoResidencialResidencial baixa renda – faixa 02Não se aplicaNão se aplicaNão se aplica",Mercado_Receita!$L$2:$L$629)</f>
        <v>0</v>
      </c>
      <c r="O24" s="12">
        <f>SUMIF(Mercado_Receita!$S$2:$S$629,"44562B1Convencional pré-pagamentoResidencialResidencial baixa renda – faixa 02Não se aplicaNão se aplicaPonta",Mercado_Receita!$L$2:$L$629)+SUMIF(Mercado_Receita!$S$2:$S$629,"44562B1Convencional pré-pagamentoResidencialResidencial baixa renda – faixa 02Não se aplicaNão se aplicaFora ponta",Mercado_Receita!$L$2:$L$629)+SUMIF(Mercado_Receita!$S$2:$S$629,"44562B1Convencional pré-pagamentoResidencialResidencial baixa renda – faixa 02Não se aplicaNão se aplicaIntermediário",Mercado_Receita!$L$2:$L$629)+SUMIF(Mercado_Receita!$S$2:$S$629,"44562B1Convencional pré-pagamentoResidencialResidencial baixa renda – faixa 02Não se aplicaNão se aplicaNão se aplica",Mercado_Receita!$L$2:$L$629)</f>
        <v>0</v>
      </c>
      <c r="P24" s="12">
        <f>SUMIF(Mercado_Receita!$S$2:$S$629,"44593B1Convencional pré-pagamentoResidencialResidencial baixa renda – faixa 02Não se aplicaNão se aplicaPonta",Mercado_Receita!$L$2:$L$629)+SUMIF(Mercado_Receita!$S$2:$S$629,"44593B1Convencional pré-pagamentoResidencialResidencial baixa renda – faixa 02Não se aplicaNão se aplicaFora ponta",Mercado_Receita!$L$2:$L$629)+SUMIF(Mercado_Receita!$S$2:$S$629,"44593B1Convencional pré-pagamentoResidencialResidencial baixa renda – faixa 02Não se aplicaNão se aplicaIntermediário",Mercado_Receita!$L$2:$L$629)+SUMIF(Mercado_Receita!$S$2:$S$629,"44593B1Convencional pré-pagamentoResidencialResidencial baixa renda – faixa 02Não se aplicaNão se aplicaNão se aplica",Mercado_Receita!$L$2:$L$629)</f>
        <v>0</v>
      </c>
      <c r="Q24" s="12">
        <f>SUMIF(Mercado_Receita!$S$2:$S$629,"44621B1Convencional pré-pagamentoResidencialResidencial baixa renda – faixa 02Não se aplicaNão se aplicaPonta",Mercado_Receita!$L$2:$L$629)+SUMIF(Mercado_Receita!$S$2:$S$629,"44621B1Convencional pré-pagamentoResidencialResidencial baixa renda – faixa 02Não se aplicaNão se aplicaFora ponta",Mercado_Receita!$L$2:$L$629)+SUMIF(Mercado_Receita!$S$2:$S$629,"44621B1Convencional pré-pagamentoResidencialResidencial baixa renda – faixa 02Não se aplicaNão se aplicaIntermediário",Mercado_Receita!$L$2:$L$629)+SUMIF(Mercado_Receita!$S$2:$S$629,"44621B1Convencional pré-pagamentoResidencialResidencial baixa renda – faixa 02Não se aplicaNão se aplicaNão se aplica",Mercado_Receita!$L$2:$L$629)</f>
        <v>0</v>
      </c>
      <c r="R24" s="12">
        <f>SUMIF(Mercado_Receita!$S$2:$S$629,"44652B1Convencional pré-pagamentoResidencialResidencial baixa renda – faixa 02Não se aplicaNão se aplicaPonta",Mercado_Receita!$L$2:$L$629)+SUMIF(Mercado_Receita!$S$2:$S$629,"44652B1Convencional pré-pagamentoResidencialResidencial baixa renda – faixa 02Não se aplicaNão se aplicaFora ponta",Mercado_Receita!$L$2:$L$629)+SUMIF(Mercado_Receita!$S$2:$S$629,"44652B1Convencional pré-pagamentoResidencialResidencial baixa renda – faixa 02Não se aplicaNão se aplicaIntermediário",Mercado_Receita!$L$2:$L$629)+SUMIF(Mercado_Receita!$S$2:$S$629,"44652B1Convencional pré-pagamentoResidencialResidencial baixa renda – faixa 02Não se aplicaNão se aplicaNão se aplica",Mercado_Receita!$L$2:$L$629)</f>
        <v>0</v>
      </c>
      <c r="S24" s="12">
        <f>SUMIF(Mercado_Receita!$S$2:$S$629,"44682B1Convencional pré-pagamentoResidencialResidencial baixa renda – faixa 02Não se aplicaNão se aplicaPonta",Mercado_Receita!$L$2:$L$629)+SUMIF(Mercado_Receita!$S$2:$S$629,"44682B1Convencional pré-pagamentoResidencialResidencial baixa renda – faixa 02Não se aplicaNão se aplicaFora ponta",Mercado_Receita!$L$2:$L$629)+SUMIF(Mercado_Receita!$S$2:$S$629,"44682B1Convencional pré-pagamentoResidencialResidencial baixa renda – faixa 02Não se aplicaNão se aplicaIntermediário",Mercado_Receita!$L$2:$L$629)+SUMIF(Mercado_Receita!$S$2:$S$629,"44682B1Convencional pré-pagamentoResidencialResidencial baixa renda – faixa 02Não se aplicaNão se aplicaNão se aplica",Mercado_Receita!$L$2:$L$629)</f>
        <v>0</v>
      </c>
      <c r="T24" s="12">
        <f>SUMIF(Mercado_Receita!$S$2:$S$629,"44713B1Convencional pré-pagamentoResidencialResidencial baixa renda – faixa 02Não se aplicaNão se aplicaPonta",Mercado_Receita!$L$2:$L$629)+SUMIF(Mercado_Receita!$S$2:$S$629,"44713B1Convencional pré-pagamentoResidencialResidencial baixa renda – faixa 02Não se aplicaNão se aplicaFora ponta",Mercado_Receita!$L$2:$L$629)+SUMIF(Mercado_Receita!$S$2:$S$629,"44713B1Convencional pré-pagamentoResidencialResidencial baixa renda – faixa 02Não se aplicaNão se aplicaIntermediário",Mercado_Receita!$L$2:$L$629)+SUMIF(Mercado_Receita!$S$2:$S$629,"44713B1Convencional pré-pagamentoResidencialResidencial baixa renda – faixa 02Não se aplicaNão se aplicaNão se aplica",Mercado_Receita!$L$2:$L$629)</f>
        <v>0</v>
      </c>
      <c r="U24" s="12">
        <f t="shared" si="0"/>
        <v>0</v>
      </c>
      <c r="V24" s="12"/>
      <c r="W24" s="12"/>
    </row>
    <row r="25" spans="1:23" ht="11.25" customHeight="1" x14ac:dyDescent="0.25">
      <c r="A25" s="152"/>
      <c r="B25" s="152"/>
      <c r="C25" s="152"/>
      <c r="D25" s="13" t="s">
        <v>30</v>
      </c>
      <c r="E25" s="13" t="s">
        <v>25</v>
      </c>
      <c r="F25" s="13" t="s">
        <v>25</v>
      </c>
      <c r="G25" s="12" t="s">
        <v>82</v>
      </c>
      <c r="H25" s="12" t="s">
        <v>78</v>
      </c>
      <c r="I25" s="12">
        <f>SUMIF(Mercado_Receita!$S$2:$S$629,"44378B1Convencional pré-pagamentoResidencialResidencial baixa renda – faixa 03Não se aplicaNão se aplicaPonta",Mercado_Receita!$L$2:$L$629)+SUMIF(Mercado_Receita!$S$2:$S$629,"44378B1Convencional pré-pagamentoResidencialResidencial baixa renda – faixa 03Não se aplicaNão se aplicaFora ponta",Mercado_Receita!$L$2:$L$629)+SUMIF(Mercado_Receita!$S$2:$S$629,"44378B1Convencional pré-pagamentoResidencialResidencial baixa renda – faixa 03Não se aplicaNão se aplicaIntermediário",Mercado_Receita!$L$2:$L$629)+SUMIF(Mercado_Receita!$S$2:$S$629,"44378B1Convencional pré-pagamentoResidencialResidencial baixa renda – faixa 03Não se aplicaNão se aplicaNão se aplica",Mercado_Receita!$L$2:$L$629)</f>
        <v>0</v>
      </c>
      <c r="J25" s="12">
        <f>SUMIF(Mercado_Receita!$S$2:$S$629,"44409B1Convencional pré-pagamentoResidencialResidencial baixa renda – faixa 03Não se aplicaNão se aplicaPonta",Mercado_Receita!$L$2:$L$629)+SUMIF(Mercado_Receita!$S$2:$S$629,"44409B1Convencional pré-pagamentoResidencialResidencial baixa renda – faixa 03Não se aplicaNão se aplicaFora ponta",Mercado_Receita!$L$2:$L$629)+SUMIF(Mercado_Receita!$S$2:$S$629,"44409B1Convencional pré-pagamentoResidencialResidencial baixa renda – faixa 03Não se aplicaNão se aplicaIntermediário",Mercado_Receita!$L$2:$L$629)+SUMIF(Mercado_Receita!$S$2:$S$629,"44409B1Convencional pré-pagamentoResidencialResidencial baixa renda – faixa 03Não se aplicaNão se aplicaNão se aplica",Mercado_Receita!$L$2:$L$629)</f>
        <v>0</v>
      </c>
      <c r="K25" s="12">
        <f>SUMIF(Mercado_Receita!$S$2:$S$629,"44440B1Convencional pré-pagamentoResidencialResidencial baixa renda – faixa 03Não se aplicaNão se aplicaPonta",Mercado_Receita!$L$2:$L$629)+SUMIF(Mercado_Receita!$S$2:$S$629,"44440B1Convencional pré-pagamentoResidencialResidencial baixa renda – faixa 03Não se aplicaNão se aplicaFora ponta",Mercado_Receita!$L$2:$L$629)+SUMIF(Mercado_Receita!$S$2:$S$629,"44440B1Convencional pré-pagamentoResidencialResidencial baixa renda – faixa 03Não se aplicaNão se aplicaIntermediário",Mercado_Receita!$L$2:$L$629)+SUMIF(Mercado_Receita!$S$2:$S$629,"44440B1Convencional pré-pagamentoResidencialResidencial baixa renda – faixa 03Não se aplicaNão se aplicaNão se aplica",Mercado_Receita!$L$2:$L$629)</f>
        <v>0</v>
      </c>
      <c r="L25" s="12">
        <f>SUMIF(Mercado_Receita!$S$2:$S$629,"44470B1Convencional pré-pagamentoResidencialResidencial baixa renda – faixa 03Não se aplicaNão se aplicaPonta",Mercado_Receita!$L$2:$L$629)+SUMIF(Mercado_Receita!$S$2:$S$629,"44470B1Convencional pré-pagamentoResidencialResidencial baixa renda – faixa 03Não se aplicaNão se aplicaFora ponta",Mercado_Receita!$L$2:$L$629)+SUMIF(Mercado_Receita!$S$2:$S$629,"44470B1Convencional pré-pagamentoResidencialResidencial baixa renda – faixa 03Não se aplicaNão se aplicaIntermediário",Mercado_Receita!$L$2:$L$629)+SUMIF(Mercado_Receita!$S$2:$S$629,"44470B1Convencional pré-pagamentoResidencialResidencial baixa renda – faixa 03Não se aplicaNão se aplicaNão se aplica",Mercado_Receita!$L$2:$L$629)</f>
        <v>0</v>
      </c>
      <c r="M25" s="12">
        <f>SUMIF(Mercado_Receita!$S$2:$S$629,"44501B1Convencional pré-pagamentoResidencialResidencial baixa renda – faixa 03Não se aplicaNão se aplicaPonta",Mercado_Receita!$L$2:$L$629)+SUMIF(Mercado_Receita!$S$2:$S$629,"44501B1Convencional pré-pagamentoResidencialResidencial baixa renda – faixa 03Não se aplicaNão se aplicaFora ponta",Mercado_Receita!$L$2:$L$629)+SUMIF(Mercado_Receita!$S$2:$S$629,"44501B1Convencional pré-pagamentoResidencialResidencial baixa renda – faixa 03Não se aplicaNão se aplicaIntermediário",Mercado_Receita!$L$2:$L$629)+SUMIF(Mercado_Receita!$S$2:$S$629,"44501B1Convencional pré-pagamentoResidencialResidencial baixa renda – faixa 03Não se aplicaNão se aplicaNão se aplica",Mercado_Receita!$L$2:$L$629)</f>
        <v>0</v>
      </c>
      <c r="N25" s="12">
        <f>SUMIF(Mercado_Receita!$S$2:$S$629,"44531B1Convencional pré-pagamentoResidencialResidencial baixa renda – faixa 03Não se aplicaNão se aplicaPonta",Mercado_Receita!$L$2:$L$629)+SUMIF(Mercado_Receita!$S$2:$S$629,"44531B1Convencional pré-pagamentoResidencialResidencial baixa renda – faixa 03Não se aplicaNão se aplicaFora ponta",Mercado_Receita!$L$2:$L$629)+SUMIF(Mercado_Receita!$S$2:$S$629,"44531B1Convencional pré-pagamentoResidencialResidencial baixa renda – faixa 03Não se aplicaNão se aplicaIntermediário",Mercado_Receita!$L$2:$L$629)+SUMIF(Mercado_Receita!$S$2:$S$629,"44531B1Convencional pré-pagamentoResidencialResidencial baixa renda – faixa 03Não se aplicaNão se aplicaNão se aplica",Mercado_Receita!$L$2:$L$629)</f>
        <v>0</v>
      </c>
      <c r="O25" s="12">
        <f>SUMIF(Mercado_Receita!$S$2:$S$629,"44562B1Convencional pré-pagamentoResidencialResidencial baixa renda – faixa 03Não se aplicaNão se aplicaPonta",Mercado_Receita!$L$2:$L$629)+SUMIF(Mercado_Receita!$S$2:$S$629,"44562B1Convencional pré-pagamentoResidencialResidencial baixa renda – faixa 03Não se aplicaNão se aplicaFora ponta",Mercado_Receita!$L$2:$L$629)+SUMIF(Mercado_Receita!$S$2:$S$629,"44562B1Convencional pré-pagamentoResidencialResidencial baixa renda – faixa 03Não se aplicaNão se aplicaIntermediário",Mercado_Receita!$L$2:$L$629)+SUMIF(Mercado_Receita!$S$2:$S$629,"44562B1Convencional pré-pagamentoResidencialResidencial baixa renda – faixa 03Não se aplicaNão se aplicaNão se aplica",Mercado_Receita!$L$2:$L$629)</f>
        <v>0</v>
      </c>
      <c r="P25" s="12">
        <f>SUMIF(Mercado_Receita!$S$2:$S$629,"44593B1Convencional pré-pagamentoResidencialResidencial baixa renda – faixa 03Não se aplicaNão se aplicaPonta",Mercado_Receita!$L$2:$L$629)+SUMIF(Mercado_Receita!$S$2:$S$629,"44593B1Convencional pré-pagamentoResidencialResidencial baixa renda – faixa 03Não se aplicaNão se aplicaFora ponta",Mercado_Receita!$L$2:$L$629)+SUMIF(Mercado_Receita!$S$2:$S$629,"44593B1Convencional pré-pagamentoResidencialResidencial baixa renda – faixa 03Não se aplicaNão se aplicaIntermediário",Mercado_Receita!$L$2:$L$629)+SUMIF(Mercado_Receita!$S$2:$S$629,"44593B1Convencional pré-pagamentoResidencialResidencial baixa renda – faixa 03Não se aplicaNão se aplicaNão se aplica",Mercado_Receita!$L$2:$L$629)</f>
        <v>0</v>
      </c>
      <c r="Q25" s="12">
        <f>SUMIF(Mercado_Receita!$S$2:$S$629,"44621B1Convencional pré-pagamentoResidencialResidencial baixa renda – faixa 03Não se aplicaNão se aplicaPonta",Mercado_Receita!$L$2:$L$629)+SUMIF(Mercado_Receita!$S$2:$S$629,"44621B1Convencional pré-pagamentoResidencialResidencial baixa renda – faixa 03Não se aplicaNão se aplicaFora ponta",Mercado_Receita!$L$2:$L$629)+SUMIF(Mercado_Receita!$S$2:$S$629,"44621B1Convencional pré-pagamentoResidencialResidencial baixa renda – faixa 03Não se aplicaNão se aplicaIntermediário",Mercado_Receita!$L$2:$L$629)+SUMIF(Mercado_Receita!$S$2:$S$629,"44621B1Convencional pré-pagamentoResidencialResidencial baixa renda – faixa 03Não se aplicaNão se aplicaNão se aplica",Mercado_Receita!$L$2:$L$629)</f>
        <v>0</v>
      </c>
      <c r="R25" s="12">
        <f>SUMIF(Mercado_Receita!$S$2:$S$629,"44652B1Convencional pré-pagamentoResidencialResidencial baixa renda – faixa 03Não se aplicaNão se aplicaPonta",Mercado_Receita!$L$2:$L$629)+SUMIF(Mercado_Receita!$S$2:$S$629,"44652B1Convencional pré-pagamentoResidencialResidencial baixa renda – faixa 03Não se aplicaNão se aplicaFora ponta",Mercado_Receita!$L$2:$L$629)+SUMIF(Mercado_Receita!$S$2:$S$629,"44652B1Convencional pré-pagamentoResidencialResidencial baixa renda – faixa 03Não se aplicaNão se aplicaIntermediário",Mercado_Receita!$L$2:$L$629)+SUMIF(Mercado_Receita!$S$2:$S$629,"44652B1Convencional pré-pagamentoResidencialResidencial baixa renda – faixa 03Não se aplicaNão se aplicaNão se aplica",Mercado_Receita!$L$2:$L$629)</f>
        <v>0</v>
      </c>
      <c r="S25" s="12">
        <f>SUMIF(Mercado_Receita!$S$2:$S$629,"44682B1Convencional pré-pagamentoResidencialResidencial baixa renda – faixa 03Não se aplicaNão se aplicaPonta",Mercado_Receita!$L$2:$L$629)+SUMIF(Mercado_Receita!$S$2:$S$629,"44682B1Convencional pré-pagamentoResidencialResidencial baixa renda – faixa 03Não se aplicaNão se aplicaFora ponta",Mercado_Receita!$L$2:$L$629)+SUMIF(Mercado_Receita!$S$2:$S$629,"44682B1Convencional pré-pagamentoResidencialResidencial baixa renda – faixa 03Não se aplicaNão se aplicaIntermediário",Mercado_Receita!$L$2:$L$629)+SUMIF(Mercado_Receita!$S$2:$S$629,"44682B1Convencional pré-pagamentoResidencialResidencial baixa renda – faixa 03Não se aplicaNão se aplicaNão se aplica",Mercado_Receita!$L$2:$L$629)</f>
        <v>0</v>
      </c>
      <c r="T25" s="12">
        <f>SUMIF(Mercado_Receita!$S$2:$S$629,"44713B1Convencional pré-pagamentoResidencialResidencial baixa renda – faixa 03Não se aplicaNão se aplicaPonta",Mercado_Receita!$L$2:$L$629)+SUMIF(Mercado_Receita!$S$2:$S$629,"44713B1Convencional pré-pagamentoResidencialResidencial baixa renda – faixa 03Não se aplicaNão se aplicaFora ponta",Mercado_Receita!$L$2:$L$629)+SUMIF(Mercado_Receita!$S$2:$S$629,"44713B1Convencional pré-pagamentoResidencialResidencial baixa renda – faixa 03Não se aplicaNão se aplicaIntermediário",Mercado_Receita!$L$2:$L$629)+SUMIF(Mercado_Receita!$S$2:$S$629,"44713B1Convencional pré-pagamentoResidencialResidencial baixa renda – faixa 03Não se aplicaNão se aplicaNão se aplica",Mercado_Receita!$L$2:$L$629)</f>
        <v>0</v>
      </c>
      <c r="U25" s="12">
        <f t="shared" si="0"/>
        <v>0</v>
      </c>
      <c r="V25" s="12"/>
      <c r="W25" s="12"/>
    </row>
    <row r="26" spans="1:23" ht="11.25" customHeight="1" x14ac:dyDescent="0.25">
      <c r="A26" s="152"/>
      <c r="B26" s="152"/>
      <c r="C26" s="152"/>
      <c r="D26" s="13" t="s">
        <v>31</v>
      </c>
      <c r="E26" s="13" t="s">
        <v>25</v>
      </c>
      <c r="F26" s="13" t="s">
        <v>25</v>
      </c>
      <c r="G26" s="12" t="s">
        <v>82</v>
      </c>
      <c r="H26" s="12" t="s">
        <v>78</v>
      </c>
      <c r="I26" s="12">
        <f>SUMIF(Mercado_Receita!$S$2:$S$629,"44378B1Convencional pré-pagamentoResidencialResidencial baixa renda – faixa 04Não se aplicaNão se aplicaPonta",Mercado_Receita!$L$2:$L$629)+SUMIF(Mercado_Receita!$S$2:$S$629,"44378B1Convencional pré-pagamentoResidencialResidencial baixa renda – faixa 04Não se aplicaNão se aplicaFora ponta",Mercado_Receita!$L$2:$L$629)+SUMIF(Mercado_Receita!$S$2:$S$629,"44378B1Convencional pré-pagamentoResidencialResidencial baixa renda – faixa 04Não se aplicaNão se aplicaIntermediário",Mercado_Receita!$L$2:$L$629)+SUMIF(Mercado_Receita!$S$2:$S$629,"44378B1Convencional pré-pagamentoResidencialResidencial baixa renda – faixa 04Não se aplicaNão se aplicaNão se aplica",Mercado_Receita!$L$2:$L$629)</f>
        <v>0</v>
      </c>
      <c r="J26" s="12">
        <f>SUMIF(Mercado_Receita!$S$2:$S$629,"44409B1Convencional pré-pagamentoResidencialResidencial baixa renda – faixa 04Não se aplicaNão se aplicaPonta",Mercado_Receita!$L$2:$L$629)+SUMIF(Mercado_Receita!$S$2:$S$629,"44409B1Convencional pré-pagamentoResidencialResidencial baixa renda – faixa 04Não se aplicaNão se aplicaFora ponta",Mercado_Receita!$L$2:$L$629)+SUMIF(Mercado_Receita!$S$2:$S$629,"44409B1Convencional pré-pagamentoResidencialResidencial baixa renda – faixa 04Não se aplicaNão se aplicaIntermediário",Mercado_Receita!$L$2:$L$629)+SUMIF(Mercado_Receita!$S$2:$S$629,"44409B1Convencional pré-pagamentoResidencialResidencial baixa renda – faixa 04Não se aplicaNão se aplicaNão se aplica",Mercado_Receita!$L$2:$L$629)</f>
        <v>0</v>
      </c>
      <c r="K26" s="12">
        <f>SUMIF(Mercado_Receita!$S$2:$S$629,"44440B1Convencional pré-pagamentoResidencialResidencial baixa renda – faixa 04Não se aplicaNão se aplicaPonta",Mercado_Receita!$L$2:$L$629)+SUMIF(Mercado_Receita!$S$2:$S$629,"44440B1Convencional pré-pagamentoResidencialResidencial baixa renda – faixa 04Não se aplicaNão se aplicaFora ponta",Mercado_Receita!$L$2:$L$629)+SUMIF(Mercado_Receita!$S$2:$S$629,"44440B1Convencional pré-pagamentoResidencialResidencial baixa renda – faixa 04Não se aplicaNão se aplicaIntermediário",Mercado_Receita!$L$2:$L$629)+SUMIF(Mercado_Receita!$S$2:$S$629,"44440B1Convencional pré-pagamentoResidencialResidencial baixa renda – faixa 04Não se aplicaNão se aplicaNão se aplica",Mercado_Receita!$L$2:$L$629)</f>
        <v>0</v>
      </c>
      <c r="L26" s="12">
        <f>SUMIF(Mercado_Receita!$S$2:$S$629,"44470B1Convencional pré-pagamentoResidencialResidencial baixa renda – faixa 04Não se aplicaNão se aplicaPonta",Mercado_Receita!$L$2:$L$629)+SUMIF(Mercado_Receita!$S$2:$S$629,"44470B1Convencional pré-pagamentoResidencialResidencial baixa renda – faixa 04Não se aplicaNão se aplicaFora ponta",Mercado_Receita!$L$2:$L$629)+SUMIF(Mercado_Receita!$S$2:$S$629,"44470B1Convencional pré-pagamentoResidencialResidencial baixa renda – faixa 04Não se aplicaNão se aplicaIntermediário",Mercado_Receita!$L$2:$L$629)+SUMIF(Mercado_Receita!$S$2:$S$629,"44470B1Convencional pré-pagamentoResidencialResidencial baixa renda – faixa 04Não se aplicaNão se aplicaNão se aplica",Mercado_Receita!$L$2:$L$629)</f>
        <v>0</v>
      </c>
      <c r="M26" s="12">
        <f>SUMIF(Mercado_Receita!$S$2:$S$629,"44501B1Convencional pré-pagamentoResidencialResidencial baixa renda – faixa 04Não se aplicaNão se aplicaPonta",Mercado_Receita!$L$2:$L$629)+SUMIF(Mercado_Receita!$S$2:$S$629,"44501B1Convencional pré-pagamentoResidencialResidencial baixa renda – faixa 04Não se aplicaNão se aplicaFora ponta",Mercado_Receita!$L$2:$L$629)+SUMIF(Mercado_Receita!$S$2:$S$629,"44501B1Convencional pré-pagamentoResidencialResidencial baixa renda – faixa 04Não se aplicaNão se aplicaIntermediário",Mercado_Receita!$L$2:$L$629)+SUMIF(Mercado_Receita!$S$2:$S$629,"44501B1Convencional pré-pagamentoResidencialResidencial baixa renda – faixa 04Não se aplicaNão se aplicaNão se aplica",Mercado_Receita!$L$2:$L$629)</f>
        <v>0</v>
      </c>
      <c r="N26" s="12">
        <f>SUMIF(Mercado_Receita!$S$2:$S$629,"44531B1Convencional pré-pagamentoResidencialResidencial baixa renda – faixa 04Não se aplicaNão se aplicaPonta",Mercado_Receita!$L$2:$L$629)+SUMIF(Mercado_Receita!$S$2:$S$629,"44531B1Convencional pré-pagamentoResidencialResidencial baixa renda – faixa 04Não se aplicaNão se aplicaFora ponta",Mercado_Receita!$L$2:$L$629)+SUMIF(Mercado_Receita!$S$2:$S$629,"44531B1Convencional pré-pagamentoResidencialResidencial baixa renda – faixa 04Não se aplicaNão se aplicaIntermediário",Mercado_Receita!$L$2:$L$629)+SUMIF(Mercado_Receita!$S$2:$S$629,"44531B1Convencional pré-pagamentoResidencialResidencial baixa renda – faixa 04Não se aplicaNão se aplicaNão se aplica",Mercado_Receita!$L$2:$L$629)</f>
        <v>0</v>
      </c>
      <c r="O26" s="12">
        <f>SUMIF(Mercado_Receita!$S$2:$S$629,"44562B1Convencional pré-pagamentoResidencialResidencial baixa renda – faixa 04Não se aplicaNão se aplicaPonta",Mercado_Receita!$L$2:$L$629)+SUMIF(Mercado_Receita!$S$2:$S$629,"44562B1Convencional pré-pagamentoResidencialResidencial baixa renda – faixa 04Não se aplicaNão se aplicaFora ponta",Mercado_Receita!$L$2:$L$629)+SUMIF(Mercado_Receita!$S$2:$S$629,"44562B1Convencional pré-pagamentoResidencialResidencial baixa renda – faixa 04Não se aplicaNão se aplicaIntermediário",Mercado_Receita!$L$2:$L$629)+SUMIF(Mercado_Receita!$S$2:$S$629,"44562B1Convencional pré-pagamentoResidencialResidencial baixa renda – faixa 04Não se aplicaNão se aplicaNão se aplica",Mercado_Receita!$L$2:$L$629)</f>
        <v>0</v>
      </c>
      <c r="P26" s="12">
        <f>SUMIF(Mercado_Receita!$S$2:$S$629,"44593B1Convencional pré-pagamentoResidencialResidencial baixa renda – faixa 04Não se aplicaNão se aplicaPonta",Mercado_Receita!$L$2:$L$629)+SUMIF(Mercado_Receita!$S$2:$S$629,"44593B1Convencional pré-pagamentoResidencialResidencial baixa renda – faixa 04Não se aplicaNão se aplicaFora ponta",Mercado_Receita!$L$2:$L$629)+SUMIF(Mercado_Receita!$S$2:$S$629,"44593B1Convencional pré-pagamentoResidencialResidencial baixa renda – faixa 04Não se aplicaNão se aplicaIntermediário",Mercado_Receita!$L$2:$L$629)+SUMIF(Mercado_Receita!$S$2:$S$629,"44593B1Convencional pré-pagamentoResidencialResidencial baixa renda – faixa 04Não se aplicaNão se aplicaNão se aplica",Mercado_Receita!$L$2:$L$629)</f>
        <v>0</v>
      </c>
      <c r="Q26" s="12">
        <f>SUMIF(Mercado_Receita!$S$2:$S$629,"44621B1Convencional pré-pagamentoResidencialResidencial baixa renda – faixa 04Não se aplicaNão se aplicaPonta",Mercado_Receita!$L$2:$L$629)+SUMIF(Mercado_Receita!$S$2:$S$629,"44621B1Convencional pré-pagamentoResidencialResidencial baixa renda – faixa 04Não se aplicaNão se aplicaFora ponta",Mercado_Receita!$L$2:$L$629)+SUMIF(Mercado_Receita!$S$2:$S$629,"44621B1Convencional pré-pagamentoResidencialResidencial baixa renda – faixa 04Não se aplicaNão se aplicaIntermediário",Mercado_Receita!$L$2:$L$629)+SUMIF(Mercado_Receita!$S$2:$S$629,"44621B1Convencional pré-pagamentoResidencialResidencial baixa renda – faixa 04Não se aplicaNão se aplicaNão se aplica",Mercado_Receita!$L$2:$L$629)</f>
        <v>0</v>
      </c>
      <c r="R26" s="12">
        <f>SUMIF(Mercado_Receita!$S$2:$S$629,"44652B1Convencional pré-pagamentoResidencialResidencial baixa renda – faixa 04Não se aplicaNão se aplicaPonta",Mercado_Receita!$L$2:$L$629)+SUMIF(Mercado_Receita!$S$2:$S$629,"44652B1Convencional pré-pagamentoResidencialResidencial baixa renda – faixa 04Não se aplicaNão se aplicaFora ponta",Mercado_Receita!$L$2:$L$629)+SUMIF(Mercado_Receita!$S$2:$S$629,"44652B1Convencional pré-pagamentoResidencialResidencial baixa renda – faixa 04Não se aplicaNão se aplicaIntermediário",Mercado_Receita!$L$2:$L$629)+SUMIF(Mercado_Receita!$S$2:$S$629,"44652B1Convencional pré-pagamentoResidencialResidencial baixa renda – faixa 04Não se aplicaNão se aplicaNão se aplica",Mercado_Receita!$L$2:$L$629)</f>
        <v>0</v>
      </c>
      <c r="S26" s="12">
        <f>SUMIF(Mercado_Receita!$S$2:$S$629,"44682B1Convencional pré-pagamentoResidencialResidencial baixa renda – faixa 04Não se aplicaNão se aplicaPonta",Mercado_Receita!$L$2:$L$629)+SUMIF(Mercado_Receita!$S$2:$S$629,"44682B1Convencional pré-pagamentoResidencialResidencial baixa renda – faixa 04Não se aplicaNão se aplicaFora ponta",Mercado_Receita!$L$2:$L$629)+SUMIF(Mercado_Receita!$S$2:$S$629,"44682B1Convencional pré-pagamentoResidencialResidencial baixa renda – faixa 04Não se aplicaNão se aplicaIntermediário",Mercado_Receita!$L$2:$L$629)+SUMIF(Mercado_Receita!$S$2:$S$629,"44682B1Convencional pré-pagamentoResidencialResidencial baixa renda – faixa 04Não se aplicaNão se aplicaNão se aplica",Mercado_Receita!$L$2:$L$629)</f>
        <v>0</v>
      </c>
      <c r="T26" s="12">
        <f>SUMIF(Mercado_Receita!$S$2:$S$629,"44713B1Convencional pré-pagamentoResidencialResidencial baixa renda – faixa 04Não se aplicaNão se aplicaPonta",Mercado_Receita!$L$2:$L$629)+SUMIF(Mercado_Receita!$S$2:$S$629,"44713B1Convencional pré-pagamentoResidencialResidencial baixa renda – faixa 04Não se aplicaNão se aplicaFora ponta",Mercado_Receita!$L$2:$L$629)+SUMIF(Mercado_Receita!$S$2:$S$629,"44713B1Convencional pré-pagamentoResidencialResidencial baixa renda – faixa 04Não se aplicaNão se aplicaIntermediário",Mercado_Receita!$L$2:$L$629)+SUMIF(Mercado_Receita!$S$2:$S$629,"44713B1Convencional pré-pagamentoResidencialResidencial baixa renda – faixa 04Não se aplicaNão se aplicaNão se aplica",Mercado_Receita!$L$2:$L$629)</f>
        <v>0</v>
      </c>
      <c r="U26" s="12">
        <f t="shared" si="0"/>
        <v>0</v>
      </c>
      <c r="V26" s="12"/>
      <c r="W26" s="12"/>
    </row>
    <row r="27" spans="1:23" ht="11.25" customHeight="1" x14ac:dyDescent="0.25">
      <c r="A27" s="151" t="s">
        <v>42</v>
      </c>
      <c r="B27" s="151" t="s">
        <v>32</v>
      </c>
      <c r="C27" s="151" t="s">
        <v>43</v>
      </c>
      <c r="D27" s="151" t="s">
        <v>25</v>
      </c>
      <c r="E27" s="151" t="s">
        <v>25</v>
      </c>
      <c r="F27" s="151" t="s">
        <v>25</v>
      </c>
      <c r="G27" s="12" t="s">
        <v>79</v>
      </c>
      <c r="H27" s="12" t="s">
        <v>78</v>
      </c>
      <c r="I27" s="12">
        <f>SUMIF(Mercado_Receita!$S$2:$S$629,"44378B2BrancaRuralNão se aplicaNão se aplicaNão se aplicaPonta",Mercado_Receita!$L$2:$L$629)</f>
        <v>0</v>
      </c>
      <c r="J27" s="12">
        <f>SUMIF(Mercado_Receita!$S$2:$S$629,"44409B2BrancaRuralNão se aplicaNão se aplicaNão se aplicaPonta",Mercado_Receita!$L$2:$L$629)</f>
        <v>0</v>
      </c>
      <c r="K27" s="12">
        <f>SUMIF(Mercado_Receita!$S$2:$S$629,"44440B2BrancaRuralNão se aplicaNão se aplicaNão se aplicaPonta",Mercado_Receita!$L$2:$L$629)</f>
        <v>0</v>
      </c>
      <c r="L27" s="12">
        <f>SUMIF(Mercado_Receita!$S$2:$S$629,"44470B2BrancaRuralNão se aplicaNão se aplicaNão se aplicaPonta",Mercado_Receita!$L$2:$L$629)</f>
        <v>0</v>
      </c>
      <c r="M27" s="12">
        <f>SUMIF(Mercado_Receita!$S$2:$S$629,"44501B2BrancaRuralNão se aplicaNão se aplicaNão se aplicaPonta",Mercado_Receita!$L$2:$L$629)</f>
        <v>0</v>
      </c>
      <c r="N27" s="12">
        <f>SUMIF(Mercado_Receita!$S$2:$S$629,"44531B2BrancaRuralNão se aplicaNão se aplicaNão se aplicaPonta",Mercado_Receita!$L$2:$L$629)</f>
        <v>0</v>
      </c>
      <c r="O27" s="12">
        <f>SUMIF(Mercado_Receita!$S$2:$S$629,"44562B2BrancaRuralNão se aplicaNão se aplicaNão se aplicaPonta",Mercado_Receita!$L$2:$L$629)</f>
        <v>0</v>
      </c>
      <c r="P27" s="12">
        <f>SUMIF(Mercado_Receita!$S$2:$S$629,"44593B2BrancaRuralNão se aplicaNão se aplicaNão se aplicaPonta",Mercado_Receita!$L$2:$L$629)</f>
        <v>0</v>
      </c>
      <c r="Q27" s="12">
        <f>SUMIF(Mercado_Receita!$S$2:$S$629,"44621B2BrancaRuralNão se aplicaNão se aplicaNão se aplicaPonta",Mercado_Receita!$L$2:$L$629)</f>
        <v>0</v>
      </c>
      <c r="R27" s="12">
        <f>SUMIF(Mercado_Receita!$S$2:$S$629,"44652B2BrancaRuralNão se aplicaNão se aplicaNão se aplicaPonta",Mercado_Receita!$L$2:$L$629)</f>
        <v>0</v>
      </c>
      <c r="S27" s="12">
        <f>SUMIF(Mercado_Receita!$S$2:$S$629,"44682B2BrancaRuralNão se aplicaNão se aplicaNão se aplicaPonta",Mercado_Receita!$L$2:$L$629)</f>
        <v>0</v>
      </c>
      <c r="T27" s="12">
        <f>SUMIF(Mercado_Receita!$S$2:$S$629,"44713B2BrancaRuralNão se aplicaNão se aplicaNão se aplicaPonta",Mercado_Receita!$L$2:$L$629)</f>
        <v>0</v>
      </c>
      <c r="U27" s="12">
        <f t="shared" si="0"/>
        <v>0</v>
      </c>
      <c r="V27" s="12"/>
      <c r="W27" s="12"/>
    </row>
    <row r="28" spans="1:23" ht="11.25" customHeight="1" x14ac:dyDescent="0.25">
      <c r="A28" s="152"/>
      <c r="B28" s="152"/>
      <c r="C28" s="152"/>
      <c r="D28" s="152"/>
      <c r="E28" s="152"/>
      <c r="F28" s="152"/>
      <c r="G28" s="12" t="s">
        <v>92</v>
      </c>
      <c r="H28" s="12" t="s">
        <v>78</v>
      </c>
      <c r="I28" s="12">
        <f>SUMIF(Mercado_Receita!$S$2:$S$629,"44378B2BrancaRuralNão se aplicaNão se aplicaNão se aplicaIntermediário",Mercado_Receita!$L$2:$L$629)</f>
        <v>0</v>
      </c>
      <c r="J28" s="12">
        <f>SUMIF(Mercado_Receita!$S$2:$S$629,"44409B2BrancaRuralNão se aplicaNão se aplicaNão se aplicaIntermediário",Mercado_Receita!$L$2:$L$629)</f>
        <v>0</v>
      </c>
      <c r="K28" s="12">
        <f>SUMIF(Mercado_Receita!$S$2:$S$629,"44440B2BrancaRuralNão se aplicaNão se aplicaNão se aplicaIntermediário",Mercado_Receita!$L$2:$L$629)</f>
        <v>0</v>
      </c>
      <c r="L28" s="12">
        <f>SUMIF(Mercado_Receita!$S$2:$S$629,"44470B2BrancaRuralNão se aplicaNão se aplicaNão se aplicaIntermediário",Mercado_Receita!$L$2:$L$629)</f>
        <v>0</v>
      </c>
      <c r="M28" s="12">
        <f>SUMIF(Mercado_Receita!$S$2:$S$629,"44501B2BrancaRuralNão se aplicaNão se aplicaNão se aplicaIntermediário",Mercado_Receita!$L$2:$L$629)</f>
        <v>0</v>
      </c>
      <c r="N28" s="12">
        <f>SUMIF(Mercado_Receita!$S$2:$S$629,"44531B2BrancaRuralNão se aplicaNão se aplicaNão se aplicaIntermediário",Mercado_Receita!$L$2:$L$629)</f>
        <v>0</v>
      </c>
      <c r="O28" s="12">
        <f>SUMIF(Mercado_Receita!$S$2:$S$629,"44562B2BrancaRuralNão se aplicaNão se aplicaNão se aplicaIntermediário",Mercado_Receita!$L$2:$L$629)</f>
        <v>0</v>
      </c>
      <c r="P28" s="12">
        <f>SUMIF(Mercado_Receita!$S$2:$S$629,"44593B2BrancaRuralNão se aplicaNão se aplicaNão se aplicaIntermediário",Mercado_Receita!$L$2:$L$629)</f>
        <v>0</v>
      </c>
      <c r="Q28" s="12">
        <f>SUMIF(Mercado_Receita!$S$2:$S$629,"44621B2BrancaRuralNão se aplicaNão se aplicaNão se aplicaIntermediário",Mercado_Receita!$L$2:$L$629)</f>
        <v>0</v>
      </c>
      <c r="R28" s="12">
        <f>SUMIF(Mercado_Receita!$S$2:$S$629,"44652B2BrancaRuralNão se aplicaNão se aplicaNão se aplicaIntermediário",Mercado_Receita!$L$2:$L$629)</f>
        <v>0</v>
      </c>
      <c r="S28" s="12">
        <f>SUMIF(Mercado_Receita!$S$2:$S$629,"44682B2BrancaRuralNão se aplicaNão se aplicaNão se aplicaIntermediário",Mercado_Receita!$L$2:$L$629)</f>
        <v>0</v>
      </c>
      <c r="T28" s="12">
        <f>SUMIF(Mercado_Receita!$S$2:$S$629,"44713B2BrancaRuralNão se aplicaNão se aplicaNão se aplicaIntermediário",Mercado_Receita!$L$2:$L$629)</f>
        <v>0</v>
      </c>
      <c r="U28" s="12">
        <f t="shared" si="0"/>
        <v>0</v>
      </c>
      <c r="V28" s="12"/>
      <c r="W28" s="12"/>
    </row>
    <row r="29" spans="1:23" ht="11.25" customHeight="1" x14ac:dyDescent="0.25">
      <c r="A29" s="152"/>
      <c r="B29" s="152"/>
      <c r="C29" s="152"/>
      <c r="D29" s="152"/>
      <c r="E29" s="152"/>
      <c r="F29" s="152"/>
      <c r="G29" s="12" t="s">
        <v>80</v>
      </c>
      <c r="H29" s="12" t="s">
        <v>78</v>
      </c>
      <c r="I29" s="12">
        <f>SUMIF(Mercado_Receita!$S$2:$S$629,"44378B2BrancaRuralNão se aplicaNão se aplicaNão se aplicaFora ponta",Mercado_Receita!$L$2:$L$629)</f>
        <v>0</v>
      </c>
      <c r="J29" s="12">
        <f>SUMIF(Mercado_Receita!$S$2:$S$629,"44409B2BrancaRuralNão se aplicaNão se aplicaNão se aplicaFora ponta",Mercado_Receita!$L$2:$L$629)</f>
        <v>0</v>
      </c>
      <c r="K29" s="12">
        <f>SUMIF(Mercado_Receita!$S$2:$S$629,"44440B2BrancaRuralNão se aplicaNão se aplicaNão se aplicaFora ponta",Mercado_Receita!$L$2:$L$629)</f>
        <v>0</v>
      </c>
      <c r="L29" s="12">
        <f>SUMIF(Mercado_Receita!$S$2:$S$629,"44470B2BrancaRuralNão se aplicaNão se aplicaNão se aplicaFora ponta",Mercado_Receita!$L$2:$L$629)</f>
        <v>0</v>
      </c>
      <c r="M29" s="12">
        <f>SUMIF(Mercado_Receita!$S$2:$S$629,"44501B2BrancaRuralNão se aplicaNão se aplicaNão se aplicaFora ponta",Mercado_Receita!$L$2:$L$629)</f>
        <v>0</v>
      </c>
      <c r="N29" s="12">
        <f>SUMIF(Mercado_Receita!$S$2:$S$629,"44531B2BrancaRuralNão se aplicaNão se aplicaNão se aplicaFora ponta",Mercado_Receita!$L$2:$L$629)</f>
        <v>0</v>
      </c>
      <c r="O29" s="12">
        <f>SUMIF(Mercado_Receita!$S$2:$S$629,"44562B2BrancaRuralNão se aplicaNão se aplicaNão se aplicaFora ponta",Mercado_Receita!$L$2:$L$629)</f>
        <v>0</v>
      </c>
      <c r="P29" s="12">
        <f>SUMIF(Mercado_Receita!$S$2:$S$629,"44593B2BrancaRuralNão se aplicaNão se aplicaNão se aplicaFora ponta",Mercado_Receita!$L$2:$L$629)</f>
        <v>0</v>
      </c>
      <c r="Q29" s="12">
        <f>SUMIF(Mercado_Receita!$S$2:$S$629,"44621B2BrancaRuralNão se aplicaNão se aplicaNão se aplicaFora ponta",Mercado_Receita!$L$2:$L$629)</f>
        <v>0</v>
      </c>
      <c r="R29" s="12">
        <f>SUMIF(Mercado_Receita!$S$2:$S$629,"44652B2BrancaRuralNão se aplicaNão se aplicaNão se aplicaFora ponta",Mercado_Receita!$L$2:$L$629)</f>
        <v>0</v>
      </c>
      <c r="S29" s="12">
        <f>SUMIF(Mercado_Receita!$S$2:$S$629,"44682B2BrancaRuralNão se aplicaNão se aplicaNão se aplicaFora ponta",Mercado_Receita!$L$2:$L$629)</f>
        <v>0</v>
      </c>
      <c r="T29" s="12">
        <f>SUMIF(Mercado_Receita!$S$2:$S$629,"44713B2BrancaRuralNão se aplicaNão se aplicaNão se aplicaFora ponta",Mercado_Receita!$L$2:$L$629)</f>
        <v>0</v>
      </c>
      <c r="U29" s="12">
        <f t="shared" si="0"/>
        <v>0</v>
      </c>
      <c r="V29" s="12"/>
      <c r="W29" s="12"/>
    </row>
    <row r="30" spans="1:23" ht="11.25" customHeight="1" x14ac:dyDescent="0.25">
      <c r="A30" s="152"/>
      <c r="B30" s="13" t="s">
        <v>23</v>
      </c>
      <c r="C30" s="13" t="s">
        <v>43</v>
      </c>
      <c r="D30" s="13" t="s">
        <v>25</v>
      </c>
      <c r="E30" s="13" t="s">
        <v>25</v>
      </c>
      <c r="F30" s="13" t="s">
        <v>25</v>
      </c>
      <c r="G30" s="12" t="s">
        <v>82</v>
      </c>
      <c r="H30" s="12" t="s">
        <v>78</v>
      </c>
      <c r="I30" s="12">
        <f>SUMIF(Mercado_Receita!$S$2:$S$629,"44378B2ConvencionalRuralNão se aplicaNão se aplicaNão se aplicaPonta",Mercado_Receita!$L$2:$L$629)+SUMIF(Mercado_Receita!$S$2:$S$629,"44378B2ConvencionalRuralNão se aplicaNão se aplicaNão se aplicaFora ponta",Mercado_Receita!$L$2:$L$629)+SUMIF(Mercado_Receita!$S$2:$S$629,"44378B2ConvencionalRuralNão se aplicaNão se aplicaNão se aplicaIntermediário",Mercado_Receita!$L$2:$L$629)+SUMIF(Mercado_Receita!$S$2:$S$629,"44378B2ConvencionalRuralNão se aplicaNão se aplicaNão se aplicaNão se aplica",Mercado_Receita!$L$2:$L$629)</f>
        <v>131.81799999999998</v>
      </c>
      <c r="J30" s="12">
        <f>SUMIF(Mercado_Receita!$S$2:$S$629,"44409B2ConvencionalRuralNão se aplicaNão se aplicaNão se aplicaPonta",Mercado_Receita!$L$2:$L$629)+SUMIF(Mercado_Receita!$S$2:$S$629,"44409B2ConvencionalRuralNão se aplicaNão se aplicaNão se aplicaFora ponta",Mercado_Receita!$L$2:$L$629)+SUMIF(Mercado_Receita!$S$2:$S$629,"44409B2ConvencionalRuralNão se aplicaNão se aplicaNão se aplicaIntermediário",Mercado_Receita!$L$2:$L$629)+SUMIF(Mercado_Receita!$S$2:$S$629,"44409B2ConvencionalRuralNão se aplicaNão se aplicaNão se aplicaNão se aplica",Mercado_Receita!$L$2:$L$629)</f>
        <v>123.767</v>
      </c>
      <c r="K30" s="12">
        <f>SUMIF(Mercado_Receita!$S$2:$S$629,"44440B2ConvencionalRuralNão se aplicaNão se aplicaNão se aplicaPonta",Mercado_Receita!$L$2:$L$629)+SUMIF(Mercado_Receita!$S$2:$S$629,"44440B2ConvencionalRuralNão se aplicaNão se aplicaNão se aplicaFora ponta",Mercado_Receita!$L$2:$L$629)+SUMIF(Mercado_Receita!$S$2:$S$629,"44440B2ConvencionalRuralNão se aplicaNão se aplicaNão se aplicaIntermediário",Mercado_Receita!$L$2:$L$629)+SUMIF(Mercado_Receita!$S$2:$S$629,"44440B2ConvencionalRuralNão se aplicaNão se aplicaNão se aplicaNão se aplica",Mercado_Receita!$L$2:$L$629)</f>
        <v>134.55599999999998</v>
      </c>
      <c r="L30" s="12">
        <f>SUMIF(Mercado_Receita!$S$2:$S$629,"44470B2ConvencionalRuralNão se aplicaNão se aplicaNão se aplicaPonta",Mercado_Receita!$L$2:$L$629)+SUMIF(Mercado_Receita!$S$2:$S$629,"44470B2ConvencionalRuralNão se aplicaNão se aplicaNão se aplicaFora ponta",Mercado_Receita!$L$2:$L$629)+SUMIF(Mercado_Receita!$S$2:$S$629,"44470B2ConvencionalRuralNão se aplicaNão se aplicaNão se aplicaIntermediário",Mercado_Receita!$L$2:$L$629)+SUMIF(Mercado_Receita!$S$2:$S$629,"44470B2ConvencionalRuralNão se aplicaNão se aplicaNão se aplicaNão se aplica",Mercado_Receita!$L$2:$L$629)</f>
        <v>126.324</v>
      </c>
      <c r="M30" s="12">
        <f>SUMIF(Mercado_Receita!$S$2:$S$629,"44501B2ConvencionalRuralNão se aplicaNão se aplicaNão se aplicaPonta",Mercado_Receita!$L$2:$L$629)+SUMIF(Mercado_Receita!$S$2:$S$629,"44501B2ConvencionalRuralNão se aplicaNão se aplicaNão se aplicaFora ponta",Mercado_Receita!$L$2:$L$629)+SUMIF(Mercado_Receita!$S$2:$S$629,"44501B2ConvencionalRuralNão se aplicaNão se aplicaNão se aplicaIntermediário",Mercado_Receita!$L$2:$L$629)+SUMIF(Mercado_Receita!$S$2:$S$629,"44501B2ConvencionalRuralNão se aplicaNão se aplicaNão se aplicaNão se aplica",Mercado_Receita!$L$2:$L$629)</f>
        <v>157.417</v>
      </c>
      <c r="N30" s="12">
        <f>SUMIF(Mercado_Receita!$S$2:$S$629,"44531B2ConvencionalRuralNão se aplicaNão se aplicaNão se aplicaPonta",Mercado_Receita!$L$2:$L$629)+SUMIF(Mercado_Receita!$S$2:$S$629,"44531B2ConvencionalRuralNão se aplicaNão se aplicaNão se aplicaFora ponta",Mercado_Receita!$L$2:$L$629)+SUMIF(Mercado_Receita!$S$2:$S$629,"44531B2ConvencionalRuralNão se aplicaNão se aplicaNão se aplicaIntermediário",Mercado_Receita!$L$2:$L$629)+SUMIF(Mercado_Receita!$S$2:$S$629,"44531B2ConvencionalRuralNão se aplicaNão se aplicaNão se aplicaNão se aplica",Mercado_Receita!$L$2:$L$629)</f>
        <v>146.19299999999998</v>
      </c>
      <c r="O30" s="12">
        <f>SUMIF(Mercado_Receita!$S$2:$S$629,"44562B2ConvencionalRuralNão se aplicaNão se aplicaNão se aplicaPonta",Mercado_Receita!$L$2:$L$629)+SUMIF(Mercado_Receita!$S$2:$S$629,"44562B2ConvencionalRuralNão se aplicaNão se aplicaNão se aplicaFora ponta",Mercado_Receita!$L$2:$L$629)+SUMIF(Mercado_Receita!$S$2:$S$629,"44562B2ConvencionalRuralNão se aplicaNão se aplicaNão se aplicaIntermediário",Mercado_Receita!$L$2:$L$629)+SUMIF(Mercado_Receita!$S$2:$S$629,"44562B2ConvencionalRuralNão se aplicaNão se aplicaNão se aplicaNão se aplica",Mercado_Receita!$L$2:$L$629)</f>
        <v>159.542</v>
      </c>
      <c r="P30" s="12">
        <f>SUMIF(Mercado_Receita!$S$2:$S$629,"44593B2ConvencionalRuralNão se aplicaNão se aplicaNão se aplicaPonta",Mercado_Receita!$L$2:$L$629)+SUMIF(Mercado_Receita!$S$2:$S$629,"44593B2ConvencionalRuralNão se aplicaNão se aplicaNão se aplicaFora ponta",Mercado_Receita!$L$2:$L$629)+SUMIF(Mercado_Receita!$S$2:$S$629,"44593B2ConvencionalRuralNão se aplicaNão se aplicaNão se aplicaIntermediário",Mercado_Receita!$L$2:$L$629)+SUMIF(Mercado_Receita!$S$2:$S$629,"44593B2ConvencionalRuralNão se aplicaNão se aplicaNão se aplicaNão se aplica",Mercado_Receita!$L$2:$L$629)</f>
        <v>155.18100000000001</v>
      </c>
      <c r="Q30" s="12">
        <f>SUMIF(Mercado_Receita!$S$2:$S$629,"44621B2ConvencionalRuralNão se aplicaNão se aplicaNão se aplicaPonta",Mercado_Receita!$L$2:$L$629)+SUMIF(Mercado_Receita!$S$2:$S$629,"44621B2ConvencionalRuralNão se aplicaNão se aplicaNão se aplicaFora ponta",Mercado_Receita!$L$2:$L$629)+SUMIF(Mercado_Receita!$S$2:$S$629,"44621B2ConvencionalRuralNão se aplicaNão se aplicaNão se aplicaIntermediário",Mercado_Receita!$L$2:$L$629)+SUMIF(Mercado_Receita!$S$2:$S$629,"44621B2ConvencionalRuralNão se aplicaNão se aplicaNão se aplicaNão se aplica",Mercado_Receita!$L$2:$L$629)</f>
        <v>136.791</v>
      </c>
      <c r="R30" s="12">
        <f>SUMIF(Mercado_Receita!$S$2:$S$629,"44652B2ConvencionalRuralNão se aplicaNão se aplicaNão se aplicaPonta",Mercado_Receita!$L$2:$L$629)+SUMIF(Mercado_Receita!$S$2:$S$629,"44652B2ConvencionalRuralNão se aplicaNão se aplicaNão se aplicaFora ponta",Mercado_Receita!$L$2:$L$629)+SUMIF(Mercado_Receita!$S$2:$S$629,"44652B2ConvencionalRuralNão se aplicaNão se aplicaNão se aplicaIntermediário",Mercado_Receita!$L$2:$L$629)+SUMIF(Mercado_Receita!$S$2:$S$629,"44652B2ConvencionalRuralNão se aplicaNão se aplicaNão se aplicaNão se aplica",Mercado_Receita!$L$2:$L$629)</f>
        <v>150.94199999999998</v>
      </c>
      <c r="S30" s="12">
        <f>SUMIF(Mercado_Receita!$S$2:$S$629,"44682B2ConvencionalRuralNão se aplicaNão se aplicaNão se aplicaPonta",Mercado_Receita!$L$2:$L$629)+SUMIF(Mercado_Receita!$S$2:$S$629,"44682B2ConvencionalRuralNão se aplicaNão se aplicaNão se aplicaFora ponta",Mercado_Receita!$L$2:$L$629)+SUMIF(Mercado_Receita!$S$2:$S$629,"44682B2ConvencionalRuralNão se aplicaNão se aplicaNão se aplicaIntermediário",Mercado_Receita!$L$2:$L$629)+SUMIF(Mercado_Receita!$S$2:$S$629,"44682B2ConvencionalRuralNão se aplicaNão se aplicaNão se aplicaNão se aplica",Mercado_Receita!$L$2:$L$629)</f>
        <v>136.12099999999998</v>
      </c>
      <c r="T30" s="12">
        <f>SUMIF(Mercado_Receita!$S$2:$S$629,"44713B2ConvencionalRuralNão se aplicaNão se aplicaNão se aplicaPonta",Mercado_Receita!$L$2:$L$629)+SUMIF(Mercado_Receita!$S$2:$S$629,"44713B2ConvencionalRuralNão se aplicaNão se aplicaNão se aplicaFora ponta",Mercado_Receita!$L$2:$L$629)+SUMIF(Mercado_Receita!$S$2:$S$629,"44713B2ConvencionalRuralNão se aplicaNão se aplicaNão se aplicaIntermediário",Mercado_Receita!$L$2:$L$629)+SUMIF(Mercado_Receita!$S$2:$S$629,"44713B2ConvencionalRuralNão se aplicaNão se aplicaNão se aplicaNão se aplica",Mercado_Receita!$L$2:$L$629)</f>
        <v>136.12099999999998</v>
      </c>
      <c r="U30" s="12">
        <f t="shared" si="0"/>
        <v>1694.7730000000001</v>
      </c>
      <c r="V30" s="12"/>
      <c r="W30" s="12"/>
    </row>
    <row r="31" spans="1:23" ht="11.25" customHeight="1" x14ac:dyDescent="0.25">
      <c r="A31" s="152"/>
      <c r="B31" s="151" t="s">
        <v>32</v>
      </c>
      <c r="C31" s="151" t="s">
        <v>43</v>
      </c>
      <c r="D31" s="151" t="s">
        <v>95</v>
      </c>
      <c r="E31" s="151" t="s">
        <v>25</v>
      </c>
      <c r="F31" s="151" t="s">
        <v>25</v>
      </c>
      <c r="G31" s="12" t="s">
        <v>79</v>
      </c>
      <c r="H31" s="12" t="s">
        <v>78</v>
      </c>
      <c r="I31" s="12">
        <f>SUMIF(Mercado_Receita!$S$2:$S$629,"44378B2BrancaRuralCooperativa de eletrificação ruralNão se aplicaNão se aplicaPonta",Mercado_Receita!$L$2:$L$629)</f>
        <v>0</v>
      </c>
      <c r="J31" s="12">
        <f>SUMIF(Mercado_Receita!$S$2:$S$629,"44409B2BrancaRuralCooperativa de eletrificação ruralNão se aplicaNão se aplicaPonta",Mercado_Receita!$L$2:$L$629)</f>
        <v>0</v>
      </c>
      <c r="K31" s="12">
        <f>SUMIF(Mercado_Receita!$S$2:$S$629,"44440B2BrancaRuralCooperativa de eletrificação ruralNão se aplicaNão se aplicaPonta",Mercado_Receita!$L$2:$L$629)</f>
        <v>0</v>
      </c>
      <c r="L31" s="12">
        <f>SUMIF(Mercado_Receita!$S$2:$S$629,"44470B2BrancaRuralCooperativa de eletrificação ruralNão se aplicaNão se aplicaPonta",Mercado_Receita!$L$2:$L$629)</f>
        <v>0</v>
      </c>
      <c r="M31" s="12">
        <f>SUMIF(Mercado_Receita!$S$2:$S$629,"44501B2BrancaRuralCooperativa de eletrificação ruralNão se aplicaNão se aplicaPonta",Mercado_Receita!$L$2:$L$629)</f>
        <v>0</v>
      </c>
      <c r="N31" s="12">
        <f>SUMIF(Mercado_Receita!$S$2:$S$629,"44531B2BrancaRuralCooperativa de eletrificação ruralNão se aplicaNão se aplicaPonta",Mercado_Receita!$L$2:$L$629)</f>
        <v>0</v>
      </c>
      <c r="O31" s="12">
        <f>SUMIF(Mercado_Receita!$S$2:$S$629,"44562B2BrancaRuralCooperativa de eletrificação ruralNão se aplicaNão se aplicaPonta",Mercado_Receita!$L$2:$L$629)</f>
        <v>0</v>
      </c>
      <c r="P31" s="12">
        <f>SUMIF(Mercado_Receita!$S$2:$S$629,"44593B2BrancaRuralCooperativa de eletrificação ruralNão se aplicaNão se aplicaPonta",Mercado_Receita!$L$2:$L$629)</f>
        <v>0</v>
      </c>
      <c r="Q31" s="12">
        <f>SUMIF(Mercado_Receita!$S$2:$S$629,"44621B2BrancaRuralCooperativa de eletrificação ruralNão se aplicaNão se aplicaPonta",Mercado_Receita!$L$2:$L$629)</f>
        <v>0</v>
      </c>
      <c r="R31" s="12">
        <f>SUMIF(Mercado_Receita!$S$2:$S$629,"44652B2BrancaRuralCooperativa de eletrificação ruralNão se aplicaNão se aplicaPonta",Mercado_Receita!$L$2:$L$629)</f>
        <v>0</v>
      </c>
      <c r="S31" s="12">
        <f>SUMIF(Mercado_Receita!$S$2:$S$629,"44682B2BrancaRuralCooperativa de eletrificação ruralNão se aplicaNão se aplicaPonta",Mercado_Receita!$L$2:$L$629)</f>
        <v>0</v>
      </c>
      <c r="T31" s="12">
        <f>SUMIF(Mercado_Receita!$S$2:$S$629,"44713B2BrancaRuralCooperativa de eletrificação ruralNão se aplicaNão se aplicaPonta",Mercado_Receita!$L$2:$L$629)</f>
        <v>0</v>
      </c>
      <c r="U31" s="12">
        <f t="shared" si="0"/>
        <v>0</v>
      </c>
      <c r="V31" s="12"/>
      <c r="W31" s="12"/>
    </row>
    <row r="32" spans="1:23" ht="11.25" customHeight="1" x14ac:dyDescent="0.25">
      <c r="A32" s="152"/>
      <c r="B32" s="152"/>
      <c r="C32" s="152"/>
      <c r="D32" s="152"/>
      <c r="E32" s="152"/>
      <c r="F32" s="152"/>
      <c r="G32" s="12" t="s">
        <v>92</v>
      </c>
      <c r="H32" s="12" t="s">
        <v>78</v>
      </c>
      <c r="I32" s="12">
        <f>SUMIF(Mercado_Receita!$S$2:$S$629,"44378B2BrancaRuralCooperativa de eletrificação ruralNão se aplicaNão se aplicaIntermediário",Mercado_Receita!$L$2:$L$629)</f>
        <v>0</v>
      </c>
      <c r="J32" s="12">
        <f>SUMIF(Mercado_Receita!$S$2:$S$629,"44409B2BrancaRuralCooperativa de eletrificação ruralNão se aplicaNão se aplicaIntermediário",Mercado_Receita!$L$2:$L$629)</f>
        <v>0</v>
      </c>
      <c r="K32" s="12">
        <f>SUMIF(Mercado_Receita!$S$2:$S$629,"44440B2BrancaRuralCooperativa de eletrificação ruralNão se aplicaNão se aplicaIntermediário",Mercado_Receita!$L$2:$L$629)</f>
        <v>0</v>
      </c>
      <c r="L32" s="12">
        <f>SUMIF(Mercado_Receita!$S$2:$S$629,"44470B2BrancaRuralCooperativa de eletrificação ruralNão se aplicaNão se aplicaIntermediário",Mercado_Receita!$L$2:$L$629)</f>
        <v>0</v>
      </c>
      <c r="M32" s="12">
        <f>SUMIF(Mercado_Receita!$S$2:$S$629,"44501B2BrancaRuralCooperativa de eletrificação ruralNão se aplicaNão se aplicaIntermediário",Mercado_Receita!$L$2:$L$629)</f>
        <v>0</v>
      </c>
      <c r="N32" s="12">
        <f>SUMIF(Mercado_Receita!$S$2:$S$629,"44531B2BrancaRuralCooperativa de eletrificação ruralNão se aplicaNão se aplicaIntermediário",Mercado_Receita!$L$2:$L$629)</f>
        <v>0</v>
      </c>
      <c r="O32" s="12">
        <f>SUMIF(Mercado_Receita!$S$2:$S$629,"44562B2BrancaRuralCooperativa de eletrificação ruralNão se aplicaNão se aplicaIntermediário",Mercado_Receita!$L$2:$L$629)</f>
        <v>0</v>
      </c>
      <c r="P32" s="12">
        <f>SUMIF(Mercado_Receita!$S$2:$S$629,"44593B2BrancaRuralCooperativa de eletrificação ruralNão se aplicaNão se aplicaIntermediário",Mercado_Receita!$L$2:$L$629)</f>
        <v>0</v>
      </c>
      <c r="Q32" s="12">
        <f>SUMIF(Mercado_Receita!$S$2:$S$629,"44621B2BrancaRuralCooperativa de eletrificação ruralNão se aplicaNão se aplicaIntermediário",Mercado_Receita!$L$2:$L$629)</f>
        <v>0</v>
      </c>
      <c r="R32" s="12">
        <f>SUMIF(Mercado_Receita!$S$2:$S$629,"44652B2BrancaRuralCooperativa de eletrificação ruralNão se aplicaNão se aplicaIntermediário",Mercado_Receita!$L$2:$L$629)</f>
        <v>0</v>
      </c>
      <c r="S32" s="12">
        <f>SUMIF(Mercado_Receita!$S$2:$S$629,"44682B2BrancaRuralCooperativa de eletrificação ruralNão se aplicaNão se aplicaIntermediário",Mercado_Receita!$L$2:$L$629)</f>
        <v>0</v>
      </c>
      <c r="T32" s="12">
        <f>SUMIF(Mercado_Receita!$S$2:$S$629,"44713B2BrancaRuralCooperativa de eletrificação ruralNão se aplicaNão se aplicaIntermediário",Mercado_Receita!$L$2:$L$629)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152"/>
      <c r="B33" s="152"/>
      <c r="C33" s="152"/>
      <c r="D33" s="152"/>
      <c r="E33" s="152"/>
      <c r="F33" s="152"/>
      <c r="G33" s="12" t="s">
        <v>80</v>
      </c>
      <c r="H33" s="12" t="s">
        <v>78</v>
      </c>
      <c r="I33" s="12">
        <f>SUMIF(Mercado_Receita!$S$2:$S$629,"44378B2BrancaRuralCooperativa de eletrificação ruralNão se aplicaNão se aplicaFora ponta",Mercado_Receita!$L$2:$L$629)</f>
        <v>0</v>
      </c>
      <c r="J33" s="12">
        <f>SUMIF(Mercado_Receita!$S$2:$S$629,"44409B2BrancaRuralCooperativa de eletrificação ruralNão se aplicaNão se aplicaFora ponta",Mercado_Receita!$L$2:$L$629)</f>
        <v>0</v>
      </c>
      <c r="K33" s="12">
        <f>SUMIF(Mercado_Receita!$S$2:$S$629,"44440B2BrancaRuralCooperativa de eletrificação ruralNão se aplicaNão se aplicaFora ponta",Mercado_Receita!$L$2:$L$629)</f>
        <v>0</v>
      </c>
      <c r="L33" s="12">
        <f>SUMIF(Mercado_Receita!$S$2:$S$629,"44470B2BrancaRuralCooperativa de eletrificação ruralNão se aplicaNão se aplicaFora ponta",Mercado_Receita!$L$2:$L$629)</f>
        <v>0</v>
      </c>
      <c r="M33" s="12">
        <f>SUMIF(Mercado_Receita!$S$2:$S$629,"44501B2BrancaRuralCooperativa de eletrificação ruralNão se aplicaNão se aplicaFora ponta",Mercado_Receita!$L$2:$L$629)</f>
        <v>0</v>
      </c>
      <c r="N33" s="12">
        <f>SUMIF(Mercado_Receita!$S$2:$S$629,"44531B2BrancaRuralCooperativa de eletrificação ruralNão se aplicaNão se aplicaFora ponta",Mercado_Receita!$L$2:$L$629)</f>
        <v>0</v>
      </c>
      <c r="O33" s="12">
        <f>SUMIF(Mercado_Receita!$S$2:$S$629,"44562B2BrancaRuralCooperativa de eletrificação ruralNão se aplicaNão se aplicaFora ponta",Mercado_Receita!$L$2:$L$629)</f>
        <v>0</v>
      </c>
      <c r="P33" s="12">
        <f>SUMIF(Mercado_Receita!$S$2:$S$629,"44593B2BrancaRuralCooperativa de eletrificação ruralNão se aplicaNão se aplicaFora ponta",Mercado_Receita!$L$2:$L$629)</f>
        <v>0</v>
      </c>
      <c r="Q33" s="12">
        <f>SUMIF(Mercado_Receita!$S$2:$S$629,"44621B2BrancaRuralCooperativa de eletrificação ruralNão se aplicaNão se aplicaFora ponta",Mercado_Receita!$L$2:$L$629)</f>
        <v>0</v>
      </c>
      <c r="R33" s="12">
        <f>SUMIF(Mercado_Receita!$S$2:$S$629,"44652B2BrancaRuralCooperativa de eletrificação ruralNão se aplicaNão se aplicaFora ponta",Mercado_Receita!$L$2:$L$629)</f>
        <v>0</v>
      </c>
      <c r="S33" s="12">
        <f>SUMIF(Mercado_Receita!$S$2:$S$629,"44682B2BrancaRuralCooperativa de eletrificação ruralNão se aplicaNão se aplicaFora ponta",Mercado_Receita!$L$2:$L$629)</f>
        <v>0</v>
      </c>
      <c r="T33" s="12">
        <f>SUMIF(Mercado_Receita!$S$2:$S$629,"44713B2BrancaRuralCooperativa de eletrificação ruralNão se aplicaNão se aplicaFora ponta",Mercado_Receita!$L$2:$L$629)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152"/>
      <c r="B34" s="13" t="s">
        <v>23</v>
      </c>
      <c r="C34" s="13" t="s">
        <v>43</v>
      </c>
      <c r="D34" s="13" t="s">
        <v>95</v>
      </c>
      <c r="E34" s="13" t="s">
        <v>25</v>
      </c>
      <c r="F34" s="13" t="s">
        <v>25</v>
      </c>
      <c r="G34" s="12" t="s">
        <v>82</v>
      </c>
      <c r="H34" s="12" t="s">
        <v>78</v>
      </c>
      <c r="I34" s="12">
        <f>SUMIF(Mercado_Receita!$S$2:$S$629,"44378B2ConvencionalRuralCooperativa de eletrificação ruralNão se aplicaNão se aplicaPonta",Mercado_Receita!$L$2:$L$629)+SUMIF(Mercado_Receita!$S$2:$S$629,"44378B2ConvencionalRuralCooperativa de eletrificação ruralNão se aplicaNão se aplicaFora ponta",Mercado_Receita!$L$2:$L$629)+SUMIF(Mercado_Receita!$S$2:$S$629,"44378B2ConvencionalRuralCooperativa de eletrificação ruralNão se aplicaNão se aplicaIntermediário",Mercado_Receita!$L$2:$L$629)+SUMIF(Mercado_Receita!$S$2:$S$629,"44378B2ConvencionalRuralCooperativa de eletrificação ruralNão se aplicaNão se aplicaNão se aplica",Mercado_Receita!$L$2:$L$629)</f>
        <v>0</v>
      </c>
      <c r="J34" s="12">
        <f>SUMIF(Mercado_Receita!$S$2:$S$629,"44409B2ConvencionalRuralCooperativa de eletrificação ruralNão se aplicaNão se aplicaPonta",Mercado_Receita!$L$2:$L$629)+SUMIF(Mercado_Receita!$S$2:$S$629,"44409B2ConvencionalRuralCooperativa de eletrificação ruralNão se aplicaNão se aplicaFora ponta",Mercado_Receita!$L$2:$L$629)+SUMIF(Mercado_Receita!$S$2:$S$629,"44409B2ConvencionalRuralCooperativa de eletrificação ruralNão se aplicaNão se aplicaIntermediário",Mercado_Receita!$L$2:$L$629)+SUMIF(Mercado_Receita!$S$2:$S$629,"44409B2ConvencionalRuralCooperativa de eletrificação ruralNão se aplicaNão se aplicaNão se aplica",Mercado_Receita!$L$2:$L$629)</f>
        <v>0</v>
      </c>
      <c r="K34" s="12">
        <f>SUMIF(Mercado_Receita!$S$2:$S$629,"44440B2ConvencionalRuralCooperativa de eletrificação ruralNão se aplicaNão se aplicaPonta",Mercado_Receita!$L$2:$L$629)+SUMIF(Mercado_Receita!$S$2:$S$629,"44440B2ConvencionalRuralCooperativa de eletrificação ruralNão se aplicaNão se aplicaFora ponta",Mercado_Receita!$L$2:$L$629)+SUMIF(Mercado_Receita!$S$2:$S$629,"44440B2ConvencionalRuralCooperativa de eletrificação ruralNão se aplicaNão se aplicaIntermediário",Mercado_Receita!$L$2:$L$629)+SUMIF(Mercado_Receita!$S$2:$S$629,"44440B2ConvencionalRuralCooperativa de eletrificação ruralNão se aplicaNão se aplicaNão se aplica",Mercado_Receita!$L$2:$L$629)</f>
        <v>0</v>
      </c>
      <c r="L34" s="12">
        <f>SUMIF(Mercado_Receita!$S$2:$S$629,"44470B2ConvencionalRuralCooperativa de eletrificação ruralNão se aplicaNão se aplicaPonta",Mercado_Receita!$L$2:$L$629)+SUMIF(Mercado_Receita!$S$2:$S$629,"44470B2ConvencionalRuralCooperativa de eletrificação ruralNão se aplicaNão se aplicaFora ponta",Mercado_Receita!$L$2:$L$629)+SUMIF(Mercado_Receita!$S$2:$S$629,"44470B2ConvencionalRuralCooperativa de eletrificação ruralNão se aplicaNão se aplicaIntermediário",Mercado_Receita!$L$2:$L$629)+SUMIF(Mercado_Receita!$S$2:$S$629,"44470B2ConvencionalRuralCooperativa de eletrificação ruralNão se aplicaNão se aplicaNão se aplica",Mercado_Receita!$L$2:$L$629)</f>
        <v>0</v>
      </c>
      <c r="M34" s="12">
        <f>SUMIF(Mercado_Receita!$S$2:$S$629,"44501B2ConvencionalRuralCooperativa de eletrificação ruralNão se aplicaNão se aplicaPonta",Mercado_Receita!$L$2:$L$629)+SUMIF(Mercado_Receita!$S$2:$S$629,"44501B2ConvencionalRuralCooperativa de eletrificação ruralNão se aplicaNão se aplicaFora ponta",Mercado_Receita!$L$2:$L$629)+SUMIF(Mercado_Receita!$S$2:$S$629,"44501B2ConvencionalRuralCooperativa de eletrificação ruralNão se aplicaNão se aplicaIntermediário",Mercado_Receita!$L$2:$L$629)+SUMIF(Mercado_Receita!$S$2:$S$629,"44501B2ConvencionalRuralCooperativa de eletrificação ruralNão se aplicaNão se aplicaNão se aplica",Mercado_Receita!$L$2:$L$629)</f>
        <v>0</v>
      </c>
      <c r="N34" s="12">
        <f>SUMIF(Mercado_Receita!$S$2:$S$629,"44531B2ConvencionalRuralCooperativa de eletrificação ruralNão se aplicaNão se aplicaPonta",Mercado_Receita!$L$2:$L$629)+SUMIF(Mercado_Receita!$S$2:$S$629,"44531B2ConvencionalRuralCooperativa de eletrificação ruralNão se aplicaNão se aplicaFora ponta",Mercado_Receita!$L$2:$L$629)+SUMIF(Mercado_Receita!$S$2:$S$629,"44531B2ConvencionalRuralCooperativa de eletrificação ruralNão se aplicaNão se aplicaIntermediário",Mercado_Receita!$L$2:$L$629)+SUMIF(Mercado_Receita!$S$2:$S$629,"44531B2ConvencionalRuralCooperativa de eletrificação ruralNão se aplicaNão se aplicaNão se aplica",Mercado_Receita!$L$2:$L$629)</f>
        <v>0</v>
      </c>
      <c r="O34" s="12">
        <f>SUMIF(Mercado_Receita!$S$2:$S$629,"44562B2ConvencionalRuralCooperativa de eletrificação ruralNão se aplicaNão se aplicaPonta",Mercado_Receita!$L$2:$L$629)+SUMIF(Mercado_Receita!$S$2:$S$629,"44562B2ConvencionalRuralCooperativa de eletrificação ruralNão se aplicaNão se aplicaFora ponta",Mercado_Receita!$L$2:$L$629)+SUMIF(Mercado_Receita!$S$2:$S$629,"44562B2ConvencionalRuralCooperativa de eletrificação ruralNão se aplicaNão se aplicaIntermediário",Mercado_Receita!$L$2:$L$629)+SUMIF(Mercado_Receita!$S$2:$S$629,"44562B2ConvencionalRuralCooperativa de eletrificação ruralNão se aplicaNão se aplicaNão se aplica",Mercado_Receita!$L$2:$L$629)</f>
        <v>0</v>
      </c>
      <c r="P34" s="12">
        <f>SUMIF(Mercado_Receita!$S$2:$S$629,"44593B2ConvencionalRuralCooperativa de eletrificação ruralNão se aplicaNão se aplicaPonta",Mercado_Receita!$L$2:$L$629)+SUMIF(Mercado_Receita!$S$2:$S$629,"44593B2ConvencionalRuralCooperativa de eletrificação ruralNão se aplicaNão se aplicaFora ponta",Mercado_Receita!$L$2:$L$629)+SUMIF(Mercado_Receita!$S$2:$S$629,"44593B2ConvencionalRuralCooperativa de eletrificação ruralNão se aplicaNão se aplicaIntermediário",Mercado_Receita!$L$2:$L$629)+SUMIF(Mercado_Receita!$S$2:$S$629,"44593B2ConvencionalRuralCooperativa de eletrificação ruralNão se aplicaNão se aplicaNão se aplica",Mercado_Receita!$L$2:$L$629)</f>
        <v>0</v>
      </c>
      <c r="Q34" s="12">
        <f>SUMIF(Mercado_Receita!$S$2:$S$629,"44621B2ConvencionalRuralCooperativa de eletrificação ruralNão se aplicaNão se aplicaPonta",Mercado_Receita!$L$2:$L$629)+SUMIF(Mercado_Receita!$S$2:$S$629,"44621B2ConvencionalRuralCooperativa de eletrificação ruralNão se aplicaNão se aplicaFora ponta",Mercado_Receita!$L$2:$L$629)+SUMIF(Mercado_Receita!$S$2:$S$629,"44621B2ConvencionalRuralCooperativa de eletrificação ruralNão se aplicaNão se aplicaIntermediário",Mercado_Receita!$L$2:$L$629)+SUMIF(Mercado_Receita!$S$2:$S$629,"44621B2ConvencionalRuralCooperativa de eletrificação ruralNão se aplicaNão se aplicaNão se aplica",Mercado_Receita!$L$2:$L$629)</f>
        <v>0</v>
      </c>
      <c r="R34" s="12">
        <f>SUMIF(Mercado_Receita!$S$2:$S$629,"44652B2ConvencionalRuralCooperativa de eletrificação ruralNão se aplicaNão se aplicaPonta",Mercado_Receita!$L$2:$L$629)+SUMIF(Mercado_Receita!$S$2:$S$629,"44652B2ConvencionalRuralCooperativa de eletrificação ruralNão se aplicaNão se aplicaFora ponta",Mercado_Receita!$L$2:$L$629)+SUMIF(Mercado_Receita!$S$2:$S$629,"44652B2ConvencionalRuralCooperativa de eletrificação ruralNão se aplicaNão se aplicaIntermediário",Mercado_Receita!$L$2:$L$629)+SUMIF(Mercado_Receita!$S$2:$S$629,"44652B2ConvencionalRuralCooperativa de eletrificação ruralNão se aplicaNão se aplicaNão se aplica",Mercado_Receita!$L$2:$L$629)</f>
        <v>0</v>
      </c>
      <c r="S34" s="12">
        <f>SUMIF(Mercado_Receita!$S$2:$S$629,"44682B2ConvencionalRuralCooperativa de eletrificação ruralNão se aplicaNão se aplicaPonta",Mercado_Receita!$L$2:$L$629)+SUMIF(Mercado_Receita!$S$2:$S$629,"44682B2ConvencionalRuralCooperativa de eletrificação ruralNão se aplicaNão se aplicaFora ponta",Mercado_Receita!$L$2:$L$629)+SUMIF(Mercado_Receita!$S$2:$S$629,"44682B2ConvencionalRuralCooperativa de eletrificação ruralNão se aplicaNão se aplicaIntermediário",Mercado_Receita!$L$2:$L$629)+SUMIF(Mercado_Receita!$S$2:$S$629,"44682B2ConvencionalRuralCooperativa de eletrificação ruralNão se aplicaNão se aplicaNão se aplica",Mercado_Receita!$L$2:$L$629)</f>
        <v>0</v>
      </c>
      <c r="T34" s="12">
        <f>SUMIF(Mercado_Receita!$S$2:$S$629,"44713B2ConvencionalRuralCooperativa de eletrificação ruralNão se aplicaNão se aplicaPonta",Mercado_Receita!$L$2:$L$629)+SUMIF(Mercado_Receita!$S$2:$S$629,"44713B2ConvencionalRuralCooperativa de eletrificação ruralNão se aplicaNão se aplicaFora ponta",Mercado_Receita!$L$2:$L$629)+SUMIF(Mercado_Receita!$S$2:$S$629,"44713B2ConvencionalRuralCooperativa de eletrificação ruralNão se aplicaNão se aplicaIntermediário",Mercado_Receita!$L$2:$L$629)+SUMIF(Mercado_Receita!$S$2:$S$629,"44713B2ConvencionalRuralCooperativa de eletrificação ruralNão se aplicaNão se aplicaNão se aplica",Mercado_Receita!$L$2:$L$629)</f>
        <v>0</v>
      </c>
      <c r="U34" s="12">
        <f t="shared" si="0"/>
        <v>0</v>
      </c>
      <c r="V34" s="12"/>
      <c r="W34" s="12"/>
    </row>
    <row r="35" spans="1:23" ht="11.25" customHeight="1" x14ac:dyDescent="0.25">
      <c r="A35" s="152"/>
      <c r="B35" s="151" t="s">
        <v>32</v>
      </c>
      <c r="C35" s="151" t="s">
        <v>43</v>
      </c>
      <c r="D35" s="151" t="s">
        <v>96</v>
      </c>
      <c r="E35" s="151" t="s">
        <v>25</v>
      </c>
      <c r="F35" s="151" t="s">
        <v>25</v>
      </c>
      <c r="G35" s="12" t="s">
        <v>79</v>
      </c>
      <c r="H35" s="12" t="s">
        <v>78</v>
      </c>
      <c r="I35" s="12">
        <f>SUMIF(Mercado_Receita!$S$2:$S$629,"44378B2BrancaRuralServiço público de irrigação ruralNão se aplicaNão se aplicaPonta",Mercado_Receita!$L$2:$L$629)</f>
        <v>0</v>
      </c>
      <c r="J35" s="12">
        <f>SUMIF(Mercado_Receita!$S$2:$S$629,"44409B2BrancaRuralServiço público de irrigação ruralNão se aplicaNão se aplicaPonta",Mercado_Receita!$L$2:$L$629)</f>
        <v>0</v>
      </c>
      <c r="K35" s="12">
        <f>SUMIF(Mercado_Receita!$S$2:$S$629,"44440B2BrancaRuralServiço público de irrigação ruralNão se aplicaNão se aplicaPonta",Mercado_Receita!$L$2:$L$629)</f>
        <v>0</v>
      </c>
      <c r="L35" s="12">
        <f>SUMIF(Mercado_Receita!$S$2:$S$629,"44470B2BrancaRuralServiço público de irrigação ruralNão se aplicaNão se aplicaPonta",Mercado_Receita!$L$2:$L$629)</f>
        <v>0</v>
      </c>
      <c r="M35" s="12">
        <f>SUMIF(Mercado_Receita!$S$2:$S$629,"44501B2BrancaRuralServiço público de irrigação ruralNão se aplicaNão se aplicaPonta",Mercado_Receita!$L$2:$L$629)</f>
        <v>0</v>
      </c>
      <c r="N35" s="12">
        <f>SUMIF(Mercado_Receita!$S$2:$S$629,"44531B2BrancaRuralServiço público de irrigação ruralNão se aplicaNão se aplicaPonta",Mercado_Receita!$L$2:$L$629)</f>
        <v>0</v>
      </c>
      <c r="O35" s="12">
        <f>SUMIF(Mercado_Receita!$S$2:$S$629,"44562B2BrancaRuralServiço público de irrigação ruralNão se aplicaNão se aplicaPonta",Mercado_Receita!$L$2:$L$629)</f>
        <v>0</v>
      </c>
      <c r="P35" s="12">
        <f>SUMIF(Mercado_Receita!$S$2:$S$629,"44593B2BrancaRuralServiço público de irrigação ruralNão se aplicaNão se aplicaPonta",Mercado_Receita!$L$2:$L$629)</f>
        <v>0</v>
      </c>
      <c r="Q35" s="12">
        <f>SUMIF(Mercado_Receita!$S$2:$S$629,"44621B2BrancaRuralServiço público de irrigação ruralNão se aplicaNão se aplicaPonta",Mercado_Receita!$L$2:$L$629)</f>
        <v>0</v>
      </c>
      <c r="R35" s="12">
        <f>SUMIF(Mercado_Receita!$S$2:$S$629,"44652B2BrancaRuralServiço público de irrigação ruralNão se aplicaNão se aplicaPonta",Mercado_Receita!$L$2:$L$629)</f>
        <v>0</v>
      </c>
      <c r="S35" s="12">
        <f>SUMIF(Mercado_Receita!$S$2:$S$629,"44682B2BrancaRuralServiço público de irrigação ruralNão se aplicaNão se aplicaPonta",Mercado_Receita!$L$2:$L$629)</f>
        <v>0</v>
      </c>
      <c r="T35" s="12">
        <f>SUMIF(Mercado_Receita!$S$2:$S$629,"44713B2BrancaRuralServiço público de irrigação ruralNão se aplicaNão se aplicaPonta",Mercado_Receita!$L$2:$L$629)</f>
        <v>0</v>
      </c>
      <c r="U35" s="12">
        <f t="shared" si="0"/>
        <v>0</v>
      </c>
      <c r="V35" s="12"/>
      <c r="W35" s="12"/>
    </row>
    <row r="36" spans="1:23" ht="11.25" customHeight="1" x14ac:dyDescent="0.25">
      <c r="A36" s="152"/>
      <c r="B36" s="152"/>
      <c r="C36" s="152"/>
      <c r="D36" s="152"/>
      <c r="E36" s="152"/>
      <c r="F36" s="152"/>
      <c r="G36" s="12" t="s">
        <v>92</v>
      </c>
      <c r="H36" s="12" t="s">
        <v>78</v>
      </c>
      <c r="I36" s="12">
        <f>SUMIF(Mercado_Receita!$S$2:$S$629,"44378B2BrancaRuralServiço público de irrigação ruralNão se aplicaNão se aplicaIntermediário",Mercado_Receita!$L$2:$L$629)</f>
        <v>0</v>
      </c>
      <c r="J36" s="12">
        <f>SUMIF(Mercado_Receita!$S$2:$S$629,"44409B2BrancaRuralServiço público de irrigação ruralNão se aplicaNão se aplicaIntermediário",Mercado_Receita!$L$2:$L$629)</f>
        <v>0</v>
      </c>
      <c r="K36" s="12">
        <f>SUMIF(Mercado_Receita!$S$2:$S$629,"44440B2BrancaRuralServiço público de irrigação ruralNão se aplicaNão se aplicaIntermediário",Mercado_Receita!$L$2:$L$629)</f>
        <v>0</v>
      </c>
      <c r="L36" s="12">
        <f>SUMIF(Mercado_Receita!$S$2:$S$629,"44470B2BrancaRuralServiço público de irrigação ruralNão se aplicaNão se aplicaIntermediário",Mercado_Receita!$L$2:$L$629)</f>
        <v>0</v>
      </c>
      <c r="M36" s="12">
        <f>SUMIF(Mercado_Receita!$S$2:$S$629,"44501B2BrancaRuralServiço público de irrigação ruralNão se aplicaNão se aplicaIntermediário",Mercado_Receita!$L$2:$L$629)</f>
        <v>0</v>
      </c>
      <c r="N36" s="12">
        <f>SUMIF(Mercado_Receita!$S$2:$S$629,"44531B2BrancaRuralServiço público de irrigação ruralNão se aplicaNão se aplicaIntermediário",Mercado_Receita!$L$2:$L$629)</f>
        <v>0</v>
      </c>
      <c r="O36" s="12">
        <f>SUMIF(Mercado_Receita!$S$2:$S$629,"44562B2BrancaRuralServiço público de irrigação ruralNão se aplicaNão se aplicaIntermediário",Mercado_Receita!$L$2:$L$629)</f>
        <v>0</v>
      </c>
      <c r="P36" s="12">
        <f>SUMIF(Mercado_Receita!$S$2:$S$629,"44593B2BrancaRuralServiço público de irrigação ruralNão se aplicaNão se aplicaIntermediário",Mercado_Receita!$L$2:$L$629)</f>
        <v>0</v>
      </c>
      <c r="Q36" s="12">
        <f>SUMIF(Mercado_Receita!$S$2:$S$629,"44621B2BrancaRuralServiço público de irrigação ruralNão se aplicaNão se aplicaIntermediário",Mercado_Receita!$L$2:$L$629)</f>
        <v>0</v>
      </c>
      <c r="R36" s="12">
        <f>SUMIF(Mercado_Receita!$S$2:$S$629,"44652B2BrancaRuralServiço público de irrigação ruralNão se aplicaNão se aplicaIntermediário",Mercado_Receita!$L$2:$L$629)</f>
        <v>0</v>
      </c>
      <c r="S36" s="12">
        <f>SUMIF(Mercado_Receita!$S$2:$S$629,"44682B2BrancaRuralServiço público de irrigação ruralNão se aplicaNão se aplicaIntermediário",Mercado_Receita!$L$2:$L$629)</f>
        <v>0</v>
      </c>
      <c r="T36" s="12">
        <f>SUMIF(Mercado_Receita!$S$2:$S$629,"44713B2BrancaRuralServiço público de irrigação ruralNão se aplicaNão se aplicaIntermediário",Mercado_Receita!$L$2:$L$629)</f>
        <v>0</v>
      </c>
      <c r="U36" s="12">
        <f t="shared" si="0"/>
        <v>0</v>
      </c>
      <c r="V36" s="12"/>
      <c r="W36" s="12"/>
    </row>
    <row r="37" spans="1:23" ht="11.25" customHeight="1" x14ac:dyDescent="0.25">
      <c r="A37" s="152"/>
      <c r="B37" s="152"/>
      <c r="C37" s="152"/>
      <c r="D37" s="152"/>
      <c r="E37" s="152"/>
      <c r="F37" s="152"/>
      <c r="G37" s="12" t="s">
        <v>80</v>
      </c>
      <c r="H37" s="12" t="s">
        <v>78</v>
      </c>
      <c r="I37" s="12">
        <f>SUMIF(Mercado_Receita!$S$2:$S$629,"44378B2BrancaRuralServiço público de irrigação ruralNão se aplicaNão se aplicaFora ponta",Mercado_Receita!$L$2:$L$629)</f>
        <v>0</v>
      </c>
      <c r="J37" s="12">
        <f>SUMIF(Mercado_Receita!$S$2:$S$629,"44409B2BrancaRuralServiço público de irrigação ruralNão se aplicaNão se aplicaFora ponta",Mercado_Receita!$L$2:$L$629)</f>
        <v>0</v>
      </c>
      <c r="K37" s="12">
        <f>SUMIF(Mercado_Receita!$S$2:$S$629,"44440B2BrancaRuralServiço público de irrigação ruralNão se aplicaNão se aplicaFora ponta",Mercado_Receita!$L$2:$L$629)</f>
        <v>0</v>
      </c>
      <c r="L37" s="12">
        <f>SUMIF(Mercado_Receita!$S$2:$S$629,"44470B2BrancaRuralServiço público de irrigação ruralNão se aplicaNão se aplicaFora ponta",Mercado_Receita!$L$2:$L$629)</f>
        <v>0</v>
      </c>
      <c r="M37" s="12">
        <f>SUMIF(Mercado_Receita!$S$2:$S$629,"44501B2BrancaRuralServiço público de irrigação ruralNão se aplicaNão se aplicaFora ponta",Mercado_Receita!$L$2:$L$629)</f>
        <v>0</v>
      </c>
      <c r="N37" s="12">
        <f>SUMIF(Mercado_Receita!$S$2:$S$629,"44531B2BrancaRuralServiço público de irrigação ruralNão se aplicaNão se aplicaFora ponta",Mercado_Receita!$L$2:$L$629)</f>
        <v>0</v>
      </c>
      <c r="O37" s="12">
        <f>SUMIF(Mercado_Receita!$S$2:$S$629,"44562B2BrancaRuralServiço público de irrigação ruralNão se aplicaNão se aplicaFora ponta",Mercado_Receita!$L$2:$L$629)</f>
        <v>0</v>
      </c>
      <c r="P37" s="12">
        <f>SUMIF(Mercado_Receita!$S$2:$S$629,"44593B2BrancaRuralServiço público de irrigação ruralNão se aplicaNão se aplicaFora ponta",Mercado_Receita!$L$2:$L$629)</f>
        <v>0</v>
      </c>
      <c r="Q37" s="12">
        <f>SUMIF(Mercado_Receita!$S$2:$S$629,"44621B2BrancaRuralServiço público de irrigação ruralNão se aplicaNão se aplicaFora ponta",Mercado_Receita!$L$2:$L$629)</f>
        <v>0</v>
      </c>
      <c r="R37" s="12">
        <f>SUMIF(Mercado_Receita!$S$2:$S$629,"44652B2BrancaRuralServiço público de irrigação ruralNão se aplicaNão se aplicaFora ponta",Mercado_Receita!$L$2:$L$629)</f>
        <v>0</v>
      </c>
      <c r="S37" s="12">
        <f>SUMIF(Mercado_Receita!$S$2:$S$629,"44682B2BrancaRuralServiço público de irrigação ruralNão se aplicaNão se aplicaFora ponta",Mercado_Receita!$L$2:$L$629)</f>
        <v>0</v>
      </c>
      <c r="T37" s="12">
        <f>SUMIF(Mercado_Receita!$S$2:$S$629,"44713B2BrancaRuralServiço público de irrigação ruralNão se aplicaNão se aplicaFora ponta",Mercado_Receita!$L$2:$L$629)</f>
        <v>0</v>
      </c>
      <c r="U37" s="12">
        <f t="shared" si="0"/>
        <v>0</v>
      </c>
      <c r="V37" s="12"/>
      <c r="W37" s="12"/>
    </row>
    <row r="38" spans="1:23" ht="11.25" customHeight="1" x14ac:dyDescent="0.25">
      <c r="A38" s="152"/>
      <c r="B38" s="13" t="s">
        <v>23</v>
      </c>
      <c r="C38" s="13" t="s">
        <v>43</v>
      </c>
      <c r="D38" s="13" t="s">
        <v>96</v>
      </c>
      <c r="E38" s="13" t="s">
        <v>25</v>
      </c>
      <c r="F38" s="13" t="s">
        <v>25</v>
      </c>
      <c r="G38" s="12" t="s">
        <v>82</v>
      </c>
      <c r="H38" s="12" t="s">
        <v>78</v>
      </c>
      <c r="I38" s="12">
        <f>SUMIF(Mercado_Receita!$S$2:$S$629,"44378B2ConvencionalRuralServiço público de irrigação ruralNão se aplicaNão se aplicaPonta",Mercado_Receita!$L$2:$L$629)+SUMIF(Mercado_Receita!$S$2:$S$629,"44378B2ConvencionalRuralServiço público de irrigação ruralNão se aplicaNão se aplicaFora ponta",Mercado_Receita!$L$2:$L$629)+SUMIF(Mercado_Receita!$S$2:$S$629,"44378B2ConvencionalRuralServiço público de irrigação ruralNão se aplicaNão se aplicaIntermediário",Mercado_Receita!$L$2:$L$629)+SUMIF(Mercado_Receita!$S$2:$S$629,"44378B2ConvencionalRuralServiço público de irrigação ruralNão se aplicaNão se aplicaNão se aplica",Mercado_Receita!$L$2:$L$629)</f>
        <v>0</v>
      </c>
      <c r="J38" s="12">
        <f>SUMIF(Mercado_Receita!$S$2:$S$629,"44409B2ConvencionalRuralServiço público de irrigação ruralNão se aplicaNão se aplicaPonta",Mercado_Receita!$L$2:$L$629)+SUMIF(Mercado_Receita!$S$2:$S$629,"44409B2ConvencionalRuralServiço público de irrigação ruralNão se aplicaNão se aplicaFora ponta",Mercado_Receita!$L$2:$L$629)+SUMIF(Mercado_Receita!$S$2:$S$629,"44409B2ConvencionalRuralServiço público de irrigação ruralNão se aplicaNão se aplicaIntermediário",Mercado_Receita!$L$2:$L$629)+SUMIF(Mercado_Receita!$S$2:$S$629,"44409B2ConvencionalRuralServiço público de irrigação ruralNão se aplicaNão se aplicaNão se aplica",Mercado_Receita!$L$2:$L$629)</f>
        <v>0</v>
      </c>
      <c r="K38" s="12">
        <f>SUMIF(Mercado_Receita!$S$2:$S$629,"44440B2ConvencionalRuralServiço público de irrigação ruralNão se aplicaNão se aplicaPonta",Mercado_Receita!$L$2:$L$629)+SUMIF(Mercado_Receita!$S$2:$S$629,"44440B2ConvencionalRuralServiço público de irrigação ruralNão se aplicaNão se aplicaFora ponta",Mercado_Receita!$L$2:$L$629)+SUMIF(Mercado_Receita!$S$2:$S$629,"44440B2ConvencionalRuralServiço público de irrigação ruralNão se aplicaNão se aplicaIntermediário",Mercado_Receita!$L$2:$L$629)+SUMIF(Mercado_Receita!$S$2:$S$629,"44440B2ConvencionalRuralServiço público de irrigação ruralNão se aplicaNão se aplicaNão se aplica",Mercado_Receita!$L$2:$L$629)</f>
        <v>0</v>
      </c>
      <c r="L38" s="12">
        <f>SUMIF(Mercado_Receita!$S$2:$S$629,"44470B2ConvencionalRuralServiço público de irrigação ruralNão se aplicaNão se aplicaPonta",Mercado_Receita!$L$2:$L$629)+SUMIF(Mercado_Receita!$S$2:$S$629,"44470B2ConvencionalRuralServiço público de irrigação ruralNão se aplicaNão se aplicaFora ponta",Mercado_Receita!$L$2:$L$629)+SUMIF(Mercado_Receita!$S$2:$S$629,"44470B2ConvencionalRuralServiço público de irrigação ruralNão se aplicaNão se aplicaIntermediário",Mercado_Receita!$L$2:$L$629)+SUMIF(Mercado_Receita!$S$2:$S$629,"44470B2ConvencionalRuralServiço público de irrigação ruralNão se aplicaNão se aplicaNão se aplica",Mercado_Receita!$L$2:$L$629)</f>
        <v>0</v>
      </c>
      <c r="M38" s="12">
        <f>SUMIF(Mercado_Receita!$S$2:$S$629,"44501B2ConvencionalRuralServiço público de irrigação ruralNão se aplicaNão se aplicaPonta",Mercado_Receita!$L$2:$L$629)+SUMIF(Mercado_Receita!$S$2:$S$629,"44501B2ConvencionalRuralServiço público de irrigação ruralNão se aplicaNão se aplicaFora ponta",Mercado_Receita!$L$2:$L$629)+SUMIF(Mercado_Receita!$S$2:$S$629,"44501B2ConvencionalRuralServiço público de irrigação ruralNão se aplicaNão se aplicaIntermediário",Mercado_Receita!$L$2:$L$629)+SUMIF(Mercado_Receita!$S$2:$S$629,"44501B2ConvencionalRuralServiço público de irrigação ruralNão se aplicaNão se aplicaNão se aplica",Mercado_Receita!$L$2:$L$629)</f>
        <v>0</v>
      </c>
      <c r="N38" s="12">
        <f>SUMIF(Mercado_Receita!$S$2:$S$629,"44531B2ConvencionalRuralServiço público de irrigação ruralNão se aplicaNão se aplicaPonta",Mercado_Receita!$L$2:$L$629)+SUMIF(Mercado_Receita!$S$2:$S$629,"44531B2ConvencionalRuralServiço público de irrigação ruralNão se aplicaNão se aplicaFora ponta",Mercado_Receita!$L$2:$L$629)+SUMIF(Mercado_Receita!$S$2:$S$629,"44531B2ConvencionalRuralServiço público de irrigação ruralNão se aplicaNão se aplicaIntermediário",Mercado_Receita!$L$2:$L$629)+SUMIF(Mercado_Receita!$S$2:$S$629,"44531B2ConvencionalRuralServiço público de irrigação ruralNão se aplicaNão se aplicaNão se aplica",Mercado_Receita!$L$2:$L$629)</f>
        <v>0</v>
      </c>
      <c r="O38" s="12">
        <f>SUMIF(Mercado_Receita!$S$2:$S$629,"44562B2ConvencionalRuralServiço público de irrigação ruralNão se aplicaNão se aplicaPonta",Mercado_Receita!$L$2:$L$629)+SUMIF(Mercado_Receita!$S$2:$S$629,"44562B2ConvencionalRuralServiço público de irrigação ruralNão se aplicaNão se aplicaFora ponta",Mercado_Receita!$L$2:$L$629)+SUMIF(Mercado_Receita!$S$2:$S$629,"44562B2ConvencionalRuralServiço público de irrigação ruralNão se aplicaNão se aplicaIntermediário",Mercado_Receita!$L$2:$L$629)+SUMIF(Mercado_Receita!$S$2:$S$629,"44562B2ConvencionalRuralServiço público de irrigação ruralNão se aplicaNão se aplicaNão se aplica",Mercado_Receita!$L$2:$L$629)</f>
        <v>0</v>
      </c>
      <c r="P38" s="12">
        <f>SUMIF(Mercado_Receita!$S$2:$S$629,"44593B2ConvencionalRuralServiço público de irrigação ruralNão se aplicaNão se aplicaPonta",Mercado_Receita!$L$2:$L$629)+SUMIF(Mercado_Receita!$S$2:$S$629,"44593B2ConvencionalRuralServiço público de irrigação ruralNão se aplicaNão se aplicaFora ponta",Mercado_Receita!$L$2:$L$629)+SUMIF(Mercado_Receita!$S$2:$S$629,"44593B2ConvencionalRuralServiço público de irrigação ruralNão se aplicaNão se aplicaIntermediário",Mercado_Receita!$L$2:$L$629)+SUMIF(Mercado_Receita!$S$2:$S$629,"44593B2ConvencionalRuralServiço público de irrigação ruralNão se aplicaNão se aplicaNão se aplica",Mercado_Receita!$L$2:$L$629)</f>
        <v>0</v>
      </c>
      <c r="Q38" s="12">
        <f>SUMIF(Mercado_Receita!$S$2:$S$629,"44621B2ConvencionalRuralServiço público de irrigação ruralNão se aplicaNão se aplicaPonta",Mercado_Receita!$L$2:$L$629)+SUMIF(Mercado_Receita!$S$2:$S$629,"44621B2ConvencionalRuralServiço público de irrigação ruralNão se aplicaNão se aplicaFora ponta",Mercado_Receita!$L$2:$L$629)+SUMIF(Mercado_Receita!$S$2:$S$629,"44621B2ConvencionalRuralServiço público de irrigação ruralNão se aplicaNão se aplicaIntermediário",Mercado_Receita!$L$2:$L$629)+SUMIF(Mercado_Receita!$S$2:$S$629,"44621B2ConvencionalRuralServiço público de irrigação ruralNão se aplicaNão se aplicaNão se aplica",Mercado_Receita!$L$2:$L$629)</f>
        <v>0</v>
      </c>
      <c r="R38" s="12">
        <f>SUMIF(Mercado_Receita!$S$2:$S$629,"44652B2ConvencionalRuralServiço público de irrigação ruralNão se aplicaNão se aplicaPonta",Mercado_Receita!$L$2:$L$629)+SUMIF(Mercado_Receita!$S$2:$S$629,"44652B2ConvencionalRuralServiço público de irrigação ruralNão se aplicaNão se aplicaFora ponta",Mercado_Receita!$L$2:$L$629)+SUMIF(Mercado_Receita!$S$2:$S$629,"44652B2ConvencionalRuralServiço público de irrigação ruralNão se aplicaNão se aplicaIntermediário",Mercado_Receita!$L$2:$L$629)+SUMIF(Mercado_Receita!$S$2:$S$629,"44652B2ConvencionalRuralServiço público de irrigação ruralNão se aplicaNão se aplicaNão se aplica",Mercado_Receita!$L$2:$L$629)</f>
        <v>0</v>
      </c>
      <c r="S38" s="12">
        <f>SUMIF(Mercado_Receita!$S$2:$S$629,"44682B2ConvencionalRuralServiço público de irrigação ruralNão se aplicaNão se aplicaPonta",Mercado_Receita!$L$2:$L$629)+SUMIF(Mercado_Receita!$S$2:$S$629,"44682B2ConvencionalRuralServiço público de irrigação ruralNão se aplicaNão se aplicaFora ponta",Mercado_Receita!$L$2:$L$629)+SUMIF(Mercado_Receita!$S$2:$S$629,"44682B2ConvencionalRuralServiço público de irrigação ruralNão se aplicaNão se aplicaIntermediário",Mercado_Receita!$L$2:$L$629)+SUMIF(Mercado_Receita!$S$2:$S$629,"44682B2ConvencionalRuralServiço público de irrigação ruralNão se aplicaNão se aplicaNão se aplica",Mercado_Receita!$L$2:$L$629)</f>
        <v>0</v>
      </c>
      <c r="T38" s="12">
        <f>SUMIF(Mercado_Receita!$S$2:$S$629,"44713B2ConvencionalRuralServiço público de irrigação ruralNão se aplicaNão se aplicaPonta",Mercado_Receita!$L$2:$L$629)+SUMIF(Mercado_Receita!$S$2:$S$629,"44713B2ConvencionalRuralServiço público de irrigação ruralNão se aplicaNão se aplicaFora ponta",Mercado_Receita!$L$2:$L$629)+SUMIF(Mercado_Receita!$S$2:$S$629,"44713B2ConvencionalRuralServiço público de irrigação ruralNão se aplicaNão se aplicaIntermediário",Mercado_Receita!$L$2:$L$629)+SUMIF(Mercado_Receita!$S$2:$S$629,"44713B2ConvencionalRuralServiço público de irrigação ruralNão se aplicaNão se aplicaNão se aplica",Mercado_Receita!$L$2:$L$629)</f>
        <v>0</v>
      </c>
      <c r="U38" s="12">
        <f t="shared" si="0"/>
        <v>0</v>
      </c>
      <c r="V38" s="12"/>
      <c r="W38" s="12"/>
    </row>
    <row r="39" spans="1:23" ht="11.25" customHeight="1" x14ac:dyDescent="0.25">
      <c r="A39" s="152"/>
      <c r="B39" s="151" t="s">
        <v>94</v>
      </c>
      <c r="C39" s="151" t="s">
        <v>43</v>
      </c>
      <c r="D39" s="13" t="s">
        <v>25</v>
      </c>
      <c r="E39" s="13" t="s">
        <v>25</v>
      </c>
      <c r="F39" s="13" t="s">
        <v>25</v>
      </c>
      <c r="G39" s="12" t="s">
        <v>82</v>
      </c>
      <c r="H39" s="12" t="s">
        <v>78</v>
      </c>
      <c r="I39" s="12">
        <f>SUMIF(Mercado_Receita!$S$2:$S$629,"44378B2Convencional pré-pagamentoRuralNão se aplicaNão se aplicaNão se aplicaPonta",Mercado_Receita!$L$2:$L$629)+SUMIF(Mercado_Receita!$S$2:$S$629,"44378B2Convencional pré-pagamentoRuralNão se aplicaNão se aplicaNão se aplicaFora ponta",Mercado_Receita!$L$2:$L$629)+SUMIF(Mercado_Receita!$S$2:$S$629,"44378B2Convencional pré-pagamentoRuralNão se aplicaNão se aplicaNão se aplicaIntermediário",Mercado_Receita!$L$2:$L$629)+SUMIF(Mercado_Receita!$S$2:$S$629,"44378B2Convencional pré-pagamentoRuralNão se aplicaNão se aplicaNão se aplicaNão se aplica",Mercado_Receita!$L$2:$L$629)</f>
        <v>0</v>
      </c>
      <c r="J39" s="12">
        <f>SUMIF(Mercado_Receita!$S$2:$S$629,"44409B2Convencional pré-pagamentoRuralNão se aplicaNão se aplicaNão se aplicaPonta",Mercado_Receita!$L$2:$L$629)+SUMIF(Mercado_Receita!$S$2:$S$629,"44409B2Convencional pré-pagamentoRuralNão se aplicaNão se aplicaNão se aplicaFora ponta",Mercado_Receita!$L$2:$L$629)+SUMIF(Mercado_Receita!$S$2:$S$629,"44409B2Convencional pré-pagamentoRuralNão se aplicaNão se aplicaNão se aplicaIntermediário",Mercado_Receita!$L$2:$L$629)+SUMIF(Mercado_Receita!$S$2:$S$629,"44409B2Convencional pré-pagamentoRuralNão se aplicaNão se aplicaNão se aplicaNão se aplica",Mercado_Receita!$L$2:$L$629)</f>
        <v>0</v>
      </c>
      <c r="K39" s="12">
        <f>SUMIF(Mercado_Receita!$S$2:$S$629,"44440B2Convencional pré-pagamentoRuralNão se aplicaNão se aplicaNão se aplicaPonta",Mercado_Receita!$L$2:$L$629)+SUMIF(Mercado_Receita!$S$2:$S$629,"44440B2Convencional pré-pagamentoRuralNão se aplicaNão se aplicaNão se aplicaFora ponta",Mercado_Receita!$L$2:$L$629)+SUMIF(Mercado_Receita!$S$2:$S$629,"44440B2Convencional pré-pagamentoRuralNão se aplicaNão se aplicaNão se aplicaIntermediário",Mercado_Receita!$L$2:$L$629)+SUMIF(Mercado_Receita!$S$2:$S$629,"44440B2Convencional pré-pagamentoRuralNão se aplicaNão se aplicaNão se aplicaNão se aplica",Mercado_Receita!$L$2:$L$629)</f>
        <v>0</v>
      </c>
      <c r="L39" s="12">
        <f>SUMIF(Mercado_Receita!$S$2:$S$629,"44470B2Convencional pré-pagamentoRuralNão se aplicaNão se aplicaNão se aplicaPonta",Mercado_Receita!$L$2:$L$629)+SUMIF(Mercado_Receita!$S$2:$S$629,"44470B2Convencional pré-pagamentoRuralNão se aplicaNão se aplicaNão se aplicaFora ponta",Mercado_Receita!$L$2:$L$629)+SUMIF(Mercado_Receita!$S$2:$S$629,"44470B2Convencional pré-pagamentoRuralNão se aplicaNão se aplicaNão se aplicaIntermediário",Mercado_Receita!$L$2:$L$629)+SUMIF(Mercado_Receita!$S$2:$S$629,"44470B2Convencional pré-pagamentoRuralNão se aplicaNão se aplicaNão se aplicaNão se aplica",Mercado_Receita!$L$2:$L$629)</f>
        <v>0</v>
      </c>
      <c r="M39" s="12">
        <f>SUMIF(Mercado_Receita!$S$2:$S$629,"44501B2Convencional pré-pagamentoRuralNão se aplicaNão se aplicaNão se aplicaPonta",Mercado_Receita!$L$2:$L$629)+SUMIF(Mercado_Receita!$S$2:$S$629,"44501B2Convencional pré-pagamentoRuralNão se aplicaNão se aplicaNão se aplicaFora ponta",Mercado_Receita!$L$2:$L$629)+SUMIF(Mercado_Receita!$S$2:$S$629,"44501B2Convencional pré-pagamentoRuralNão se aplicaNão se aplicaNão se aplicaIntermediário",Mercado_Receita!$L$2:$L$629)+SUMIF(Mercado_Receita!$S$2:$S$629,"44501B2Convencional pré-pagamentoRuralNão se aplicaNão se aplicaNão se aplicaNão se aplica",Mercado_Receita!$L$2:$L$629)</f>
        <v>0</v>
      </c>
      <c r="N39" s="12">
        <f>SUMIF(Mercado_Receita!$S$2:$S$629,"44531B2Convencional pré-pagamentoRuralNão se aplicaNão se aplicaNão se aplicaPonta",Mercado_Receita!$L$2:$L$629)+SUMIF(Mercado_Receita!$S$2:$S$629,"44531B2Convencional pré-pagamentoRuralNão se aplicaNão se aplicaNão se aplicaFora ponta",Mercado_Receita!$L$2:$L$629)+SUMIF(Mercado_Receita!$S$2:$S$629,"44531B2Convencional pré-pagamentoRuralNão se aplicaNão se aplicaNão se aplicaIntermediário",Mercado_Receita!$L$2:$L$629)+SUMIF(Mercado_Receita!$S$2:$S$629,"44531B2Convencional pré-pagamentoRuralNão se aplicaNão se aplicaNão se aplicaNão se aplica",Mercado_Receita!$L$2:$L$629)</f>
        <v>0</v>
      </c>
      <c r="O39" s="12">
        <f>SUMIF(Mercado_Receita!$S$2:$S$629,"44562B2Convencional pré-pagamentoRuralNão se aplicaNão se aplicaNão se aplicaPonta",Mercado_Receita!$L$2:$L$629)+SUMIF(Mercado_Receita!$S$2:$S$629,"44562B2Convencional pré-pagamentoRuralNão se aplicaNão se aplicaNão se aplicaFora ponta",Mercado_Receita!$L$2:$L$629)+SUMIF(Mercado_Receita!$S$2:$S$629,"44562B2Convencional pré-pagamentoRuralNão se aplicaNão se aplicaNão se aplicaIntermediário",Mercado_Receita!$L$2:$L$629)+SUMIF(Mercado_Receita!$S$2:$S$629,"44562B2Convencional pré-pagamentoRuralNão se aplicaNão se aplicaNão se aplicaNão se aplica",Mercado_Receita!$L$2:$L$629)</f>
        <v>0</v>
      </c>
      <c r="P39" s="12">
        <f>SUMIF(Mercado_Receita!$S$2:$S$629,"44593B2Convencional pré-pagamentoRuralNão se aplicaNão se aplicaNão se aplicaPonta",Mercado_Receita!$L$2:$L$629)+SUMIF(Mercado_Receita!$S$2:$S$629,"44593B2Convencional pré-pagamentoRuralNão se aplicaNão se aplicaNão se aplicaFora ponta",Mercado_Receita!$L$2:$L$629)+SUMIF(Mercado_Receita!$S$2:$S$629,"44593B2Convencional pré-pagamentoRuralNão se aplicaNão se aplicaNão se aplicaIntermediário",Mercado_Receita!$L$2:$L$629)+SUMIF(Mercado_Receita!$S$2:$S$629,"44593B2Convencional pré-pagamentoRuralNão se aplicaNão se aplicaNão se aplicaNão se aplica",Mercado_Receita!$L$2:$L$629)</f>
        <v>0</v>
      </c>
      <c r="Q39" s="12">
        <f>SUMIF(Mercado_Receita!$S$2:$S$629,"44621B2Convencional pré-pagamentoRuralNão se aplicaNão se aplicaNão se aplicaPonta",Mercado_Receita!$L$2:$L$629)+SUMIF(Mercado_Receita!$S$2:$S$629,"44621B2Convencional pré-pagamentoRuralNão se aplicaNão se aplicaNão se aplicaFora ponta",Mercado_Receita!$L$2:$L$629)+SUMIF(Mercado_Receita!$S$2:$S$629,"44621B2Convencional pré-pagamentoRuralNão se aplicaNão se aplicaNão se aplicaIntermediário",Mercado_Receita!$L$2:$L$629)+SUMIF(Mercado_Receita!$S$2:$S$629,"44621B2Convencional pré-pagamentoRuralNão se aplicaNão se aplicaNão se aplicaNão se aplica",Mercado_Receita!$L$2:$L$629)</f>
        <v>0</v>
      </c>
      <c r="R39" s="12">
        <f>SUMIF(Mercado_Receita!$S$2:$S$629,"44652B2Convencional pré-pagamentoRuralNão se aplicaNão se aplicaNão se aplicaPonta",Mercado_Receita!$L$2:$L$629)+SUMIF(Mercado_Receita!$S$2:$S$629,"44652B2Convencional pré-pagamentoRuralNão se aplicaNão se aplicaNão se aplicaFora ponta",Mercado_Receita!$L$2:$L$629)+SUMIF(Mercado_Receita!$S$2:$S$629,"44652B2Convencional pré-pagamentoRuralNão se aplicaNão se aplicaNão se aplicaIntermediário",Mercado_Receita!$L$2:$L$629)+SUMIF(Mercado_Receita!$S$2:$S$629,"44652B2Convencional pré-pagamentoRuralNão se aplicaNão se aplicaNão se aplicaNão se aplica",Mercado_Receita!$L$2:$L$629)</f>
        <v>0</v>
      </c>
      <c r="S39" s="12">
        <f>SUMIF(Mercado_Receita!$S$2:$S$629,"44682B2Convencional pré-pagamentoRuralNão se aplicaNão se aplicaNão se aplicaPonta",Mercado_Receita!$L$2:$L$629)+SUMIF(Mercado_Receita!$S$2:$S$629,"44682B2Convencional pré-pagamentoRuralNão se aplicaNão se aplicaNão se aplicaFora ponta",Mercado_Receita!$L$2:$L$629)+SUMIF(Mercado_Receita!$S$2:$S$629,"44682B2Convencional pré-pagamentoRuralNão se aplicaNão se aplicaNão se aplicaIntermediário",Mercado_Receita!$L$2:$L$629)+SUMIF(Mercado_Receita!$S$2:$S$629,"44682B2Convencional pré-pagamentoRuralNão se aplicaNão se aplicaNão se aplicaNão se aplica",Mercado_Receita!$L$2:$L$629)</f>
        <v>0</v>
      </c>
      <c r="T39" s="12">
        <f>SUMIF(Mercado_Receita!$S$2:$S$629,"44713B2Convencional pré-pagamentoRuralNão se aplicaNão se aplicaNão se aplicaPonta",Mercado_Receita!$L$2:$L$629)+SUMIF(Mercado_Receita!$S$2:$S$629,"44713B2Convencional pré-pagamentoRuralNão se aplicaNão se aplicaNão se aplicaFora ponta",Mercado_Receita!$L$2:$L$629)+SUMIF(Mercado_Receita!$S$2:$S$629,"44713B2Convencional pré-pagamentoRuralNão se aplicaNão se aplicaNão se aplicaIntermediário",Mercado_Receita!$L$2:$L$629)+SUMIF(Mercado_Receita!$S$2:$S$629,"44713B2Convencional pré-pagamentoRuralNão se aplicaNão se aplicaNão se aplicaNão se aplica",Mercado_Receita!$L$2:$L$629)</f>
        <v>0</v>
      </c>
      <c r="U39" s="12">
        <f t="shared" si="0"/>
        <v>0</v>
      </c>
      <c r="V39" s="12"/>
      <c r="W39" s="12"/>
    </row>
    <row r="40" spans="1:23" ht="11.25" customHeight="1" x14ac:dyDescent="0.25">
      <c r="A40" s="152"/>
      <c r="B40" s="152"/>
      <c r="C40" s="152"/>
      <c r="D40" s="13" t="s">
        <v>95</v>
      </c>
      <c r="E40" s="13" t="s">
        <v>25</v>
      </c>
      <c r="F40" s="13" t="s">
        <v>25</v>
      </c>
      <c r="G40" s="12" t="s">
        <v>82</v>
      </c>
      <c r="H40" s="12" t="s">
        <v>78</v>
      </c>
      <c r="I40" s="12">
        <f>SUMIF(Mercado_Receita!$S$2:$S$629,"44378B2Convencional pré-pagamentoRuralCooperativa de eletrificação ruralNão se aplicaNão se aplicaPonta",Mercado_Receita!$L$2:$L$629)+SUMIF(Mercado_Receita!$S$2:$S$629,"44378B2Convencional pré-pagamentoRuralCooperativa de eletrificação ruralNão se aplicaNão se aplicaFora ponta",Mercado_Receita!$L$2:$L$629)+SUMIF(Mercado_Receita!$S$2:$S$629,"44378B2Convencional pré-pagamentoRuralCooperativa de eletrificação ruralNão se aplicaNão se aplicaIntermediário",Mercado_Receita!$L$2:$L$629)+SUMIF(Mercado_Receita!$S$2:$S$629,"44378B2Convencional pré-pagamentoRuralCooperativa de eletrificação ruralNão se aplicaNão se aplicaNão se aplica",Mercado_Receita!$L$2:$L$629)</f>
        <v>0</v>
      </c>
      <c r="J40" s="12">
        <f>SUMIF(Mercado_Receita!$S$2:$S$629,"44409B2Convencional pré-pagamentoRuralCooperativa de eletrificação ruralNão se aplicaNão se aplicaPonta",Mercado_Receita!$L$2:$L$629)+SUMIF(Mercado_Receita!$S$2:$S$629,"44409B2Convencional pré-pagamentoRuralCooperativa de eletrificação ruralNão se aplicaNão se aplicaFora ponta",Mercado_Receita!$L$2:$L$629)+SUMIF(Mercado_Receita!$S$2:$S$629,"44409B2Convencional pré-pagamentoRuralCooperativa de eletrificação ruralNão se aplicaNão se aplicaIntermediário",Mercado_Receita!$L$2:$L$629)+SUMIF(Mercado_Receita!$S$2:$S$629,"44409B2Convencional pré-pagamentoRuralCooperativa de eletrificação ruralNão se aplicaNão se aplicaNão se aplica",Mercado_Receita!$L$2:$L$629)</f>
        <v>0</v>
      </c>
      <c r="K40" s="12">
        <f>SUMIF(Mercado_Receita!$S$2:$S$629,"44440B2Convencional pré-pagamentoRuralCooperativa de eletrificação ruralNão se aplicaNão se aplicaPonta",Mercado_Receita!$L$2:$L$629)+SUMIF(Mercado_Receita!$S$2:$S$629,"44440B2Convencional pré-pagamentoRuralCooperativa de eletrificação ruralNão se aplicaNão se aplicaFora ponta",Mercado_Receita!$L$2:$L$629)+SUMIF(Mercado_Receita!$S$2:$S$629,"44440B2Convencional pré-pagamentoRuralCooperativa de eletrificação ruralNão se aplicaNão se aplicaIntermediário",Mercado_Receita!$L$2:$L$629)+SUMIF(Mercado_Receita!$S$2:$S$629,"44440B2Convencional pré-pagamentoRuralCooperativa de eletrificação ruralNão se aplicaNão se aplicaNão se aplica",Mercado_Receita!$L$2:$L$629)</f>
        <v>0</v>
      </c>
      <c r="L40" s="12">
        <f>SUMIF(Mercado_Receita!$S$2:$S$629,"44470B2Convencional pré-pagamentoRuralCooperativa de eletrificação ruralNão se aplicaNão se aplicaPonta",Mercado_Receita!$L$2:$L$629)+SUMIF(Mercado_Receita!$S$2:$S$629,"44470B2Convencional pré-pagamentoRuralCooperativa de eletrificação ruralNão se aplicaNão se aplicaFora ponta",Mercado_Receita!$L$2:$L$629)+SUMIF(Mercado_Receita!$S$2:$S$629,"44470B2Convencional pré-pagamentoRuralCooperativa de eletrificação ruralNão se aplicaNão se aplicaIntermediário",Mercado_Receita!$L$2:$L$629)+SUMIF(Mercado_Receita!$S$2:$S$629,"44470B2Convencional pré-pagamentoRuralCooperativa de eletrificação ruralNão se aplicaNão se aplicaNão se aplica",Mercado_Receita!$L$2:$L$629)</f>
        <v>0</v>
      </c>
      <c r="M40" s="12">
        <f>SUMIF(Mercado_Receita!$S$2:$S$629,"44501B2Convencional pré-pagamentoRuralCooperativa de eletrificação ruralNão se aplicaNão se aplicaPonta",Mercado_Receita!$L$2:$L$629)+SUMIF(Mercado_Receita!$S$2:$S$629,"44501B2Convencional pré-pagamentoRuralCooperativa de eletrificação ruralNão se aplicaNão se aplicaFora ponta",Mercado_Receita!$L$2:$L$629)+SUMIF(Mercado_Receita!$S$2:$S$629,"44501B2Convencional pré-pagamentoRuralCooperativa de eletrificação ruralNão se aplicaNão se aplicaIntermediário",Mercado_Receita!$L$2:$L$629)+SUMIF(Mercado_Receita!$S$2:$S$629,"44501B2Convencional pré-pagamentoRuralCooperativa de eletrificação ruralNão se aplicaNão se aplicaNão se aplica",Mercado_Receita!$L$2:$L$629)</f>
        <v>0</v>
      </c>
      <c r="N40" s="12">
        <f>SUMIF(Mercado_Receita!$S$2:$S$629,"44531B2Convencional pré-pagamentoRuralCooperativa de eletrificação ruralNão se aplicaNão se aplicaPonta",Mercado_Receita!$L$2:$L$629)+SUMIF(Mercado_Receita!$S$2:$S$629,"44531B2Convencional pré-pagamentoRuralCooperativa de eletrificação ruralNão se aplicaNão se aplicaFora ponta",Mercado_Receita!$L$2:$L$629)+SUMIF(Mercado_Receita!$S$2:$S$629,"44531B2Convencional pré-pagamentoRuralCooperativa de eletrificação ruralNão se aplicaNão se aplicaIntermediário",Mercado_Receita!$L$2:$L$629)+SUMIF(Mercado_Receita!$S$2:$S$629,"44531B2Convencional pré-pagamentoRuralCooperativa de eletrificação ruralNão se aplicaNão se aplicaNão se aplica",Mercado_Receita!$L$2:$L$629)</f>
        <v>0</v>
      </c>
      <c r="O40" s="12">
        <f>SUMIF(Mercado_Receita!$S$2:$S$629,"44562B2Convencional pré-pagamentoRuralCooperativa de eletrificação ruralNão se aplicaNão se aplicaPonta",Mercado_Receita!$L$2:$L$629)+SUMIF(Mercado_Receita!$S$2:$S$629,"44562B2Convencional pré-pagamentoRuralCooperativa de eletrificação ruralNão se aplicaNão se aplicaFora ponta",Mercado_Receita!$L$2:$L$629)+SUMIF(Mercado_Receita!$S$2:$S$629,"44562B2Convencional pré-pagamentoRuralCooperativa de eletrificação ruralNão se aplicaNão se aplicaIntermediário",Mercado_Receita!$L$2:$L$629)+SUMIF(Mercado_Receita!$S$2:$S$629,"44562B2Convencional pré-pagamentoRuralCooperativa de eletrificação ruralNão se aplicaNão se aplicaNão se aplica",Mercado_Receita!$L$2:$L$629)</f>
        <v>0</v>
      </c>
      <c r="P40" s="12">
        <f>SUMIF(Mercado_Receita!$S$2:$S$629,"44593B2Convencional pré-pagamentoRuralCooperativa de eletrificação ruralNão se aplicaNão se aplicaPonta",Mercado_Receita!$L$2:$L$629)+SUMIF(Mercado_Receita!$S$2:$S$629,"44593B2Convencional pré-pagamentoRuralCooperativa de eletrificação ruralNão se aplicaNão se aplicaFora ponta",Mercado_Receita!$L$2:$L$629)+SUMIF(Mercado_Receita!$S$2:$S$629,"44593B2Convencional pré-pagamentoRuralCooperativa de eletrificação ruralNão se aplicaNão se aplicaIntermediário",Mercado_Receita!$L$2:$L$629)+SUMIF(Mercado_Receita!$S$2:$S$629,"44593B2Convencional pré-pagamentoRuralCooperativa de eletrificação ruralNão se aplicaNão se aplicaNão se aplica",Mercado_Receita!$L$2:$L$629)</f>
        <v>0</v>
      </c>
      <c r="Q40" s="12">
        <f>SUMIF(Mercado_Receita!$S$2:$S$629,"44621B2Convencional pré-pagamentoRuralCooperativa de eletrificação ruralNão se aplicaNão se aplicaPonta",Mercado_Receita!$L$2:$L$629)+SUMIF(Mercado_Receita!$S$2:$S$629,"44621B2Convencional pré-pagamentoRuralCooperativa de eletrificação ruralNão se aplicaNão se aplicaFora ponta",Mercado_Receita!$L$2:$L$629)+SUMIF(Mercado_Receita!$S$2:$S$629,"44621B2Convencional pré-pagamentoRuralCooperativa de eletrificação ruralNão se aplicaNão se aplicaIntermediário",Mercado_Receita!$L$2:$L$629)+SUMIF(Mercado_Receita!$S$2:$S$629,"44621B2Convencional pré-pagamentoRuralCooperativa de eletrificação ruralNão se aplicaNão se aplicaNão se aplica",Mercado_Receita!$L$2:$L$629)</f>
        <v>0</v>
      </c>
      <c r="R40" s="12">
        <f>SUMIF(Mercado_Receita!$S$2:$S$629,"44652B2Convencional pré-pagamentoRuralCooperativa de eletrificação ruralNão se aplicaNão se aplicaPonta",Mercado_Receita!$L$2:$L$629)+SUMIF(Mercado_Receita!$S$2:$S$629,"44652B2Convencional pré-pagamentoRuralCooperativa de eletrificação ruralNão se aplicaNão se aplicaFora ponta",Mercado_Receita!$L$2:$L$629)+SUMIF(Mercado_Receita!$S$2:$S$629,"44652B2Convencional pré-pagamentoRuralCooperativa de eletrificação ruralNão se aplicaNão se aplicaIntermediário",Mercado_Receita!$L$2:$L$629)+SUMIF(Mercado_Receita!$S$2:$S$629,"44652B2Convencional pré-pagamentoRuralCooperativa de eletrificação ruralNão se aplicaNão se aplicaNão se aplica",Mercado_Receita!$L$2:$L$629)</f>
        <v>0</v>
      </c>
      <c r="S40" s="12">
        <f>SUMIF(Mercado_Receita!$S$2:$S$629,"44682B2Convencional pré-pagamentoRuralCooperativa de eletrificação ruralNão se aplicaNão se aplicaPonta",Mercado_Receita!$L$2:$L$629)+SUMIF(Mercado_Receita!$S$2:$S$629,"44682B2Convencional pré-pagamentoRuralCooperativa de eletrificação ruralNão se aplicaNão se aplicaFora ponta",Mercado_Receita!$L$2:$L$629)+SUMIF(Mercado_Receita!$S$2:$S$629,"44682B2Convencional pré-pagamentoRuralCooperativa de eletrificação ruralNão se aplicaNão se aplicaIntermediário",Mercado_Receita!$L$2:$L$629)+SUMIF(Mercado_Receita!$S$2:$S$629,"44682B2Convencional pré-pagamentoRuralCooperativa de eletrificação ruralNão se aplicaNão se aplicaNão se aplica",Mercado_Receita!$L$2:$L$629)</f>
        <v>0</v>
      </c>
      <c r="T40" s="12">
        <f>SUMIF(Mercado_Receita!$S$2:$S$629,"44713B2Convencional pré-pagamentoRuralCooperativa de eletrificação ruralNão se aplicaNão se aplicaPonta",Mercado_Receita!$L$2:$L$629)+SUMIF(Mercado_Receita!$S$2:$S$629,"44713B2Convencional pré-pagamentoRuralCooperativa de eletrificação ruralNão se aplicaNão se aplicaFora ponta",Mercado_Receita!$L$2:$L$629)+SUMIF(Mercado_Receita!$S$2:$S$629,"44713B2Convencional pré-pagamentoRuralCooperativa de eletrificação ruralNão se aplicaNão se aplicaIntermediário",Mercado_Receita!$L$2:$L$629)+SUMIF(Mercado_Receita!$S$2:$S$629,"44713B2Convencional pré-pagamentoRuralCooperativa de eletrificação ruralNão se aplicaNão se aplicaNão se aplica",Mercado_Receita!$L$2:$L$629)</f>
        <v>0</v>
      </c>
      <c r="U40" s="12">
        <f t="shared" si="0"/>
        <v>0</v>
      </c>
      <c r="V40" s="12"/>
      <c r="W40" s="12"/>
    </row>
    <row r="41" spans="1:23" ht="11.25" customHeight="1" x14ac:dyDescent="0.25">
      <c r="A41" s="152"/>
      <c r="B41" s="152"/>
      <c r="C41" s="152"/>
      <c r="D41" s="13" t="s">
        <v>96</v>
      </c>
      <c r="E41" s="13" t="s">
        <v>25</v>
      </c>
      <c r="F41" s="13" t="s">
        <v>25</v>
      </c>
      <c r="G41" s="12" t="s">
        <v>82</v>
      </c>
      <c r="H41" s="12" t="s">
        <v>78</v>
      </c>
      <c r="I41" s="12">
        <f>SUMIF(Mercado_Receita!$S$2:$S$629,"44378B2Convencional pré-pagamentoRuralServiço público de irrigação ruralNão se aplicaNão se aplicaPonta",Mercado_Receita!$L$2:$L$629)+SUMIF(Mercado_Receita!$S$2:$S$629,"44378B2Convencional pré-pagamentoRuralServiço público de irrigação ruralNão se aplicaNão se aplicaFora ponta",Mercado_Receita!$L$2:$L$629)+SUMIF(Mercado_Receita!$S$2:$S$629,"44378B2Convencional pré-pagamentoRuralServiço público de irrigação ruralNão se aplicaNão se aplicaIntermediário",Mercado_Receita!$L$2:$L$629)+SUMIF(Mercado_Receita!$S$2:$S$629,"44378B2Convencional pré-pagamentoRuralServiço público de irrigação ruralNão se aplicaNão se aplicaNão se aplica",Mercado_Receita!$L$2:$L$629)</f>
        <v>0</v>
      </c>
      <c r="J41" s="12">
        <f>SUMIF(Mercado_Receita!$S$2:$S$629,"44409B2Convencional pré-pagamentoRuralServiço público de irrigação ruralNão se aplicaNão se aplicaPonta",Mercado_Receita!$L$2:$L$629)+SUMIF(Mercado_Receita!$S$2:$S$629,"44409B2Convencional pré-pagamentoRuralServiço público de irrigação ruralNão se aplicaNão se aplicaFora ponta",Mercado_Receita!$L$2:$L$629)+SUMIF(Mercado_Receita!$S$2:$S$629,"44409B2Convencional pré-pagamentoRuralServiço público de irrigação ruralNão se aplicaNão se aplicaIntermediário",Mercado_Receita!$L$2:$L$629)+SUMIF(Mercado_Receita!$S$2:$S$629,"44409B2Convencional pré-pagamentoRuralServiço público de irrigação ruralNão se aplicaNão se aplicaNão se aplica",Mercado_Receita!$L$2:$L$629)</f>
        <v>0</v>
      </c>
      <c r="K41" s="12">
        <f>SUMIF(Mercado_Receita!$S$2:$S$629,"44440B2Convencional pré-pagamentoRuralServiço público de irrigação ruralNão se aplicaNão se aplicaPonta",Mercado_Receita!$L$2:$L$629)+SUMIF(Mercado_Receita!$S$2:$S$629,"44440B2Convencional pré-pagamentoRuralServiço público de irrigação ruralNão se aplicaNão se aplicaFora ponta",Mercado_Receita!$L$2:$L$629)+SUMIF(Mercado_Receita!$S$2:$S$629,"44440B2Convencional pré-pagamentoRuralServiço público de irrigação ruralNão se aplicaNão se aplicaIntermediário",Mercado_Receita!$L$2:$L$629)+SUMIF(Mercado_Receita!$S$2:$S$629,"44440B2Convencional pré-pagamentoRuralServiço público de irrigação ruralNão se aplicaNão se aplicaNão se aplica",Mercado_Receita!$L$2:$L$629)</f>
        <v>0</v>
      </c>
      <c r="L41" s="12">
        <f>SUMIF(Mercado_Receita!$S$2:$S$629,"44470B2Convencional pré-pagamentoRuralServiço público de irrigação ruralNão se aplicaNão se aplicaPonta",Mercado_Receita!$L$2:$L$629)+SUMIF(Mercado_Receita!$S$2:$S$629,"44470B2Convencional pré-pagamentoRuralServiço público de irrigação ruralNão se aplicaNão se aplicaFora ponta",Mercado_Receita!$L$2:$L$629)+SUMIF(Mercado_Receita!$S$2:$S$629,"44470B2Convencional pré-pagamentoRuralServiço público de irrigação ruralNão se aplicaNão se aplicaIntermediário",Mercado_Receita!$L$2:$L$629)+SUMIF(Mercado_Receita!$S$2:$S$629,"44470B2Convencional pré-pagamentoRuralServiço público de irrigação ruralNão se aplicaNão se aplicaNão se aplica",Mercado_Receita!$L$2:$L$629)</f>
        <v>0</v>
      </c>
      <c r="M41" s="12">
        <f>SUMIF(Mercado_Receita!$S$2:$S$629,"44501B2Convencional pré-pagamentoRuralServiço público de irrigação ruralNão se aplicaNão se aplicaPonta",Mercado_Receita!$L$2:$L$629)+SUMIF(Mercado_Receita!$S$2:$S$629,"44501B2Convencional pré-pagamentoRuralServiço público de irrigação ruralNão se aplicaNão se aplicaFora ponta",Mercado_Receita!$L$2:$L$629)+SUMIF(Mercado_Receita!$S$2:$S$629,"44501B2Convencional pré-pagamentoRuralServiço público de irrigação ruralNão se aplicaNão se aplicaIntermediário",Mercado_Receita!$L$2:$L$629)+SUMIF(Mercado_Receita!$S$2:$S$629,"44501B2Convencional pré-pagamentoRuralServiço público de irrigação ruralNão se aplicaNão se aplicaNão se aplica",Mercado_Receita!$L$2:$L$629)</f>
        <v>0</v>
      </c>
      <c r="N41" s="12">
        <f>SUMIF(Mercado_Receita!$S$2:$S$629,"44531B2Convencional pré-pagamentoRuralServiço público de irrigação ruralNão se aplicaNão se aplicaPonta",Mercado_Receita!$L$2:$L$629)+SUMIF(Mercado_Receita!$S$2:$S$629,"44531B2Convencional pré-pagamentoRuralServiço público de irrigação ruralNão se aplicaNão se aplicaFora ponta",Mercado_Receita!$L$2:$L$629)+SUMIF(Mercado_Receita!$S$2:$S$629,"44531B2Convencional pré-pagamentoRuralServiço público de irrigação ruralNão se aplicaNão se aplicaIntermediário",Mercado_Receita!$L$2:$L$629)+SUMIF(Mercado_Receita!$S$2:$S$629,"44531B2Convencional pré-pagamentoRuralServiço público de irrigação ruralNão se aplicaNão se aplicaNão se aplica",Mercado_Receita!$L$2:$L$629)</f>
        <v>0</v>
      </c>
      <c r="O41" s="12">
        <f>SUMIF(Mercado_Receita!$S$2:$S$629,"44562B2Convencional pré-pagamentoRuralServiço público de irrigação ruralNão se aplicaNão se aplicaPonta",Mercado_Receita!$L$2:$L$629)+SUMIF(Mercado_Receita!$S$2:$S$629,"44562B2Convencional pré-pagamentoRuralServiço público de irrigação ruralNão se aplicaNão se aplicaFora ponta",Mercado_Receita!$L$2:$L$629)+SUMIF(Mercado_Receita!$S$2:$S$629,"44562B2Convencional pré-pagamentoRuralServiço público de irrigação ruralNão se aplicaNão se aplicaIntermediário",Mercado_Receita!$L$2:$L$629)+SUMIF(Mercado_Receita!$S$2:$S$629,"44562B2Convencional pré-pagamentoRuralServiço público de irrigação ruralNão se aplicaNão se aplicaNão se aplica",Mercado_Receita!$L$2:$L$629)</f>
        <v>0</v>
      </c>
      <c r="P41" s="12">
        <f>SUMIF(Mercado_Receita!$S$2:$S$629,"44593B2Convencional pré-pagamentoRuralServiço público de irrigação ruralNão se aplicaNão se aplicaPonta",Mercado_Receita!$L$2:$L$629)+SUMIF(Mercado_Receita!$S$2:$S$629,"44593B2Convencional pré-pagamentoRuralServiço público de irrigação ruralNão se aplicaNão se aplicaFora ponta",Mercado_Receita!$L$2:$L$629)+SUMIF(Mercado_Receita!$S$2:$S$629,"44593B2Convencional pré-pagamentoRuralServiço público de irrigação ruralNão se aplicaNão se aplicaIntermediário",Mercado_Receita!$L$2:$L$629)+SUMIF(Mercado_Receita!$S$2:$S$629,"44593B2Convencional pré-pagamentoRuralServiço público de irrigação ruralNão se aplicaNão se aplicaNão se aplica",Mercado_Receita!$L$2:$L$629)</f>
        <v>0</v>
      </c>
      <c r="Q41" s="12">
        <f>SUMIF(Mercado_Receita!$S$2:$S$629,"44621B2Convencional pré-pagamentoRuralServiço público de irrigação ruralNão se aplicaNão se aplicaPonta",Mercado_Receita!$L$2:$L$629)+SUMIF(Mercado_Receita!$S$2:$S$629,"44621B2Convencional pré-pagamentoRuralServiço público de irrigação ruralNão se aplicaNão se aplicaFora ponta",Mercado_Receita!$L$2:$L$629)+SUMIF(Mercado_Receita!$S$2:$S$629,"44621B2Convencional pré-pagamentoRuralServiço público de irrigação ruralNão se aplicaNão se aplicaIntermediário",Mercado_Receita!$L$2:$L$629)+SUMIF(Mercado_Receita!$S$2:$S$629,"44621B2Convencional pré-pagamentoRuralServiço público de irrigação ruralNão se aplicaNão se aplicaNão se aplica",Mercado_Receita!$L$2:$L$629)</f>
        <v>0</v>
      </c>
      <c r="R41" s="12">
        <f>SUMIF(Mercado_Receita!$S$2:$S$629,"44652B2Convencional pré-pagamentoRuralServiço público de irrigação ruralNão se aplicaNão se aplicaPonta",Mercado_Receita!$L$2:$L$629)+SUMIF(Mercado_Receita!$S$2:$S$629,"44652B2Convencional pré-pagamentoRuralServiço público de irrigação ruralNão se aplicaNão se aplicaFora ponta",Mercado_Receita!$L$2:$L$629)+SUMIF(Mercado_Receita!$S$2:$S$629,"44652B2Convencional pré-pagamentoRuralServiço público de irrigação ruralNão se aplicaNão se aplicaIntermediário",Mercado_Receita!$L$2:$L$629)+SUMIF(Mercado_Receita!$S$2:$S$629,"44652B2Convencional pré-pagamentoRuralServiço público de irrigação ruralNão se aplicaNão se aplicaNão se aplica",Mercado_Receita!$L$2:$L$629)</f>
        <v>0</v>
      </c>
      <c r="S41" s="12">
        <f>SUMIF(Mercado_Receita!$S$2:$S$629,"44682B2Convencional pré-pagamentoRuralServiço público de irrigação ruralNão se aplicaNão se aplicaPonta",Mercado_Receita!$L$2:$L$629)+SUMIF(Mercado_Receita!$S$2:$S$629,"44682B2Convencional pré-pagamentoRuralServiço público de irrigação ruralNão se aplicaNão se aplicaFora ponta",Mercado_Receita!$L$2:$L$629)+SUMIF(Mercado_Receita!$S$2:$S$629,"44682B2Convencional pré-pagamentoRuralServiço público de irrigação ruralNão se aplicaNão se aplicaIntermediário",Mercado_Receita!$L$2:$L$629)+SUMIF(Mercado_Receita!$S$2:$S$629,"44682B2Convencional pré-pagamentoRuralServiço público de irrigação ruralNão se aplicaNão se aplicaNão se aplica",Mercado_Receita!$L$2:$L$629)</f>
        <v>0</v>
      </c>
      <c r="T41" s="12">
        <f>SUMIF(Mercado_Receita!$S$2:$S$629,"44713B2Convencional pré-pagamentoRuralServiço público de irrigação ruralNão se aplicaNão se aplicaPonta",Mercado_Receita!$L$2:$L$629)+SUMIF(Mercado_Receita!$S$2:$S$629,"44713B2Convencional pré-pagamentoRuralServiço público de irrigação ruralNão se aplicaNão se aplicaFora ponta",Mercado_Receita!$L$2:$L$629)+SUMIF(Mercado_Receita!$S$2:$S$629,"44713B2Convencional pré-pagamentoRuralServiço público de irrigação ruralNão se aplicaNão se aplicaIntermediário",Mercado_Receita!$L$2:$L$629)+SUMIF(Mercado_Receita!$S$2:$S$629,"44713B2Convencional pré-pagamentoRuralServiço público de irrigação ruralNão se aplicaNão se aplicaNão se aplica",Mercado_Receita!$L$2:$L$629)</f>
        <v>0</v>
      </c>
      <c r="U41" s="12">
        <f t="shared" si="0"/>
        <v>0</v>
      </c>
      <c r="V41" s="12"/>
      <c r="W41" s="12"/>
    </row>
    <row r="42" spans="1:23" ht="11.25" customHeight="1" x14ac:dyDescent="0.25">
      <c r="A42" s="151" t="s">
        <v>36</v>
      </c>
      <c r="B42" s="151" t="s">
        <v>32</v>
      </c>
      <c r="C42" s="151" t="s">
        <v>25</v>
      </c>
      <c r="D42" s="151" t="s">
        <v>25</v>
      </c>
      <c r="E42" s="151" t="s">
        <v>25</v>
      </c>
      <c r="F42" s="151" t="s">
        <v>25</v>
      </c>
      <c r="G42" s="12" t="s">
        <v>79</v>
      </c>
      <c r="H42" s="12" t="s">
        <v>78</v>
      </c>
      <c r="I42" s="12">
        <f>SUMIF(Mercado_Receita!$S$2:$S$629,"44378B3BrancaNão se aplicaNão se aplicaNão se aplicaNão se aplicaPonta",Mercado_Receita!$L$2:$L$629)</f>
        <v>0</v>
      </c>
      <c r="J42" s="12">
        <f>SUMIF(Mercado_Receita!$S$2:$S$629,"44409B3BrancaNão se aplicaNão se aplicaNão se aplicaNão se aplicaPonta",Mercado_Receita!$L$2:$L$629)</f>
        <v>0</v>
      </c>
      <c r="K42" s="12">
        <f>SUMIF(Mercado_Receita!$S$2:$S$629,"44440B3BrancaNão se aplicaNão se aplicaNão se aplicaNão se aplicaPonta",Mercado_Receita!$L$2:$L$629)</f>
        <v>0</v>
      </c>
      <c r="L42" s="12">
        <f>SUMIF(Mercado_Receita!$S$2:$S$629,"44470B3BrancaNão se aplicaNão se aplicaNão se aplicaNão se aplicaPonta",Mercado_Receita!$L$2:$L$629)</f>
        <v>0</v>
      </c>
      <c r="M42" s="12">
        <f>SUMIF(Mercado_Receita!$S$2:$S$629,"44501B3BrancaNão se aplicaNão se aplicaNão se aplicaNão se aplicaPonta",Mercado_Receita!$L$2:$L$629)</f>
        <v>0</v>
      </c>
      <c r="N42" s="12">
        <f>SUMIF(Mercado_Receita!$S$2:$S$629,"44531B3BrancaNão se aplicaNão se aplicaNão se aplicaNão se aplicaPonta",Mercado_Receita!$L$2:$L$629)</f>
        <v>0</v>
      </c>
      <c r="O42" s="12">
        <f>SUMIF(Mercado_Receita!$S$2:$S$629,"44562B3BrancaNão se aplicaNão se aplicaNão se aplicaNão se aplicaPonta",Mercado_Receita!$L$2:$L$629)</f>
        <v>0</v>
      </c>
      <c r="P42" s="12">
        <f>SUMIF(Mercado_Receita!$S$2:$S$629,"44593B3BrancaNão se aplicaNão se aplicaNão se aplicaNão se aplicaPonta",Mercado_Receita!$L$2:$L$629)</f>
        <v>0</v>
      </c>
      <c r="Q42" s="12">
        <f>SUMIF(Mercado_Receita!$S$2:$S$629,"44621B3BrancaNão se aplicaNão se aplicaNão se aplicaNão se aplicaPonta",Mercado_Receita!$L$2:$L$629)</f>
        <v>0</v>
      </c>
      <c r="R42" s="12">
        <f>SUMIF(Mercado_Receita!$S$2:$S$629,"44652B3BrancaNão se aplicaNão se aplicaNão se aplicaNão se aplicaPonta",Mercado_Receita!$L$2:$L$629)</f>
        <v>0.89200000000000002</v>
      </c>
      <c r="S42" s="12">
        <f>SUMIF(Mercado_Receita!$S$2:$S$629,"44682B3BrancaNão se aplicaNão se aplicaNão se aplicaNão se aplicaPonta",Mercado_Receita!$L$2:$L$629)</f>
        <v>0.111</v>
      </c>
      <c r="T42" s="12">
        <f>SUMIF(Mercado_Receita!$S$2:$S$629,"44713B3BrancaNão se aplicaNão se aplicaNão se aplicaNão se aplicaPonta",Mercado_Receita!$L$2:$L$629)</f>
        <v>0.111</v>
      </c>
      <c r="U42" s="12">
        <f t="shared" si="0"/>
        <v>1.1140000000000001</v>
      </c>
      <c r="V42" s="12"/>
      <c r="W42" s="12"/>
    </row>
    <row r="43" spans="1:23" ht="11.25" customHeight="1" x14ac:dyDescent="0.25">
      <c r="A43" s="152"/>
      <c r="B43" s="152"/>
      <c r="C43" s="152"/>
      <c r="D43" s="152"/>
      <c r="E43" s="152"/>
      <c r="F43" s="152"/>
      <c r="G43" s="12" t="s">
        <v>92</v>
      </c>
      <c r="H43" s="12" t="s">
        <v>78</v>
      </c>
      <c r="I43" s="12">
        <f>SUMIF(Mercado_Receita!$S$2:$S$629,"44378B3BrancaNão se aplicaNão se aplicaNão se aplicaNão se aplicaIntermediário",Mercado_Receita!$L$2:$L$629)</f>
        <v>0</v>
      </c>
      <c r="J43" s="12">
        <f>SUMIF(Mercado_Receita!$S$2:$S$629,"44409B3BrancaNão se aplicaNão se aplicaNão se aplicaNão se aplicaIntermediário",Mercado_Receita!$L$2:$L$629)</f>
        <v>0</v>
      </c>
      <c r="K43" s="12">
        <f>SUMIF(Mercado_Receita!$S$2:$S$629,"44440B3BrancaNão se aplicaNão se aplicaNão se aplicaNão se aplicaIntermediário",Mercado_Receita!$L$2:$L$629)</f>
        <v>0</v>
      </c>
      <c r="L43" s="12">
        <f>SUMIF(Mercado_Receita!$S$2:$S$629,"44470B3BrancaNão se aplicaNão se aplicaNão se aplicaNão se aplicaIntermediário",Mercado_Receita!$L$2:$L$629)</f>
        <v>0</v>
      </c>
      <c r="M43" s="12">
        <f>SUMIF(Mercado_Receita!$S$2:$S$629,"44501B3BrancaNão se aplicaNão se aplicaNão se aplicaNão se aplicaIntermediário",Mercado_Receita!$L$2:$L$629)</f>
        <v>0</v>
      </c>
      <c r="N43" s="12">
        <f>SUMIF(Mercado_Receita!$S$2:$S$629,"44531B3BrancaNão se aplicaNão se aplicaNão se aplicaNão se aplicaIntermediário",Mercado_Receita!$L$2:$L$629)</f>
        <v>0</v>
      </c>
      <c r="O43" s="12">
        <f>SUMIF(Mercado_Receita!$S$2:$S$629,"44562B3BrancaNão se aplicaNão se aplicaNão se aplicaNão se aplicaIntermediário",Mercado_Receita!$L$2:$L$629)</f>
        <v>0</v>
      </c>
      <c r="P43" s="12">
        <f>SUMIF(Mercado_Receita!$S$2:$S$629,"44593B3BrancaNão se aplicaNão se aplicaNão se aplicaNão se aplicaIntermediário",Mercado_Receita!$L$2:$L$629)</f>
        <v>0</v>
      </c>
      <c r="Q43" s="12">
        <f>SUMIF(Mercado_Receita!$S$2:$S$629,"44621B3BrancaNão se aplicaNão se aplicaNão se aplicaNão se aplicaIntermediário",Mercado_Receita!$L$2:$L$629)</f>
        <v>0</v>
      </c>
      <c r="R43" s="12">
        <f>SUMIF(Mercado_Receita!$S$2:$S$629,"44652B3BrancaNão se aplicaNão se aplicaNão se aplicaNão se aplicaIntermediário",Mercado_Receita!$L$2:$L$629)</f>
        <v>0.155</v>
      </c>
      <c r="S43" s="12">
        <f>SUMIF(Mercado_Receita!$S$2:$S$629,"44682B3BrancaNão se aplicaNão se aplicaNão se aplicaNão se aplicaIntermediário",Mercado_Receita!$L$2:$L$629)</f>
        <v>0.16500000000000001</v>
      </c>
      <c r="T43" s="12">
        <f>SUMIF(Mercado_Receita!$S$2:$S$629,"44713B3BrancaNão se aplicaNão se aplicaNão se aplicaNão se aplicaIntermediário",Mercado_Receita!$L$2:$L$629)</f>
        <v>0.16500000000000001</v>
      </c>
      <c r="U43" s="12">
        <f t="shared" si="0"/>
        <v>0.48499999999999999</v>
      </c>
      <c r="V43" s="12"/>
      <c r="W43" s="12"/>
    </row>
    <row r="44" spans="1:23" ht="11.25" customHeight="1" x14ac:dyDescent="0.25">
      <c r="A44" s="152"/>
      <c r="B44" s="152"/>
      <c r="C44" s="152"/>
      <c r="D44" s="152"/>
      <c r="E44" s="152"/>
      <c r="F44" s="152"/>
      <c r="G44" s="12" t="s">
        <v>80</v>
      </c>
      <c r="H44" s="12" t="s">
        <v>78</v>
      </c>
      <c r="I44" s="12">
        <f>SUMIF(Mercado_Receita!$S$2:$S$629,"44378B3BrancaNão se aplicaNão se aplicaNão se aplicaNão se aplicaFora ponta",Mercado_Receita!$L$2:$L$629)</f>
        <v>0</v>
      </c>
      <c r="J44" s="12">
        <f>SUMIF(Mercado_Receita!$S$2:$S$629,"44409B3BrancaNão se aplicaNão se aplicaNão se aplicaNão se aplicaFora ponta",Mercado_Receita!$L$2:$L$629)</f>
        <v>0</v>
      </c>
      <c r="K44" s="12">
        <f>SUMIF(Mercado_Receita!$S$2:$S$629,"44440B3BrancaNão se aplicaNão se aplicaNão se aplicaNão se aplicaFora ponta",Mercado_Receita!$L$2:$L$629)</f>
        <v>0</v>
      </c>
      <c r="L44" s="12">
        <f>SUMIF(Mercado_Receita!$S$2:$S$629,"44470B3BrancaNão se aplicaNão se aplicaNão se aplicaNão se aplicaFora ponta",Mercado_Receita!$L$2:$L$629)</f>
        <v>0</v>
      </c>
      <c r="M44" s="12">
        <f>SUMIF(Mercado_Receita!$S$2:$S$629,"44501B3BrancaNão se aplicaNão se aplicaNão se aplicaNão se aplicaFora ponta",Mercado_Receita!$L$2:$L$629)</f>
        <v>0</v>
      </c>
      <c r="N44" s="12">
        <f>SUMIF(Mercado_Receita!$S$2:$S$629,"44531B3BrancaNão se aplicaNão se aplicaNão se aplicaNão se aplicaFora ponta",Mercado_Receita!$L$2:$L$629)</f>
        <v>0</v>
      </c>
      <c r="O44" s="12">
        <f>SUMIF(Mercado_Receita!$S$2:$S$629,"44562B3BrancaNão se aplicaNão se aplicaNão se aplicaNão se aplicaFora ponta",Mercado_Receita!$L$2:$L$629)</f>
        <v>0</v>
      </c>
      <c r="P44" s="12">
        <f>SUMIF(Mercado_Receita!$S$2:$S$629,"44593B3BrancaNão se aplicaNão se aplicaNão se aplicaNão se aplicaFora ponta",Mercado_Receita!$L$2:$L$629)</f>
        <v>0</v>
      </c>
      <c r="Q44" s="12">
        <f>SUMIF(Mercado_Receita!$S$2:$S$629,"44621B3BrancaNão se aplicaNão se aplicaNão se aplicaNão se aplicaFora ponta",Mercado_Receita!$L$2:$L$629)</f>
        <v>0</v>
      </c>
      <c r="R44" s="12">
        <f>SUMIF(Mercado_Receita!$S$2:$S$629,"44652B3BrancaNão se aplicaNão se aplicaNão se aplicaNão se aplicaFora ponta",Mercado_Receita!$L$2:$L$629)</f>
        <v>1.9950000000000001</v>
      </c>
      <c r="S44" s="12">
        <f>SUMIF(Mercado_Receita!$S$2:$S$629,"44682B3BrancaNão se aplicaNão se aplicaNão se aplicaNão se aplicaFora ponta",Mercado_Receita!$L$2:$L$629)</f>
        <v>2.1360000000000001</v>
      </c>
      <c r="T44" s="12">
        <f>SUMIF(Mercado_Receita!$S$2:$S$629,"44713B3BrancaNão se aplicaNão se aplicaNão se aplicaNão se aplicaFora ponta",Mercado_Receita!$L$2:$L$629)</f>
        <v>2.1360000000000001</v>
      </c>
      <c r="U44" s="12">
        <f t="shared" si="0"/>
        <v>6.2670000000000003</v>
      </c>
      <c r="V44" s="12"/>
      <c r="W44" s="12"/>
    </row>
    <row r="45" spans="1:23" ht="11.25" customHeight="1" x14ac:dyDescent="0.25">
      <c r="A45" s="152"/>
      <c r="B45" s="13" t="s">
        <v>23</v>
      </c>
      <c r="C45" s="13" t="s">
        <v>25</v>
      </c>
      <c r="D45" s="13" t="s">
        <v>25</v>
      </c>
      <c r="E45" s="13" t="s">
        <v>25</v>
      </c>
      <c r="F45" s="13" t="s">
        <v>25</v>
      </c>
      <c r="G45" s="12" t="s">
        <v>82</v>
      </c>
      <c r="H45" s="12" t="s">
        <v>78</v>
      </c>
      <c r="I45" s="12">
        <f>SUMIF(Mercado_Receita!$S$2:$S$629,"44378B3ConvencionalNão se aplicaNão se aplicaNão se aplicaNão se aplicaPonta",Mercado_Receita!$L$2:$L$629)+SUMIF(Mercado_Receita!$S$2:$S$629,"44378B3ConvencionalNão se aplicaNão se aplicaNão se aplicaNão se aplicaFora ponta",Mercado_Receita!$L$2:$L$629)+SUMIF(Mercado_Receita!$S$2:$S$629,"44378B3ConvencionalNão se aplicaNão se aplicaNão se aplicaNão se aplicaIntermediário",Mercado_Receita!$L$2:$L$629)+SUMIF(Mercado_Receita!$S$2:$S$629,"44378B3ConvencionalNão se aplicaNão se aplicaNão se aplicaNão se aplicaNão se aplica",Mercado_Receita!$L$2:$L$629)</f>
        <v>1024.56</v>
      </c>
      <c r="J45" s="12">
        <f>SUMIF(Mercado_Receita!$S$2:$S$629,"44409B3ConvencionalNão se aplicaNão se aplicaNão se aplicaNão se aplicaPonta",Mercado_Receita!$L$2:$L$629)+SUMIF(Mercado_Receita!$S$2:$S$629,"44409B3ConvencionalNão se aplicaNão se aplicaNão se aplicaNão se aplicaFora ponta",Mercado_Receita!$L$2:$L$629)+SUMIF(Mercado_Receita!$S$2:$S$629,"44409B3ConvencionalNão se aplicaNão se aplicaNão se aplicaNão se aplicaIntermediário",Mercado_Receita!$L$2:$L$629)+SUMIF(Mercado_Receita!$S$2:$S$629,"44409B3ConvencionalNão se aplicaNão se aplicaNão se aplicaNão se aplicaNão se aplica",Mercado_Receita!$L$2:$L$629)</f>
        <v>1034.4079999999999</v>
      </c>
      <c r="K45" s="12">
        <f>SUMIF(Mercado_Receita!$S$2:$S$629,"44440B3ConvencionalNão se aplicaNão se aplicaNão se aplicaNão se aplicaPonta",Mercado_Receita!$L$2:$L$629)+SUMIF(Mercado_Receita!$S$2:$S$629,"44440B3ConvencionalNão se aplicaNão se aplicaNão se aplicaNão se aplicaFora ponta",Mercado_Receita!$L$2:$L$629)+SUMIF(Mercado_Receita!$S$2:$S$629,"44440B3ConvencionalNão se aplicaNão se aplicaNão se aplicaNão se aplicaIntermediário",Mercado_Receita!$L$2:$L$629)+SUMIF(Mercado_Receita!$S$2:$S$629,"44440B3ConvencionalNão se aplicaNão se aplicaNão se aplicaNão se aplicaNão se aplica",Mercado_Receita!$L$2:$L$629)</f>
        <v>933.87599999999998</v>
      </c>
      <c r="L45" s="12">
        <f>SUMIF(Mercado_Receita!$S$2:$S$629,"44470B3ConvencionalNão se aplicaNão se aplicaNão se aplicaNão se aplicaPonta",Mercado_Receita!$L$2:$L$629)+SUMIF(Mercado_Receita!$S$2:$S$629,"44470B3ConvencionalNão se aplicaNão se aplicaNão se aplicaNão se aplicaFora ponta",Mercado_Receita!$L$2:$L$629)+SUMIF(Mercado_Receita!$S$2:$S$629,"44470B3ConvencionalNão se aplicaNão se aplicaNão se aplicaNão se aplicaIntermediário",Mercado_Receita!$L$2:$L$629)+SUMIF(Mercado_Receita!$S$2:$S$629,"44470B3ConvencionalNão se aplicaNão se aplicaNão se aplicaNão se aplicaNão se aplica",Mercado_Receita!$L$2:$L$629)</f>
        <v>929.67200000000003</v>
      </c>
      <c r="M45" s="12">
        <f>SUMIF(Mercado_Receita!$S$2:$S$629,"44501B3ConvencionalNão se aplicaNão se aplicaNão se aplicaNão se aplicaPonta",Mercado_Receita!$L$2:$L$629)+SUMIF(Mercado_Receita!$S$2:$S$629,"44501B3ConvencionalNão se aplicaNão se aplicaNão se aplicaNão se aplicaFora ponta",Mercado_Receita!$L$2:$L$629)+SUMIF(Mercado_Receita!$S$2:$S$629,"44501B3ConvencionalNão se aplicaNão se aplicaNão se aplicaNão se aplicaIntermediário",Mercado_Receita!$L$2:$L$629)+SUMIF(Mercado_Receita!$S$2:$S$629,"44501B3ConvencionalNão se aplicaNão se aplicaNão se aplicaNão se aplicaNão se aplica",Mercado_Receita!$L$2:$L$629)</f>
        <v>1220.2190000000001</v>
      </c>
      <c r="N45" s="12">
        <f>SUMIF(Mercado_Receita!$S$2:$S$629,"44531B3ConvencionalNão se aplicaNão se aplicaNão se aplicaNão se aplicaPonta",Mercado_Receita!$L$2:$L$629)+SUMIF(Mercado_Receita!$S$2:$S$629,"44531B3ConvencionalNão se aplicaNão se aplicaNão se aplicaNão se aplicaFora ponta",Mercado_Receita!$L$2:$L$629)+SUMIF(Mercado_Receita!$S$2:$S$629,"44531B3ConvencionalNão se aplicaNão se aplicaNão se aplicaNão se aplicaIntermediário",Mercado_Receita!$L$2:$L$629)+SUMIF(Mercado_Receita!$S$2:$S$629,"44531B3ConvencionalNão se aplicaNão se aplicaNão se aplicaNão se aplicaNão se aplica",Mercado_Receita!$L$2:$L$629)</f>
        <v>1338.3990000000001</v>
      </c>
      <c r="O45" s="12">
        <f>SUMIF(Mercado_Receita!$S$2:$S$629,"44562B3ConvencionalNão se aplicaNão se aplicaNão se aplicaNão se aplicaPonta",Mercado_Receita!$L$2:$L$629)+SUMIF(Mercado_Receita!$S$2:$S$629,"44562B3ConvencionalNão se aplicaNão se aplicaNão se aplicaNão se aplicaFora ponta",Mercado_Receita!$L$2:$L$629)+SUMIF(Mercado_Receita!$S$2:$S$629,"44562B3ConvencionalNão se aplicaNão se aplicaNão se aplicaNão se aplicaIntermediário",Mercado_Receita!$L$2:$L$629)+SUMIF(Mercado_Receita!$S$2:$S$629,"44562B3ConvencionalNão se aplicaNão se aplicaNão se aplicaNão se aplicaNão se aplica",Mercado_Receita!$L$2:$L$629)</f>
        <v>1343.8930000000003</v>
      </c>
      <c r="P45" s="12">
        <f>SUMIF(Mercado_Receita!$S$2:$S$629,"44593B3ConvencionalNão se aplicaNão se aplicaNão se aplicaNão se aplicaPonta",Mercado_Receita!$L$2:$L$629)+SUMIF(Mercado_Receita!$S$2:$S$629,"44593B3ConvencionalNão se aplicaNão se aplicaNão se aplicaNão se aplicaFora ponta",Mercado_Receita!$L$2:$L$629)+SUMIF(Mercado_Receita!$S$2:$S$629,"44593B3ConvencionalNão se aplicaNão se aplicaNão se aplicaNão se aplicaIntermediário",Mercado_Receita!$L$2:$L$629)+SUMIF(Mercado_Receita!$S$2:$S$629,"44593B3ConvencionalNão se aplicaNão se aplicaNão se aplicaNão se aplicaNão se aplica",Mercado_Receita!$L$2:$L$629)</f>
        <v>1247.375</v>
      </c>
      <c r="Q45" s="12">
        <f>SUMIF(Mercado_Receita!$S$2:$S$629,"44621B3ConvencionalNão se aplicaNão se aplicaNão se aplicaNão se aplicaPonta",Mercado_Receita!$L$2:$L$629)+SUMIF(Mercado_Receita!$S$2:$S$629,"44621B3ConvencionalNão se aplicaNão se aplicaNão se aplicaNão se aplicaFora ponta",Mercado_Receita!$L$2:$L$629)+SUMIF(Mercado_Receita!$S$2:$S$629,"44621B3ConvencionalNão se aplicaNão se aplicaNão se aplicaNão se aplicaIntermediário",Mercado_Receita!$L$2:$L$629)+SUMIF(Mercado_Receita!$S$2:$S$629,"44621B3ConvencionalNão se aplicaNão se aplicaNão se aplicaNão se aplicaNão se aplica",Mercado_Receita!$L$2:$L$629)</f>
        <v>1431.1779999999999</v>
      </c>
      <c r="R45" s="12">
        <f>SUMIF(Mercado_Receita!$S$2:$S$629,"44652B3ConvencionalNão se aplicaNão se aplicaNão se aplicaNão se aplicaPonta",Mercado_Receita!$L$2:$L$629)+SUMIF(Mercado_Receita!$S$2:$S$629,"44652B3ConvencionalNão se aplicaNão se aplicaNão se aplicaNão se aplicaFora ponta",Mercado_Receita!$L$2:$L$629)+SUMIF(Mercado_Receita!$S$2:$S$629,"44652B3ConvencionalNão se aplicaNão se aplicaNão se aplicaNão se aplicaIntermediário",Mercado_Receita!$L$2:$L$629)+SUMIF(Mercado_Receita!$S$2:$S$629,"44652B3ConvencionalNão se aplicaNão se aplicaNão se aplicaNão se aplicaNão se aplica",Mercado_Receita!$L$2:$L$629)</f>
        <v>1003.136</v>
      </c>
      <c r="S45" s="12">
        <f>SUMIF(Mercado_Receita!$S$2:$S$629,"44682B3ConvencionalNão se aplicaNão se aplicaNão se aplicaNão se aplicaPonta",Mercado_Receita!$L$2:$L$629)+SUMIF(Mercado_Receita!$S$2:$S$629,"44682B3ConvencionalNão se aplicaNão se aplicaNão se aplicaNão se aplicaFora ponta",Mercado_Receita!$L$2:$L$629)+SUMIF(Mercado_Receita!$S$2:$S$629,"44682B3ConvencionalNão se aplicaNão se aplicaNão se aplicaNão se aplicaIntermediário",Mercado_Receita!$L$2:$L$629)+SUMIF(Mercado_Receita!$S$2:$S$629,"44682B3ConvencionalNão se aplicaNão se aplicaNão se aplicaNão se aplicaNão se aplica",Mercado_Receita!$L$2:$L$629)</f>
        <v>1069.693</v>
      </c>
      <c r="T45" s="12">
        <f>SUMIF(Mercado_Receita!$S$2:$S$629,"44713B3ConvencionalNão se aplicaNão se aplicaNão se aplicaNão se aplicaPonta",Mercado_Receita!$L$2:$L$629)+SUMIF(Mercado_Receita!$S$2:$S$629,"44713B3ConvencionalNão se aplicaNão se aplicaNão se aplicaNão se aplicaFora ponta",Mercado_Receita!$L$2:$L$629)+SUMIF(Mercado_Receita!$S$2:$S$629,"44713B3ConvencionalNão se aplicaNão se aplicaNão se aplicaNão se aplicaIntermediário",Mercado_Receita!$L$2:$L$629)+SUMIF(Mercado_Receita!$S$2:$S$629,"44713B3ConvencionalNão se aplicaNão se aplicaNão se aplicaNão se aplicaNão se aplica",Mercado_Receita!$L$2:$L$629)</f>
        <v>1069.693</v>
      </c>
      <c r="U45" s="12">
        <f t="shared" si="0"/>
        <v>13646.102000000001</v>
      </c>
      <c r="V45" s="12"/>
      <c r="W45" s="12"/>
    </row>
    <row r="46" spans="1:23" ht="11.25" customHeight="1" x14ac:dyDescent="0.25">
      <c r="A46" s="152"/>
      <c r="B46" s="13" t="s">
        <v>94</v>
      </c>
      <c r="C46" s="13" t="s">
        <v>25</v>
      </c>
      <c r="D46" s="13" t="s">
        <v>25</v>
      </c>
      <c r="E46" s="13" t="s">
        <v>25</v>
      </c>
      <c r="F46" s="13" t="s">
        <v>25</v>
      </c>
      <c r="G46" s="12" t="s">
        <v>82</v>
      </c>
      <c r="H46" s="12" t="s">
        <v>78</v>
      </c>
      <c r="I46" s="12">
        <f>SUMIF(Mercado_Receita!$S$2:$S$629,"44378B3Convencional pré-pagamentoNão se aplicaNão se aplicaNão se aplicaNão se aplicaPonta",Mercado_Receita!$L$2:$L$629)+SUMIF(Mercado_Receita!$S$2:$S$629,"44378B3Convencional pré-pagamentoNão se aplicaNão se aplicaNão se aplicaNão se aplicaFora ponta",Mercado_Receita!$L$2:$L$629)+SUMIF(Mercado_Receita!$S$2:$S$629,"44378B3Convencional pré-pagamentoNão se aplicaNão se aplicaNão se aplicaNão se aplicaIntermediário",Mercado_Receita!$L$2:$L$629)+SUMIF(Mercado_Receita!$S$2:$S$629,"44378B3Convencional pré-pagamentoNão se aplicaNão se aplicaNão se aplicaNão se aplicaNão se aplica",Mercado_Receita!$L$2:$L$629)</f>
        <v>0</v>
      </c>
      <c r="J46" s="12">
        <f>SUMIF(Mercado_Receita!$S$2:$S$629,"44409B3Convencional pré-pagamentoNão se aplicaNão se aplicaNão se aplicaNão se aplicaPonta",Mercado_Receita!$L$2:$L$629)+SUMIF(Mercado_Receita!$S$2:$S$629,"44409B3Convencional pré-pagamentoNão se aplicaNão se aplicaNão se aplicaNão se aplicaFora ponta",Mercado_Receita!$L$2:$L$629)+SUMIF(Mercado_Receita!$S$2:$S$629,"44409B3Convencional pré-pagamentoNão se aplicaNão se aplicaNão se aplicaNão se aplicaIntermediário",Mercado_Receita!$L$2:$L$629)+SUMIF(Mercado_Receita!$S$2:$S$629,"44409B3Convencional pré-pagamentoNão se aplicaNão se aplicaNão se aplicaNão se aplicaNão se aplica",Mercado_Receita!$L$2:$L$629)</f>
        <v>0</v>
      </c>
      <c r="K46" s="12">
        <f>SUMIF(Mercado_Receita!$S$2:$S$629,"44440B3Convencional pré-pagamentoNão se aplicaNão se aplicaNão se aplicaNão se aplicaPonta",Mercado_Receita!$L$2:$L$629)+SUMIF(Mercado_Receita!$S$2:$S$629,"44440B3Convencional pré-pagamentoNão se aplicaNão se aplicaNão se aplicaNão se aplicaFora ponta",Mercado_Receita!$L$2:$L$629)+SUMIF(Mercado_Receita!$S$2:$S$629,"44440B3Convencional pré-pagamentoNão se aplicaNão se aplicaNão se aplicaNão se aplicaIntermediário",Mercado_Receita!$L$2:$L$629)+SUMIF(Mercado_Receita!$S$2:$S$629,"44440B3Convencional pré-pagamentoNão se aplicaNão se aplicaNão se aplicaNão se aplicaNão se aplica",Mercado_Receita!$L$2:$L$629)</f>
        <v>0</v>
      </c>
      <c r="L46" s="12">
        <f>SUMIF(Mercado_Receita!$S$2:$S$629,"44470B3Convencional pré-pagamentoNão se aplicaNão se aplicaNão se aplicaNão se aplicaPonta",Mercado_Receita!$L$2:$L$629)+SUMIF(Mercado_Receita!$S$2:$S$629,"44470B3Convencional pré-pagamentoNão se aplicaNão se aplicaNão se aplicaNão se aplicaFora ponta",Mercado_Receita!$L$2:$L$629)+SUMIF(Mercado_Receita!$S$2:$S$629,"44470B3Convencional pré-pagamentoNão se aplicaNão se aplicaNão se aplicaNão se aplicaIntermediário",Mercado_Receita!$L$2:$L$629)+SUMIF(Mercado_Receita!$S$2:$S$629,"44470B3Convencional pré-pagamentoNão se aplicaNão se aplicaNão se aplicaNão se aplicaNão se aplica",Mercado_Receita!$L$2:$L$629)</f>
        <v>0</v>
      </c>
      <c r="M46" s="12">
        <f>SUMIF(Mercado_Receita!$S$2:$S$629,"44501B3Convencional pré-pagamentoNão se aplicaNão se aplicaNão se aplicaNão se aplicaPonta",Mercado_Receita!$L$2:$L$629)+SUMIF(Mercado_Receita!$S$2:$S$629,"44501B3Convencional pré-pagamentoNão se aplicaNão se aplicaNão se aplicaNão se aplicaFora ponta",Mercado_Receita!$L$2:$L$629)+SUMIF(Mercado_Receita!$S$2:$S$629,"44501B3Convencional pré-pagamentoNão se aplicaNão se aplicaNão se aplicaNão se aplicaIntermediário",Mercado_Receita!$L$2:$L$629)+SUMIF(Mercado_Receita!$S$2:$S$629,"44501B3Convencional pré-pagamentoNão se aplicaNão se aplicaNão se aplicaNão se aplicaNão se aplica",Mercado_Receita!$L$2:$L$629)</f>
        <v>0</v>
      </c>
      <c r="N46" s="12">
        <f>SUMIF(Mercado_Receita!$S$2:$S$629,"44531B3Convencional pré-pagamentoNão se aplicaNão se aplicaNão se aplicaNão se aplicaPonta",Mercado_Receita!$L$2:$L$629)+SUMIF(Mercado_Receita!$S$2:$S$629,"44531B3Convencional pré-pagamentoNão se aplicaNão se aplicaNão se aplicaNão se aplicaFora ponta",Mercado_Receita!$L$2:$L$629)+SUMIF(Mercado_Receita!$S$2:$S$629,"44531B3Convencional pré-pagamentoNão se aplicaNão se aplicaNão se aplicaNão se aplicaIntermediário",Mercado_Receita!$L$2:$L$629)+SUMIF(Mercado_Receita!$S$2:$S$629,"44531B3Convencional pré-pagamentoNão se aplicaNão se aplicaNão se aplicaNão se aplicaNão se aplica",Mercado_Receita!$L$2:$L$629)</f>
        <v>0</v>
      </c>
      <c r="O46" s="12">
        <f>SUMIF(Mercado_Receita!$S$2:$S$629,"44562B3Convencional pré-pagamentoNão se aplicaNão se aplicaNão se aplicaNão se aplicaPonta",Mercado_Receita!$L$2:$L$629)+SUMIF(Mercado_Receita!$S$2:$S$629,"44562B3Convencional pré-pagamentoNão se aplicaNão se aplicaNão se aplicaNão se aplicaFora ponta",Mercado_Receita!$L$2:$L$629)+SUMIF(Mercado_Receita!$S$2:$S$629,"44562B3Convencional pré-pagamentoNão se aplicaNão se aplicaNão se aplicaNão se aplicaIntermediário",Mercado_Receita!$L$2:$L$629)+SUMIF(Mercado_Receita!$S$2:$S$629,"44562B3Convencional pré-pagamentoNão se aplicaNão se aplicaNão se aplicaNão se aplicaNão se aplica",Mercado_Receita!$L$2:$L$629)</f>
        <v>0</v>
      </c>
      <c r="P46" s="12">
        <f>SUMIF(Mercado_Receita!$S$2:$S$629,"44593B3Convencional pré-pagamentoNão se aplicaNão se aplicaNão se aplicaNão se aplicaPonta",Mercado_Receita!$L$2:$L$629)+SUMIF(Mercado_Receita!$S$2:$S$629,"44593B3Convencional pré-pagamentoNão se aplicaNão se aplicaNão se aplicaNão se aplicaFora ponta",Mercado_Receita!$L$2:$L$629)+SUMIF(Mercado_Receita!$S$2:$S$629,"44593B3Convencional pré-pagamentoNão se aplicaNão se aplicaNão se aplicaNão se aplicaIntermediário",Mercado_Receita!$L$2:$L$629)+SUMIF(Mercado_Receita!$S$2:$S$629,"44593B3Convencional pré-pagamentoNão se aplicaNão se aplicaNão se aplicaNão se aplicaNão se aplica",Mercado_Receita!$L$2:$L$629)</f>
        <v>0</v>
      </c>
      <c r="Q46" s="12">
        <f>SUMIF(Mercado_Receita!$S$2:$S$629,"44621B3Convencional pré-pagamentoNão se aplicaNão se aplicaNão se aplicaNão se aplicaPonta",Mercado_Receita!$L$2:$L$629)+SUMIF(Mercado_Receita!$S$2:$S$629,"44621B3Convencional pré-pagamentoNão se aplicaNão se aplicaNão se aplicaNão se aplicaFora ponta",Mercado_Receita!$L$2:$L$629)+SUMIF(Mercado_Receita!$S$2:$S$629,"44621B3Convencional pré-pagamentoNão se aplicaNão se aplicaNão se aplicaNão se aplicaIntermediário",Mercado_Receita!$L$2:$L$629)+SUMIF(Mercado_Receita!$S$2:$S$629,"44621B3Convencional pré-pagamentoNão se aplicaNão se aplicaNão se aplicaNão se aplicaNão se aplica",Mercado_Receita!$L$2:$L$629)</f>
        <v>0</v>
      </c>
      <c r="R46" s="12">
        <f>SUMIF(Mercado_Receita!$S$2:$S$629,"44652B3Convencional pré-pagamentoNão se aplicaNão se aplicaNão se aplicaNão se aplicaPonta",Mercado_Receita!$L$2:$L$629)+SUMIF(Mercado_Receita!$S$2:$S$629,"44652B3Convencional pré-pagamentoNão se aplicaNão se aplicaNão se aplicaNão se aplicaFora ponta",Mercado_Receita!$L$2:$L$629)+SUMIF(Mercado_Receita!$S$2:$S$629,"44652B3Convencional pré-pagamentoNão se aplicaNão se aplicaNão se aplicaNão se aplicaIntermediário",Mercado_Receita!$L$2:$L$629)+SUMIF(Mercado_Receita!$S$2:$S$629,"44652B3Convencional pré-pagamentoNão se aplicaNão se aplicaNão se aplicaNão se aplicaNão se aplica",Mercado_Receita!$L$2:$L$629)</f>
        <v>0</v>
      </c>
      <c r="S46" s="12">
        <f>SUMIF(Mercado_Receita!$S$2:$S$629,"44682B3Convencional pré-pagamentoNão se aplicaNão se aplicaNão se aplicaNão se aplicaPonta",Mercado_Receita!$L$2:$L$629)+SUMIF(Mercado_Receita!$S$2:$S$629,"44682B3Convencional pré-pagamentoNão se aplicaNão se aplicaNão se aplicaNão se aplicaFora ponta",Mercado_Receita!$L$2:$L$629)+SUMIF(Mercado_Receita!$S$2:$S$629,"44682B3Convencional pré-pagamentoNão se aplicaNão se aplicaNão se aplicaNão se aplicaIntermediário",Mercado_Receita!$L$2:$L$629)+SUMIF(Mercado_Receita!$S$2:$S$629,"44682B3Convencional pré-pagamentoNão se aplicaNão se aplicaNão se aplicaNão se aplicaNão se aplica",Mercado_Receita!$L$2:$L$629)</f>
        <v>0</v>
      </c>
      <c r="T46" s="12">
        <f>SUMIF(Mercado_Receita!$S$2:$S$629,"44713B3Convencional pré-pagamentoNão se aplicaNão se aplicaNão se aplicaNão se aplicaPonta",Mercado_Receita!$L$2:$L$629)+SUMIF(Mercado_Receita!$S$2:$S$629,"44713B3Convencional pré-pagamentoNão se aplicaNão se aplicaNão se aplicaNão se aplicaFora ponta",Mercado_Receita!$L$2:$L$629)+SUMIF(Mercado_Receita!$S$2:$S$629,"44713B3Convencional pré-pagamentoNão se aplicaNão se aplicaNão se aplicaNão se aplicaIntermediário",Mercado_Receita!$L$2:$L$629)+SUMIF(Mercado_Receita!$S$2:$S$629,"44713B3Convencional pré-pagamentoNão se aplicaNão se aplicaNão se aplicaNão se aplicaNão se aplica",Mercado_Receita!$L$2:$L$629)</f>
        <v>0</v>
      </c>
      <c r="U46" s="12">
        <f t="shared" si="0"/>
        <v>0</v>
      </c>
      <c r="V46" s="12"/>
      <c r="W46" s="12"/>
    </row>
    <row r="47" spans="1:23" ht="11.25" customHeight="1" x14ac:dyDescent="0.25">
      <c r="A47" s="151" t="s">
        <v>45</v>
      </c>
      <c r="B47" s="151" t="s">
        <v>23</v>
      </c>
      <c r="C47" s="151" t="s">
        <v>46</v>
      </c>
      <c r="D47" s="13" t="s">
        <v>47</v>
      </c>
      <c r="E47" s="13" t="s">
        <v>25</v>
      </c>
      <c r="F47" s="13" t="s">
        <v>25</v>
      </c>
      <c r="G47" s="12" t="s">
        <v>82</v>
      </c>
      <c r="H47" s="12" t="s">
        <v>78</v>
      </c>
      <c r="I47" s="12">
        <f>SUMIF(Mercado_Receita!$S$2:$S$629,"44378B4ConvencionalIluminação públicaIluminação pública – B4aNão se aplicaNão se aplicaPonta",Mercado_Receita!$L$2:$L$629)+SUMIF(Mercado_Receita!$S$2:$S$629,"44378B4ConvencionalIluminação públicaIluminação pública – B4aNão se aplicaNão se aplicaFora ponta",Mercado_Receita!$L$2:$L$629)+SUMIF(Mercado_Receita!$S$2:$S$629,"44378B4ConvencionalIluminação públicaIluminação pública – B4aNão se aplicaNão se aplicaIntermediário",Mercado_Receita!$L$2:$L$629)+SUMIF(Mercado_Receita!$S$2:$S$629,"44378B4ConvencionalIluminação públicaIluminação pública – B4aNão se aplicaNão se aplicaNão se aplica",Mercado_Receita!$L$2:$L$629)</f>
        <v>418.91800000000001</v>
      </c>
      <c r="J47" s="12">
        <f>SUMIF(Mercado_Receita!$S$2:$S$629,"44409B4ConvencionalIluminação públicaIluminação pública – B4aNão se aplicaNão se aplicaPonta",Mercado_Receita!$L$2:$L$629)+SUMIF(Mercado_Receita!$S$2:$S$629,"44409B4ConvencionalIluminação públicaIluminação pública – B4aNão se aplicaNão se aplicaFora ponta",Mercado_Receita!$L$2:$L$629)+SUMIF(Mercado_Receita!$S$2:$S$629,"44409B4ConvencionalIluminação públicaIluminação pública – B4aNão se aplicaNão se aplicaIntermediário",Mercado_Receita!$L$2:$L$629)+SUMIF(Mercado_Receita!$S$2:$S$629,"44409B4ConvencionalIluminação públicaIluminação pública – B4aNão se aplicaNão se aplicaNão se aplica",Mercado_Receita!$L$2:$L$629)</f>
        <v>419.18200000000002</v>
      </c>
      <c r="K47" s="12">
        <f>SUMIF(Mercado_Receita!$S$2:$S$629,"44440B4ConvencionalIluminação públicaIluminação pública – B4aNão se aplicaNão se aplicaPonta",Mercado_Receita!$L$2:$L$629)+SUMIF(Mercado_Receita!$S$2:$S$629,"44440B4ConvencionalIluminação públicaIluminação pública – B4aNão se aplicaNão se aplicaFora ponta",Mercado_Receita!$L$2:$L$629)+SUMIF(Mercado_Receita!$S$2:$S$629,"44440B4ConvencionalIluminação públicaIluminação pública – B4aNão se aplicaNão se aplicaIntermediário",Mercado_Receita!$L$2:$L$629)+SUMIF(Mercado_Receita!$S$2:$S$629,"44440B4ConvencionalIluminação públicaIluminação pública – B4aNão se aplicaNão se aplicaNão se aplica",Mercado_Receita!$L$2:$L$629)</f>
        <v>405.67500000000001</v>
      </c>
      <c r="L47" s="12">
        <f>SUMIF(Mercado_Receita!$S$2:$S$629,"44470B4ConvencionalIluminação públicaIluminação pública – B4aNão se aplicaNão se aplicaPonta",Mercado_Receita!$L$2:$L$629)+SUMIF(Mercado_Receita!$S$2:$S$629,"44470B4ConvencionalIluminação públicaIluminação pública – B4aNão se aplicaNão se aplicaFora ponta",Mercado_Receita!$L$2:$L$629)+SUMIF(Mercado_Receita!$S$2:$S$629,"44470B4ConvencionalIluminação públicaIluminação pública – B4aNão se aplicaNão se aplicaIntermediário",Mercado_Receita!$L$2:$L$629)+SUMIF(Mercado_Receita!$S$2:$S$629,"44470B4ConvencionalIluminação públicaIluminação pública – B4aNão se aplicaNão se aplicaNão se aplica",Mercado_Receita!$L$2:$L$629)</f>
        <v>419.04899999999998</v>
      </c>
      <c r="M47" s="12">
        <f>SUMIF(Mercado_Receita!$S$2:$S$629,"44501B4ConvencionalIluminação públicaIluminação pública – B4aNão se aplicaNão se aplicaPonta",Mercado_Receita!$L$2:$L$629)+SUMIF(Mercado_Receita!$S$2:$S$629,"44501B4ConvencionalIluminação públicaIluminação pública – B4aNão se aplicaNão se aplicaFora ponta",Mercado_Receita!$L$2:$L$629)+SUMIF(Mercado_Receita!$S$2:$S$629,"44501B4ConvencionalIluminação públicaIluminação pública – B4aNão se aplicaNão se aplicaIntermediário",Mercado_Receita!$L$2:$L$629)+SUMIF(Mercado_Receita!$S$2:$S$629,"44501B4ConvencionalIluminação públicaIluminação pública – B4aNão se aplicaNão se aplicaNão se aplica",Mercado_Receita!$L$2:$L$629)</f>
        <v>404.16300000000001</v>
      </c>
      <c r="N47" s="12">
        <f>SUMIF(Mercado_Receita!$S$2:$S$629,"44531B4ConvencionalIluminação públicaIluminação pública – B4aNão se aplicaNão se aplicaPonta",Mercado_Receita!$L$2:$L$629)+SUMIF(Mercado_Receita!$S$2:$S$629,"44531B4ConvencionalIluminação públicaIluminação pública – B4aNão se aplicaNão se aplicaFora ponta",Mercado_Receita!$L$2:$L$629)+SUMIF(Mercado_Receita!$S$2:$S$629,"44531B4ConvencionalIluminação públicaIluminação pública – B4aNão se aplicaNão se aplicaIntermediário",Mercado_Receita!$L$2:$L$629)+SUMIF(Mercado_Receita!$S$2:$S$629,"44531B4ConvencionalIluminação públicaIluminação pública – B4aNão se aplicaNão se aplicaNão se aplica",Mercado_Receita!$L$2:$L$629)</f>
        <v>418.75099999999998</v>
      </c>
      <c r="O47" s="12">
        <f>SUMIF(Mercado_Receita!$S$2:$S$629,"44562B4ConvencionalIluminação públicaIluminação pública – B4aNão se aplicaNão se aplicaPonta",Mercado_Receita!$L$2:$L$629)+SUMIF(Mercado_Receita!$S$2:$S$629,"44562B4ConvencionalIluminação públicaIluminação pública – B4aNão se aplicaNão se aplicaFora ponta",Mercado_Receita!$L$2:$L$629)+SUMIF(Mercado_Receita!$S$2:$S$629,"44562B4ConvencionalIluminação públicaIluminação pública – B4aNão se aplicaNão se aplicaIntermediário",Mercado_Receita!$L$2:$L$629)+SUMIF(Mercado_Receita!$S$2:$S$629,"44562B4ConvencionalIluminação públicaIluminação pública – B4aNão se aplicaNão se aplicaNão se aplica",Mercado_Receita!$L$2:$L$629)</f>
        <v>418.15899999999999</v>
      </c>
      <c r="P47" s="12">
        <f>SUMIF(Mercado_Receita!$S$2:$S$629,"44593B4ConvencionalIluminação públicaIluminação pública – B4aNão se aplicaNão se aplicaPonta",Mercado_Receita!$L$2:$L$629)+SUMIF(Mercado_Receita!$S$2:$S$629,"44593B4ConvencionalIluminação públicaIluminação pública – B4aNão se aplicaNão se aplicaFora ponta",Mercado_Receita!$L$2:$L$629)+SUMIF(Mercado_Receita!$S$2:$S$629,"44593B4ConvencionalIluminação públicaIluminação pública – B4aNão se aplicaNão se aplicaIntermediário",Mercado_Receita!$L$2:$L$629)+SUMIF(Mercado_Receita!$S$2:$S$629,"44593B4ConvencionalIluminação públicaIluminação pública – B4aNão se aplicaNão se aplicaNão se aplica",Mercado_Receita!$L$2:$L$629)</f>
        <v>380.358</v>
      </c>
      <c r="Q47" s="12">
        <f>SUMIF(Mercado_Receita!$S$2:$S$629,"44621B4ConvencionalIluminação públicaIluminação pública – B4aNão se aplicaNão se aplicaPonta",Mercado_Receita!$L$2:$L$629)+SUMIF(Mercado_Receita!$S$2:$S$629,"44621B4ConvencionalIluminação públicaIluminação pública – B4aNão se aplicaNão se aplicaFora ponta",Mercado_Receita!$L$2:$L$629)+SUMIF(Mercado_Receita!$S$2:$S$629,"44621B4ConvencionalIluminação públicaIluminação pública – B4aNão se aplicaNão se aplicaIntermediário",Mercado_Receita!$L$2:$L$629)+SUMIF(Mercado_Receita!$S$2:$S$629,"44621B4ConvencionalIluminação públicaIluminação pública – B4aNão se aplicaNão se aplicaNão se aplica",Mercado_Receita!$L$2:$L$629)</f>
        <v>423.27</v>
      </c>
      <c r="R47" s="12">
        <f>SUMIF(Mercado_Receita!$S$2:$S$629,"44652B4ConvencionalIluminação públicaIluminação pública – B4aNão se aplicaNão se aplicaPonta",Mercado_Receita!$L$2:$L$629)+SUMIF(Mercado_Receita!$S$2:$S$629,"44652B4ConvencionalIluminação públicaIluminação pública – B4aNão se aplicaNão se aplicaFora ponta",Mercado_Receita!$L$2:$L$629)+SUMIF(Mercado_Receita!$S$2:$S$629,"44652B4ConvencionalIluminação públicaIluminação pública – B4aNão se aplicaNão se aplicaIntermediário",Mercado_Receita!$L$2:$L$629)+SUMIF(Mercado_Receita!$S$2:$S$629,"44652B4ConvencionalIluminação públicaIluminação pública – B4aNão se aplicaNão se aplicaNão se aplica",Mercado_Receita!$L$2:$L$629)</f>
        <v>393.06099999999998</v>
      </c>
      <c r="S47" s="12">
        <f>SUMIF(Mercado_Receita!$S$2:$S$629,"44682B4ConvencionalIluminação públicaIluminação pública – B4aNão se aplicaNão se aplicaPonta",Mercado_Receita!$L$2:$L$629)+SUMIF(Mercado_Receita!$S$2:$S$629,"44682B4ConvencionalIluminação públicaIluminação pública – B4aNão se aplicaNão se aplicaFora ponta",Mercado_Receita!$L$2:$L$629)+SUMIF(Mercado_Receita!$S$2:$S$629,"44682B4ConvencionalIluminação públicaIluminação pública – B4aNão se aplicaNão se aplicaIntermediário",Mercado_Receita!$L$2:$L$629)+SUMIF(Mercado_Receita!$S$2:$S$629,"44682B4ConvencionalIluminação públicaIluminação pública – B4aNão se aplicaNão se aplicaNão se aplica",Mercado_Receita!$L$2:$L$629)</f>
        <v>406.755</v>
      </c>
      <c r="T47" s="12">
        <f>SUMIF(Mercado_Receita!$S$2:$S$629,"44713B4ConvencionalIluminação públicaIluminação pública – B4aNão se aplicaNão se aplicaPonta",Mercado_Receita!$L$2:$L$629)+SUMIF(Mercado_Receita!$S$2:$S$629,"44713B4ConvencionalIluminação públicaIluminação pública – B4aNão se aplicaNão se aplicaFora ponta",Mercado_Receita!$L$2:$L$629)+SUMIF(Mercado_Receita!$S$2:$S$629,"44713B4ConvencionalIluminação públicaIluminação pública – B4aNão se aplicaNão se aplicaIntermediário",Mercado_Receita!$L$2:$L$629)+SUMIF(Mercado_Receita!$S$2:$S$629,"44713B4ConvencionalIluminação públicaIluminação pública – B4aNão se aplicaNão se aplicaNão se aplica",Mercado_Receita!$L$2:$L$629)</f>
        <v>406.755</v>
      </c>
      <c r="U47" s="12">
        <f t="shared" si="0"/>
        <v>4914.0960000000005</v>
      </c>
      <c r="V47" s="12"/>
      <c r="W47" s="12"/>
    </row>
    <row r="48" spans="1:23" ht="11.25" customHeight="1" x14ac:dyDescent="0.25">
      <c r="A48" s="152"/>
      <c r="B48" s="152"/>
      <c r="C48" s="152"/>
      <c r="D48" s="12" t="s">
        <v>97</v>
      </c>
      <c r="E48" s="12" t="s">
        <v>25</v>
      </c>
      <c r="F48" s="12" t="s">
        <v>25</v>
      </c>
      <c r="G48" s="12" t="s">
        <v>82</v>
      </c>
      <c r="H48" s="12" t="s">
        <v>78</v>
      </c>
      <c r="I48" s="12">
        <f>SUMIF(Mercado_Receita!$S$2:$S$629,"44378B4ConvencionalIluminação públicaIluminação pública – B4bNão se aplicaNão se aplicaPonta",Mercado_Receita!$L$2:$L$629)+SUMIF(Mercado_Receita!$S$2:$S$629,"44378B4ConvencionalIluminação públicaIluminação pública – B4bNão se aplicaNão se aplicaFora ponta",Mercado_Receita!$L$2:$L$629)+SUMIF(Mercado_Receita!$S$2:$S$629,"44378B4ConvencionalIluminação públicaIluminação pública – B4bNão se aplicaNão se aplicaIntermediário",Mercado_Receita!$L$2:$L$629)+SUMIF(Mercado_Receita!$S$2:$S$629,"44378B4ConvencionalIluminação públicaIluminação pública – B4bNão se aplicaNão se aplicaNão se aplica",Mercado_Receita!$L$2:$L$629)</f>
        <v>0</v>
      </c>
      <c r="J48" s="12">
        <f>SUMIF(Mercado_Receita!$S$2:$S$629,"44409B4ConvencionalIluminação públicaIluminação pública – B4bNão se aplicaNão se aplicaPonta",Mercado_Receita!$L$2:$L$629)+SUMIF(Mercado_Receita!$S$2:$S$629,"44409B4ConvencionalIluminação públicaIluminação pública – B4bNão se aplicaNão se aplicaFora ponta",Mercado_Receita!$L$2:$L$629)+SUMIF(Mercado_Receita!$S$2:$S$629,"44409B4ConvencionalIluminação públicaIluminação pública – B4bNão se aplicaNão se aplicaIntermediário",Mercado_Receita!$L$2:$L$629)+SUMIF(Mercado_Receita!$S$2:$S$629,"44409B4ConvencionalIluminação públicaIluminação pública – B4bNão se aplicaNão se aplicaNão se aplica",Mercado_Receita!$L$2:$L$629)</f>
        <v>0</v>
      </c>
      <c r="K48" s="12">
        <f>SUMIF(Mercado_Receita!$S$2:$S$629,"44440B4ConvencionalIluminação públicaIluminação pública – B4bNão se aplicaNão se aplicaPonta",Mercado_Receita!$L$2:$L$629)+SUMIF(Mercado_Receita!$S$2:$S$629,"44440B4ConvencionalIluminação públicaIluminação pública – B4bNão se aplicaNão se aplicaFora ponta",Mercado_Receita!$L$2:$L$629)+SUMIF(Mercado_Receita!$S$2:$S$629,"44440B4ConvencionalIluminação públicaIluminação pública – B4bNão se aplicaNão se aplicaIntermediário",Mercado_Receita!$L$2:$L$629)+SUMIF(Mercado_Receita!$S$2:$S$629,"44440B4ConvencionalIluminação públicaIluminação pública – B4bNão se aplicaNão se aplicaNão se aplica",Mercado_Receita!$L$2:$L$629)</f>
        <v>0</v>
      </c>
      <c r="L48" s="12">
        <f>SUMIF(Mercado_Receita!$S$2:$S$629,"44470B4ConvencionalIluminação públicaIluminação pública – B4bNão se aplicaNão se aplicaPonta",Mercado_Receita!$L$2:$L$629)+SUMIF(Mercado_Receita!$S$2:$S$629,"44470B4ConvencionalIluminação públicaIluminação pública – B4bNão se aplicaNão se aplicaFora ponta",Mercado_Receita!$L$2:$L$629)+SUMIF(Mercado_Receita!$S$2:$S$629,"44470B4ConvencionalIluminação públicaIluminação pública – B4bNão se aplicaNão se aplicaIntermediário",Mercado_Receita!$L$2:$L$629)+SUMIF(Mercado_Receita!$S$2:$S$629,"44470B4ConvencionalIluminação públicaIluminação pública – B4bNão se aplicaNão se aplicaNão se aplica",Mercado_Receita!$L$2:$L$629)</f>
        <v>0</v>
      </c>
      <c r="M48" s="12">
        <f>SUMIF(Mercado_Receita!$S$2:$S$629,"44501B4ConvencionalIluminação públicaIluminação pública – B4bNão se aplicaNão se aplicaPonta",Mercado_Receita!$L$2:$L$629)+SUMIF(Mercado_Receita!$S$2:$S$629,"44501B4ConvencionalIluminação públicaIluminação pública – B4bNão se aplicaNão se aplicaFora ponta",Mercado_Receita!$L$2:$L$629)+SUMIF(Mercado_Receita!$S$2:$S$629,"44501B4ConvencionalIluminação públicaIluminação pública – B4bNão se aplicaNão se aplicaIntermediário",Mercado_Receita!$L$2:$L$629)+SUMIF(Mercado_Receita!$S$2:$S$629,"44501B4ConvencionalIluminação públicaIluminação pública – B4bNão se aplicaNão se aplicaNão se aplica",Mercado_Receita!$L$2:$L$629)</f>
        <v>0</v>
      </c>
      <c r="N48" s="12">
        <f>SUMIF(Mercado_Receita!$S$2:$S$629,"44531B4ConvencionalIluminação públicaIluminação pública – B4bNão se aplicaNão se aplicaPonta",Mercado_Receita!$L$2:$L$629)+SUMIF(Mercado_Receita!$S$2:$S$629,"44531B4ConvencionalIluminação públicaIluminação pública – B4bNão se aplicaNão se aplicaFora ponta",Mercado_Receita!$L$2:$L$629)+SUMIF(Mercado_Receita!$S$2:$S$629,"44531B4ConvencionalIluminação públicaIluminação pública – B4bNão se aplicaNão se aplicaIntermediário",Mercado_Receita!$L$2:$L$629)+SUMIF(Mercado_Receita!$S$2:$S$629,"44531B4ConvencionalIluminação públicaIluminação pública – B4bNão se aplicaNão se aplicaNão se aplica",Mercado_Receita!$L$2:$L$629)</f>
        <v>0</v>
      </c>
      <c r="O48" s="12">
        <f>SUMIF(Mercado_Receita!$S$2:$S$629,"44562B4ConvencionalIluminação públicaIluminação pública – B4bNão se aplicaNão se aplicaPonta",Mercado_Receita!$L$2:$L$629)+SUMIF(Mercado_Receita!$S$2:$S$629,"44562B4ConvencionalIluminação públicaIluminação pública – B4bNão se aplicaNão se aplicaFora ponta",Mercado_Receita!$L$2:$L$629)+SUMIF(Mercado_Receita!$S$2:$S$629,"44562B4ConvencionalIluminação públicaIluminação pública – B4bNão se aplicaNão se aplicaIntermediário",Mercado_Receita!$L$2:$L$629)+SUMIF(Mercado_Receita!$S$2:$S$629,"44562B4ConvencionalIluminação públicaIluminação pública – B4bNão se aplicaNão se aplicaNão se aplica",Mercado_Receita!$L$2:$L$629)</f>
        <v>0</v>
      </c>
      <c r="P48" s="12">
        <f>SUMIF(Mercado_Receita!$S$2:$S$629,"44593B4ConvencionalIluminação públicaIluminação pública – B4bNão se aplicaNão se aplicaPonta",Mercado_Receita!$L$2:$L$629)+SUMIF(Mercado_Receita!$S$2:$S$629,"44593B4ConvencionalIluminação públicaIluminação pública – B4bNão se aplicaNão se aplicaFora ponta",Mercado_Receita!$L$2:$L$629)+SUMIF(Mercado_Receita!$S$2:$S$629,"44593B4ConvencionalIluminação públicaIluminação pública – B4bNão se aplicaNão se aplicaIntermediário",Mercado_Receita!$L$2:$L$629)+SUMIF(Mercado_Receita!$S$2:$S$629,"44593B4ConvencionalIluminação públicaIluminação pública – B4bNão se aplicaNão se aplicaNão se aplica",Mercado_Receita!$L$2:$L$629)</f>
        <v>0</v>
      </c>
      <c r="Q48" s="12">
        <f>SUMIF(Mercado_Receita!$S$2:$S$629,"44621B4ConvencionalIluminação públicaIluminação pública – B4bNão se aplicaNão se aplicaPonta",Mercado_Receita!$L$2:$L$629)+SUMIF(Mercado_Receita!$S$2:$S$629,"44621B4ConvencionalIluminação públicaIluminação pública – B4bNão se aplicaNão se aplicaFora ponta",Mercado_Receita!$L$2:$L$629)+SUMIF(Mercado_Receita!$S$2:$S$629,"44621B4ConvencionalIluminação públicaIluminação pública – B4bNão se aplicaNão se aplicaIntermediário",Mercado_Receita!$L$2:$L$629)+SUMIF(Mercado_Receita!$S$2:$S$629,"44621B4ConvencionalIluminação públicaIluminação pública – B4bNão se aplicaNão se aplicaNão se aplica",Mercado_Receita!$L$2:$L$629)</f>
        <v>0</v>
      </c>
      <c r="R48" s="12">
        <f>SUMIF(Mercado_Receita!$S$2:$S$629,"44652B4ConvencionalIluminação públicaIluminação pública – B4bNão se aplicaNão se aplicaPonta",Mercado_Receita!$L$2:$L$629)+SUMIF(Mercado_Receita!$S$2:$S$629,"44652B4ConvencionalIluminação públicaIluminação pública – B4bNão se aplicaNão se aplicaFora ponta",Mercado_Receita!$L$2:$L$629)+SUMIF(Mercado_Receita!$S$2:$S$629,"44652B4ConvencionalIluminação públicaIluminação pública – B4bNão se aplicaNão se aplicaIntermediário",Mercado_Receita!$L$2:$L$629)+SUMIF(Mercado_Receita!$S$2:$S$629,"44652B4ConvencionalIluminação públicaIluminação pública – B4bNão se aplicaNão se aplicaNão se aplica",Mercado_Receita!$L$2:$L$629)</f>
        <v>0</v>
      </c>
      <c r="S48" s="12">
        <f>SUMIF(Mercado_Receita!$S$2:$S$629,"44682B4ConvencionalIluminação públicaIluminação pública – B4bNão se aplicaNão se aplicaPonta",Mercado_Receita!$L$2:$L$629)+SUMIF(Mercado_Receita!$S$2:$S$629,"44682B4ConvencionalIluminação públicaIluminação pública – B4bNão se aplicaNão se aplicaFora ponta",Mercado_Receita!$L$2:$L$629)+SUMIF(Mercado_Receita!$S$2:$S$629,"44682B4ConvencionalIluminação públicaIluminação pública – B4bNão se aplicaNão se aplicaIntermediário",Mercado_Receita!$L$2:$L$629)+SUMIF(Mercado_Receita!$S$2:$S$629,"44682B4ConvencionalIluminação públicaIluminação pública – B4bNão se aplicaNão se aplicaNão se aplica",Mercado_Receita!$L$2:$L$629)</f>
        <v>0</v>
      </c>
      <c r="T48" s="12">
        <f>SUMIF(Mercado_Receita!$S$2:$S$629,"44713B4ConvencionalIluminação públicaIluminação pública – B4bNão se aplicaNão se aplicaPonta",Mercado_Receita!$L$2:$L$629)+SUMIF(Mercado_Receita!$S$2:$S$629,"44713B4ConvencionalIluminação públicaIluminação pública – B4bNão se aplicaNão se aplicaFora ponta",Mercado_Receita!$L$2:$L$629)+SUMIF(Mercado_Receita!$S$2:$S$629,"44713B4ConvencionalIluminação públicaIluminação pública – B4bNão se aplicaNão se aplicaIntermediário",Mercado_Receita!$L$2:$L$629)+SUMIF(Mercado_Receita!$S$2:$S$629,"44713B4ConvencionalIluminação públicaIluminação pública – B4bNão se aplicaNão se aplicaNão se aplica",Mercado_Receita!$L$2:$L$629)</f>
        <v>0</v>
      </c>
      <c r="U48" s="12">
        <f t="shared" si="0"/>
        <v>0</v>
      </c>
      <c r="V48" s="12"/>
      <c r="W48" s="12"/>
    </row>
    <row r="49" spans="1:23" ht="11.25" customHeight="1" x14ac:dyDescent="0.25">
      <c r="A49" s="153" t="s">
        <v>482</v>
      </c>
      <c r="B49" s="154"/>
      <c r="C49" s="154"/>
      <c r="D49" s="154"/>
      <c r="E49" s="154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2"/>
      <c r="W49" s="12"/>
    </row>
  </sheetData>
  <mergeCells count="55">
    <mergeCell ref="A2:A11"/>
    <mergeCell ref="F2:F4"/>
    <mergeCell ref="E2:E4"/>
    <mergeCell ref="D2:D5"/>
    <mergeCell ref="C2:C5"/>
    <mergeCell ref="B2:B5"/>
    <mergeCell ref="F7:F9"/>
    <mergeCell ref="E7:E9"/>
    <mergeCell ref="F10:F11"/>
    <mergeCell ref="E10:E11"/>
    <mergeCell ref="D7:D11"/>
    <mergeCell ref="C7:C11"/>
    <mergeCell ref="B7:B11"/>
    <mergeCell ref="D12:D13"/>
    <mergeCell ref="C12:C13"/>
    <mergeCell ref="B12:B13"/>
    <mergeCell ref="A12:A13"/>
    <mergeCell ref="F14:F16"/>
    <mergeCell ref="E14:E16"/>
    <mergeCell ref="D14:D16"/>
    <mergeCell ref="C14:C16"/>
    <mergeCell ref="B14:B16"/>
    <mergeCell ref="F27:F29"/>
    <mergeCell ref="E27:E29"/>
    <mergeCell ref="D27:D29"/>
    <mergeCell ref="C27:C29"/>
    <mergeCell ref="B27:B29"/>
    <mergeCell ref="C17:C21"/>
    <mergeCell ref="B17:B21"/>
    <mergeCell ref="C22:C26"/>
    <mergeCell ref="B22:B26"/>
    <mergeCell ref="A14:A26"/>
    <mergeCell ref="C31:C33"/>
    <mergeCell ref="B31:B33"/>
    <mergeCell ref="F35:F37"/>
    <mergeCell ref="E35:E37"/>
    <mergeCell ref="D35:D37"/>
    <mergeCell ref="C35:C37"/>
    <mergeCell ref="B35:B37"/>
    <mergeCell ref="A47:A48"/>
    <mergeCell ref="B47:B48"/>
    <mergeCell ref="C47:C48"/>
    <mergeCell ref="A49:U49"/>
    <mergeCell ref="C39:C41"/>
    <mergeCell ref="B39:B41"/>
    <mergeCell ref="A27:A41"/>
    <mergeCell ref="F42:F44"/>
    <mergeCell ref="E42:E44"/>
    <mergeCell ref="D42:D44"/>
    <mergeCell ref="C42:C44"/>
    <mergeCell ref="B42:B44"/>
    <mergeCell ref="A42:A46"/>
    <mergeCell ref="F31:F33"/>
    <mergeCell ref="E31:E33"/>
    <mergeCell ref="D31:D3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D1954-5BD3-4EBC-B641-29525F8230E6}">
  <sheetPr codeName="Planilha5"/>
  <dimension ref="A1:AD41"/>
  <sheetViews>
    <sheetView showGridLines="0" workbookViewId="0">
      <selection sqref="A1:W41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68</v>
      </c>
      <c r="B1" s="10" t="s">
        <v>69</v>
      </c>
      <c r="C1" s="10" t="s">
        <v>70</v>
      </c>
      <c r="D1" s="10" t="s">
        <v>71</v>
      </c>
      <c r="E1" s="10" t="s">
        <v>72</v>
      </c>
      <c r="F1" s="10" t="s">
        <v>73</v>
      </c>
      <c r="G1" s="10" t="s">
        <v>74</v>
      </c>
      <c r="H1" s="10" t="s">
        <v>75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76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51" t="s">
        <v>38</v>
      </c>
      <c r="B2" s="151" t="s">
        <v>77</v>
      </c>
      <c r="C2" s="151" t="s">
        <v>25</v>
      </c>
      <c r="D2" s="151" t="s">
        <v>25</v>
      </c>
      <c r="E2" s="151" t="s">
        <v>25</v>
      </c>
      <c r="F2" s="151" t="s">
        <v>25</v>
      </c>
      <c r="G2" s="14" t="s">
        <v>79</v>
      </c>
      <c r="H2" s="14" t="s">
        <v>78</v>
      </c>
      <c r="I2" s="14">
        <f>SUMIF(Mercado_Receita!$T$2:$T$629,"44378A4Energia horáriaNão se aplicaNão se aplicaNão se aplicaNão se aplicaPonta",Mercado_Receita!$N$2:$N$629)</f>
        <v>114.045</v>
      </c>
      <c r="J2" s="14">
        <f>SUMIF(Mercado_Receita!$T$2:$T$629,"44409A4Energia horáriaNão se aplicaNão se aplicaNão se aplicaNão se aplicaPonta",Mercado_Receita!$N$2:$N$629)</f>
        <v>110.60799999999999</v>
      </c>
      <c r="K2" s="14">
        <f>SUMIF(Mercado_Receita!$T$2:$T$629,"44440A4Energia horáriaNão se aplicaNão se aplicaNão se aplicaNão se aplicaPonta",Mercado_Receita!$N$2:$N$629)</f>
        <v>100.188</v>
      </c>
      <c r="L2" s="14">
        <f>SUMIF(Mercado_Receita!$T$2:$T$629,"44470A4Energia horáriaNão se aplicaNão se aplicaNão se aplicaNão se aplicaPonta",Mercado_Receita!$N$2:$N$629)</f>
        <v>106.26300000000001</v>
      </c>
      <c r="M2" s="14">
        <f>SUMIF(Mercado_Receita!$T$2:$T$629,"44501A4Energia horáriaNão se aplicaNão se aplicaNão se aplicaNão se aplicaPonta",Mercado_Receita!$N$2:$N$629)</f>
        <v>120.04700000000001</v>
      </c>
      <c r="N2" s="14">
        <f>SUMIF(Mercado_Receita!$T$2:$T$629,"44531A4Energia horáriaNão se aplicaNão se aplicaNão se aplicaNão se aplicaPonta",Mercado_Receita!$N$2:$N$629)</f>
        <v>109.60800000000002</v>
      </c>
      <c r="O2" s="14">
        <f>SUMIF(Mercado_Receita!$T$2:$T$629,"44562A4Energia horáriaNão se aplicaNão se aplicaNão se aplicaNão se aplicaPonta",Mercado_Receita!$N$2:$N$629)</f>
        <v>120.55799999999999</v>
      </c>
      <c r="P2" s="14">
        <f>SUMIF(Mercado_Receita!$T$2:$T$629,"44593A4Energia horáriaNão se aplicaNão se aplicaNão se aplicaNão se aplicaPonta",Mercado_Receita!$N$2:$N$629)</f>
        <v>92.037999999999982</v>
      </c>
      <c r="Q2" s="14">
        <f>SUMIF(Mercado_Receita!$T$2:$T$629,"44621A4Energia horáriaNão se aplicaNão se aplicaNão se aplicaNão se aplicaPonta",Mercado_Receita!$N$2:$N$629)</f>
        <v>119.99300000000001</v>
      </c>
      <c r="R2" s="14">
        <f>SUMIF(Mercado_Receita!$T$2:$T$629,"44652A4Energia horáriaNão se aplicaNão se aplicaNão se aplicaNão se aplicaPonta",Mercado_Receita!$N$2:$N$629)</f>
        <v>75.087999999999994</v>
      </c>
      <c r="S2" s="14">
        <f>SUMIF(Mercado_Receita!$T$2:$T$629,"44682A4Energia horáriaNão se aplicaNão se aplicaNão se aplicaNão se aplicaPonta",Mercado_Receita!$N$2:$N$629)</f>
        <v>77.603000000000009</v>
      </c>
      <c r="T2" s="14">
        <f>SUMIF(Mercado_Receita!$T$2:$T$629,"44713A4Energia horáriaNão se aplicaNão se aplicaNão se aplicaNão se aplicaPonta",Mercado_Receita!$N$2:$N$629)</f>
        <v>77.603000000000009</v>
      </c>
      <c r="U2" s="14">
        <f t="shared" ref="U2:U40" si="0">SUM(I2:T2)</f>
        <v>1223.6420000000003</v>
      </c>
      <c r="V2" s="14"/>
      <c r="W2" s="14"/>
    </row>
    <row r="3" spans="1:30" ht="11.25" customHeight="1" x14ac:dyDescent="0.25">
      <c r="A3" s="152"/>
      <c r="B3" s="152"/>
      <c r="C3" s="152"/>
      <c r="D3" s="152"/>
      <c r="E3" s="152"/>
      <c r="F3" s="152"/>
      <c r="G3" s="14" t="s">
        <v>80</v>
      </c>
      <c r="H3" s="14" t="s">
        <v>78</v>
      </c>
      <c r="I3" s="14">
        <f>SUMIF(Mercado_Receita!$T$2:$T$629,"44378A4Energia horáriaNão se aplicaNão se aplicaNão se aplicaNão se aplicaFora ponta",Mercado_Receita!$N$2:$N$629)</f>
        <v>1479.1299999999999</v>
      </c>
      <c r="J3" s="14">
        <f>SUMIF(Mercado_Receita!$T$2:$T$629,"44409A4Energia horáriaNão se aplicaNão se aplicaNão se aplicaNão se aplicaFora ponta",Mercado_Receita!$N$2:$N$629)</f>
        <v>1376.7070000000001</v>
      </c>
      <c r="K3" s="14">
        <f>SUMIF(Mercado_Receita!$T$2:$T$629,"44440A4Energia horáriaNão se aplicaNão se aplicaNão se aplicaNão se aplicaFora ponta",Mercado_Receita!$N$2:$N$629)</f>
        <v>1228.2260000000001</v>
      </c>
      <c r="L3" s="14">
        <f>SUMIF(Mercado_Receita!$T$2:$T$629,"44470A4Energia horáriaNão se aplicaNão se aplicaNão se aplicaNão se aplicaFora ponta",Mercado_Receita!$N$2:$N$629)</f>
        <v>1223.4579999999999</v>
      </c>
      <c r="M3" s="14">
        <f>SUMIF(Mercado_Receita!$T$2:$T$629,"44501A4Energia horáriaNão se aplicaNão se aplicaNão se aplicaNão se aplicaFora ponta",Mercado_Receita!$N$2:$N$629)</f>
        <v>1409.7090000000001</v>
      </c>
      <c r="N3" s="14">
        <f>SUMIF(Mercado_Receita!$T$2:$T$629,"44531A4Energia horáriaNão se aplicaNão se aplicaNão se aplicaNão se aplicaFora ponta",Mercado_Receita!$N$2:$N$629)</f>
        <v>1504.9040000000002</v>
      </c>
      <c r="O3" s="14">
        <f>SUMIF(Mercado_Receita!$T$2:$T$629,"44562A4Energia horáriaNão se aplicaNão se aplicaNão se aplicaNão se aplicaFora ponta",Mercado_Receita!$N$2:$N$629)</f>
        <v>1589.6800000000003</v>
      </c>
      <c r="P3" s="14">
        <f>SUMIF(Mercado_Receita!$T$2:$T$629,"44593A4Energia horáriaNão se aplicaNão se aplicaNão se aplicaNão se aplicaFora ponta",Mercado_Receita!$N$2:$N$629)</f>
        <v>1226.194</v>
      </c>
      <c r="Q3" s="14">
        <f>SUMIF(Mercado_Receita!$T$2:$T$629,"44621A4Energia horáriaNão se aplicaNão se aplicaNão se aplicaNão se aplicaFora ponta",Mercado_Receita!$N$2:$N$629)</f>
        <v>1275.5260000000001</v>
      </c>
      <c r="R3" s="14">
        <f>SUMIF(Mercado_Receita!$T$2:$T$629,"44652A4Energia horáriaNão se aplicaNão se aplicaNão se aplicaNão se aplicaFora ponta",Mercado_Receita!$N$2:$N$629)</f>
        <v>925.72500000000002</v>
      </c>
      <c r="S3" s="14">
        <f>SUMIF(Mercado_Receita!$T$2:$T$629,"44682A4Energia horáriaNão se aplicaNão se aplicaNão se aplicaNão se aplicaFora ponta",Mercado_Receita!$N$2:$N$629)</f>
        <v>947.85100000000011</v>
      </c>
      <c r="T3" s="14">
        <f>SUMIF(Mercado_Receita!$T$2:$T$629,"44713A4Energia horáriaNão se aplicaNão se aplicaNão se aplicaNão se aplicaFora ponta",Mercado_Receita!$N$2:$N$629)</f>
        <v>947.85100000000011</v>
      </c>
      <c r="U3" s="14">
        <f t="shared" si="0"/>
        <v>15134.961000000001</v>
      </c>
      <c r="V3" s="14"/>
      <c r="W3" s="14"/>
    </row>
    <row r="4" spans="1:30" ht="11.25" customHeight="1" x14ac:dyDescent="0.25">
      <c r="A4" s="152"/>
      <c r="B4" s="13" t="s">
        <v>81</v>
      </c>
      <c r="C4" s="13" t="s">
        <v>25</v>
      </c>
      <c r="D4" s="13" t="s">
        <v>25</v>
      </c>
      <c r="E4" s="13" t="s">
        <v>25</v>
      </c>
      <c r="F4" s="13" t="s">
        <v>25</v>
      </c>
      <c r="G4" s="14" t="s">
        <v>82</v>
      </c>
      <c r="H4" s="14" t="s">
        <v>78</v>
      </c>
      <c r="I4" s="14">
        <f>SUMIF(Mercado_Receita!$T$2:$T$629,"44378A4Energia convencionalNão se aplicaNão se aplicaNão se aplicaNão se aplicaNão se aplica",Mercado_Receita!$N$2:$N$629)</f>
        <v>0</v>
      </c>
      <c r="J4" s="14">
        <f>SUMIF(Mercado_Receita!$T$2:$T$629,"44409A4Energia convencionalNão se aplicaNão se aplicaNão se aplicaNão se aplicaNão se aplica",Mercado_Receita!$N$2:$N$629)</f>
        <v>0</v>
      </c>
      <c r="K4" s="14">
        <f>SUMIF(Mercado_Receita!$T$2:$T$629,"44440A4Energia convencionalNão se aplicaNão se aplicaNão se aplicaNão se aplicaNão se aplica",Mercado_Receita!$N$2:$N$629)</f>
        <v>0</v>
      </c>
      <c r="L4" s="14">
        <f>SUMIF(Mercado_Receita!$T$2:$T$629,"44470A4Energia convencionalNão se aplicaNão se aplicaNão se aplicaNão se aplicaNão se aplica",Mercado_Receita!$N$2:$N$629)</f>
        <v>0</v>
      </c>
      <c r="M4" s="14">
        <f>SUMIF(Mercado_Receita!$T$2:$T$629,"44501A4Energia convencionalNão se aplicaNão se aplicaNão se aplicaNão se aplicaNão se aplica",Mercado_Receita!$N$2:$N$629)</f>
        <v>0</v>
      </c>
      <c r="N4" s="14">
        <f>SUMIF(Mercado_Receita!$T$2:$T$629,"44531A4Energia convencionalNão se aplicaNão se aplicaNão se aplicaNão se aplicaNão se aplica",Mercado_Receita!$N$2:$N$629)</f>
        <v>0</v>
      </c>
      <c r="O4" s="14">
        <f>SUMIF(Mercado_Receita!$T$2:$T$629,"44562A4Energia convencionalNão se aplicaNão se aplicaNão se aplicaNão se aplicaNão se aplica",Mercado_Receita!$N$2:$N$629)</f>
        <v>0</v>
      </c>
      <c r="P4" s="14">
        <f>SUMIF(Mercado_Receita!$T$2:$T$629,"44593A4Energia convencionalNão se aplicaNão se aplicaNão se aplicaNão se aplicaNão se aplica",Mercado_Receita!$N$2:$N$629)</f>
        <v>0</v>
      </c>
      <c r="Q4" s="14">
        <f>SUMIF(Mercado_Receita!$T$2:$T$629,"44621A4Energia convencionalNão se aplicaNão se aplicaNão se aplicaNão se aplicaNão se aplica",Mercado_Receita!$N$2:$N$629)</f>
        <v>0</v>
      </c>
      <c r="R4" s="14">
        <f>SUMIF(Mercado_Receita!$T$2:$T$629,"44652A4Energia convencionalNão se aplicaNão se aplicaNão se aplicaNão se aplicaNão se aplica",Mercado_Receita!$N$2:$N$629)</f>
        <v>0</v>
      </c>
      <c r="S4" s="14">
        <f>SUMIF(Mercado_Receita!$T$2:$T$629,"44682A4Energia convencionalNão se aplicaNão se aplicaNão se aplicaNão se aplicaNão se aplica",Mercado_Receita!$N$2:$N$629)</f>
        <v>0</v>
      </c>
      <c r="T4" s="14">
        <f>SUMIF(Mercado_Receita!$T$2:$T$629,"44713A4Energia convencionalNão se aplicaNão se aplicaNão se aplicaNão se aplicaNão se aplica",Mercado_Receita!$N$2:$N$629)</f>
        <v>0</v>
      </c>
      <c r="U4" s="14">
        <f t="shared" si="0"/>
        <v>0</v>
      </c>
      <c r="V4" s="14"/>
      <c r="W4" s="14"/>
    </row>
    <row r="5" spans="1:30" ht="11.25" customHeight="1" x14ac:dyDescent="0.25">
      <c r="A5" s="152"/>
      <c r="B5" s="13" t="s">
        <v>87</v>
      </c>
      <c r="C5" s="13" t="s">
        <v>25</v>
      </c>
      <c r="D5" s="13" t="s">
        <v>25</v>
      </c>
      <c r="E5" s="13" t="s">
        <v>88</v>
      </c>
      <c r="F5" s="13" t="s">
        <v>25</v>
      </c>
      <c r="G5" s="14" t="s">
        <v>82</v>
      </c>
      <c r="H5" s="14" t="s">
        <v>78</v>
      </c>
      <c r="I5" s="14">
        <f>SUMIF(Mercado_Receita!$T$2:$T$629,"44378A4Energia suprimento permissionáriaNão se aplicaNão se aplica&lt;500GWhNão se aplicaNão se aplica",Mercado_Receita!$N$2:$N$629)</f>
        <v>0</v>
      </c>
      <c r="J5" s="14">
        <f>SUMIF(Mercado_Receita!$T$2:$T$629,"44409A4Energia suprimento permissionáriaNão se aplicaNão se aplica&lt;500GWhNão se aplicaNão se aplica",Mercado_Receita!$N$2:$N$629)</f>
        <v>0</v>
      </c>
      <c r="K5" s="14">
        <f>SUMIF(Mercado_Receita!$T$2:$T$629,"44440A4Energia suprimento permissionáriaNão se aplicaNão se aplica&lt;500GWhNão se aplicaNão se aplica",Mercado_Receita!$N$2:$N$629)</f>
        <v>0</v>
      </c>
      <c r="L5" s="14">
        <f>SUMIF(Mercado_Receita!$T$2:$T$629,"44470A4Energia suprimento permissionáriaNão se aplicaNão se aplica&lt;500GWhNão se aplicaNão se aplica",Mercado_Receita!$N$2:$N$629)</f>
        <v>0</v>
      </c>
      <c r="M5" s="14">
        <f>SUMIF(Mercado_Receita!$T$2:$T$629,"44501A4Energia suprimento permissionáriaNão se aplicaNão se aplica&lt;500GWhNão se aplicaNão se aplica",Mercado_Receita!$N$2:$N$629)</f>
        <v>0</v>
      </c>
      <c r="N5" s="14">
        <f>SUMIF(Mercado_Receita!$T$2:$T$629,"44531A4Energia suprimento permissionáriaNão se aplicaNão se aplica&lt;500GWhNão se aplicaNão se aplica",Mercado_Receita!$N$2:$N$629)</f>
        <v>0</v>
      </c>
      <c r="O5" s="14">
        <f>SUMIF(Mercado_Receita!$T$2:$T$629,"44562A4Energia suprimento permissionáriaNão se aplicaNão se aplica&lt;500GWhNão se aplicaNão se aplica",Mercado_Receita!$N$2:$N$629)</f>
        <v>0</v>
      </c>
      <c r="P5" s="14">
        <f>SUMIF(Mercado_Receita!$T$2:$T$629,"44593A4Energia suprimento permissionáriaNão se aplicaNão se aplica&lt;500GWhNão se aplicaNão se aplica",Mercado_Receita!$N$2:$N$629)</f>
        <v>0</v>
      </c>
      <c r="Q5" s="14">
        <f>SUMIF(Mercado_Receita!$T$2:$T$629,"44621A4Energia suprimento permissionáriaNão se aplicaNão se aplica&lt;500GWhNão se aplicaNão se aplica",Mercado_Receita!$N$2:$N$629)</f>
        <v>0</v>
      </c>
      <c r="R5" s="14">
        <f>SUMIF(Mercado_Receita!$T$2:$T$629,"44652A4Energia suprimento permissionáriaNão se aplicaNão se aplica&lt;500GWhNão se aplicaNão se aplica",Mercado_Receita!$N$2:$N$629)</f>
        <v>0</v>
      </c>
      <c r="S5" s="14">
        <f>SUMIF(Mercado_Receita!$T$2:$T$629,"44682A4Energia suprimento permissionáriaNão se aplicaNão se aplica&lt;500GWhNão se aplicaNão se aplica",Mercado_Receita!$N$2:$N$629)</f>
        <v>0</v>
      </c>
      <c r="T5" s="14">
        <f>SUMIF(Mercado_Receita!$T$2:$T$629,"44713A4Energia suprimento permissionáriaNão se aplicaNão se aplica&lt;500GWhNão se aplicaNão se aplica",Mercado_Receita!$N$2:$N$629)</f>
        <v>0</v>
      </c>
      <c r="U5" s="14">
        <f t="shared" si="0"/>
        <v>0</v>
      </c>
      <c r="V5" s="14"/>
      <c r="W5" s="14"/>
    </row>
    <row r="6" spans="1:30" ht="11.25" customHeight="1" x14ac:dyDescent="0.25">
      <c r="A6" s="151" t="s">
        <v>22</v>
      </c>
      <c r="B6" s="151" t="s">
        <v>77</v>
      </c>
      <c r="C6" s="151" t="s">
        <v>24</v>
      </c>
      <c r="D6" s="151" t="s">
        <v>24</v>
      </c>
      <c r="E6" s="151" t="s">
        <v>25</v>
      </c>
      <c r="F6" s="151" t="s">
        <v>25</v>
      </c>
      <c r="G6" s="14" t="s">
        <v>79</v>
      </c>
      <c r="H6" s="14" t="s">
        <v>78</v>
      </c>
      <c r="I6" s="14">
        <f>SUMIF(Mercado_Receita!$T$2:$T$629,"44378B1Energia horáriaResidencialResidencialNão se aplicaNão se aplicaPonta",Mercado_Receita!$N$2:$N$629)</f>
        <v>0.32800000000000001</v>
      </c>
      <c r="J6" s="14">
        <f>SUMIF(Mercado_Receita!$T$2:$T$629,"44409B1Energia horáriaResidencialResidencialNão se aplicaNão se aplicaPonta",Mercado_Receita!$N$2:$N$629)</f>
        <v>0.30399999999999999</v>
      </c>
      <c r="K6" s="14">
        <f>SUMIF(Mercado_Receita!$T$2:$T$629,"44440B1Energia horáriaResidencialResidencialNão se aplicaNão se aplicaPonta",Mercado_Receita!$N$2:$N$629)</f>
        <v>0.223</v>
      </c>
      <c r="L6" s="14">
        <f>SUMIF(Mercado_Receita!$T$2:$T$629,"44470B1Energia horáriaResidencialResidencialNão se aplicaNão se aplicaPonta",Mercado_Receita!$N$2:$N$629)</f>
        <v>0.192</v>
      </c>
      <c r="M6" s="14">
        <f>SUMIF(Mercado_Receita!$T$2:$T$629,"44501B1Energia horáriaResidencialResidencialNão se aplicaNão se aplicaPonta",Mercado_Receita!$N$2:$N$629)</f>
        <v>0.2</v>
      </c>
      <c r="N6" s="14">
        <f>SUMIF(Mercado_Receita!$T$2:$T$629,"44531B1Energia horáriaResidencialResidencialNão se aplicaNão se aplicaPonta",Mercado_Receita!$N$2:$N$629)</f>
        <v>0.187</v>
      </c>
      <c r="O6" s="14">
        <f>SUMIF(Mercado_Receita!$T$2:$T$629,"44562B1Energia horáriaResidencialResidencialNão se aplicaNão se aplicaPonta",Mercado_Receita!$N$2:$N$629)</f>
        <v>0.252</v>
      </c>
      <c r="P6" s="14">
        <f>SUMIF(Mercado_Receita!$T$2:$T$629,"44593B1Energia horáriaResidencialResidencialNão se aplicaNão se aplicaPonta",Mercado_Receita!$N$2:$N$629)</f>
        <v>0.20300000000000001</v>
      </c>
      <c r="Q6" s="14">
        <f>SUMIF(Mercado_Receita!$T$2:$T$629,"44621B1Energia horáriaResidencialResidencialNão se aplicaNão se aplicaPonta",Mercado_Receita!$N$2:$N$629)</f>
        <v>0.24299999999999999</v>
      </c>
      <c r="R6" s="14">
        <f>SUMIF(Mercado_Receita!$T$2:$T$629,"44652B1Energia horáriaResidencialResidencialNão se aplicaNão se aplicaPonta",Mercado_Receita!$N$2:$N$629)</f>
        <v>0.184</v>
      </c>
      <c r="S6" s="14">
        <f>SUMIF(Mercado_Receita!$T$2:$T$629,"44682B1Energia horáriaResidencialResidencialNão se aplicaNão se aplicaPonta",Mercado_Receita!$N$2:$N$629)</f>
        <v>0.221</v>
      </c>
      <c r="T6" s="14">
        <f>SUMIF(Mercado_Receita!$T$2:$T$629,"44713B1Energia horáriaResidencialResidencialNão se aplicaNão se aplicaPonta",Mercado_Receita!$N$2:$N$629)</f>
        <v>0.221</v>
      </c>
      <c r="U6" s="14">
        <f t="shared" si="0"/>
        <v>2.7580000000000005</v>
      </c>
      <c r="V6" s="14"/>
      <c r="W6" s="14"/>
    </row>
    <row r="7" spans="1:30" ht="11.25" customHeight="1" x14ac:dyDescent="0.25">
      <c r="A7" s="152"/>
      <c r="B7" s="152"/>
      <c r="C7" s="152"/>
      <c r="D7" s="152"/>
      <c r="E7" s="152"/>
      <c r="F7" s="152"/>
      <c r="G7" s="14" t="s">
        <v>92</v>
      </c>
      <c r="H7" s="14" t="s">
        <v>78</v>
      </c>
      <c r="I7" s="14">
        <f>SUMIF(Mercado_Receita!$T$2:$T$629,"44378B1Energia horáriaResidencialResidencialNão se aplicaNão se aplicaIntermediário",Mercado_Receita!$N$2:$N$629)</f>
        <v>0.192</v>
      </c>
      <c r="J7" s="14">
        <f>SUMIF(Mercado_Receita!$T$2:$T$629,"44409B1Energia horáriaResidencialResidencialNão se aplicaNão se aplicaIntermediário",Mercado_Receita!$N$2:$N$629)</f>
        <v>0.184</v>
      </c>
      <c r="K7" s="14">
        <f>SUMIF(Mercado_Receita!$T$2:$T$629,"44440B1Energia horáriaResidencialResidencialNão se aplicaNão se aplicaIntermediário",Mercado_Receita!$N$2:$N$629)</f>
        <v>0.123</v>
      </c>
      <c r="L7" s="14">
        <f>SUMIF(Mercado_Receita!$T$2:$T$629,"44470B1Energia horáriaResidencialResidencialNão se aplicaNão se aplicaIntermediário",Mercado_Receita!$N$2:$N$629)</f>
        <v>0.105</v>
      </c>
      <c r="M7" s="14">
        <f>SUMIF(Mercado_Receita!$T$2:$T$629,"44501B1Energia horáriaResidencialResidencialNão se aplicaNão se aplicaIntermediário",Mercado_Receita!$N$2:$N$629)</f>
        <v>9.7000000000000003E-2</v>
      </c>
      <c r="N7" s="14">
        <f>SUMIF(Mercado_Receita!$T$2:$T$629,"44531B1Energia horáriaResidencialResidencialNão se aplicaNão se aplicaIntermediário",Mercado_Receita!$N$2:$N$629)</f>
        <v>0.108</v>
      </c>
      <c r="O7" s="14">
        <f>SUMIF(Mercado_Receita!$T$2:$T$629,"44562B1Energia horáriaResidencialResidencialNão se aplicaNão se aplicaIntermediário",Mercado_Receita!$N$2:$N$629)</f>
        <v>0.16300000000000001</v>
      </c>
      <c r="P7" s="14">
        <f>SUMIF(Mercado_Receita!$T$2:$T$629,"44593B1Energia horáriaResidencialResidencialNão se aplicaNão se aplicaIntermediário",Mercado_Receita!$N$2:$N$629)</f>
        <v>0.13200000000000001</v>
      </c>
      <c r="Q7" s="14">
        <f>SUMIF(Mercado_Receita!$T$2:$T$629,"44621B1Energia horáriaResidencialResidencialNão se aplicaNão se aplicaIntermediário",Mercado_Receita!$N$2:$N$629)</f>
        <v>0.14899999999999999</v>
      </c>
      <c r="R7" s="14">
        <f>SUMIF(Mercado_Receita!$T$2:$T$629,"44652B1Energia horáriaResidencialResidencialNão se aplicaNão se aplicaIntermediário",Mercado_Receita!$N$2:$N$629)</f>
        <v>8.4000000000000005E-2</v>
      </c>
      <c r="S7" s="14">
        <f>SUMIF(Mercado_Receita!$T$2:$T$629,"44682B1Energia horáriaResidencialResidencialNão se aplicaNão se aplicaIntermediário",Mercado_Receita!$N$2:$N$629)</f>
        <v>0.32500000000000001</v>
      </c>
      <c r="T7" s="14">
        <f>SUMIF(Mercado_Receita!$T$2:$T$629,"44713B1Energia horáriaResidencialResidencialNão se aplicaNão se aplicaIntermediário",Mercado_Receita!$N$2:$N$629)</f>
        <v>0.32500000000000001</v>
      </c>
      <c r="U7" s="14">
        <f t="shared" si="0"/>
        <v>1.9870000000000001</v>
      </c>
      <c r="V7" s="14"/>
      <c r="W7" s="14"/>
    </row>
    <row r="8" spans="1:30" ht="11.25" customHeight="1" x14ac:dyDescent="0.25">
      <c r="A8" s="152"/>
      <c r="B8" s="152"/>
      <c r="C8" s="152"/>
      <c r="D8" s="152"/>
      <c r="E8" s="152"/>
      <c r="F8" s="152"/>
      <c r="G8" s="14" t="s">
        <v>80</v>
      </c>
      <c r="H8" s="14" t="s">
        <v>78</v>
      </c>
      <c r="I8" s="14">
        <f>SUMIF(Mercado_Receita!$T$2:$T$629,"44378B1Energia horáriaResidencialResidencialNão se aplicaNão se aplicaFora ponta",Mercado_Receita!$N$2:$N$629)</f>
        <v>2.1110000000000002</v>
      </c>
      <c r="J8" s="14">
        <f>SUMIF(Mercado_Receita!$T$2:$T$629,"44409B1Energia horáriaResidencialResidencialNão se aplicaNão se aplicaFora ponta",Mercado_Receita!$N$2:$N$629)</f>
        <v>1.8939999999999999</v>
      </c>
      <c r="K8" s="14">
        <f>SUMIF(Mercado_Receita!$T$2:$T$629,"44440B1Energia horáriaResidencialResidencialNão se aplicaNão se aplicaFora ponta",Mercado_Receita!$N$2:$N$629)</f>
        <v>1.3680000000000001</v>
      </c>
      <c r="L8" s="14">
        <f>SUMIF(Mercado_Receita!$T$2:$T$629,"44470B1Energia horáriaResidencialResidencialNão se aplicaNão se aplicaFora ponta",Mercado_Receita!$N$2:$N$629)</f>
        <v>1.0580000000000001</v>
      </c>
      <c r="M8" s="14">
        <f>SUMIF(Mercado_Receita!$T$2:$T$629,"44501B1Energia horáriaResidencialResidencialNão se aplicaNão se aplicaFora ponta",Mercado_Receita!$N$2:$N$629)</f>
        <v>1.204</v>
      </c>
      <c r="N8" s="14">
        <f>SUMIF(Mercado_Receita!$T$2:$T$629,"44531B1Energia horáriaResidencialResidencialNão se aplicaNão se aplicaFora ponta",Mercado_Receita!$N$2:$N$629)</f>
        <v>1.3480000000000001</v>
      </c>
      <c r="O8" s="14">
        <f>SUMIF(Mercado_Receita!$T$2:$T$629,"44562B1Energia horáriaResidencialResidencialNão se aplicaNão se aplicaFora ponta",Mercado_Receita!$N$2:$N$629)</f>
        <v>1.6739999999999999</v>
      </c>
      <c r="P8" s="14">
        <f>SUMIF(Mercado_Receita!$T$2:$T$629,"44593B1Energia horáriaResidencialResidencialNão se aplicaNão se aplicaFora ponta",Mercado_Receita!$N$2:$N$629)</f>
        <v>1.49</v>
      </c>
      <c r="Q8" s="14">
        <f>SUMIF(Mercado_Receita!$T$2:$T$629,"44621B1Energia horáriaResidencialResidencialNão se aplicaNão se aplicaFora ponta",Mercado_Receita!$N$2:$N$629)</f>
        <v>1.5249999999999999</v>
      </c>
      <c r="R8" s="14">
        <f>SUMIF(Mercado_Receita!$T$2:$T$629,"44652B1Energia horáriaResidencialResidencialNão se aplicaNão se aplicaFora ponta",Mercado_Receita!$N$2:$N$629)</f>
        <v>0.93600000000000005</v>
      </c>
      <c r="S8" s="14">
        <f>SUMIF(Mercado_Receita!$T$2:$T$629,"44682B1Energia horáriaResidencialResidencialNão se aplicaNão se aplicaFora ponta",Mercado_Receita!$N$2:$N$629)</f>
        <v>1.093</v>
      </c>
      <c r="T8" s="14">
        <f>SUMIF(Mercado_Receita!$T$2:$T$629,"44713B1Energia horáriaResidencialResidencialNão se aplicaNão se aplicaFora ponta",Mercado_Receita!$N$2:$N$629)</f>
        <v>1.093</v>
      </c>
      <c r="U8" s="14">
        <f t="shared" si="0"/>
        <v>16.794</v>
      </c>
      <c r="V8" s="14"/>
      <c r="W8" s="14"/>
    </row>
    <row r="9" spans="1:30" ht="11.25" customHeight="1" x14ac:dyDescent="0.25">
      <c r="A9" s="152"/>
      <c r="B9" s="151" t="s">
        <v>81</v>
      </c>
      <c r="C9" s="151" t="s">
        <v>24</v>
      </c>
      <c r="D9" s="13" t="s">
        <v>24</v>
      </c>
      <c r="E9" s="13" t="s">
        <v>25</v>
      </c>
      <c r="F9" s="13" t="s">
        <v>25</v>
      </c>
      <c r="G9" s="14" t="s">
        <v>82</v>
      </c>
      <c r="H9" s="14" t="s">
        <v>78</v>
      </c>
      <c r="I9" s="14">
        <f>SUMIF(Mercado_Receita!$T$2:$T$629,"44378B1Energia convencionalResidencialResidencialNão se aplicaNão se aplicaNão se aplica",Mercado_Receita!$N$2:$N$629)</f>
        <v>3201.058</v>
      </c>
      <c r="J9" s="14">
        <f>SUMIF(Mercado_Receita!$T$2:$T$629,"44409B1Energia convencionalResidencialResidencialNão se aplicaNão se aplicaNão se aplica",Mercado_Receita!$N$2:$N$629)</f>
        <v>3133.799</v>
      </c>
      <c r="K9" s="14">
        <f>SUMIF(Mercado_Receita!$T$2:$T$629,"44440B1Energia convencionalResidencialResidencialNão se aplicaNão se aplicaNão se aplica",Mercado_Receita!$N$2:$N$629)</f>
        <v>2873.5050000000001</v>
      </c>
      <c r="L9" s="14">
        <f>SUMIF(Mercado_Receita!$T$2:$T$629,"44470B1Energia convencionalResidencialResidencialNão se aplicaNão se aplicaNão se aplica",Mercado_Receita!$N$2:$N$629)</f>
        <v>2809.6169999999997</v>
      </c>
      <c r="M9" s="14">
        <f>SUMIF(Mercado_Receita!$T$2:$T$629,"44501B1Energia convencionalResidencialResidencialNão se aplicaNão se aplicaNão se aplica",Mercado_Receita!$N$2:$N$629)</f>
        <v>3158.4720000000002</v>
      </c>
      <c r="N9" s="14">
        <f>SUMIF(Mercado_Receita!$T$2:$T$629,"44531B1Energia convencionalResidencialResidencialNão se aplicaNão se aplicaNão se aplica",Mercado_Receita!$N$2:$N$629)</f>
        <v>3381.8830000000003</v>
      </c>
      <c r="O9" s="14">
        <f>SUMIF(Mercado_Receita!$T$2:$T$629,"44562B1Energia convencionalResidencialResidencialNão se aplicaNão se aplicaNão se aplica",Mercado_Receita!$N$2:$N$629)</f>
        <v>3891.1400000000003</v>
      </c>
      <c r="P9" s="14">
        <f>SUMIF(Mercado_Receita!$T$2:$T$629,"44593B1Energia convencionalResidencialResidencialNão se aplicaNão se aplicaNão se aplica",Mercado_Receita!$N$2:$N$629)</f>
        <v>3426.5709999999999</v>
      </c>
      <c r="Q9" s="14">
        <f>SUMIF(Mercado_Receita!$T$2:$T$629,"44621B1Energia convencionalResidencialResidencialNão se aplicaNão se aplicaNão se aplica",Mercado_Receita!$N$2:$N$629)</f>
        <v>3594.7960000000003</v>
      </c>
      <c r="R9" s="14">
        <f>SUMIF(Mercado_Receita!$T$2:$T$629,"44652B1Energia convencionalResidencialResidencialNão se aplicaNão se aplicaNão se aplica",Mercado_Receita!$N$2:$N$629)</f>
        <v>2700.2060000000001</v>
      </c>
      <c r="S9" s="14">
        <f>SUMIF(Mercado_Receita!$T$2:$T$629,"44682B1Energia convencionalResidencialResidencialNão se aplicaNão se aplicaNão se aplica",Mercado_Receita!$N$2:$N$629)</f>
        <v>2945.0030000000002</v>
      </c>
      <c r="T9" s="14">
        <f>SUMIF(Mercado_Receita!$T$2:$T$629,"44713B1Energia convencionalResidencialResidencialNão se aplicaNão se aplicaNão se aplica",Mercado_Receita!$N$2:$N$629)</f>
        <v>2945.0030000000002</v>
      </c>
      <c r="U9" s="14">
        <f t="shared" si="0"/>
        <v>38061.052999999993</v>
      </c>
      <c r="V9" s="14"/>
      <c r="W9" s="14"/>
    </row>
    <row r="10" spans="1:30" ht="11.25" customHeight="1" x14ac:dyDescent="0.25">
      <c r="A10" s="152"/>
      <c r="B10" s="152"/>
      <c r="C10" s="152"/>
      <c r="D10" s="13" t="s">
        <v>28</v>
      </c>
      <c r="E10" s="13" t="s">
        <v>25</v>
      </c>
      <c r="F10" s="13" t="s">
        <v>25</v>
      </c>
      <c r="G10" s="14" t="s">
        <v>82</v>
      </c>
      <c r="H10" s="14" t="s">
        <v>78</v>
      </c>
      <c r="I10" s="14">
        <f>SUMIF(Mercado_Receita!$T$2:$T$629,"44378B1Energia convencionalResidencialResidencial baixa renda – faixa 01Não se aplicaNão se aplicaNão se aplica",Mercado_Receita!$N$2:$N$629)</f>
        <v>18.510000000000002</v>
      </c>
      <c r="J10" s="14">
        <f>SUMIF(Mercado_Receita!$T$2:$T$629,"44409B1Energia convencionalResidencialResidencial baixa renda – faixa 01Não se aplicaNão se aplicaNão se aplica",Mercado_Receita!$N$2:$N$629)</f>
        <v>18.72</v>
      </c>
      <c r="K10" s="14">
        <f>SUMIF(Mercado_Receita!$T$2:$T$629,"44440B1Energia convencionalResidencialResidencial baixa renda – faixa 01Não se aplicaNão se aplicaNão se aplica",Mercado_Receita!$N$2:$N$629)</f>
        <v>18.93</v>
      </c>
      <c r="L10" s="14">
        <f>SUMIF(Mercado_Receita!$T$2:$T$629,"44470B1Energia convencionalResidencialResidencial baixa renda – faixa 01Não se aplicaNão se aplicaNão se aplica",Mercado_Receita!$N$2:$N$629)</f>
        <v>19.02</v>
      </c>
      <c r="M10" s="14">
        <f>SUMIF(Mercado_Receita!$T$2:$T$629,"44501B1Energia convencionalResidencialResidencial baixa renda – faixa 01Não se aplicaNão se aplicaNão se aplica",Mercado_Receita!$N$2:$N$629)</f>
        <v>19.14</v>
      </c>
      <c r="N10" s="14">
        <f>SUMIF(Mercado_Receita!$T$2:$T$629,"44531B1Energia convencionalResidencialResidencial baixa renda – faixa 01Não se aplicaNão se aplicaNão se aplica",Mercado_Receita!$N$2:$N$629)</f>
        <v>19.260000000000002</v>
      </c>
      <c r="O10" s="14">
        <f>SUMIF(Mercado_Receita!$T$2:$T$629,"44562B1Energia convencionalResidencialResidencial baixa renda – faixa 01Não se aplicaNão se aplicaNão se aplica",Mercado_Receita!$N$2:$N$629)</f>
        <v>23.896999999999998</v>
      </c>
      <c r="P10" s="14">
        <f>SUMIF(Mercado_Receita!$T$2:$T$629,"44593B1Energia convencionalResidencialResidencial baixa renda – faixa 01Não se aplicaNão se aplicaNão se aplica",Mercado_Receita!$N$2:$N$629)</f>
        <v>24.66</v>
      </c>
      <c r="Q10" s="14">
        <f>SUMIF(Mercado_Receita!$T$2:$T$629,"44621B1Energia convencionalResidencialResidencial baixa renda – faixa 01Não se aplicaNão se aplicaNão se aplica",Mercado_Receita!$N$2:$N$629)</f>
        <v>25.83</v>
      </c>
      <c r="R10" s="14">
        <f>SUMIF(Mercado_Receita!$T$2:$T$629,"44652B1Energia convencionalResidencialResidencial baixa renda – faixa 01Não se aplicaNão se aplicaNão se aplica",Mercado_Receita!$N$2:$N$629)</f>
        <v>26.37</v>
      </c>
      <c r="S10" s="14">
        <f>SUMIF(Mercado_Receita!$T$2:$T$629,"44682B1Energia convencionalResidencialResidencial baixa renda – faixa 01Não se aplicaNão se aplicaNão se aplica",Mercado_Receita!$N$2:$N$629)</f>
        <v>25.295999999999999</v>
      </c>
      <c r="T10" s="14">
        <f>SUMIF(Mercado_Receita!$T$2:$T$629,"44713B1Energia convencionalResidencialResidencial baixa renda – faixa 01Não se aplicaNão se aplicaNão se aplica",Mercado_Receita!$N$2:$N$629)</f>
        <v>25.295999999999999</v>
      </c>
      <c r="U10" s="14">
        <f t="shared" si="0"/>
        <v>264.92899999999997</v>
      </c>
      <c r="V10" s="14"/>
      <c r="W10" s="14"/>
    </row>
    <row r="11" spans="1:30" ht="11.25" customHeight="1" x14ac:dyDescent="0.25">
      <c r="A11" s="152"/>
      <c r="B11" s="152"/>
      <c r="C11" s="152"/>
      <c r="D11" s="13" t="s">
        <v>29</v>
      </c>
      <c r="E11" s="13" t="s">
        <v>25</v>
      </c>
      <c r="F11" s="13" t="s">
        <v>25</v>
      </c>
      <c r="G11" s="14" t="s">
        <v>82</v>
      </c>
      <c r="H11" s="14" t="s">
        <v>78</v>
      </c>
      <c r="I11" s="14">
        <f>SUMIF(Mercado_Receita!$T$2:$T$629,"44378B1Energia convencionalResidencialResidencial baixa renda – faixa 02Não se aplicaNão se aplicaNão se aplica",Mercado_Receita!$N$2:$N$629)</f>
        <v>36.993000000000002</v>
      </c>
      <c r="J11" s="14">
        <f>SUMIF(Mercado_Receita!$T$2:$T$629,"44409B1Energia convencionalResidencialResidencial baixa renda – faixa 02Não se aplicaNão se aplicaNão se aplica",Mercado_Receita!$N$2:$N$629)</f>
        <v>38.11</v>
      </c>
      <c r="K11" s="14">
        <f>SUMIF(Mercado_Receita!$T$2:$T$629,"44440B1Energia convencionalResidencialResidencial baixa renda – faixa 02Não se aplicaNão se aplicaNão se aplica",Mercado_Receita!$N$2:$N$629)</f>
        <v>39.01</v>
      </c>
      <c r="L11" s="14">
        <f>SUMIF(Mercado_Receita!$T$2:$T$629,"44470B1Energia convencionalResidencialResidencial baixa renda – faixa 02Não se aplicaNão se aplicaNão se aplica",Mercado_Receita!$N$2:$N$629)</f>
        <v>39.098999999999997</v>
      </c>
      <c r="M11" s="14">
        <f>SUMIF(Mercado_Receita!$T$2:$T$629,"44501B1Energia convencionalResidencialResidencial baixa renda – faixa 02Não se aplicaNão se aplicaNão se aplica",Mercado_Receita!$N$2:$N$629)</f>
        <v>40.432000000000002</v>
      </c>
      <c r="N11" s="14">
        <f>SUMIF(Mercado_Receita!$T$2:$T$629,"44531B1Energia convencionalResidencialResidencial baixa renda – faixa 02Não se aplicaNão se aplicaNão se aplica",Mercado_Receita!$N$2:$N$629)</f>
        <v>40.883000000000003</v>
      </c>
      <c r="O11" s="14">
        <f>SUMIF(Mercado_Receita!$T$2:$T$629,"44562B1Energia convencionalResidencialResidencial baixa renda – faixa 02Não se aplicaNão se aplicaNão se aplica",Mercado_Receita!$N$2:$N$629)</f>
        <v>51.283999999999999</v>
      </c>
      <c r="P11" s="14">
        <f>SUMIF(Mercado_Receita!$T$2:$T$629,"44593B1Energia convencionalResidencialResidencial baixa renda – faixa 02Não se aplicaNão se aplicaNão se aplica",Mercado_Receita!$N$2:$N$629)</f>
        <v>51.893999999999998</v>
      </c>
      <c r="Q11" s="14">
        <f>SUMIF(Mercado_Receita!$T$2:$T$629,"44621B1Energia convencionalResidencialResidencial baixa renda – faixa 02Não se aplicaNão se aplicaNão se aplica",Mercado_Receita!$N$2:$N$629)</f>
        <v>55.418999999999997</v>
      </c>
      <c r="R11" s="14">
        <f>SUMIF(Mercado_Receita!$T$2:$T$629,"44652B1Energia convencionalResidencialResidencial baixa renda – faixa 02Não se aplicaNão se aplicaNão se aplica",Mercado_Receita!$N$2:$N$629)</f>
        <v>53.268999999999998</v>
      </c>
      <c r="S11" s="14">
        <f>SUMIF(Mercado_Receita!$T$2:$T$629,"44682B1Energia convencionalResidencialResidencial baixa renda – faixa 02Não se aplicaNão se aplicaNão se aplica",Mercado_Receita!$N$2:$N$629)</f>
        <v>50.295000000000002</v>
      </c>
      <c r="T11" s="14">
        <f>SUMIF(Mercado_Receita!$T$2:$T$629,"44713B1Energia convencionalResidencialResidencial baixa renda – faixa 02Não se aplicaNão se aplicaNão se aplica",Mercado_Receita!$N$2:$N$629)</f>
        <v>50.295000000000002</v>
      </c>
      <c r="U11" s="14">
        <f t="shared" si="0"/>
        <v>546.98300000000006</v>
      </c>
      <c r="V11" s="14"/>
      <c r="W11" s="14"/>
    </row>
    <row r="12" spans="1:30" ht="11.25" customHeight="1" x14ac:dyDescent="0.25">
      <c r="A12" s="152"/>
      <c r="B12" s="152"/>
      <c r="C12" s="152"/>
      <c r="D12" s="13" t="s">
        <v>30</v>
      </c>
      <c r="E12" s="13" t="s">
        <v>25</v>
      </c>
      <c r="F12" s="13" t="s">
        <v>25</v>
      </c>
      <c r="G12" s="14" t="s">
        <v>82</v>
      </c>
      <c r="H12" s="14" t="s">
        <v>78</v>
      </c>
      <c r="I12" s="14">
        <f>SUMIF(Mercado_Receita!$T$2:$T$629,"44378B1Energia convencionalResidencialResidencial baixa renda – faixa 03Não se aplicaNão se aplicaNão se aplica",Mercado_Receita!$N$2:$N$629)</f>
        <v>30.233000000000001</v>
      </c>
      <c r="J12" s="14">
        <f>SUMIF(Mercado_Receita!$T$2:$T$629,"44409B1Energia convencionalResidencialResidencial baixa renda – faixa 03Não se aplicaNão se aplicaNão se aplica",Mercado_Receita!$N$2:$N$629)</f>
        <v>32.238</v>
      </c>
      <c r="K12" s="14">
        <f>SUMIF(Mercado_Receita!$T$2:$T$629,"44440B1Energia convencionalResidencialResidencial baixa renda – faixa 03Não se aplicaNão se aplicaNão se aplica",Mercado_Receita!$N$2:$N$629)</f>
        <v>31.712</v>
      </c>
      <c r="L12" s="14">
        <f>SUMIF(Mercado_Receita!$T$2:$T$629,"44470B1Energia convencionalResidencialResidencial baixa renda – faixa 03Não se aplicaNão se aplicaNão se aplica",Mercado_Receita!$N$2:$N$629)</f>
        <v>29.334</v>
      </c>
      <c r="M12" s="14">
        <f>SUMIF(Mercado_Receita!$T$2:$T$629,"44501B1Energia convencionalResidencialResidencial baixa renda – faixa 03Não se aplicaNão se aplicaNão se aplica",Mercado_Receita!$N$2:$N$629)</f>
        <v>36.238999999999997</v>
      </c>
      <c r="N12" s="14">
        <f>SUMIF(Mercado_Receita!$T$2:$T$629,"44531B1Energia convencionalResidencialResidencial baixa renda – faixa 03Não se aplicaNão se aplicaNão se aplica",Mercado_Receita!$N$2:$N$629)</f>
        <v>38.415999999999997</v>
      </c>
      <c r="O12" s="14">
        <f>SUMIF(Mercado_Receita!$T$2:$T$629,"44562B1Energia convencionalResidencialResidencial baixa renda – faixa 03Não se aplicaNão se aplicaNão se aplica",Mercado_Receita!$N$2:$N$629)</f>
        <v>52.863</v>
      </c>
      <c r="P12" s="14">
        <f>SUMIF(Mercado_Receita!$T$2:$T$629,"44593B1Energia convencionalResidencialResidencial baixa renda – faixa 03Não se aplicaNão se aplicaNão se aplica",Mercado_Receita!$N$2:$N$629)</f>
        <v>46.892000000000003</v>
      </c>
      <c r="Q12" s="14">
        <f>SUMIF(Mercado_Receita!$T$2:$T$629,"44621B1Energia convencionalResidencialResidencial baixa renda – faixa 03Não se aplicaNão se aplicaNão se aplica",Mercado_Receita!$N$2:$N$629)</f>
        <v>57.16</v>
      </c>
      <c r="R12" s="14">
        <f>SUMIF(Mercado_Receita!$T$2:$T$629,"44652B1Energia convencionalResidencialResidencial baixa renda – faixa 03Não se aplicaNão se aplicaNão se aplica",Mercado_Receita!$N$2:$N$629)</f>
        <v>41.701999999999998</v>
      </c>
      <c r="S12" s="14">
        <f>SUMIF(Mercado_Receita!$T$2:$T$629,"44682B1Energia convencionalResidencialResidencial baixa renda – faixa 03Não se aplicaNão se aplicaNão se aplica",Mercado_Receita!$N$2:$N$629)</f>
        <v>41.696999999999996</v>
      </c>
      <c r="T12" s="14">
        <f>SUMIF(Mercado_Receita!$T$2:$T$629,"44713B1Energia convencionalResidencialResidencial baixa renda – faixa 03Não se aplicaNão se aplicaNão se aplica",Mercado_Receita!$N$2:$N$629)</f>
        <v>41.696999999999996</v>
      </c>
      <c r="U12" s="14">
        <f t="shared" si="0"/>
        <v>480.18299999999999</v>
      </c>
      <c r="V12" s="14"/>
      <c r="W12" s="14"/>
    </row>
    <row r="13" spans="1:30" ht="11.25" customHeight="1" x14ac:dyDescent="0.25">
      <c r="A13" s="152"/>
      <c r="B13" s="152"/>
      <c r="C13" s="152"/>
      <c r="D13" s="13" t="s">
        <v>31</v>
      </c>
      <c r="E13" s="13" t="s">
        <v>25</v>
      </c>
      <c r="F13" s="13" t="s">
        <v>25</v>
      </c>
      <c r="G13" s="14" t="s">
        <v>82</v>
      </c>
      <c r="H13" s="14" t="s">
        <v>78</v>
      </c>
      <c r="I13" s="14">
        <f>SUMIF(Mercado_Receita!$T$2:$T$629,"44378B1Energia convencionalResidencialResidencial baixa renda – faixa 04Não se aplicaNão se aplicaNão se aplica",Mercado_Receita!$N$2:$N$629)</f>
        <v>7.76</v>
      </c>
      <c r="J13" s="14">
        <f>SUMIF(Mercado_Receita!$T$2:$T$629,"44409B1Energia convencionalResidencialResidencial baixa renda – faixa 04Não se aplicaNão se aplicaNão se aplica",Mercado_Receita!$N$2:$N$629)</f>
        <v>7.2859999999999996</v>
      </c>
      <c r="K13" s="14">
        <f>SUMIF(Mercado_Receita!$T$2:$T$629,"44440B1Energia convencionalResidencialResidencial baixa renda – faixa 04Não se aplicaNão se aplicaNão se aplica",Mercado_Receita!$N$2:$N$629)</f>
        <v>6.76</v>
      </c>
      <c r="L13" s="14">
        <f>SUMIF(Mercado_Receita!$T$2:$T$629,"44470B1Energia convencionalResidencialResidencial baixa renda – faixa 04Não se aplicaNão se aplicaNão se aplica",Mercado_Receita!$N$2:$N$629)</f>
        <v>5.4669999999999996</v>
      </c>
      <c r="M13" s="14">
        <f>SUMIF(Mercado_Receita!$T$2:$T$629,"44501B1Energia convencionalResidencialResidencial baixa renda – faixa 04Não se aplicaNão se aplicaNão se aplica",Mercado_Receita!$N$2:$N$629)</f>
        <v>9.23</v>
      </c>
      <c r="N13" s="14">
        <f>SUMIF(Mercado_Receita!$T$2:$T$629,"44531B1Energia convencionalResidencialResidencial baixa renda – faixa 04Não se aplicaNão se aplicaNão se aplica",Mercado_Receita!$N$2:$N$629)</f>
        <v>12.256</v>
      </c>
      <c r="O13" s="14">
        <f>SUMIF(Mercado_Receita!$T$2:$T$629,"44562B1Energia convencionalResidencialResidencial baixa renda – faixa 04Não se aplicaNão se aplicaNão se aplica",Mercado_Receita!$N$2:$N$629)</f>
        <v>22.928000000000001</v>
      </c>
      <c r="P13" s="14">
        <f>SUMIF(Mercado_Receita!$T$2:$T$629,"44593B1Energia convencionalResidencialResidencial baixa renda – faixa 04Não se aplicaNão se aplicaNão se aplica",Mercado_Receita!$N$2:$N$629)</f>
        <v>16.157</v>
      </c>
      <c r="Q13" s="14">
        <f>SUMIF(Mercado_Receita!$T$2:$T$629,"44621B1Energia convencionalResidencialResidencial baixa renda – faixa 04Não se aplicaNão se aplicaNão se aplica",Mercado_Receita!$N$2:$N$629)</f>
        <v>24.401</v>
      </c>
      <c r="R13" s="14">
        <f>SUMIF(Mercado_Receita!$T$2:$T$629,"44652B1Energia convencionalResidencialResidencial baixa renda – faixa 04Não se aplicaNão se aplicaNão se aplica",Mercado_Receita!$N$2:$N$629)</f>
        <v>10.157999999999999</v>
      </c>
      <c r="S13" s="14">
        <f>SUMIF(Mercado_Receita!$T$2:$T$629,"44682B1Energia convencionalResidencialResidencial baixa renda – faixa 04Não se aplicaNão se aplicaNão se aplica",Mercado_Receita!$N$2:$N$629)</f>
        <v>11.754</v>
      </c>
      <c r="T13" s="14">
        <f>SUMIF(Mercado_Receita!$T$2:$T$629,"44713B1Energia convencionalResidencialResidencial baixa renda – faixa 04Não se aplicaNão se aplicaNão se aplica",Mercado_Receita!$N$2:$N$629)</f>
        <v>11.754</v>
      </c>
      <c r="U13" s="14">
        <f t="shared" si="0"/>
        <v>145.91099999999997</v>
      </c>
      <c r="V13" s="14"/>
      <c r="W13" s="14"/>
    </row>
    <row r="14" spans="1:30" ht="11.25" customHeight="1" x14ac:dyDescent="0.25">
      <c r="A14" s="152"/>
      <c r="B14" s="151" t="s">
        <v>93</v>
      </c>
      <c r="C14" s="151" t="s">
        <v>24</v>
      </c>
      <c r="D14" s="13" t="s">
        <v>24</v>
      </c>
      <c r="E14" s="13" t="s">
        <v>25</v>
      </c>
      <c r="F14" s="13" t="s">
        <v>25</v>
      </c>
      <c r="G14" s="14" t="s">
        <v>82</v>
      </c>
      <c r="H14" s="14" t="s">
        <v>78</v>
      </c>
      <c r="I14" s="14">
        <f>SUMIF(Mercado_Receita!$T$2:$T$629,"44378B1Energia convencional pré-pagamentoResidencialResidencialNão se aplicaNão se aplicaNão se aplica",Mercado_Receita!$N$2:$N$629)</f>
        <v>0</v>
      </c>
      <c r="J14" s="14">
        <f>SUMIF(Mercado_Receita!$T$2:$T$629,"44409B1Energia convencional pré-pagamentoResidencialResidencialNão se aplicaNão se aplicaNão se aplica",Mercado_Receita!$N$2:$N$629)</f>
        <v>0</v>
      </c>
      <c r="K14" s="14">
        <f>SUMIF(Mercado_Receita!$T$2:$T$629,"44440B1Energia convencional pré-pagamentoResidencialResidencialNão se aplicaNão se aplicaNão se aplica",Mercado_Receita!$N$2:$N$629)</f>
        <v>0</v>
      </c>
      <c r="L14" s="14">
        <f>SUMIF(Mercado_Receita!$T$2:$T$629,"44470B1Energia convencional pré-pagamentoResidencialResidencialNão se aplicaNão se aplicaNão se aplica",Mercado_Receita!$N$2:$N$629)</f>
        <v>0</v>
      </c>
      <c r="M14" s="14">
        <f>SUMIF(Mercado_Receita!$T$2:$T$629,"44501B1Energia convencional pré-pagamentoResidencialResidencialNão se aplicaNão se aplicaNão se aplica",Mercado_Receita!$N$2:$N$629)</f>
        <v>0</v>
      </c>
      <c r="N14" s="14">
        <f>SUMIF(Mercado_Receita!$T$2:$T$629,"44531B1Energia convencional pré-pagamentoResidencialResidencialNão se aplicaNão se aplicaNão se aplica",Mercado_Receita!$N$2:$N$629)</f>
        <v>0</v>
      </c>
      <c r="O14" s="14">
        <f>SUMIF(Mercado_Receita!$T$2:$T$629,"44562B1Energia convencional pré-pagamentoResidencialResidencialNão se aplicaNão se aplicaNão se aplica",Mercado_Receita!$N$2:$N$629)</f>
        <v>0</v>
      </c>
      <c r="P14" s="14">
        <f>SUMIF(Mercado_Receita!$T$2:$T$629,"44593B1Energia convencional pré-pagamentoResidencialResidencialNão se aplicaNão se aplicaNão se aplica",Mercado_Receita!$N$2:$N$629)</f>
        <v>0</v>
      </c>
      <c r="Q14" s="14">
        <f>SUMIF(Mercado_Receita!$T$2:$T$629,"44621B1Energia convencional pré-pagamentoResidencialResidencialNão se aplicaNão se aplicaNão se aplica",Mercado_Receita!$N$2:$N$629)</f>
        <v>0</v>
      </c>
      <c r="R14" s="14">
        <f>SUMIF(Mercado_Receita!$T$2:$T$629,"44652B1Energia convencional pré-pagamentoResidencialResidencialNão se aplicaNão se aplicaNão se aplica",Mercado_Receita!$N$2:$N$629)</f>
        <v>0</v>
      </c>
      <c r="S14" s="14">
        <f>SUMIF(Mercado_Receita!$T$2:$T$629,"44682B1Energia convencional pré-pagamentoResidencialResidencialNão se aplicaNão se aplicaNão se aplica",Mercado_Receita!$N$2:$N$629)</f>
        <v>0</v>
      </c>
      <c r="T14" s="14">
        <f>SUMIF(Mercado_Receita!$T$2:$T$629,"44713B1Energia convencional pré-pagamentoResidencialResidencialNão se aplicaNão se aplicaNão se aplica",Mercado_Receita!$N$2:$N$629)</f>
        <v>0</v>
      </c>
      <c r="U14" s="14">
        <f t="shared" si="0"/>
        <v>0</v>
      </c>
      <c r="V14" s="14"/>
      <c r="W14" s="14"/>
    </row>
    <row r="15" spans="1:30" ht="11.25" customHeight="1" x14ac:dyDescent="0.25">
      <c r="A15" s="152"/>
      <c r="B15" s="152"/>
      <c r="C15" s="152"/>
      <c r="D15" s="13" t="s">
        <v>28</v>
      </c>
      <c r="E15" s="13" t="s">
        <v>25</v>
      </c>
      <c r="F15" s="13" t="s">
        <v>25</v>
      </c>
      <c r="G15" s="14" t="s">
        <v>82</v>
      </c>
      <c r="H15" s="14" t="s">
        <v>78</v>
      </c>
      <c r="I15" s="14">
        <f>SUMIF(Mercado_Receita!$T$2:$T$629,"44378B1Energia convencional pré-pagamentoResidencialResidencial baixa renda – faixa 01Não se aplicaNão se aplicaNão se aplica",Mercado_Receita!$N$2:$N$629)</f>
        <v>0</v>
      </c>
      <c r="J15" s="14">
        <f>SUMIF(Mercado_Receita!$T$2:$T$629,"44409B1Energia convencional pré-pagamentoResidencialResidencial baixa renda – faixa 01Não se aplicaNão se aplicaNão se aplica",Mercado_Receita!$N$2:$N$629)</f>
        <v>0</v>
      </c>
      <c r="K15" s="14">
        <f>SUMIF(Mercado_Receita!$T$2:$T$629,"44440B1Energia convencional pré-pagamentoResidencialResidencial baixa renda – faixa 01Não se aplicaNão se aplicaNão se aplica",Mercado_Receita!$N$2:$N$629)</f>
        <v>0</v>
      </c>
      <c r="L15" s="14">
        <f>SUMIF(Mercado_Receita!$T$2:$T$629,"44470B1Energia convencional pré-pagamentoResidencialResidencial baixa renda – faixa 01Não se aplicaNão se aplicaNão se aplica",Mercado_Receita!$N$2:$N$629)</f>
        <v>0</v>
      </c>
      <c r="M15" s="14">
        <f>SUMIF(Mercado_Receita!$T$2:$T$629,"44501B1Energia convencional pré-pagamentoResidencialResidencial baixa renda – faixa 01Não se aplicaNão se aplicaNão se aplica",Mercado_Receita!$N$2:$N$629)</f>
        <v>0</v>
      </c>
      <c r="N15" s="14">
        <f>SUMIF(Mercado_Receita!$T$2:$T$629,"44531B1Energia convencional pré-pagamentoResidencialResidencial baixa renda – faixa 01Não se aplicaNão se aplicaNão se aplica",Mercado_Receita!$N$2:$N$629)</f>
        <v>0</v>
      </c>
      <c r="O15" s="14">
        <f>SUMIF(Mercado_Receita!$T$2:$T$629,"44562B1Energia convencional pré-pagamentoResidencialResidencial baixa renda – faixa 01Não se aplicaNão se aplicaNão se aplica",Mercado_Receita!$N$2:$N$629)</f>
        <v>0</v>
      </c>
      <c r="P15" s="14">
        <f>SUMIF(Mercado_Receita!$T$2:$T$629,"44593B1Energia convencional pré-pagamentoResidencialResidencial baixa renda – faixa 01Não se aplicaNão se aplicaNão se aplica",Mercado_Receita!$N$2:$N$629)</f>
        <v>0</v>
      </c>
      <c r="Q15" s="14">
        <f>SUMIF(Mercado_Receita!$T$2:$T$629,"44621B1Energia convencional pré-pagamentoResidencialResidencial baixa renda – faixa 01Não se aplicaNão se aplicaNão se aplica",Mercado_Receita!$N$2:$N$629)</f>
        <v>0</v>
      </c>
      <c r="R15" s="14">
        <f>SUMIF(Mercado_Receita!$T$2:$T$629,"44652B1Energia convencional pré-pagamentoResidencialResidencial baixa renda – faixa 01Não se aplicaNão se aplicaNão se aplica",Mercado_Receita!$N$2:$N$629)</f>
        <v>0</v>
      </c>
      <c r="S15" s="14">
        <f>SUMIF(Mercado_Receita!$T$2:$T$629,"44682B1Energia convencional pré-pagamentoResidencialResidencial baixa renda – faixa 01Não se aplicaNão se aplicaNão se aplica",Mercado_Receita!$N$2:$N$629)</f>
        <v>0</v>
      </c>
      <c r="T15" s="14">
        <f>SUMIF(Mercado_Receita!$T$2:$T$629,"44713B1Energia convencional pré-pagamentoResidencialResidencial baixa renda – faixa 01Não se aplicaNão se aplicaNão se aplica",Mercado_Receita!$N$2:$N$629)</f>
        <v>0</v>
      </c>
      <c r="U15" s="14">
        <f t="shared" si="0"/>
        <v>0</v>
      </c>
      <c r="V15" s="14"/>
      <c r="W15" s="14"/>
    </row>
    <row r="16" spans="1:30" ht="11.25" customHeight="1" x14ac:dyDescent="0.25">
      <c r="A16" s="152"/>
      <c r="B16" s="152"/>
      <c r="C16" s="152"/>
      <c r="D16" s="13" t="s">
        <v>29</v>
      </c>
      <c r="E16" s="13" t="s">
        <v>25</v>
      </c>
      <c r="F16" s="13" t="s">
        <v>25</v>
      </c>
      <c r="G16" s="14" t="s">
        <v>82</v>
      </c>
      <c r="H16" s="14" t="s">
        <v>78</v>
      </c>
      <c r="I16" s="14">
        <f>SUMIF(Mercado_Receita!$T$2:$T$629,"44378B1Energia convencional pré-pagamentoResidencialResidencial baixa renda – faixa 02Não se aplicaNão se aplicaNão se aplica",Mercado_Receita!$N$2:$N$629)</f>
        <v>0</v>
      </c>
      <c r="J16" s="14">
        <f>SUMIF(Mercado_Receita!$T$2:$T$629,"44409B1Energia convencional pré-pagamentoResidencialResidencial baixa renda – faixa 02Não se aplicaNão se aplicaNão se aplica",Mercado_Receita!$N$2:$N$629)</f>
        <v>0</v>
      </c>
      <c r="K16" s="14">
        <f>SUMIF(Mercado_Receita!$T$2:$T$629,"44440B1Energia convencional pré-pagamentoResidencialResidencial baixa renda – faixa 02Não se aplicaNão se aplicaNão se aplica",Mercado_Receita!$N$2:$N$629)</f>
        <v>0</v>
      </c>
      <c r="L16" s="14">
        <f>SUMIF(Mercado_Receita!$T$2:$T$629,"44470B1Energia convencional pré-pagamentoResidencialResidencial baixa renda – faixa 02Não se aplicaNão se aplicaNão se aplica",Mercado_Receita!$N$2:$N$629)</f>
        <v>0</v>
      </c>
      <c r="M16" s="14">
        <f>SUMIF(Mercado_Receita!$T$2:$T$629,"44501B1Energia convencional pré-pagamentoResidencialResidencial baixa renda – faixa 02Não se aplicaNão se aplicaNão se aplica",Mercado_Receita!$N$2:$N$629)</f>
        <v>0</v>
      </c>
      <c r="N16" s="14">
        <f>SUMIF(Mercado_Receita!$T$2:$T$629,"44531B1Energia convencional pré-pagamentoResidencialResidencial baixa renda – faixa 02Não se aplicaNão se aplicaNão se aplica",Mercado_Receita!$N$2:$N$629)</f>
        <v>0</v>
      </c>
      <c r="O16" s="14">
        <f>SUMIF(Mercado_Receita!$T$2:$T$629,"44562B1Energia convencional pré-pagamentoResidencialResidencial baixa renda – faixa 02Não se aplicaNão se aplicaNão se aplica",Mercado_Receita!$N$2:$N$629)</f>
        <v>0</v>
      </c>
      <c r="P16" s="14">
        <f>SUMIF(Mercado_Receita!$T$2:$T$629,"44593B1Energia convencional pré-pagamentoResidencialResidencial baixa renda – faixa 02Não se aplicaNão se aplicaNão se aplica",Mercado_Receita!$N$2:$N$629)</f>
        <v>0</v>
      </c>
      <c r="Q16" s="14">
        <f>SUMIF(Mercado_Receita!$T$2:$T$629,"44621B1Energia convencional pré-pagamentoResidencialResidencial baixa renda – faixa 02Não se aplicaNão se aplicaNão se aplica",Mercado_Receita!$N$2:$N$629)</f>
        <v>0</v>
      </c>
      <c r="R16" s="14">
        <f>SUMIF(Mercado_Receita!$T$2:$T$629,"44652B1Energia convencional pré-pagamentoResidencialResidencial baixa renda – faixa 02Não se aplicaNão se aplicaNão se aplica",Mercado_Receita!$N$2:$N$629)</f>
        <v>0</v>
      </c>
      <c r="S16" s="14">
        <f>SUMIF(Mercado_Receita!$T$2:$T$629,"44682B1Energia convencional pré-pagamentoResidencialResidencial baixa renda – faixa 02Não se aplicaNão se aplicaNão se aplica",Mercado_Receita!$N$2:$N$629)</f>
        <v>0</v>
      </c>
      <c r="T16" s="14">
        <f>SUMIF(Mercado_Receita!$T$2:$T$629,"44713B1Energia convencional pré-pagamentoResidencialResidencial baixa renda – faixa 02Não se aplicaNão se aplicaNão se aplica",Mercado_Receita!$N$2:$N$629)</f>
        <v>0</v>
      </c>
      <c r="U16" s="14">
        <f t="shared" si="0"/>
        <v>0</v>
      </c>
      <c r="V16" s="14"/>
      <c r="W16" s="14"/>
    </row>
    <row r="17" spans="1:23" ht="11.25" customHeight="1" x14ac:dyDescent="0.25">
      <c r="A17" s="152"/>
      <c r="B17" s="152"/>
      <c r="C17" s="152"/>
      <c r="D17" s="13" t="s">
        <v>30</v>
      </c>
      <c r="E17" s="13" t="s">
        <v>25</v>
      </c>
      <c r="F17" s="13" t="s">
        <v>25</v>
      </c>
      <c r="G17" s="14" t="s">
        <v>82</v>
      </c>
      <c r="H17" s="14" t="s">
        <v>78</v>
      </c>
      <c r="I17" s="14">
        <f>SUMIF(Mercado_Receita!$T$2:$T$629,"44378B1Energia convencional pré-pagamentoResidencialResidencial baixa renda – faixa 03Não se aplicaNão se aplicaNão se aplica",Mercado_Receita!$N$2:$N$629)</f>
        <v>0</v>
      </c>
      <c r="J17" s="14">
        <f>SUMIF(Mercado_Receita!$T$2:$T$629,"44409B1Energia convencional pré-pagamentoResidencialResidencial baixa renda – faixa 03Não se aplicaNão se aplicaNão se aplica",Mercado_Receita!$N$2:$N$629)</f>
        <v>0</v>
      </c>
      <c r="K17" s="14">
        <f>SUMIF(Mercado_Receita!$T$2:$T$629,"44440B1Energia convencional pré-pagamentoResidencialResidencial baixa renda – faixa 03Não se aplicaNão se aplicaNão se aplica",Mercado_Receita!$N$2:$N$629)</f>
        <v>0</v>
      </c>
      <c r="L17" s="14">
        <f>SUMIF(Mercado_Receita!$T$2:$T$629,"44470B1Energia convencional pré-pagamentoResidencialResidencial baixa renda – faixa 03Não se aplicaNão se aplicaNão se aplica",Mercado_Receita!$N$2:$N$629)</f>
        <v>0</v>
      </c>
      <c r="M17" s="14">
        <f>SUMIF(Mercado_Receita!$T$2:$T$629,"44501B1Energia convencional pré-pagamentoResidencialResidencial baixa renda – faixa 03Não se aplicaNão se aplicaNão se aplica",Mercado_Receita!$N$2:$N$629)</f>
        <v>0</v>
      </c>
      <c r="N17" s="14">
        <f>SUMIF(Mercado_Receita!$T$2:$T$629,"44531B1Energia convencional pré-pagamentoResidencialResidencial baixa renda – faixa 03Não se aplicaNão se aplicaNão se aplica",Mercado_Receita!$N$2:$N$629)</f>
        <v>0</v>
      </c>
      <c r="O17" s="14">
        <f>SUMIF(Mercado_Receita!$T$2:$T$629,"44562B1Energia convencional pré-pagamentoResidencialResidencial baixa renda – faixa 03Não se aplicaNão se aplicaNão se aplica",Mercado_Receita!$N$2:$N$629)</f>
        <v>0</v>
      </c>
      <c r="P17" s="14">
        <f>SUMIF(Mercado_Receita!$T$2:$T$629,"44593B1Energia convencional pré-pagamentoResidencialResidencial baixa renda – faixa 03Não se aplicaNão se aplicaNão se aplica",Mercado_Receita!$N$2:$N$629)</f>
        <v>0</v>
      </c>
      <c r="Q17" s="14">
        <f>SUMIF(Mercado_Receita!$T$2:$T$629,"44621B1Energia convencional pré-pagamentoResidencialResidencial baixa renda – faixa 03Não se aplicaNão se aplicaNão se aplica",Mercado_Receita!$N$2:$N$629)</f>
        <v>0</v>
      </c>
      <c r="R17" s="14">
        <f>SUMIF(Mercado_Receita!$T$2:$T$629,"44652B1Energia convencional pré-pagamentoResidencialResidencial baixa renda – faixa 03Não se aplicaNão se aplicaNão se aplica",Mercado_Receita!$N$2:$N$629)</f>
        <v>0</v>
      </c>
      <c r="S17" s="14">
        <f>SUMIF(Mercado_Receita!$T$2:$T$629,"44682B1Energia convencional pré-pagamentoResidencialResidencial baixa renda – faixa 03Não se aplicaNão se aplicaNão se aplica",Mercado_Receita!$N$2:$N$629)</f>
        <v>0</v>
      </c>
      <c r="T17" s="14">
        <f>SUMIF(Mercado_Receita!$T$2:$T$629,"44713B1Energia convencional pré-pagamentoResidencialResidencial baixa renda – faixa 03Não se aplicaNão se aplicaNão se aplica",Mercado_Receita!$N$2:$N$629)</f>
        <v>0</v>
      </c>
      <c r="U17" s="14">
        <f t="shared" si="0"/>
        <v>0</v>
      </c>
      <c r="V17" s="14"/>
      <c r="W17" s="14"/>
    </row>
    <row r="18" spans="1:23" ht="11.25" customHeight="1" x14ac:dyDescent="0.25">
      <c r="A18" s="152"/>
      <c r="B18" s="152"/>
      <c r="C18" s="152"/>
      <c r="D18" s="13" t="s">
        <v>31</v>
      </c>
      <c r="E18" s="13" t="s">
        <v>25</v>
      </c>
      <c r="F18" s="13" t="s">
        <v>25</v>
      </c>
      <c r="G18" s="14" t="s">
        <v>82</v>
      </c>
      <c r="H18" s="14" t="s">
        <v>78</v>
      </c>
      <c r="I18" s="14">
        <f>SUMIF(Mercado_Receita!$T$2:$T$629,"44378B1Energia convencional pré-pagamentoResidencialResidencial baixa renda – faixa 04Não se aplicaNão se aplicaNão se aplica",Mercado_Receita!$N$2:$N$629)</f>
        <v>0</v>
      </c>
      <c r="J18" s="14">
        <f>SUMIF(Mercado_Receita!$T$2:$T$629,"44409B1Energia convencional pré-pagamentoResidencialResidencial baixa renda – faixa 04Não se aplicaNão se aplicaNão se aplica",Mercado_Receita!$N$2:$N$629)</f>
        <v>0</v>
      </c>
      <c r="K18" s="14">
        <f>SUMIF(Mercado_Receita!$T$2:$T$629,"44440B1Energia convencional pré-pagamentoResidencialResidencial baixa renda – faixa 04Não se aplicaNão se aplicaNão se aplica",Mercado_Receita!$N$2:$N$629)</f>
        <v>0</v>
      </c>
      <c r="L18" s="14">
        <f>SUMIF(Mercado_Receita!$T$2:$T$629,"44470B1Energia convencional pré-pagamentoResidencialResidencial baixa renda – faixa 04Não se aplicaNão se aplicaNão se aplica",Mercado_Receita!$N$2:$N$629)</f>
        <v>0</v>
      </c>
      <c r="M18" s="14">
        <f>SUMIF(Mercado_Receita!$T$2:$T$629,"44501B1Energia convencional pré-pagamentoResidencialResidencial baixa renda – faixa 04Não se aplicaNão se aplicaNão se aplica",Mercado_Receita!$N$2:$N$629)</f>
        <v>0</v>
      </c>
      <c r="N18" s="14">
        <f>SUMIF(Mercado_Receita!$T$2:$T$629,"44531B1Energia convencional pré-pagamentoResidencialResidencial baixa renda – faixa 04Não se aplicaNão se aplicaNão se aplica",Mercado_Receita!$N$2:$N$629)</f>
        <v>0</v>
      </c>
      <c r="O18" s="14">
        <f>SUMIF(Mercado_Receita!$T$2:$T$629,"44562B1Energia convencional pré-pagamentoResidencialResidencial baixa renda – faixa 04Não se aplicaNão se aplicaNão se aplica",Mercado_Receita!$N$2:$N$629)</f>
        <v>0</v>
      </c>
      <c r="P18" s="14">
        <f>SUMIF(Mercado_Receita!$T$2:$T$629,"44593B1Energia convencional pré-pagamentoResidencialResidencial baixa renda – faixa 04Não se aplicaNão se aplicaNão se aplica",Mercado_Receita!$N$2:$N$629)</f>
        <v>0</v>
      </c>
      <c r="Q18" s="14">
        <f>SUMIF(Mercado_Receita!$T$2:$T$629,"44621B1Energia convencional pré-pagamentoResidencialResidencial baixa renda – faixa 04Não se aplicaNão se aplicaNão se aplica",Mercado_Receita!$N$2:$N$629)</f>
        <v>0</v>
      </c>
      <c r="R18" s="14">
        <f>SUMIF(Mercado_Receita!$T$2:$T$629,"44652B1Energia convencional pré-pagamentoResidencialResidencial baixa renda – faixa 04Não se aplicaNão se aplicaNão se aplica",Mercado_Receita!$N$2:$N$629)</f>
        <v>0</v>
      </c>
      <c r="S18" s="14">
        <f>SUMIF(Mercado_Receita!$T$2:$T$629,"44682B1Energia convencional pré-pagamentoResidencialResidencial baixa renda – faixa 04Não se aplicaNão se aplicaNão se aplica",Mercado_Receita!$N$2:$N$629)</f>
        <v>0</v>
      </c>
      <c r="T18" s="14">
        <f>SUMIF(Mercado_Receita!$T$2:$T$629,"44713B1Energia convencional pré-pagamentoResidencialResidencial baixa renda – faixa 04Não se aplicaNão se aplicaNão se aplica",Mercado_Receita!$N$2:$N$629)</f>
        <v>0</v>
      </c>
      <c r="U18" s="14">
        <f t="shared" si="0"/>
        <v>0</v>
      </c>
      <c r="V18" s="14"/>
      <c r="W18" s="14"/>
    </row>
    <row r="19" spans="1:23" ht="11.25" customHeight="1" x14ac:dyDescent="0.25">
      <c r="A19" s="151" t="s">
        <v>42</v>
      </c>
      <c r="B19" s="151" t="s">
        <v>77</v>
      </c>
      <c r="C19" s="151" t="s">
        <v>43</v>
      </c>
      <c r="D19" s="151" t="s">
        <v>25</v>
      </c>
      <c r="E19" s="151" t="s">
        <v>25</v>
      </c>
      <c r="F19" s="151" t="s">
        <v>25</v>
      </c>
      <c r="G19" s="14" t="s">
        <v>79</v>
      </c>
      <c r="H19" s="14" t="s">
        <v>78</v>
      </c>
      <c r="I19" s="14">
        <f>SUMIF(Mercado_Receita!$T$2:$T$629,"44378B2Energia horáriaRuralNão se aplicaNão se aplicaNão se aplicaPonta",Mercado_Receita!$N$2:$N$629)</f>
        <v>0</v>
      </c>
      <c r="J19" s="14">
        <f>SUMIF(Mercado_Receita!$T$2:$T$629,"44409B2Energia horáriaRuralNão se aplicaNão se aplicaNão se aplicaPonta",Mercado_Receita!$N$2:$N$629)</f>
        <v>0</v>
      </c>
      <c r="K19" s="14">
        <f>SUMIF(Mercado_Receita!$T$2:$T$629,"44440B2Energia horáriaRuralNão se aplicaNão se aplicaNão se aplicaPonta",Mercado_Receita!$N$2:$N$629)</f>
        <v>0</v>
      </c>
      <c r="L19" s="14">
        <f>SUMIF(Mercado_Receita!$T$2:$T$629,"44470B2Energia horáriaRuralNão se aplicaNão se aplicaNão se aplicaPonta",Mercado_Receita!$N$2:$N$629)</f>
        <v>0</v>
      </c>
      <c r="M19" s="14">
        <f>SUMIF(Mercado_Receita!$T$2:$T$629,"44501B2Energia horáriaRuralNão se aplicaNão se aplicaNão se aplicaPonta",Mercado_Receita!$N$2:$N$629)</f>
        <v>0</v>
      </c>
      <c r="N19" s="14">
        <f>SUMIF(Mercado_Receita!$T$2:$T$629,"44531B2Energia horáriaRuralNão se aplicaNão se aplicaNão se aplicaPonta",Mercado_Receita!$N$2:$N$629)</f>
        <v>0</v>
      </c>
      <c r="O19" s="14">
        <f>SUMIF(Mercado_Receita!$T$2:$T$629,"44562B2Energia horáriaRuralNão se aplicaNão se aplicaNão se aplicaPonta",Mercado_Receita!$N$2:$N$629)</f>
        <v>0</v>
      </c>
      <c r="P19" s="14">
        <f>SUMIF(Mercado_Receita!$T$2:$T$629,"44593B2Energia horáriaRuralNão se aplicaNão se aplicaNão se aplicaPonta",Mercado_Receita!$N$2:$N$629)</f>
        <v>0</v>
      </c>
      <c r="Q19" s="14">
        <f>SUMIF(Mercado_Receita!$T$2:$T$629,"44621B2Energia horáriaRuralNão se aplicaNão se aplicaNão se aplicaPonta",Mercado_Receita!$N$2:$N$629)</f>
        <v>0</v>
      </c>
      <c r="R19" s="14">
        <f>SUMIF(Mercado_Receita!$T$2:$T$629,"44652B2Energia horáriaRuralNão se aplicaNão se aplicaNão se aplicaPonta",Mercado_Receita!$N$2:$N$629)</f>
        <v>0</v>
      </c>
      <c r="S19" s="14">
        <f>SUMIF(Mercado_Receita!$T$2:$T$629,"44682B2Energia horáriaRuralNão se aplicaNão se aplicaNão se aplicaPonta",Mercado_Receita!$N$2:$N$629)</f>
        <v>0</v>
      </c>
      <c r="T19" s="14">
        <f>SUMIF(Mercado_Receita!$T$2:$T$629,"44713B2Energia horáriaRuralNão se aplicaNão se aplicaNão se aplicaPonta",Mercado_Receita!$N$2:$N$629)</f>
        <v>0</v>
      </c>
      <c r="U19" s="14">
        <f t="shared" si="0"/>
        <v>0</v>
      </c>
      <c r="V19" s="14"/>
      <c r="W19" s="14"/>
    </row>
    <row r="20" spans="1:23" ht="11.25" customHeight="1" x14ac:dyDescent="0.25">
      <c r="A20" s="152"/>
      <c r="B20" s="152"/>
      <c r="C20" s="152"/>
      <c r="D20" s="152"/>
      <c r="E20" s="152"/>
      <c r="F20" s="152"/>
      <c r="G20" s="14" t="s">
        <v>92</v>
      </c>
      <c r="H20" s="14" t="s">
        <v>78</v>
      </c>
      <c r="I20" s="14">
        <f>SUMIF(Mercado_Receita!$T$2:$T$629,"44378B2Energia horáriaRuralNão se aplicaNão se aplicaNão se aplicaIntermediário",Mercado_Receita!$N$2:$N$629)</f>
        <v>0</v>
      </c>
      <c r="J20" s="14">
        <f>SUMIF(Mercado_Receita!$T$2:$T$629,"44409B2Energia horáriaRuralNão se aplicaNão se aplicaNão se aplicaIntermediário",Mercado_Receita!$N$2:$N$629)</f>
        <v>0</v>
      </c>
      <c r="K20" s="14">
        <f>SUMIF(Mercado_Receita!$T$2:$T$629,"44440B2Energia horáriaRuralNão se aplicaNão se aplicaNão se aplicaIntermediário",Mercado_Receita!$N$2:$N$629)</f>
        <v>0</v>
      </c>
      <c r="L20" s="14">
        <f>SUMIF(Mercado_Receita!$T$2:$T$629,"44470B2Energia horáriaRuralNão se aplicaNão se aplicaNão se aplicaIntermediário",Mercado_Receita!$N$2:$N$629)</f>
        <v>0</v>
      </c>
      <c r="M20" s="14">
        <f>SUMIF(Mercado_Receita!$T$2:$T$629,"44501B2Energia horáriaRuralNão se aplicaNão se aplicaNão se aplicaIntermediário",Mercado_Receita!$N$2:$N$629)</f>
        <v>0</v>
      </c>
      <c r="N20" s="14">
        <f>SUMIF(Mercado_Receita!$T$2:$T$629,"44531B2Energia horáriaRuralNão se aplicaNão se aplicaNão se aplicaIntermediário",Mercado_Receita!$N$2:$N$629)</f>
        <v>0</v>
      </c>
      <c r="O20" s="14">
        <f>SUMIF(Mercado_Receita!$T$2:$T$629,"44562B2Energia horáriaRuralNão se aplicaNão se aplicaNão se aplicaIntermediário",Mercado_Receita!$N$2:$N$629)</f>
        <v>0</v>
      </c>
      <c r="P20" s="14">
        <f>SUMIF(Mercado_Receita!$T$2:$T$629,"44593B2Energia horáriaRuralNão se aplicaNão se aplicaNão se aplicaIntermediário",Mercado_Receita!$N$2:$N$629)</f>
        <v>0</v>
      </c>
      <c r="Q20" s="14">
        <f>SUMIF(Mercado_Receita!$T$2:$T$629,"44621B2Energia horáriaRuralNão se aplicaNão se aplicaNão se aplicaIntermediário",Mercado_Receita!$N$2:$N$629)</f>
        <v>0</v>
      </c>
      <c r="R20" s="14">
        <f>SUMIF(Mercado_Receita!$T$2:$T$629,"44652B2Energia horáriaRuralNão se aplicaNão se aplicaNão se aplicaIntermediário",Mercado_Receita!$N$2:$N$629)</f>
        <v>0</v>
      </c>
      <c r="S20" s="14">
        <f>SUMIF(Mercado_Receita!$T$2:$T$629,"44682B2Energia horáriaRuralNão se aplicaNão se aplicaNão se aplicaIntermediário",Mercado_Receita!$N$2:$N$629)</f>
        <v>0</v>
      </c>
      <c r="T20" s="14">
        <f>SUMIF(Mercado_Receita!$T$2:$T$629,"44713B2Energia horáriaRuralNão se aplicaNão se aplicaNão se aplicaIntermediário",Mercado_Receita!$N$2:$N$629)</f>
        <v>0</v>
      </c>
      <c r="U20" s="14">
        <f t="shared" si="0"/>
        <v>0</v>
      </c>
      <c r="V20" s="14"/>
      <c r="W20" s="14"/>
    </row>
    <row r="21" spans="1:23" ht="11.25" customHeight="1" x14ac:dyDescent="0.25">
      <c r="A21" s="152"/>
      <c r="B21" s="152"/>
      <c r="C21" s="152"/>
      <c r="D21" s="152"/>
      <c r="E21" s="152"/>
      <c r="F21" s="152"/>
      <c r="G21" s="14" t="s">
        <v>80</v>
      </c>
      <c r="H21" s="14" t="s">
        <v>78</v>
      </c>
      <c r="I21" s="14">
        <f>SUMIF(Mercado_Receita!$T$2:$T$629,"44378B2Energia horáriaRuralNão se aplicaNão se aplicaNão se aplicaFora ponta",Mercado_Receita!$N$2:$N$629)</f>
        <v>0</v>
      </c>
      <c r="J21" s="14">
        <f>SUMIF(Mercado_Receita!$T$2:$T$629,"44409B2Energia horáriaRuralNão se aplicaNão se aplicaNão se aplicaFora ponta",Mercado_Receita!$N$2:$N$629)</f>
        <v>0</v>
      </c>
      <c r="K21" s="14">
        <f>SUMIF(Mercado_Receita!$T$2:$T$629,"44440B2Energia horáriaRuralNão se aplicaNão se aplicaNão se aplicaFora ponta",Mercado_Receita!$N$2:$N$629)</f>
        <v>0</v>
      </c>
      <c r="L21" s="14">
        <f>SUMIF(Mercado_Receita!$T$2:$T$629,"44470B2Energia horáriaRuralNão se aplicaNão se aplicaNão se aplicaFora ponta",Mercado_Receita!$N$2:$N$629)</f>
        <v>0</v>
      </c>
      <c r="M21" s="14">
        <f>SUMIF(Mercado_Receita!$T$2:$T$629,"44501B2Energia horáriaRuralNão se aplicaNão se aplicaNão se aplicaFora ponta",Mercado_Receita!$N$2:$N$629)</f>
        <v>0</v>
      </c>
      <c r="N21" s="14">
        <f>SUMIF(Mercado_Receita!$T$2:$T$629,"44531B2Energia horáriaRuralNão se aplicaNão se aplicaNão se aplicaFora ponta",Mercado_Receita!$N$2:$N$629)</f>
        <v>0</v>
      </c>
      <c r="O21" s="14">
        <f>SUMIF(Mercado_Receita!$T$2:$T$629,"44562B2Energia horáriaRuralNão se aplicaNão se aplicaNão se aplicaFora ponta",Mercado_Receita!$N$2:$N$629)</f>
        <v>0</v>
      </c>
      <c r="P21" s="14">
        <f>SUMIF(Mercado_Receita!$T$2:$T$629,"44593B2Energia horáriaRuralNão se aplicaNão se aplicaNão se aplicaFora ponta",Mercado_Receita!$N$2:$N$629)</f>
        <v>0</v>
      </c>
      <c r="Q21" s="14">
        <f>SUMIF(Mercado_Receita!$T$2:$T$629,"44621B2Energia horáriaRuralNão se aplicaNão se aplicaNão se aplicaFora ponta",Mercado_Receita!$N$2:$N$629)</f>
        <v>0</v>
      </c>
      <c r="R21" s="14">
        <f>SUMIF(Mercado_Receita!$T$2:$T$629,"44652B2Energia horáriaRuralNão se aplicaNão se aplicaNão se aplicaFora ponta",Mercado_Receita!$N$2:$N$629)</f>
        <v>0</v>
      </c>
      <c r="S21" s="14">
        <f>SUMIF(Mercado_Receita!$T$2:$T$629,"44682B2Energia horáriaRuralNão se aplicaNão se aplicaNão se aplicaFora ponta",Mercado_Receita!$N$2:$N$629)</f>
        <v>0</v>
      </c>
      <c r="T21" s="14">
        <f>SUMIF(Mercado_Receita!$T$2:$T$629,"44713B2Energia horáriaRuralNão se aplicaNão se aplicaNão se aplicaFora ponta",Mercado_Receita!$N$2:$N$629)</f>
        <v>0</v>
      </c>
      <c r="U21" s="14">
        <f t="shared" si="0"/>
        <v>0</v>
      </c>
      <c r="V21" s="14"/>
      <c r="W21" s="14"/>
    </row>
    <row r="22" spans="1:23" ht="11.25" customHeight="1" x14ac:dyDescent="0.25">
      <c r="A22" s="152"/>
      <c r="B22" s="13" t="s">
        <v>81</v>
      </c>
      <c r="C22" s="13" t="s">
        <v>43</v>
      </c>
      <c r="D22" s="13" t="s">
        <v>25</v>
      </c>
      <c r="E22" s="13" t="s">
        <v>25</v>
      </c>
      <c r="F22" s="13" t="s">
        <v>25</v>
      </c>
      <c r="G22" s="14" t="s">
        <v>82</v>
      </c>
      <c r="H22" s="14" t="s">
        <v>78</v>
      </c>
      <c r="I22" s="14">
        <f>SUMIF(Mercado_Receita!$T$2:$T$629,"44378B2Energia convencionalRuralNão se aplicaNão se aplicaNão se aplicaNão se aplica",Mercado_Receita!$N$2:$N$629)</f>
        <v>131.81799999999998</v>
      </c>
      <c r="J22" s="14">
        <f>SUMIF(Mercado_Receita!$T$2:$T$629,"44409B2Energia convencionalRuralNão se aplicaNão se aplicaNão se aplicaNão se aplica",Mercado_Receita!$N$2:$N$629)</f>
        <v>123.767</v>
      </c>
      <c r="K22" s="14">
        <f>SUMIF(Mercado_Receita!$T$2:$T$629,"44440B2Energia convencionalRuralNão se aplicaNão se aplicaNão se aplicaNão se aplica",Mercado_Receita!$N$2:$N$629)</f>
        <v>134.55599999999998</v>
      </c>
      <c r="L22" s="14">
        <f>SUMIF(Mercado_Receita!$T$2:$T$629,"44470B2Energia convencionalRuralNão se aplicaNão se aplicaNão se aplicaNão se aplica",Mercado_Receita!$N$2:$N$629)</f>
        <v>126.324</v>
      </c>
      <c r="M22" s="14">
        <f>SUMIF(Mercado_Receita!$T$2:$T$629,"44501B2Energia convencionalRuralNão se aplicaNão se aplicaNão se aplicaNão se aplica",Mercado_Receita!$N$2:$N$629)</f>
        <v>157.417</v>
      </c>
      <c r="N22" s="14">
        <f>SUMIF(Mercado_Receita!$T$2:$T$629,"44531B2Energia convencionalRuralNão se aplicaNão se aplicaNão se aplicaNão se aplica",Mercado_Receita!$N$2:$N$629)</f>
        <v>146.19299999999998</v>
      </c>
      <c r="O22" s="14">
        <f>SUMIF(Mercado_Receita!$T$2:$T$629,"44562B2Energia convencionalRuralNão se aplicaNão se aplicaNão se aplicaNão se aplica",Mercado_Receita!$N$2:$N$629)</f>
        <v>159.542</v>
      </c>
      <c r="P22" s="14">
        <f>SUMIF(Mercado_Receita!$T$2:$T$629,"44593B2Energia convencionalRuralNão se aplicaNão se aplicaNão se aplicaNão se aplica",Mercado_Receita!$N$2:$N$629)</f>
        <v>155.18100000000001</v>
      </c>
      <c r="Q22" s="14">
        <f>SUMIF(Mercado_Receita!$T$2:$T$629,"44621B2Energia convencionalRuralNão se aplicaNão se aplicaNão se aplicaNão se aplica",Mercado_Receita!$N$2:$N$629)</f>
        <v>136.791</v>
      </c>
      <c r="R22" s="14">
        <f>SUMIF(Mercado_Receita!$T$2:$T$629,"44652B2Energia convencionalRuralNão se aplicaNão se aplicaNão se aplicaNão se aplica",Mercado_Receita!$N$2:$N$629)</f>
        <v>150.94199999999998</v>
      </c>
      <c r="S22" s="14">
        <f>SUMIF(Mercado_Receita!$T$2:$T$629,"44682B2Energia convencionalRuralNão se aplicaNão se aplicaNão se aplicaNão se aplica",Mercado_Receita!$N$2:$N$629)</f>
        <v>136.12099999999998</v>
      </c>
      <c r="T22" s="14">
        <f>SUMIF(Mercado_Receita!$T$2:$T$629,"44713B2Energia convencionalRuralNão se aplicaNão se aplicaNão se aplicaNão se aplica",Mercado_Receita!$N$2:$N$629)</f>
        <v>136.12099999999998</v>
      </c>
      <c r="U22" s="14">
        <f t="shared" si="0"/>
        <v>1694.7730000000001</v>
      </c>
      <c r="V22" s="14"/>
      <c r="W22" s="14"/>
    </row>
    <row r="23" spans="1:23" ht="11.25" customHeight="1" x14ac:dyDescent="0.25">
      <c r="A23" s="152"/>
      <c r="B23" s="151" t="s">
        <v>77</v>
      </c>
      <c r="C23" s="151" t="s">
        <v>43</v>
      </c>
      <c r="D23" s="151" t="s">
        <v>95</v>
      </c>
      <c r="E23" s="151" t="s">
        <v>25</v>
      </c>
      <c r="F23" s="151" t="s">
        <v>25</v>
      </c>
      <c r="G23" s="14" t="s">
        <v>79</v>
      </c>
      <c r="H23" s="14" t="s">
        <v>78</v>
      </c>
      <c r="I23" s="14">
        <f>SUMIF(Mercado_Receita!$T$2:$T$629,"44378B2Energia horáriaRuralCooperativa de eletrificação ruralNão se aplicaNão se aplicaPonta",Mercado_Receita!$N$2:$N$629)</f>
        <v>0</v>
      </c>
      <c r="J23" s="14">
        <f>SUMIF(Mercado_Receita!$T$2:$T$629,"44409B2Energia horáriaRuralCooperativa de eletrificação ruralNão se aplicaNão se aplicaPonta",Mercado_Receita!$N$2:$N$629)</f>
        <v>0</v>
      </c>
      <c r="K23" s="14">
        <f>SUMIF(Mercado_Receita!$T$2:$T$629,"44440B2Energia horáriaRuralCooperativa de eletrificação ruralNão se aplicaNão se aplicaPonta",Mercado_Receita!$N$2:$N$629)</f>
        <v>0</v>
      </c>
      <c r="L23" s="14">
        <f>SUMIF(Mercado_Receita!$T$2:$T$629,"44470B2Energia horáriaRuralCooperativa de eletrificação ruralNão se aplicaNão se aplicaPonta",Mercado_Receita!$N$2:$N$629)</f>
        <v>0</v>
      </c>
      <c r="M23" s="14">
        <f>SUMIF(Mercado_Receita!$T$2:$T$629,"44501B2Energia horáriaRuralCooperativa de eletrificação ruralNão se aplicaNão se aplicaPonta",Mercado_Receita!$N$2:$N$629)</f>
        <v>0</v>
      </c>
      <c r="N23" s="14">
        <f>SUMIF(Mercado_Receita!$T$2:$T$629,"44531B2Energia horáriaRuralCooperativa de eletrificação ruralNão se aplicaNão se aplicaPonta",Mercado_Receita!$N$2:$N$629)</f>
        <v>0</v>
      </c>
      <c r="O23" s="14">
        <f>SUMIF(Mercado_Receita!$T$2:$T$629,"44562B2Energia horáriaRuralCooperativa de eletrificação ruralNão se aplicaNão se aplicaPonta",Mercado_Receita!$N$2:$N$629)</f>
        <v>0</v>
      </c>
      <c r="P23" s="14">
        <f>SUMIF(Mercado_Receita!$T$2:$T$629,"44593B2Energia horáriaRuralCooperativa de eletrificação ruralNão se aplicaNão se aplicaPonta",Mercado_Receita!$N$2:$N$629)</f>
        <v>0</v>
      </c>
      <c r="Q23" s="14">
        <f>SUMIF(Mercado_Receita!$T$2:$T$629,"44621B2Energia horáriaRuralCooperativa de eletrificação ruralNão se aplicaNão se aplicaPonta",Mercado_Receita!$N$2:$N$629)</f>
        <v>0</v>
      </c>
      <c r="R23" s="14">
        <f>SUMIF(Mercado_Receita!$T$2:$T$629,"44652B2Energia horáriaRuralCooperativa de eletrificação ruralNão se aplicaNão se aplicaPonta",Mercado_Receita!$N$2:$N$629)</f>
        <v>0</v>
      </c>
      <c r="S23" s="14">
        <f>SUMIF(Mercado_Receita!$T$2:$T$629,"44682B2Energia horáriaRuralCooperativa de eletrificação ruralNão se aplicaNão se aplicaPonta",Mercado_Receita!$N$2:$N$629)</f>
        <v>0</v>
      </c>
      <c r="T23" s="14">
        <f>SUMIF(Mercado_Receita!$T$2:$T$629,"44713B2Energia horáriaRuralCooperativa de eletrificação ruralNão se aplicaNão se aplicaPonta",Mercado_Receita!$N$2:$N$629)</f>
        <v>0</v>
      </c>
      <c r="U23" s="14">
        <f t="shared" si="0"/>
        <v>0</v>
      </c>
      <c r="V23" s="14"/>
      <c r="W23" s="14"/>
    </row>
    <row r="24" spans="1:23" ht="11.25" customHeight="1" x14ac:dyDescent="0.25">
      <c r="A24" s="152"/>
      <c r="B24" s="152"/>
      <c r="C24" s="152"/>
      <c r="D24" s="152"/>
      <c r="E24" s="152"/>
      <c r="F24" s="152"/>
      <c r="G24" s="14" t="s">
        <v>92</v>
      </c>
      <c r="H24" s="14" t="s">
        <v>78</v>
      </c>
      <c r="I24" s="14">
        <f>SUMIF(Mercado_Receita!$T$2:$T$629,"44378B2Energia horáriaRuralCooperativa de eletrificação ruralNão se aplicaNão se aplicaIntermediário",Mercado_Receita!$N$2:$N$629)</f>
        <v>0</v>
      </c>
      <c r="J24" s="14">
        <f>SUMIF(Mercado_Receita!$T$2:$T$629,"44409B2Energia horáriaRuralCooperativa de eletrificação ruralNão se aplicaNão se aplicaIntermediário",Mercado_Receita!$N$2:$N$629)</f>
        <v>0</v>
      </c>
      <c r="K24" s="14">
        <f>SUMIF(Mercado_Receita!$T$2:$T$629,"44440B2Energia horáriaRuralCooperativa de eletrificação ruralNão se aplicaNão se aplicaIntermediário",Mercado_Receita!$N$2:$N$629)</f>
        <v>0</v>
      </c>
      <c r="L24" s="14">
        <f>SUMIF(Mercado_Receita!$T$2:$T$629,"44470B2Energia horáriaRuralCooperativa de eletrificação ruralNão se aplicaNão se aplicaIntermediário",Mercado_Receita!$N$2:$N$629)</f>
        <v>0</v>
      </c>
      <c r="M24" s="14">
        <f>SUMIF(Mercado_Receita!$T$2:$T$629,"44501B2Energia horáriaRuralCooperativa de eletrificação ruralNão se aplicaNão se aplicaIntermediário",Mercado_Receita!$N$2:$N$629)</f>
        <v>0</v>
      </c>
      <c r="N24" s="14">
        <f>SUMIF(Mercado_Receita!$T$2:$T$629,"44531B2Energia horáriaRuralCooperativa de eletrificação ruralNão se aplicaNão se aplicaIntermediário",Mercado_Receita!$N$2:$N$629)</f>
        <v>0</v>
      </c>
      <c r="O24" s="14">
        <f>SUMIF(Mercado_Receita!$T$2:$T$629,"44562B2Energia horáriaRuralCooperativa de eletrificação ruralNão se aplicaNão se aplicaIntermediário",Mercado_Receita!$N$2:$N$629)</f>
        <v>0</v>
      </c>
      <c r="P24" s="14">
        <f>SUMIF(Mercado_Receita!$T$2:$T$629,"44593B2Energia horáriaRuralCooperativa de eletrificação ruralNão se aplicaNão se aplicaIntermediário",Mercado_Receita!$N$2:$N$629)</f>
        <v>0</v>
      </c>
      <c r="Q24" s="14">
        <f>SUMIF(Mercado_Receita!$T$2:$T$629,"44621B2Energia horáriaRuralCooperativa de eletrificação ruralNão se aplicaNão se aplicaIntermediário",Mercado_Receita!$N$2:$N$629)</f>
        <v>0</v>
      </c>
      <c r="R24" s="14">
        <f>SUMIF(Mercado_Receita!$T$2:$T$629,"44652B2Energia horáriaRuralCooperativa de eletrificação ruralNão se aplicaNão se aplicaIntermediário",Mercado_Receita!$N$2:$N$629)</f>
        <v>0</v>
      </c>
      <c r="S24" s="14">
        <f>SUMIF(Mercado_Receita!$T$2:$T$629,"44682B2Energia horáriaRuralCooperativa de eletrificação ruralNão se aplicaNão se aplicaIntermediário",Mercado_Receita!$N$2:$N$629)</f>
        <v>0</v>
      </c>
      <c r="T24" s="14">
        <f>SUMIF(Mercado_Receita!$T$2:$T$629,"44713B2Energia horáriaRuralCooperativa de eletrificação ruralNão se aplicaNão se aplicaIntermediário",Mercado_Receita!$N$2:$N$629)</f>
        <v>0</v>
      </c>
      <c r="U24" s="14">
        <f t="shared" si="0"/>
        <v>0</v>
      </c>
      <c r="V24" s="14"/>
      <c r="W24" s="14"/>
    </row>
    <row r="25" spans="1:23" ht="11.25" customHeight="1" x14ac:dyDescent="0.25">
      <c r="A25" s="152"/>
      <c r="B25" s="152"/>
      <c r="C25" s="152"/>
      <c r="D25" s="152"/>
      <c r="E25" s="152"/>
      <c r="F25" s="152"/>
      <c r="G25" s="14" t="s">
        <v>80</v>
      </c>
      <c r="H25" s="14" t="s">
        <v>78</v>
      </c>
      <c r="I25" s="14">
        <f>SUMIF(Mercado_Receita!$T$2:$T$629,"44378B2Energia horáriaRuralCooperativa de eletrificação ruralNão se aplicaNão se aplicaFora ponta",Mercado_Receita!$N$2:$N$629)</f>
        <v>0</v>
      </c>
      <c r="J25" s="14">
        <f>SUMIF(Mercado_Receita!$T$2:$T$629,"44409B2Energia horáriaRuralCooperativa de eletrificação ruralNão se aplicaNão se aplicaFora ponta",Mercado_Receita!$N$2:$N$629)</f>
        <v>0</v>
      </c>
      <c r="K25" s="14">
        <f>SUMIF(Mercado_Receita!$T$2:$T$629,"44440B2Energia horáriaRuralCooperativa de eletrificação ruralNão se aplicaNão se aplicaFora ponta",Mercado_Receita!$N$2:$N$629)</f>
        <v>0</v>
      </c>
      <c r="L25" s="14">
        <f>SUMIF(Mercado_Receita!$T$2:$T$629,"44470B2Energia horáriaRuralCooperativa de eletrificação ruralNão se aplicaNão se aplicaFora ponta",Mercado_Receita!$N$2:$N$629)</f>
        <v>0</v>
      </c>
      <c r="M25" s="14">
        <f>SUMIF(Mercado_Receita!$T$2:$T$629,"44501B2Energia horáriaRuralCooperativa de eletrificação ruralNão se aplicaNão se aplicaFora ponta",Mercado_Receita!$N$2:$N$629)</f>
        <v>0</v>
      </c>
      <c r="N25" s="14">
        <f>SUMIF(Mercado_Receita!$T$2:$T$629,"44531B2Energia horáriaRuralCooperativa de eletrificação ruralNão se aplicaNão se aplicaFora ponta",Mercado_Receita!$N$2:$N$629)</f>
        <v>0</v>
      </c>
      <c r="O25" s="14">
        <f>SUMIF(Mercado_Receita!$T$2:$T$629,"44562B2Energia horáriaRuralCooperativa de eletrificação ruralNão se aplicaNão se aplicaFora ponta",Mercado_Receita!$N$2:$N$629)</f>
        <v>0</v>
      </c>
      <c r="P25" s="14">
        <f>SUMIF(Mercado_Receita!$T$2:$T$629,"44593B2Energia horáriaRuralCooperativa de eletrificação ruralNão se aplicaNão se aplicaFora ponta",Mercado_Receita!$N$2:$N$629)</f>
        <v>0</v>
      </c>
      <c r="Q25" s="14">
        <f>SUMIF(Mercado_Receita!$T$2:$T$629,"44621B2Energia horáriaRuralCooperativa de eletrificação ruralNão se aplicaNão se aplicaFora ponta",Mercado_Receita!$N$2:$N$629)</f>
        <v>0</v>
      </c>
      <c r="R25" s="14">
        <f>SUMIF(Mercado_Receita!$T$2:$T$629,"44652B2Energia horáriaRuralCooperativa de eletrificação ruralNão se aplicaNão se aplicaFora ponta",Mercado_Receita!$N$2:$N$629)</f>
        <v>0</v>
      </c>
      <c r="S25" s="14">
        <f>SUMIF(Mercado_Receita!$T$2:$T$629,"44682B2Energia horáriaRuralCooperativa de eletrificação ruralNão se aplicaNão se aplicaFora ponta",Mercado_Receita!$N$2:$N$629)</f>
        <v>0</v>
      </c>
      <c r="T25" s="14">
        <f>SUMIF(Mercado_Receita!$T$2:$T$629,"44713B2Energia horáriaRuralCooperativa de eletrificação ruralNão se aplicaNão se aplicaFora ponta",Mercado_Receita!$N$2:$N$629)</f>
        <v>0</v>
      </c>
      <c r="U25" s="14">
        <f t="shared" si="0"/>
        <v>0</v>
      </c>
      <c r="V25" s="14"/>
      <c r="W25" s="14"/>
    </row>
    <row r="26" spans="1:23" ht="11.25" customHeight="1" x14ac:dyDescent="0.25">
      <c r="A26" s="152"/>
      <c r="B26" s="13" t="s">
        <v>81</v>
      </c>
      <c r="C26" s="13" t="s">
        <v>43</v>
      </c>
      <c r="D26" s="13" t="s">
        <v>95</v>
      </c>
      <c r="E26" s="13" t="s">
        <v>25</v>
      </c>
      <c r="F26" s="13" t="s">
        <v>25</v>
      </c>
      <c r="G26" s="14" t="s">
        <v>82</v>
      </c>
      <c r="H26" s="14" t="s">
        <v>78</v>
      </c>
      <c r="I26" s="14">
        <f>SUMIF(Mercado_Receita!$T$2:$T$629,"44378B2Energia convencionalRuralCooperativa de eletrificação ruralNão se aplicaNão se aplicaNão se aplica",Mercado_Receita!$N$2:$N$629)</f>
        <v>0</v>
      </c>
      <c r="J26" s="14">
        <f>SUMIF(Mercado_Receita!$T$2:$T$629,"44409B2Energia convencionalRuralCooperativa de eletrificação ruralNão se aplicaNão se aplicaNão se aplica",Mercado_Receita!$N$2:$N$629)</f>
        <v>0</v>
      </c>
      <c r="K26" s="14">
        <f>SUMIF(Mercado_Receita!$T$2:$T$629,"44440B2Energia convencionalRuralCooperativa de eletrificação ruralNão se aplicaNão se aplicaNão se aplica",Mercado_Receita!$N$2:$N$629)</f>
        <v>0</v>
      </c>
      <c r="L26" s="14">
        <f>SUMIF(Mercado_Receita!$T$2:$T$629,"44470B2Energia convencionalRuralCooperativa de eletrificação ruralNão se aplicaNão se aplicaNão se aplica",Mercado_Receita!$N$2:$N$629)</f>
        <v>0</v>
      </c>
      <c r="M26" s="14">
        <f>SUMIF(Mercado_Receita!$T$2:$T$629,"44501B2Energia convencionalRuralCooperativa de eletrificação ruralNão se aplicaNão se aplicaNão se aplica",Mercado_Receita!$N$2:$N$629)</f>
        <v>0</v>
      </c>
      <c r="N26" s="14">
        <f>SUMIF(Mercado_Receita!$T$2:$T$629,"44531B2Energia convencionalRuralCooperativa de eletrificação ruralNão se aplicaNão se aplicaNão se aplica",Mercado_Receita!$N$2:$N$629)</f>
        <v>0</v>
      </c>
      <c r="O26" s="14">
        <f>SUMIF(Mercado_Receita!$T$2:$T$629,"44562B2Energia convencionalRuralCooperativa de eletrificação ruralNão se aplicaNão se aplicaNão se aplica",Mercado_Receita!$N$2:$N$629)</f>
        <v>0</v>
      </c>
      <c r="P26" s="14">
        <f>SUMIF(Mercado_Receita!$T$2:$T$629,"44593B2Energia convencionalRuralCooperativa de eletrificação ruralNão se aplicaNão se aplicaNão se aplica",Mercado_Receita!$N$2:$N$629)</f>
        <v>0</v>
      </c>
      <c r="Q26" s="14">
        <f>SUMIF(Mercado_Receita!$T$2:$T$629,"44621B2Energia convencionalRuralCooperativa de eletrificação ruralNão se aplicaNão se aplicaNão se aplica",Mercado_Receita!$N$2:$N$629)</f>
        <v>0</v>
      </c>
      <c r="R26" s="14">
        <f>SUMIF(Mercado_Receita!$T$2:$T$629,"44652B2Energia convencionalRuralCooperativa de eletrificação ruralNão se aplicaNão se aplicaNão se aplica",Mercado_Receita!$N$2:$N$629)</f>
        <v>0</v>
      </c>
      <c r="S26" s="14">
        <f>SUMIF(Mercado_Receita!$T$2:$T$629,"44682B2Energia convencionalRuralCooperativa de eletrificação ruralNão se aplicaNão se aplicaNão se aplica",Mercado_Receita!$N$2:$N$629)</f>
        <v>0</v>
      </c>
      <c r="T26" s="14">
        <f>SUMIF(Mercado_Receita!$T$2:$T$629,"44713B2Energia convencionalRuralCooperativa de eletrificação ruralNão se aplicaNão se aplicaNão se aplica",Mercado_Receita!$N$2:$N$629)</f>
        <v>0</v>
      </c>
      <c r="U26" s="14">
        <f t="shared" si="0"/>
        <v>0</v>
      </c>
      <c r="V26" s="14"/>
      <c r="W26" s="14"/>
    </row>
    <row r="27" spans="1:23" ht="11.25" customHeight="1" x14ac:dyDescent="0.25">
      <c r="A27" s="152"/>
      <c r="B27" s="151" t="s">
        <v>77</v>
      </c>
      <c r="C27" s="151" t="s">
        <v>43</v>
      </c>
      <c r="D27" s="151" t="s">
        <v>96</v>
      </c>
      <c r="E27" s="151" t="s">
        <v>25</v>
      </c>
      <c r="F27" s="151" t="s">
        <v>25</v>
      </c>
      <c r="G27" s="14" t="s">
        <v>79</v>
      </c>
      <c r="H27" s="14" t="s">
        <v>78</v>
      </c>
      <c r="I27" s="14">
        <f>SUMIF(Mercado_Receita!$T$2:$T$629,"44378B2Energia horáriaRuralServiço público de irrigação ruralNão se aplicaNão se aplicaPonta",Mercado_Receita!$N$2:$N$629)</f>
        <v>0</v>
      </c>
      <c r="J27" s="14">
        <f>SUMIF(Mercado_Receita!$T$2:$T$629,"44409B2Energia horáriaRuralServiço público de irrigação ruralNão se aplicaNão se aplicaPonta",Mercado_Receita!$N$2:$N$629)</f>
        <v>0</v>
      </c>
      <c r="K27" s="14">
        <f>SUMIF(Mercado_Receita!$T$2:$T$629,"44440B2Energia horáriaRuralServiço público de irrigação ruralNão se aplicaNão se aplicaPonta",Mercado_Receita!$N$2:$N$629)</f>
        <v>0</v>
      </c>
      <c r="L27" s="14">
        <f>SUMIF(Mercado_Receita!$T$2:$T$629,"44470B2Energia horáriaRuralServiço público de irrigação ruralNão se aplicaNão se aplicaPonta",Mercado_Receita!$N$2:$N$629)</f>
        <v>0</v>
      </c>
      <c r="M27" s="14">
        <f>SUMIF(Mercado_Receita!$T$2:$T$629,"44501B2Energia horáriaRuralServiço público de irrigação ruralNão se aplicaNão se aplicaPonta",Mercado_Receita!$N$2:$N$629)</f>
        <v>0</v>
      </c>
      <c r="N27" s="14">
        <f>SUMIF(Mercado_Receita!$T$2:$T$629,"44531B2Energia horáriaRuralServiço público de irrigação ruralNão se aplicaNão se aplicaPonta",Mercado_Receita!$N$2:$N$629)</f>
        <v>0</v>
      </c>
      <c r="O27" s="14">
        <f>SUMIF(Mercado_Receita!$T$2:$T$629,"44562B2Energia horáriaRuralServiço público de irrigação ruralNão se aplicaNão se aplicaPonta",Mercado_Receita!$N$2:$N$629)</f>
        <v>0</v>
      </c>
      <c r="P27" s="14">
        <f>SUMIF(Mercado_Receita!$T$2:$T$629,"44593B2Energia horáriaRuralServiço público de irrigação ruralNão se aplicaNão se aplicaPonta",Mercado_Receita!$N$2:$N$629)</f>
        <v>0</v>
      </c>
      <c r="Q27" s="14">
        <f>SUMIF(Mercado_Receita!$T$2:$T$629,"44621B2Energia horáriaRuralServiço público de irrigação ruralNão se aplicaNão se aplicaPonta",Mercado_Receita!$N$2:$N$629)</f>
        <v>0</v>
      </c>
      <c r="R27" s="14">
        <f>SUMIF(Mercado_Receita!$T$2:$T$629,"44652B2Energia horáriaRuralServiço público de irrigação ruralNão se aplicaNão se aplicaPonta",Mercado_Receita!$N$2:$N$629)</f>
        <v>0</v>
      </c>
      <c r="S27" s="14">
        <f>SUMIF(Mercado_Receita!$T$2:$T$629,"44682B2Energia horáriaRuralServiço público de irrigação ruralNão se aplicaNão se aplicaPonta",Mercado_Receita!$N$2:$N$629)</f>
        <v>0</v>
      </c>
      <c r="T27" s="14">
        <f>SUMIF(Mercado_Receita!$T$2:$T$629,"44713B2Energia horáriaRuralServiço público de irrigação ruralNão se aplicaNão se aplicaPonta",Mercado_Receita!$N$2:$N$629)</f>
        <v>0</v>
      </c>
      <c r="U27" s="14">
        <f t="shared" si="0"/>
        <v>0</v>
      </c>
      <c r="V27" s="14"/>
      <c r="W27" s="14"/>
    </row>
    <row r="28" spans="1:23" ht="11.25" customHeight="1" x14ac:dyDescent="0.25">
      <c r="A28" s="152"/>
      <c r="B28" s="152"/>
      <c r="C28" s="152"/>
      <c r="D28" s="152"/>
      <c r="E28" s="152"/>
      <c r="F28" s="152"/>
      <c r="G28" s="14" t="s">
        <v>92</v>
      </c>
      <c r="H28" s="14" t="s">
        <v>78</v>
      </c>
      <c r="I28" s="14">
        <f>SUMIF(Mercado_Receita!$T$2:$T$629,"44378B2Energia horáriaRuralServiço público de irrigação ruralNão se aplicaNão se aplicaIntermediário",Mercado_Receita!$N$2:$N$629)</f>
        <v>0</v>
      </c>
      <c r="J28" s="14">
        <f>SUMIF(Mercado_Receita!$T$2:$T$629,"44409B2Energia horáriaRuralServiço público de irrigação ruralNão se aplicaNão se aplicaIntermediário",Mercado_Receita!$N$2:$N$629)</f>
        <v>0</v>
      </c>
      <c r="K28" s="14">
        <f>SUMIF(Mercado_Receita!$T$2:$T$629,"44440B2Energia horáriaRuralServiço público de irrigação ruralNão se aplicaNão se aplicaIntermediário",Mercado_Receita!$N$2:$N$629)</f>
        <v>0</v>
      </c>
      <c r="L28" s="14">
        <f>SUMIF(Mercado_Receita!$T$2:$T$629,"44470B2Energia horáriaRuralServiço público de irrigação ruralNão se aplicaNão se aplicaIntermediário",Mercado_Receita!$N$2:$N$629)</f>
        <v>0</v>
      </c>
      <c r="M28" s="14">
        <f>SUMIF(Mercado_Receita!$T$2:$T$629,"44501B2Energia horáriaRuralServiço público de irrigação ruralNão se aplicaNão se aplicaIntermediário",Mercado_Receita!$N$2:$N$629)</f>
        <v>0</v>
      </c>
      <c r="N28" s="14">
        <f>SUMIF(Mercado_Receita!$T$2:$T$629,"44531B2Energia horáriaRuralServiço público de irrigação ruralNão se aplicaNão se aplicaIntermediário",Mercado_Receita!$N$2:$N$629)</f>
        <v>0</v>
      </c>
      <c r="O28" s="14">
        <f>SUMIF(Mercado_Receita!$T$2:$T$629,"44562B2Energia horáriaRuralServiço público de irrigação ruralNão se aplicaNão se aplicaIntermediário",Mercado_Receita!$N$2:$N$629)</f>
        <v>0</v>
      </c>
      <c r="P28" s="14">
        <f>SUMIF(Mercado_Receita!$T$2:$T$629,"44593B2Energia horáriaRuralServiço público de irrigação ruralNão se aplicaNão se aplicaIntermediário",Mercado_Receita!$N$2:$N$629)</f>
        <v>0</v>
      </c>
      <c r="Q28" s="14">
        <f>SUMIF(Mercado_Receita!$T$2:$T$629,"44621B2Energia horáriaRuralServiço público de irrigação ruralNão se aplicaNão se aplicaIntermediário",Mercado_Receita!$N$2:$N$629)</f>
        <v>0</v>
      </c>
      <c r="R28" s="14">
        <f>SUMIF(Mercado_Receita!$T$2:$T$629,"44652B2Energia horáriaRuralServiço público de irrigação ruralNão se aplicaNão se aplicaIntermediário",Mercado_Receita!$N$2:$N$629)</f>
        <v>0</v>
      </c>
      <c r="S28" s="14">
        <f>SUMIF(Mercado_Receita!$T$2:$T$629,"44682B2Energia horáriaRuralServiço público de irrigação ruralNão se aplicaNão se aplicaIntermediário",Mercado_Receita!$N$2:$N$629)</f>
        <v>0</v>
      </c>
      <c r="T28" s="14">
        <f>SUMIF(Mercado_Receita!$T$2:$T$629,"44713B2Energia horáriaRuralServiço público de irrigação ruralNão se aplicaNão se aplicaIntermediário",Mercado_Receita!$N$2:$N$629)</f>
        <v>0</v>
      </c>
      <c r="U28" s="14">
        <f t="shared" si="0"/>
        <v>0</v>
      </c>
      <c r="V28" s="14"/>
      <c r="W28" s="14"/>
    </row>
    <row r="29" spans="1:23" ht="11.25" customHeight="1" x14ac:dyDescent="0.25">
      <c r="A29" s="152"/>
      <c r="B29" s="152"/>
      <c r="C29" s="152"/>
      <c r="D29" s="152"/>
      <c r="E29" s="152"/>
      <c r="F29" s="152"/>
      <c r="G29" s="14" t="s">
        <v>80</v>
      </c>
      <c r="H29" s="14" t="s">
        <v>78</v>
      </c>
      <c r="I29" s="14">
        <f>SUMIF(Mercado_Receita!$T$2:$T$629,"44378B2Energia horáriaRuralServiço público de irrigação ruralNão se aplicaNão se aplicaFora ponta",Mercado_Receita!$N$2:$N$629)</f>
        <v>0</v>
      </c>
      <c r="J29" s="14">
        <f>SUMIF(Mercado_Receita!$T$2:$T$629,"44409B2Energia horáriaRuralServiço público de irrigação ruralNão se aplicaNão se aplicaFora ponta",Mercado_Receita!$N$2:$N$629)</f>
        <v>0</v>
      </c>
      <c r="K29" s="14">
        <f>SUMIF(Mercado_Receita!$T$2:$T$629,"44440B2Energia horáriaRuralServiço público de irrigação ruralNão se aplicaNão se aplicaFora ponta",Mercado_Receita!$N$2:$N$629)</f>
        <v>0</v>
      </c>
      <c r="L29" s="14">
        <f>SUMIF(Mercado_Receita!$T$2:$T$629,"44470B2Energia horáriaRuralServiço público de irrigação ruralNão se aplicaNão se aplicaFora ponta",Mercado_Receita!$N$2:$N$629)</f>
        <v>0</v>
      </c>
      <c r="M29" s="14">
        <f>SUMIF(Mercado_Receita!$T$2:$T$629,"44501B2Energia horáriaRuralServiço público de irrigação ruralNão se aplicaNão se aplicaFora ponta",Mercado_Receita!$N$2:$N$629)</f>
        <v>0</v>
      </c>
      <c r="N29" s="14">
        <f>SUMIF(Mercado_Receita!$T$2:$T$629,"44531B2Energia horáriaRuralServiço público de irrigação ruralNão se aplicaNão se aplicaFora ponta",Mercado_Receita!$N$2:$N$629)</f>
        <v>0</v>
      </c>
      <c r="O29" s="14">
        <f>SUMIF(Mercado_Receita!$T$2:$T$629,"44562B2Energia horáriaRuralServiço público de irrigação ruralNão se aplicaNão se aplicaFora ponta",Mercado_Receita!$N$2:$N$629)</f>
        <v>0</v>
      </c>
      <c r="P29" s="14">
        <f>SUMIF(Mercado_Receita!$T$2:$T$629,"44593B2Energia horáriaRuralServiço público de irrigação ruralNão se aplicaNão se aplicaFora ponta",Mercado_Receita!$N$2:$N$629)</f>
        <v>0</v>
      </c>
      <c r="Q29" s="14">
        <f>SUMIF(Mercado_Receita!$T$2:$T$629,"44621B2Energia horáriaRuralServiço público de irrigação ruralNão se aplicaNão se aplicaFora ponta",Mercado_Receita!$N$2:$N$629)</f>
        <v>0</v>
      </c>
      <c r="R29" s="14">
        <f>SUMIF(Mercado_Receita!$T$2:$T$629,"44652B2Energia horáriaRuralServiço público de irrigação ruralNão se aplicaNão se aplicaFora ponta",Mercado_Receita!$N$2:$N$629)</f>
        <v>0</v>
      </c>
      <c r="S29" s="14">
        <f>SUMIF(Mercado_Receita!$T$2:$T$629,"44682B2Energia horáriaRuralServiço público de irrigação ruralNão se aplicaNão se aplicaFora ponta",Mercado_Receita!$N$2:$N$629)</f>
        <v>0</v>
      </c>
      <c r="T29" s="14">
        <f>SUMIF(Mercado_Receita!$T$2:$T$629,"44713B2Energia horáriaRuralServiço público de irrigação ruralNão se aplicaNão se aplicaFora ponta",Mercado_Receita!$N$2:$N$629)</f>
        <v>0</v>
      </c>
      <c r="U29" s="14">
        <f t="shared" si="0"/>
        <v>0</v>
      </c>
      <c r="V29" s="14"/>
      <c r="W29" s="14"/>
    </row>
    <row r="30" spans="1:23" ht="11.25" customHeight="1" x14ac:dyDescent="0.25">
      <c r="A30" s="152"/>
      <c r="B30" s="13" t="s">
        <v>81</v>
      </c>
      <c r="C30" s="13" t="s">
        <v>43</v>
      </c>
      <c r="D30" s="13" t="s">
        <v>96</v>
      </c>
      <c r="E30" s="13" t="s">
        <v>25</v>
      </c>
      <c r="F30" s="13" t="s">
        <v>25</v>
      </c>
      <c r="G30" s="14" t="s">
        <v>82</v>
      </c>
      <c r="H30" s="14" t="s">
        <v>78</v>
      </c>
      <c r="I30" s="14">
        <f>SUMIF(Mercado_Receita!$T$2:$T$629,"44378B2Energia convencionalRuralServiço público de irrigação ruralNão se aplicaNão se aplicaNão se aplica",Mercado_Receita!$N$2:$N$629)</f>
        <v>0</v>
      </c>
      <c r="J30" s="14">
        <f>SUMIF(Mercado_Receita!$T$2:$T$629,"44409B2Energia convencionalRuralServiço público de irrigação ruralNão se aplicaNão se aplicaNão se aplica",Mercado_Receita!$N$2:$N$629)</f>
        <v>0</v>
      </c>
      <c r="K30" s="14">
        <f>SUMIF(Mercado_Receita!$T$2:$T$629,"44440B2Energia convencionalRuralServiço público de irrigação ruralNão se aplicaNão se aplicaNão se aplica",Mercado_Receita!$N$2:$N$629)</f>
        <v>0</v>
      </c>
      <c r="L30" s="14">
        <f>SUMIF(Mercado_Receita!$T$2:$T$629,"44470B2Energia convencionalRuralServiço público de irrigação ruralNão se aplicaNão se aplicaNão se aplica",Mercado_Receita!$N$2:$N$629)</f>
        <v>0</v>
      </c>
      <c r="M30" s="14">
        <f>SUMIF(Mercado_Receita!$T$2:$T$629,"44501B2Energia convencionalRuralServiço público de irrigação ruralNão se aplicaNão se aplicaNão se aplica",Mercado_Receita!$N$2:$N$629)</f>
        <v>0</v>
      </c>
      <c r="N30" s="14">
        <f>SUMIF(Mercado_Receita!$T$2:$T$629,"44531B2Energia convencionalRuralServiço público de irrigação ruralNão se aplicaNão se aplicaNão se aplica",Mercado_Receita!$N$2:$N$629)</f>
        <v>0</v>
      </c>
      <c r="O30" s="14">
        <f>SUMIF(Mercado_Receita!$T$2:$T$629,"44562B2Energia convencionalRuralServiço público de irrigação ruralNão se aplicaNão se aplicaNão se aplica",Mercado_Receita!$N$2:$N$629)</f>
        <v>0</v>
      </c>
      <c r="P30" s="14">
        <f>SUMIF(Mercado_Receita!$T$2:$T$629,"44593B2Energia convencionalRuralServiço público de irrigação ruralNão se aplicaNão se aplicaNão se aplica",Mercado_Receita!$N$2:$N$629)</f>
        <v>0</v>
      </c>
      <c r="Q30" s="14">
        <f>SUMIF(Mercado_Receita!$T$2:$T$629,"44621B2Energia convencionalRuralServiço público de irrigação ruralNão se aplicaNão se aplicaNão se aplica",Mercado_Receita!$N$2:$N$629)</f>
        <v>0</v>
      </c>
      <c r="R30" s="14">
        <f>SUMIF(Mercado_Receita!$T$2:$T$629,"44652B2Energia convencionalRuralServiço público de irrigação ruralNão se aplicaNão se aplicaNão se aplica",Mercado_Receita!$N$2:$N$629)</f>
        <v>0</v>
      </c>
      <c r="S30" s="14">
        <f>SUMIF(Mercado_Receita!$T$2:$T$629,"44682B2Energia convencionalRuralServiço público de irrigação ruralNão se aplicaNão se aplicaNão se aplica",Mercado_Receita!$N$2:$N$629)</f>
        <v>0</v>
      </c>
      <c r="T30" s="14">
        <f>SUMIF(Mercado_Receita!$T$2:$T$629,"44713B2Energia convencionalRuralServiço público de irrigação ruralNão se aplicaNão se aplicaNão se aplica",Mercado_Receita!$N$2:$N$629)</f>
        <v>0</v>
      </c>
      <c r="U30" s="14">
        <f t="shared" si="0"/>
        <v>0</v>
      </c>
      <c r="V30" s="14"/>
      <c r="W30" s="14"/>
    </row>
    <row r="31" spans="1:23" ht="11.25" customHeight="1" x14ac:dyDescent="0.25">
      <c r="A31" s="152"/>
      <c r="B31" s="151" t="s">
        <v>93</v>
      </c>
      <c r="C31" s="151" t="s">
        <v>43</v>
      </c>
      <c r="D31" s="13" t="s">
        <v>25</v>
      </c>
      <c r="E31" s="13" t="s">
        <v>25</v>
      </c>
      <c r="F31" s="13" t="s">
        <v>25</v>
      </c>
      <c r="G31" s="14" t="s">
        <v>82</v>
      </c>
      <c r="H31" s="14" t="s">
        <v>78</v>
      </c>
      <c r="I31" s="14">
        <f>SUMIF(Mercado_Receita!$T$2:$T$629,"44378B2Energia convencional pré-pagamentoRuralNão se aplicaNão se aplicaNão se aplicaNão se aplica",Mercado_Receita!$N$2:$N$629)</f>
        <v>0</v>
      </c>
      <c r="J31" s="14">
        <f>SUMIF(Mercado_Receita!$T$2:$T$629,"44409B2Energia convencional pré-pagamentoRuralNão se aplicaNão se aplicaNão se aplicaNão se aplica",Mercado_Receita!$N$2:$N$629)</f>
        <v>0</v>
      </c>
      <c r="K31" s="14">
        <f>SUMIF(Mercado_Receita!$T$2:$T$629,"44440B2Energia convencional pré-pagamentoRuralNão se aplicaNão se aplicaNão se aplicaNão se aplica",Mercado_Receita!$N$2:$N$629)</f>
        <v>0</v>
      </c>
      <c r="L31" s="14">
        <f>SUMIF(Mercado_Receita!$T$2:$T$629,"44470B2Energia convencional pré-pagamentoRuralNão se aplicaNão se aplicaNão se aplicaNão se aplica",Mercado_Receita!$N$2:$N$629)</f>
        <v>0</v>
      </c>
      <c r="M31" s="14">
        <f>SUMIF(Mercado_Receita!$T$2:$T$629,"44501B2Energia convencional pré-pagamentoRuralNão se aplicaNão se aplicaNão se aplicaNão se aplica",Mercado_Receita!$N$2:$N$629)</f>
        <v>0</v>
      </c>
      <c r="N31" s="14">
        <f>SUMIF(Mercado_Receita!$T$2:$T$629,"44531B2Energia convencional pré-pagamentoRuralNão se aplicaNão se aplicaNão se aplicaNão se aplica",Mercado_Receita!$N$2:$N$629)</f>
        <v>0</v>
      </c>
      <c r="O31" s="14">
        <f>SUMIF(Mercado_Receita!$T$2:$T$629,"44562B2Energia convencional pré-pagamentoRuralNão se aplicaNão se aplicaNão se aplicaNão se aplica",Mercado_Receita!$N$2:$N$629)</f>
        <v>0</v>
      </c>
      <c r="P31" s="14">
        <f>SUMIF(Mercado_Receita!$T$2:$T$629,"44593B2Energia convencional pré-pagamentoRuralNão se aplicaNão se aplicaNão se aplicaNão se aplica",Mercado_Receita!$N$2:$N$629)</f>
        <v>0</v>
      </c>
      <c r="Q31" s="14">
        <f>SUMIF(Mercado_Receita!$T$2:$T$629,"44621B2Energia convencional pré-pagamentoRuralNão se aplicaNão se aplicaNão se aplicaNão se aplica",Mercado_Receita!$N$2:$N$629)</f>
        <v>0</v>
      </c>
      <c r="R31" s="14">
        <f>SUMIF(Mercado_Receita!$T$2:$T$629,"44652B2Energia convencional pré-pagamentoRuralNão se aplicaNão se aplicaNão se aplicaNão se aplica",Mercado_Receita!$N$2:$N$629)</f>
        <v>0</v>
      </c>
      <c r="S31" s="14">
        <f>SUMIF(Mercado_Receita!$T$2:$T$629,"44682B2Energia convencional pré-pagamentoRuralNão se aplicaNão se aplicaNão se aplicaNão se aplica",Mercado_Receita!$N$2:$N$629)</f>
        <v>0</v>
      </c>
      <c r="T31" s="14">
        <f>SUMIF(Mercado_Receita!$T$2:$T$629,"44713B2Energia convencional pré-pagamentoRuralNão se aplicaNão se aplicaNão se aplicaNão se aplica",Mercado_Receita!$N$2:$N$629)</f>
        <v>0</v>
      </c>
      <c r="U31" s="14">
        <f t="shared" si="0"/>
        <v>0</v>
      </c>
      <c r="V31" s="14"/>
      <c r="W31" s="14"/>
    </row>
    <row r="32" spans="1:23" ht="11.25" customHeight="1" x14ac:dyDescent="0.25">
      <c r="A32" s="152"/>
      <c r="B32" s="152"/>
      <c r="C32" s="152"/>
      <c r="D32" s="13" t="s">
        <v>95</v>
      </c>
      <c r="E32" s="13" t="s">
        <v>25</v>
      </c>
      <c r="F32" s="13" t="s">
        <v>25</v>
      </c>
      <c r="G32" s="14" t="s">
        <v>82</v>
      </c>
      <c r="H32" s="14" t="s">
        <v>78</v>
      </c>
      <c r="I32" s="14">
        <f>SUMIF(Mercado_Receita!$T$2:$T$629,"44378B2Energia convencional pré-pagamentoRuralCooperativa de eletrificação ruralNão se aplicaNão se aplicaNão se aplica",Mercado_Receita!$N$2:$N$629)</f>
        <v>0</v>
      </c>
      <c r="J32" s="14">
        <f>SUMIF(Mercado_Receita!$T$2:$T$629,"44409B2Energia convencional pré-pagamentoRuralCooperativa de eletrificação ruralNão se aplicaNão se aplicaNão se aplica",Mercado_Receita!$N$2:$N$629)</f>
        <v>0</v>
      </c>
      <c r="K32" s="14">
        <f>SUMIF(Mercado_Receita!$T$2:$T$629,"44440B2Energia convencional pré-pagamentoRuralCooperativa de eletrificação ruralNão se aplicaNão se aplicaNão se aplica",Mercado_Receita!$N$2:$N$629)</f>
        <v>0</v>
      </c>
      <c r="L32" s="14">
        <f>SUMIF(Mercado_Receita!$T$2:$T$629,"44470B2Energia convencional pré-pagamentoRuralCooperativa de eletrificação ruralNão se aplicaNão se aplicaNão se aplica",Mercado_Receita!$N$2:$N$629)</f>
        <v>0</v>
      </c>
      <c r="M32" s="14">
        <f>SUMIF(Mercado_Receita!$T$2:$T$629,"44501B2Energia convencional pré-pagamentoRuralCooperativa de eletrificação ruralNão se aplicaNão se aplicaNão se aplica",Mercado_Receita!$N$2:$N$629)</f>
        <v>0</v>
      </c>
      <c r="N32" s="14">
        <f>SUMIF(Mercado_Receita!$T$2:$T$629,"44531B2Energia convencional pré-pagamentoRuralCooperativa de eletrificação ruralNão se aplicaNão se aplicaNão se aplica",Mercado_Receita!$N$2:$N$629)</f>
        <v>0</v>
      </c>
      <c r="O32" s="14">
        <f>SUMIF(Mercado_Receita!$T$2:$T$629,"44562B2Energia convencional pré-pagamentoRuralCooperativa de eletrificação ruralNão se aplicaNão se aplicaNão se aplica",Mercado_Receita!$N$2:$N$629)</f>
        <v>0</v>
      </c>
      <c r="P32" s="14">
        <f>SUMIF(Mercado_Receita!$T$2:$T$629,"44593B2Energia convencional pré-pagamentoRuralCooperativa de eletrificação ruralNão se aplicaNão se aplicaNão se aplica",Mercado_Receita!$N$2:$N$629)</f>
        <v>0</v>
      </c>
      <c r="Q32" s="14">
        <f>SUMIF(Mercado_Receita!$T$2:$T$629,"44621B2Energia convencional pré-pagamentoRuralCooperativa de eletrificação ruralNão se aplicaNão se aplicaNão se aplica",Mercado_Receita!$N$2:$N$629)</f>
        <v>0</v>
      </c>
      <c r="R32" s="14">
        <f>SUMIF(Mercado_Receita!$T$2:$T$629,"44652B2Energia convencional pré-pagamentoRuralCooperativa de eletrificação ruralNão se aplicaNão se aplicaNão se aplica",Mercado_Receita!$N$2:$N$629)</f>
        <v>0</v>
      </c>
      <c r="S32" s="14">
        <f>SUMIF(Mercado_Receita!$T$2:$T$629,"44682B2Energia convencional pré-pagamentoRuralCooperativa de eletrificação ruralNão se aplicaNão se aplicaNão se aplica",Mercado_Receita!$N$2:$N$629)</f>
        <v>0</v>
      </c>
      <c r="T32" s="14">
        <f>SUMIF(Mercado_Receita!$T$2:$T$629,"44713B2Energia convencional pré-pagamentoRuralCooperativa de eletrificação ruralNão se aplicaNão se aplicaNão se aplica",Mercado_Receita!$N$2:$N$629)</f>
        <v>0</v>
      </c>
      <c r="U32" s="14">
        <f t="shared" si="0"/>
        <v>0</v>
      </c>
      <c r="V32" s="14"/>
      <c r="W32" s="14"/>
    </row>
    <row r="33" spans="1:23" ht="11.25" customHeight="1" x14ac:dyDescent="0.25">
      <c r="A33" s="152"/>
      <c r="B33" s="152"/>
      <c r="C33" s="152"/>
      <c r="D33" s="13" t="s">
        <v>96</v>
      </c>
      <c r="E33" s="13" t="s">
        <v>25</v>
      </c>
      <c r="F33" s="13" t="s">
        <v>25</v>
      </c>
      <c r="G33" s="14" t="s">
        <v>82</v>
      </c>
      <c r="H33" s="14" t="s">
        <v>78</v>
      </c>
      <c r="I33" s="14">
        <f>SUMIF(Mercado_Receita!$T$2:$T$629,"44378B2Energia convencional pré-pagamentoRuralServiço público de irrigação ruralNão se aplicaNão se aplicaNão se aplica",Mercado_Receita!$N$2:$N$629)</f>
        <v>0</v>
      </c>
      <c r="J33" s="14">
        <f>SUMIF(Mercado_Receita!$T$2:$T$629,"44409B2Energia convencional pré-pagamentoRuralServiço público de irrigação ruralNão se aplicaNão se aplicaNão se aplica",Mercado_Receita!$N$2:$N$629)</f>
        <v>0</v>
      </c>
      <c r="K33" s="14">
        <f>SUMIF(Mercado_Receita!$T$2:$T$629,"44440B2Energia convencional pré-pagamentoRuralServiço público de irrigação ruralNão se aplicaNão se aplicaNão se aplica",Mercado_Receita!$N$2:$N$629)</f>
        <v>0</v>
      </c>
      <c r="L33" s="14">
        <f>SUMIF(Mercado_Receita!$T$2:$T$629,"44470B2Energia convencional pré-pagamentoRuralServiço público de irrigação ruralNão se aplicaNão se aplicaNão se aplica",Mercado_Receita!$N$2:$N$629)</f>
        <v>0</v>
      </c>
      <c r="M33" s="14">
        <f>SUMIF(Mercado_Receita!$T$2:$T$629,"44501B2Energia convencional pré-pagamentoRuralServiço público de irrigação ruralNão se aplicaNão se aplicaNão se aplica",Mercado_Receita!$N$2:$N$629)</f>
        <v>0</v>
      </c>
      <c r="N33" s="14">
        <f>SUMIF(Mercado_Receita!$T$2:$T$629,"44531B2Energia convencional pré-pagamentoRuralServiço público de irrigação ruralNão se aplicaNão se aplicaNão se aplica",Mercado_Receita!$N$2:$N$629)</f>
        <v>0</v>
      </c>
      <c r="O33" s="14">
        <f>SUMIF(Mercado_Receita!$T$2:$T$629,"44562B2Energia convencional pré-pagamentoRuralServiço público de irrigação ruralNão se aplicaNão se aplicaNão se aplica",Mercado_Receita!$N$2:$N$629)</f>
        <v>0</v>
      </c>
      <c r="P33" s="14">
        <f>SUMIF(Mercado_Receita!$T$2:$T$629,"44593B2Energia convencional pré-pagamentoRuralServiço público de irrigação ruralNão se aplicaNão se aplicaNão se aplica",Mercado_Receita!$N$2:$N$629)</f>
        <v>0</v>
      </c>
      <c r="Q33" s="14">
        <f>SUMIF(Mercado_Receita!$T$2:$T$629,"44621B2Energia convencional pré-pagamentoRuralServiço público de irrigação ruralNão se aplicaNão se aplicaNão se aplica",Mercado_Receita!$N$2:$N$629)</f>
        <v>0</v>
      </c>
      <c r="R33" s="14">
        <f>SUMIF(Mercado_Receita!$T$2:$T$629,"44652B2Energia convencional pré-pagamentoRuralServiço público de irrigação ruralNão se aplicaNão se aplicaNão se aplica",Mercado_Receita!$N$2:$N$629)</f>
        <v>0</v>
      </c>
      <c r="S33" s="14">
        <f>SUMIF(Mercado_Receita!$T$2:$T$629,"44682B2Energia convencional pré-pagamentoRuralServiço público de irrigação ruralNão se aplicaNão se aplicaNão se aplica",Mercado_Receita!$N$2:$N$629)</f>
        <v>0</v>
      </c>
      <c r="T33" s="14">
        <f>SUMIF(Mercado_Receita!$T$2:$T$629,"44713B2Energia convencional pré-pagamentoRuralServiço público de irrigação ruralNão se aplicaNão se aplicaNão se aplica",Mercado_Receita!$N$2:$N$629)</f>
        <v>0</v>
      </c>
      <c r="U33" s="14">
        <f t="shared" si="0"/>
        <v>0</v>
      </c>
      <c r="V33" s="14"/>
      <c r="W33" s="14"/>
    </row>
    <row r="34" spans="1:23" ht="11.25" customHeight="1" x14ac:dyDescent="0.25">
      <c r="A34" s="151" t="s">
        <v>36</v>
      </c>
      <c r="B34" s="151" t="s">
        <v>77</v>
      </c>
      <c r="C34" s="151" t="s">
        <v>25</v>
      </c>
      <c r="D34" s="151" t="s">
        <v>25</v>
      </c>
      <c r="E34" s="151" t="s">
        <v>25</v>
      </c>
      <c r="F34" s="151" t="s">
        <v>25</v>
      </c>
      <c r="G34" s="14" t="s">
        <v>79</v>
      </c>
      <c r="H34" s="14" t="s">
        <v>78</v>
      </c>
      <c r="I34" s="14">
        <f>SUMIF(Mercado_Receita!$T$2:$T$629,"44378B3Energia horáriaNão se aplicaNão se aplicaNão se aplicaNão se aplicaPonta",Mercado_Receita!$N$2:$N$629)</f>
        <v>0</v>
      </c>
      <c r="J34" s="14">
        <f>SUMIF(Mercado_Receita!$T$2:$T$629,"44409B3Energia horáriaNão se aplicaNão se aplicaNão se aplicaNão se aplicaPonta",Mercado_Receita!$N$2:$N$629)</f>
        <v>0</v>
      </c>
      <c r="K34" s="14">
        <f>SUMIF(Mercado_Receita!$T$2:$T$629,"44440B3Energia horáriaNão se aplicaNão se aplicaNão se aplicaNão se aplicaPonta",Mercado_Receita!$N$2:$N$629)</f>
        <v>0</v>
      </c>
      <c r="L34" s="14">
        <f>SUMIF(Mercado_Receita!$T$2:$T$629,"44470B3Energia horáriaNão se aplicaNão se aplicaNão se aplicaNão se aplicaPonta",Mercado_Receita!$N$2:$N$629)</f>
        <v>0</v>
      </c>
      <c r="M34" s="14">
        <f>SUMIF(Mercado_Receita!$T$2:$T$629,"44501B3Energia horáriaNão se aplicaNão se aplicaNão se aplicaNão se aplicaPonta",Mercado_Receita!$N$2:$N$629)</f>
        <v>0</v>
      </c>
      <c r="N34" s="14">
        <f>SUMIF(Mercado_Receita!$T$2:$T$629,"44531B3Energia horáriaNão se aplicaNão se aplicaNão se aplicaNão se aplicaPonta",Mercado_Receita!$N$2:$N$629)</f>
        <v>0</v>
      </c>
      <c r="O34" s="14">
        <f>SUMIF(Mercado_Receita!$T$2:$T$629,"44562B3Energia horáriaNão se aplicaNão se aplicaNão se aplicaNão se aplicaPonta",Mercado_Receita!$N$2:$N$629)</f>
        <v>0</v>
      </c>
      <c r="P34" s="14">
        <f>SUMIF(Mercado_Receita!$T$2:$T$629,"44593B3Energia horáriaNão se aplicaNão se aplicaNão se aplicaNão se aplicaPonta",Mercado_Receita!$N$2:$N$629)</f>
        <v>0</v>
      </c>
      <c r="Q34" s="14">
        <f>SUMIF(Mercado_Receita!$T$2:$T$629,"44621B3Energia horáriaNão se aplicaNão se aplicaNão se aplicaNão se aplicaPonta",Mercado_Receita!$N$2:$N$629)</f>
        <v>0</v>
      </c>
      <c r="R34" s="14">
        <f>SUMIF(Mercado_Receita!$T$2:$T$629,"44652B3Energia horáriaNão se aplicaNão se aplicaNão se aplicaNão se aplicaPonta",Mercado_Receita!$N$2:$N$629)</f>
        <v>0.89200000000000002</v>
      </c>
      <c r="S34" s="14">
        <f>SUMIF(Mercado_Receita!$T$2:$T$629,"44682B3Energia horáriaNão se aplicaNão se aplicaNão se aplicaNão se aplicaPonta",Mercado_Receita!$N$2:$N$629)</f>
        <v>0.111</v>
      </c>
      <c r="T34" s="14">
        <f>SUMIF(Mercado_Receita!$T$2:$T$629,"44713B3Energia horáriaNão se aplicaNão se aplicaNão se aplicaNão se aplicaPonta",Mercado_Receita!$N$2:$N$629)</f>
        <v>0.111</v>
      </c>
      <c r="U34" s="14">
        <f t="shared" si="0"/>
        <v>1.1140000000000001</v>
      </c>
      <c r="V34" s="14"/>
      <c r="W34" s="14"/>
    </row>
    <row r="35" spans="1:23" ht="11.25" customHeight="1" x14ac:dyDescent="0.25">
      <c r="A35" s="152"/>
      <c r="B35" s="152"/>
      <c r="C35" s="152"/>
      <c r="D35" s="152"/>
      <c r="E35" s="152"/>
      <c r="F35" s="152"/>
      <c r="G35" s="14" t="s">
        <v>92</v>
      </c>
      <c r="H35" s="14" t="s">
        <v>78</v>
      </c>
      <c r="I35" s="14">
        <f>SUMIF(Mercado_Receita!$T$2:$T$629,"44378B3Energia horáriaNão se aplicaNão se aplicaNão se aplicaNão se aplicaIntermediário",Mercado_Receita!$N$2:$N$629)</f>
        <v>0</v>
      </c>
      <c r="J35" s="14">
        <f>SUMIF(Mercado_Receita!$T$2:$T$629,"44409B3Energia horáriaNão se aplicaNão se aplicaNão se aplicaNão se aplicaIntermediário",Mercado_Receita!$N$2:$N$629)</f>
        <v>0</v>
      </c>
      <c r="K35" s="14">
        <f>SUMIF(Mercado_Receita!$T$2:$T$629,"44440B3Energia horáriaNão se aplicaNão se aplicaNão se aplicaNão se aplicaIntermediário",Mercado_Receita!$N$2:$N$629)</f>
        <v>0</v>
      </c>
      <c r="L35" s="14">
        <f>SUMIF(Mercado_Receita!$T$2:$T$629,"44470B3Energia horáriaNão se aplicaNão se aplicaNão se aplicaNão se aplicaIntermediário",Mercado_Receita!$N$2:$N$629)</f>
        <v>0</v>
      </c>
      <c r="M35" s="14">
        <f>SUMIF(Mercado_Receita!$T$2:$T$629,"44501B3Energia horáriaNão se aplicaNão se aplicaNão se aplicaNão se aplicaIntermediário",Mercado_Receita!$N$2:$N$629)</f>
        <v>0</v>
      </c>
      <c r="N35" s="14">
        <f>SUMIF(Mercado_Receita!$T$2:$T$629,"44531B3Energia horáriaNão se aplicaNão se aplicaNão se aplicaNão se aplicaIntermediário",Mercado_Receita!$N$2:$N$629)</f>
        <v>0</v>
      </c>
      <c r="O35" s="14">
        <f>SUMIF(Mercado_Receita!$T$2:$T$629,"44562B3Energia horáriaNão se aplicaNão se aplicaNão se aplicaNão se aplicaIntermediário",Mercado_Receita!$N$2:$N$629)</f>
        <v>0</v>
      </c>
      <c r="P35" s="14">
        <f>SUMIF(Mercado_Receita!$T$2:$T$629,"44593B3Energia horáriaNão se aplicaNão se aplicaNão se aplicaNão se aplicaIntermediário",Mercado_Receita!$N$2:$N$629)</f>
        <v>0</v>
      </c>
      <c r="Q35" s="14">
        <f>SUMIF(Mercado_Receita!$T$2:$T$629,"44621B3Energia horáriaNão se aplicaNão se aplicaNão se aplicaNão se aplicaIntermediário",Mercado_Receita!$N$2:$N$629)</f>
        <v>0</v>
      </c>
      <c r="R35" s="14">
        <f>SUMIF(Mercado_Receita!$T$2:$T$629,"44652B3Energia horáriaNão se aplicaNão se aplicaNão se aplicaNão se aplicaIntermediário",Mercado_Receita!$N$2:$N$629)</f>
        <v>0.155</v>
      </c>
      <c r="S35" s="14">
        <f>SUMIF(Mercado_Receita!$T$2:$T$629,"44682B3Energia horáriaNão se aplicaNão se aplicaNão se aplicaNão se aplicaIntermediário",Mercado_Receita!$N$2:$N$629)</f>
        <v>0.16500000000000001</v>
      </c>
      <c r="T35" s="14">
        <f>SUMIF(Mercado_Receita!$T$2:$T$629,"44713B3Energia horáriaNão se aplicaNão se aplicaNão se aplicaNão se aplicaIntermediário",Mercado_Receita!$N$2:$N$629)</f>
        <v>0.16500000000000001</v>
      </c>
      <c r="U35" s="14">
        <f t="shared" si="0"/>
        <v>0.48499999999999999</v>
      </c>
      <c r="V35" s="14"/>
      <c r="W35" s="14"/>
    </row>
    <row r="36" spans="1:23" ht="11.25" customHeight="1" x14ac:dyDescent="0.25">
      <c r="A36" s="152"/>
      <c r="B36" s="152"/>
      <c r="C36" s="152"/>
      <c r="D36" s="152"/>
      <c r="E36" s="152"/>
      <c r="F36" s="152"/>
      <c r="G36" s="14" t="s">
        <v>80</v>
      </c>
      <c r="H36" s="14" t="s">
        <v>78</v>
      </c>
      <c r="I36" s="14">
        <f>SUMIF(Mercado_Receita!$T$2:$T$629,"44378B3Energia horáriaNão se aplicaNão se aplicaNão se aplicaNão se aplicaFora ponta",Mercado_Receita!$N$2:$N$629)</f>
        <v>0</v>
      </c>
      <c r="J36" s="14">
        <f>SUMIF(Mercado_Receita!$T$2:$T$629,"44409B3Energia horáriaNão se aplicaNão se aplicaNão se aplicaNão se aplicaFora ponta",Mercado_Receita!$N$2:$N$629)</f>
        <v>0</v>
      </c>
      <c r="K36" s="14">
        <f>SUMIF(Mercado_Receita!$T$2:$T$629,"44440B3Energia horáriaNão se aplicaNão se aplicaNão se aplicaNão se aplicaFora ponta",Mercado_Receita!$N$2:$N$629)</f>
        <v>0</v>
      </c>
      <c r="L36" s="14">
        <f>SUMIF(Mercado_Receita!$T$2:$T$629,"44470B3Energia horáriaNão se aplicaNão se aplicaNão se aplicaNão se aplicaFora ponta",Mercado_Receita!$N$2:$N$629)</f>
        <v>0</v>
      </c>
      <c r="M36" s="14">
        <f>SUMIF(Mercado_Receita!$T$2:$T$629,"44501B3Energia horáriaNão se aplicaNão se aplicaNão se aplicaNão se aplicaFora ponta",Mercado_Receita!$N$2:$N$629)</f>
        <v>0</v>
      </c>
      <c r="N36" s="14">
        <f>SUMIF(Mercado_Receita!$T$2:$T$629,"44531B3Energia horáriaNão se aplicaNão se aplicaNão se aplicaNão se aplicaFora ponta",Mercado_Receita!$N$2:$N$629)</f>
        <v>0</v>
      </c>
      <c r="O36" s="14">
        <f>SUMIF(Mercado_Receita!$T$2:$T$629,"44562B3Energia horáriaNão se aplicaNão se aplicaNão se aplicaNão se aplicaFora ponta",Mercado_Receita!$N$2:$N$629)</f>
        <v>0</v>
      </c>
      <c r="P36" s="14">
        <f>SUMIF(Mercado_Receita!$T$2:$T$629,"44593B3Energia horáriaNão se aplicaNão se aplicaNão se aplicaNão se aplicaFora ponta",Mercado_Receita!$N$2:$N$629)</f>
        <v>0</v>
      </c>
      <c r="Q36" s="14">
        <f>SUMIF(Mercado_Receita!$T$2:$T$629,"44621B3Energia horáriaNão se aplicaNão se aplicaNão se aplicaNão se aplicaFora ponta",Mercado_Receita!$N$2:$N$629)</f>
        <v>0</v>
      </c>
      <c r="R36" s="14">
        <f>SUMIF(Mercado_Receita!$T$2:$T$629,"44652B3Energia horáriaNão se aplicaNão se aplicaNão se aplicaNão se aplicaFora ponta",Mercado_Receita!$N$2:$N$629)</f>
        <v>1.9950000000000001</v>
      </c>
      <c r="S36" s="14">
        <f>SUMIF(Mercado_Receita!$T$2:$T$629,"44682B3Energia horáriaNão se aplicaNão se aplicaNão se aplicaNão se aplicaFora ponta",Mercado_Receita!$N$2:$N$629)</f>
        <v>2.1360000000000001</v>
      </c>
      <c r="T36" s="14">
        <f>SUMIF(Mercado_Receita!$T$2:$T$629,"44713B3Energia horáriaNão se aplicaNão se aplicaNão se aplicaNão se aplicaFora ponta",Mercado_Receita!$N$2:$N$629)</f>
        <v>2.1360000000000001</v>
      </c>
      <c r="U36" s="14">
        <f t="shared" si="0"/>
        <v>6.2670000000000003</v>
      </c>
      <c r="V36" s="14"/>
      <c r="W36" s="14"/>
    </row>
    <row r="37" spans="1:23" ht="11.25" customHeight="1" x14ac:dyDescent="0.25">
      <c r="A37" s="152"/>
      <c r="B37" s="13" t="s">
        <v>81</v>
      </c>
      <c r="C37" s="13" t="s">
        <v>25</v>
      </c>
      <c r="D37" s="13" t="s">
        <v>25</v>
      </c>
      <c r="E37" s="13" t="s">
        <v>25</v>
      </c>
      <c r="F37" s="13" t="s">
        <v>25</v>
      </c>
      <c r="G37" s="14" t="s">
        <v>82</v>
      </c>
      <c r="H37" s="14" t="s">
        <v>78</v>
      </c>
      <c r="I37" s="14">
        <f>SUMIF(Mercado_Receita!$T$2:$T$629,"44378B3Energia convencionalNão se aplicaNão se aplicaNão se aplicaNão se aplicaNão se aplica",Mercado_Receita!$N$2:$N$629)</f>
        <v>1024.56</v>
      </c>
      <c r="J37" s="14">
        <f>SUMIF(Mercado_Receita!$T$2:$T$629,"44409B3Energia convencionalNão se aplicaNão se aplicaNão se aplicaNão se aplicaNão se aplica",Mercado_Receita!$N$2:$N$629)</f>
        <v>1034.4079999999999</v>
      </c>
      <c r="K37" s="14">
        <f>SUMIF(Mercado_Receita!$T$2:$T$629,"44440B3Energia convencionalNão se aplicaNão se aplicaNão se aplicaNão se aplicaNão se aplica",Mercado_Receita!$N$2:$N$629)</f>
        <v>933.87599999999998</v>
      </c>
      <c r="L37" s="14">
        <f>SUMIF(Mercado_Receita!$T$2:$T$629,"44470B3Energia convencionalNão se aplicaNão se aplicaNão se aplicaNão se aplicaNão se aplica",Mercado_Receita!$N$2:$N$629)</f>
        <v>929.67200000000003</v>
      </c>
      <c r="M37" s="14">
        <f>SUMIF(Mercado_Receita!$T$2:$T$629,"44501B3Energia convencionalNão se aplicaNão se aplicaNão se aplicaNão se aplicaNão se aplica",Mercado_Receita!$N$2:$N$629)</f>
        <v>1220.2190000000001</v>
      </c>
      <c r="N37" s="14">
        <f>SUMIF(Mercado_Receita!$T$2:$T$629,"44531B3Energia convencionalNão se aplicaNão se aplicaNão se aplicaNão se aplicaNão se aplica",Mercado_Receita!$N$2:$N$629)</f>
        <v>1338.3990000000001</v>
      </c>
      <c r="O37" s="14">
        <f>SUMIF(Mercado_Receita!$T$2:$T$629,"44562B3Energia convencionalNão se aplicaNão se aplicaNão se aplicaNão se aplicaNão se aplica",Mercado_Receita!$N$2:$N$629)</f>
        <v>1343.8930000000003</v>
      </c>
      <c r="P37" s="14">
        <f>SUMIF(Mercado_Receita!$T$2:$T$629,"44593B3Energia convencionalNão se aplicaNão se aplicaNão se aplicaNão se aplicaNão se aplica",Mercado_Receita!$N$2:$N$629)</f>
        <v>1247.375</v>
      </c>
      <c r="Q37" s="14">
        <f>SUMIF(Mercado_Receita!$T$2:$T$629,"44621B3Energia convencionalNão se aplicaNão se aplicaNão se aplicaNão se aplicaNão se aplica",Mercado_Receita!$N$2:$N$629)</f>
        <v>1431.1779999999999</v>
      </c>
      <c r="R37" s="14">
        <f>SUMIF(Mercado_Receita!$T$2:$T$629,"44652B3Energia convencionalNão se aplicaNão se aplicaNão se aplicaNão se aplicaNão se aplica",Mercado_Receita!$N$2:$N$629)</f>
        <v>1003.136</v>
      </c>
      <c r="S37" s="14">
        <f>SUMIF(Mercado_Receita!$T$2:$T$629,"44682B3Energia convencionalNão se aplicaNão se aplicaNão se aplicaNão se aplicaNão se aplica",Mercado_Receita!$N$2:$N$629)</f>
        <v>1069.693</v>
      </c>
      <c r="T37" s="14">
        <f>SUMIF(Mercado_Receita!$T$2:$T$629,"44713B3Energia convencionalNão se aplicaNão se aplicaNão se aplicaNão se aplicaNão se aplica",Mercado_Receita!$N$2:$N$629)</f>
        <v>1069.693</v>
      </c>
      <c r="U37" s="14">
        <f t="shared" si="0"/>
        <v>13646.102000000001</v>
      </c>
      <c r="V37" s="14"/>
      <c r="W37" s="14"/>
    </row>
    <row r="38" spans="1:23" ht="11.25" customHeight="1" x14ac:dyDescent="0.25">
      <c r="A38" s="152"/>
      <c r="B38" s="13" t="s">
        <v>93</v>
      </c>
      <c r="C38" s="13" t="s">
        <v>25</v>
      </c>
      <c r="D38" s="13" t="s">
        <v>25</v>
      </c>
      <c r="E38" s="13" t="s">
        <v>25</v>
      </c>
      <c r="F38" s="13" t="s">
        <v>25</v>
      </c>
      <c r="G38" s="14" t="s">
        <v>82</v>
      </c>
      <c r="H38" s="14" t="s">
        <v>78</v>
      </c>
      <c r="I38" s="14">
        <f>SUMIF(Mercado_Receita!$T$2:$T$629,"44378B3Energia convencional pré-pagamentoNão se aplicaNão se aplicaNão se aplicaNão se aplicaNão se aplica",Mercado_Receita!$N$2:$N$629)</f>
        <v>0</v>
      </c>
      <c r="J38" s="14">
        <f>SUMIF(Mercado_Receita!$T$2:$T$629,"44409B3Energia convencional pré-pagamentoNão se aplicaNão se aplicaNão se aplicaNão se aplicaNão se aplica",Mercado_Receita!$N$2:$N$629)</f>
        <v>0</v>
      </c>
      <c r="K38" s="14">
        <f>SUMIF(Mercado_Receita!$T$2:$T$629,"44440B3Energia convencional pré-pagamentoNão se aplicaNão se aplicaNão se aplicaNão se aplicaNão se aplica",Mercado_Receita!$N$2:$N$629)</f>
        <v>0</v>
      </c>
      <c r="L38" s="14">
        <f>SUMIF(Mercado_Receita!$T$2:$T$629,"44470B3Energia convencional pré-pagamentoNão se aplicaNão se aplicaNão se aplicaNão se aplicaNão se aplica",Mercado_Receita!$N$2:$N$629)</f>
        <v>0</v>
      </c>
      <c r="M38" s="14">
        <f>SUMIF(Mercado_Receita!$T$2:$T$629,"44501B3Energia convencional pré-pagamentoNão se aplicaNão se aplicaNão se aplicaNão se aplicaNão se aplica",Mercado_Receita!$N$2:$N$629)</f>
        <v>0</v>
      </c>
      <c r="N38" s="14">
        <f>SUMIF(Mercado_Receita!$T$2:$T$629,"44531B3Energia convencional pré-pagamentoNão se aplicaNão se aplicaNão se aplicaNão se aplicaNão se aplica",Mercado_Receita!$N$2:$N$629)</f>
        <v>0</v>
      </c>
      <c r="O38" s="14">
        <f>SUMIF(Mercado_Receita!$T$2:$T$629,"44562B3Energia convencional pré-pagamentoNão se aplicaNão se aplicaNão se aplicaNão se aplicaNão se aplica",Mercado_Receita!$N$2:$N$629)</f>
        <v>0</v>
      </c>
      <c r="P38" s="14">
        <f>SUMIF(Mercado_Receita!$T$2:$T$629,"44593B3Energia convencional pré-pagamentoNão se aplicaNão se aplicaNão se aplicaNão se aplicaNão se aplica",Mercado_Receita!$N$2:$N$629)</f>
        <v>0</v>
      </c>
      <c r="Q38" s="14">
        <f>SUMIF(Mercado_Receita!$T$2:$T$629,"44621B3Energia convencional pré-pagamentoNão se aplicaNão se aplicaNão se aplicaNão se aplicaNão se aplica",Mercado_Receita!$N$2:$N$629)</f>
        <v>0</v>
      </c>
      <c r="R38" s="14">
        <f>SUMIF(Mercado_Receita!$T$2:$T$629,"44652B3Energia convencional pré-pagamentoNão se aplicaNão se aplicaNão se aplicaNão se aplicaNão se aplica",Mercado_Receita!$N$2:$N$629)</f>
        <v>0</v>
      </c>
      <c r="S38" s="14">
        <f>SUMIF(Mercado_Receita!$T$2:$T$629,"44682B3Energia convencional pré-pagamentoNão se aplicaNão se aplicaNão se aplicaNão se aplicaNão se aplica",Mercado_Receita!$N$2:$N$629)</f>
        <v>0</v>
      </c>
      <c r="T38" s="14">
        <f>SUMIF(Mercado_Receita!$T$2:$T$629,"44713B3Energia convencional pré-pagamentoNão se aplicaNão se aplicaNão se aplicaNão se aplicaNão se aplica",Mercado_Receita!$N$2:$N$629)</f>
        <v>0</v>
      </c>
      <c r="U38" s="14">
        <f t="shared" si="0"/>
        <v>0</v>
      </c>
      <c r="V38" s="14"/>
      <c r="W38" s="14"/>
    </row>
    <row r="39" spans="1:23" ht="11.25" customHeight="1" x14ac:dyDescent="0.25">
      <c r="A39" s="151" t="s">
        <v>45</v>
      </c>
      <c r="B39" s="151" t="s">
        <v>81</v>
      </c>
      <c r="C39" s="151" t="s">
        <v>46</v>
      </c>
      <c r="D39" s="13" t="s">
        <v>47</v>
      </c>
      <c r="E39" s="13" t="s">
        <v>25</v>
      </c>
      <c r="F39" s="13" t="s">
        <v>25</v>
      </c>
      <c r="G39" s="14" t="s">
        <v>82</v>
      </c>
      <c r="H39" s="14" t="s">
        <v>78</v>
      </c>
      <c r="I39" s="14">
        <f>SUMIF(Mercado_Receita!$T$2:$T$629,"44378B4Energia convencionalIluminação públicaIluminação pública – B4aNão se aplicaNão se aplicaNão se aplica",Mercado_Receita!$N$2:$N$629)</f>
        <v>418.91800000000001</v>
      </c>
      <c r="J39" s="14">
        <f>SUMIF(Mercado_Receita!$T$2:$T$629,"44409B4Energia convencionalIluminação públicaIluminação pública – B4aNão se aplicaNão se aplicaNão se aplica",Mercado_Receita!$N$2:$N$629)</f>
        <v>419.18200000000002</v>
      </c>
      <c r="K39" s="14">
        <f>SUMIF(Mercado_Receita!$T$2:$T$629,"44440B4Energia convencionalIluminação públicaIluminação pública – B4aNão se aplicaNão se aplicaNão se aplica",Mercado_Receita!$N$2:$N$629)</f>
        <v>405.67500000000001</v>
      </c>
      <c r="L39" s="14">
        <f>SUMIF(Mercado_Receita!$T$2:$T$629,"44470B4Energia convencionalIluminação públicaIluminação pública – B4aNão se aplicaNão se aplicaNão se aplica",Mercado_Receita!$N$2:$N$629)</f>
        <v>419.04899999999998</v>
      </c>
      <c r="M39" s="14">
        <f>SUMIF(Mercado_Receita!$T$2:$T$629,"44501B4Energia convencionalIluminação públicaIluminação pública – B4aNão se aplicaNão se aplicaNão se aplica",Mercado_Receita!$N$2:$N$629)</f>
        <v>404.16300000000001</v>
      </c>
      <c r="N39" s="14">
        <f>SUMIF(Mercado_Receita!$T$2:$T$629,"44531B4Energia convencionalIluminação públicaIluminação pública – B4aNão se aplicaNão se aplicaNão se aplica",Mercado_Receita!$N$2:$N$629)</f>
        <v>418.75099999999998</v>
      </c>
      <c r="O39" s="14">
        <f>SUMIF(Mercado_Receita!$T$2:$T$629,"44562B4Energia convencionalIluminação públicaIluminação pública – B4aNão se aplicaNão se aplicaNão se aplica",Mercado_Receita!$N$2:$N$629)</f>
        <v>418.15899999999999</v>
      </c>
      <c r="P39" s="14">
        <f>SUMIF(Mercado_Receita!$T$2:$T$629,"44593B4Energia convencionalIluminação públicaIluminação pública – B4aNão se aplicaNão se aplicaNão se aplica",Mercado_Receita!$N$2:$N$629)</f>
        <v>380.358</v>
      </c>
      <c r="Q39" s="14">
        <f>SUMIF(Mercado_Receita!$T$2:$T$629,"44621B4Energia convencionalIluminação públicaIluminação pública – B4aNão se aplicaNão se aplicaNão se aplica",Mercado_Receita!$N$2:$N$629)</f>
        <v>423.27</v>
      </c>
      <c r="R39" s="14">
        <f>SUMIF(Mercado_Receita!$T$2:$T$629,"44652B4Energia convencionalIluminação públicaIluminação pública – B4aNão se aplicaNão se aplicaNão se aplica",Mercado_Receita!$N$2:$N$629)</f>
        <v>393.06099999999998</v>
      </c>
      <c r="S39" s="14">
        <f>SUMIF(Mercado_Receita!$T$2:$T$629,"44682B4Energia convencionalIluminação públicaIluminação pública – B4aNão se aplicaNão se aplicaNão se aplica",Mercado_Receita!$N$2:$N$629)</f>
        <v>406.755</v>
      </c>
      <c r="T39" s="14">
        <f>SUMIF(Mercado_Receita!$T$2:$T$629,"44713B4Energia convencionalIluminação públicaIluminação pública – B4aNão se aplicaNão se aplicaNão se aplica",Mercado_Receita!$N$2:$N$629)</f>
        <v>406.755</v>
      </c>
      <c r="U39" s="14">
        <f t="shared" si="0"/>
        <v>4914.0960000000005</v>
      </c>
      <c r="V39" s="14"/>
      <c r="W39" s="14"/>
    </row>
    <row r="40" spans="1:23" ht="11.25" customHeight="1" x14ac:dyDescent="0.25">
      <c r="A40" s="152"/>
      <c r="B40" s="152"/>
      <c r="C40" s="152"/>
      <c r="D40" s="14" t="s">
        <v>97</v>
      </c>
      <c r="E40" s="14" t="s">
        <v>25</v>
      </c>
      <c r="F40" s="14" t="s">
        <v>25</v>
      </c>
      <c r="G40" s="14" t="s">
        <v>82</v>
      </c>
      <c r="H40" s="14" t="s">
        <v>78</v>
      </c>
      <c r="I40" s="14">
        <f>SUMIF(Mercado_Receita!$T$2:$T$629,"44378B4Energia convencionalIluminação públicaIluminação pública – B4bNão se aplicaNão se aplicaNão se aplica",Mercado_Receita!$N$2:$N$629)</f>
        <v>0</v>
      </c>
      <c r="J40" s="14">
        <f>SUMIF(Mercado_Receita!$T$2:$T$629,"44409B4Energia convencionalIluminação públicaIluminação pública – B4bNão se aplicaNão se aplicaNão se aplica",Mercado_Receita!$N$2:$N$629)</f>
        <v>0</v>
      </c>
      <c r="K40" s="14">
        <f>SUMIF(Mercado_Receita!$T$2:$T$629,"44440B4Energia convencionalIluminação públicaIluminação pública – B4bNão se aplicaNão se aplicaNão se aplica",Mercado_Receita!$N$2:$N$629)</f>
        <v>0</v>
      </c>
      <c r="L40" s="14">
        <f>SUMIF(Mercado_Receita!$T$2:$T$629,"44470B4Energia convencionalIluminação públicaIluminação pública – B4bNão se aplicaNão se aplicaNão se aplica",Mercado_Receita!$N$2:$N$629)</f>
        <v>0</v>
      </c>
      <c r="M40" s="14">
        <f>SUMIF(Mercado_Receita!$T$2:$T$629,"44501B4Energia convencionalIluminação públicaIluminação pública – B4bNão se aplicaNão se aplicaNão se aplica",Mercado_Receita!$N$2:$N$629)</f>
        <v>0</v>
      </c>
      <c r="N40" s="14">
        <f>SUMIF(Mercado_Receita!$T$2:$T$629,"44531B4Energia convencionalIluminação públicaIluminação pública – B4bNão se aplicaNão se aplicaNão se aplica",Mercado_Receita!$N$2:$N$629)</f>
        <v>0</v>
      </c>
      <c r="O40" s="14">
        <f>SUMIF(Mercado_Receita!$T$2:$T$629,"44562B4Energia convencionalIluminação públicaIluminação pública – B4bNão se aplicaNão se aplicaNão se aplica",Mercado_Receita!$N$2:$N$629)</f>
        <v>0</v>
      </c>
      <c r="P40" s="14">
        <f>SUMIF(Mercado_Receita!$T$2:$T$629,"44593B4Energia convencionalIluminação públicaIluminação pública – B4bNão se aplicaNão se aplicaNão se aplica",Mercado_Receita!$N$2:$N$629)</f>
        <v>0</v>
      </c>
      <c r="Q40" s="14">
        <f>SUMIF(Mercado_Receita!$T$2:$T$629,"44621B4Energia convencionalIluminação públicaIluminação pública – B4bNão se aplicaNão se aplicaNão se aplica",Mercado_Receita!$N$2:$N$629)</f>
        <v>0</v>
      </c>
      <c r="R40" s="14">
        <f>SUMIF(Mercado_Receita!$T$2:$T$629,"44652B4Energia convencionalIluminação públicaIluminação pública – B4bNão se aplicaNão se aplicaNão se aplica",Mercado_Receita!$N$2:$N$629)</f>
        <v>0</v>
      </c>
      <c r="S40" s="14">
        <f>SUMIF(Mercado_Receita!$T$2:$T$629,"44682B4Energia convencionalIluminação públicaIluminação pública – B4bNão se aplicaNão se aplicaNão se aplica",Mercado_Receita!$N$2:$N$629)</f>
        <v>0</v>
      </c>
      <c r="T40" s="14">
        <f>SUMIF(Mercado_Receita!$T$2:$T$629,"44713B4Energia convencionalIluminação públicaIluminação pública – B4bNão se aplicaNão se aplicaNão se aplica",Mercado_Receita!$N$2:$N$629)</f>
        <v>0</v>
      </c>
      <c r="U40" s="14">
        <f t="shared" si="0"/>
        <v>0</v>
      </c>
      <c r="V40" s="14"/>
      <c r="W40" s="14"/>
    </row>
    <row r="41" spans="1:23" ht="11.25" customHeight="1" x14ac:dyDescent="0.25">
      <c r="A41" s="153" t="s">
        <v>482</v>
      </c>
      <c r="B41" s="154"/>
      <c r="C41" s="154"/>
      <c r="D41" s="154"/>
      <c r="E41" s="154"/>
      <c r="F41" s="154"/>
      <c r="G41" s="154"/>
      <c r="H41" s="154"/>
      <c r="I41" s="154"/>
      <c r="J41" s="154"/>
      <c r="K41" s="154"/>
      <c r="L41" s="154"/>
      <c r="M41" s="154"/>
      <c r="N41" s="154"/>
      <c r="O41" s="154"/>
      <c r="P41" s="154"/>
      <c r="Q41" s="154"/>
      <c r="R41" s="154"/>
      <c r="S41" s="154"/>
      <c r="T41" s="154"/>
      <c r="U41" s="154"/>
      <c r="V41" s="14"/>
      <c r="W41" s="14"/>
    </row>
  </sheetData>
  <mergeCells count="44">
    <mergeCell ref="A39:A40"/>
    <mergeCell ref="B39:B40"/>
    <mergeCell ref="C39:C40"/>
    <mergeCell ref="A41:U41"/>
    <mergeCell ref="C31:C33"/>
    <mergeCell ref="B31:B33"/>
    <mergeCell ref="A19:A33"/>
    <mergeCell ref="F34:F36"/>
    <mergeCell ref="E34:E36"/>
    <mergeCell ref="D34:D36"/>
    <mergeCell ref="C34:C36"/>
    <mergeCell ref="B34:B36"/>
    <mergeCell ref="A34:A38"/>
    <mergeCell ref="F23:F25"/>
    <mergeCell ref="E23:E25"/>
    <mergeCell ref="D23:D25"/>
    <mergeCell ref="C23:C25"/>
    <mergeCell ref="B23:B25"/>
    <mergeCell ref="F27:F29"/>
    <mergeCell ref="E27:E29"/>
    <mergeCell ref="D27:D29"/>
    <mergeCell ref="C27:C29"/>
    <mergeCell ref="B27:B29"/>
    <mergeCell ref="C14:C18"/>
    <mergeCell ref="B14:B18"/>
    <mergeCell ref="A6:A18"/>
    <mergeCell ref="F19:F21"/>
    <mergeCell ref="E19:E21"/>
    <mergeCell ref="D19:D21"/>
    <mergeCell ref="C19:C21"/>
    <mergeCell ref="B19:B21"/>
    <mergeCell ref="F6:F8"/>
    <mergeCell ref="E6:E8"/>
    <mergeCell ref="D6:D8"/>
    <mergeCell ref="C6:C8"/>
    <mergeCell ref="B6:B8"/>
    <mergeCell ref="C9:C13"/>
    <mergeCell ref="B9:B13"/>
    <mergeCell ref="A2:A5"/>
    <mergeCell ref="F2:F3"/>
    <mergeCell ref="E2:E3"/>
    <mergeCell ref="D2:D3"/>
    <mergeCell ref="C2:C3"/>
    <mergeCell ref="B2:B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7308E-FE6D-469F-8078-6AD30AE1ADEA}">
  <sheetPr codeName="Planilha6"/>
  <dimension ref="A1:AD200"/>
  <sheetViews>
    <sheetView showGridLines="0" topLeftCell="A31" workbookViewId="0">
      <selection activeCell="E54" sqref="E54"/>
    </sheetView>
  </sheetViews>
  <sheetFormatPr defaultRowHeight="12" customHeight="1" x14ac:dyDescent="0.2"/>
  <cols>
    <col min="1" max="1" width="10.5703125" style="15" bestFit="1" customWidth="1"/>
    <col min="2" max="2" width="14.42578125" style="15" bestFit="1" customWidth="1"/>
    <col min="3" max="3" width="18.42578125" style="15" bestFit="1" customWidth="1"/>
    <col min="4" max="4" width="15" style="15" bestFit="1" customWidth="1"/>
    <col min="5" max="5" width="14.5703125" style="15" bestFit="1" customWidth="1"/>
    <col min="6" max="6" width="10" style="15" bestFit="1" customWidth="1"/>
    <col min="7" max="11" width="9.140625" style="15"/>
    <col min="12" max="12" width="34.140625" style="15" bestFit="1" customWidth="1"/>
    <col min="13" max="13" width="10.85546875" style="15" bestFit="1" customWidth="1"/>
    <col min="14" max="14" width="36.140625" style="15" bestFit="1" customWidth="1"/>
    <col min="15" max="15" width="30.7109375" style="15" customWidth="1"/>
    <col min="16" max="16" width="13.140625" style="15" bestFit="1" customWidth="1"/>
    <col min="17" max="17" width="9.28515625" style="15" bestFit="1" customWidth="1"/>
    <col min="18" max="18" width="9.42578125" style="15" bestFit="1" customWidth="1"/>
    <col min="19" max="19" width="12.5703125" style="15" bestFit="1" customWidth="1"/>
    <col min="20" max="20" width="15.42578125" style="15" bestFit="1" customWidth="1"/>
    <col min="21" max="21" width="10.85546875" style="15" bestFit="1" customWidth="1"/>
    <col min="22" max="22" width="13.28515625" style="15" bestFit="1" customWidth="1"/>
    <col min="23" max="23" width="5" style="15" bestFit="1" customWidth="1"/>
    <col min="24" max="24" width="49.85546875" style="15" bestFit="1" customWidth="1"/>
    <col min="25" max="26" width="5" style="15" bestFit="1" customWidth="1"/>
    <col min="27" max="27" width="5.7109375" style="15" bestFit="1" customWidth="1"/>
    <col min="28" max="16384" width="9.140625" style="15"/>
  </cols>
  <sheetData>
    <row r="1" spans="1:30" ht="12" customHeight="1" x14ac:dyDescent="0.2">
      <c r="A1" s="54" t="s">
        <v>522</v>
      </c>
      <c r="B1" s="54" t="s">
        <v>523</v>
      </c>
      <c r="C1" s="54" t="s">
        <v>524</v>
      </c>
      <c r="D1" s="54" t="s">
        <v>525</v>
      </c>
      <c r="E1" s="54" t="s">
        <v>526</v>
      </c>
      <c r="F1" s="54" t="s">
        <v>527</v>
      </c>
      <c r="G1" s="52"/>
      <c r="H1" s="52"/>
      <c r="I1" s="52"/>
      <c r="J1" s="52"/>
      <c r="K1" s="52"/>
      <c r="L1" s="157" t="s">
        <v>528</v>
      </c>
      <c r="M1" s="157"/>
      <c r="N1" s="52"/>
      <c r="O1" s="155" t="s">
        <v>1123</v>
      </c>
      <c r="P1" s="156"/>
      <c r="Q1" s="156"/>
      <c r="R1" s="156"/>
      <c r="S1" s="156"/>
      <c r="T1" s="156"/>
      <c r="U1" s="156"/>
      <c r="V1" s="52"/>
      <c r="W1" s="52"/>
      <c r="X1" s="52"/>
      <c r="Y1" s="52"/>
      <c r="Z1" s="52"/>
      <c r="AA1" s="52"/>
      <c r="AB1" s="52"/>
      <c r="AC1" s="52"/>
      <c r="AD1" s="52"/>
    </row>
    <row r="2" spans="1:30" ht="12" customHeight="1" x14ac:dyDescent="0.2">
      <c r="A2" s="158" t="s">
        <v>483</v>
      </c>
      <c r="B2" s="158" t="s">
        <v>484</v>
      </c>
      <c r="C2" s="53" t="s">
        <v>569</v>
      </c>
      <c r="D2" s="17">
        <v>801843.46340475301</v>
      </c>
      <c r="E2" s="17">
        <v>-69547.320604305176</v>
      </c>
      <c r="F2" s="17">
        <v>52600.790343551183</v>
      </c>
      <c r="G2" s="16"/>
      <c r="H2" s="16"/>
      <c r="I2" s="16"/>
      <c r="J2" s="16"/>
      <c r="K2" s="16"/>
      <c r="L2" s="66" t="s">
        <v>529</v>
      </c>
      <c r="M2" s="141">
        <v>9.5729356952461542E-2</v>
      </c>
      <c r="N2" s="16"/>
      <c r="O2" s="77" t="s">
        <v>596</v>
      </c>
      <c r="P2" s="77" t="s">
        <v>597</v>
      </c>
      <c r="Q2" s="77" t="s">
        <v>598</v>
      </c>
      <c r="R2" s="77" t="s">
        <v>38</v>
      </c>
      <c r="S2" s="77" t="s">
        <v>599</v>
      </c>
      <c r="T2" s="77" t="s">
        <v>89</v>
      </c>
      <c r="U2" s="77"/>
      <c r="V2" s="16"/>
      <c r="W2" s="16"/>
      <c r="X2" s="66" t="s">
        <v>1113</v>
      </c>
      <c r="Y2" s="16"/>
      <c r="Z2" s="16"/>
      <c r="AA2" s="16" t="s">
        <v>605</v>
      </c>
      <c r="AB2" s="16"/>
      <c r="AC2" s="16"/>
      <c r="AD2" s="16"/>
    </row>
    <row r="3" spans="1:30" ht="12" customHeight="1" x14ac:dyDescent="0.2">
      <c r="A3" s="159"/>
      <c r="B3" s="159"/>
      <c r="C3" s="53" t="s">
        <v>485</v>
      </c>
      <c r="D3" s="17">
        <v>78461.746657470198</v>
      </c>
      <c r="E3" s="17">
        <v>-3827.8660232869229</v>
      </c>
      <c r="F3" s="17">
        <v>0</v>
      </c>
      <c r="G3" s="16"/>
      <c r="H3" s="16"/>
      <c r="I3" s="16"/>
      <c r="J3" s="16"/>
      <c r="K3" s="16"/>
      <c r="L3" s="66" t="s">
        <v>530</v>
      </c>
      <c r="M3" s="141"/>
      <c r="N3" s="16"/>
      <c r="O3" s="78">
        <v>1</v>
      </c>
      <c r="P3" s="78">
        <v>1</v>
      </c>
      <c r="Q3" s="78">
        <v>1</v>
      </c>
      <c r="R3" s="114">
        <v>1</v>
      </c>
      <c r="S3" s="78">
        <v>1</v>
      </c>
      <c r="T3" s="78">
        <v>1</v>
      </c>
      <c r="U3" s="78" t="s">
        <v>1124</v>
      </c>
      <c r="V3" s="16"/>
      <c r="W3" s="16"/>
      <c r="X3" s="66" t="s">
        <v>1114</v>
      </c>
      <c r="Y3" s="16"/>
      <c r="Z3" s="16"/>
      <c r="AA3" s="16">
        <v>0</v>
      </c>
      <c r="AB3" s="16"/>
      <c r="AC3" s="16"/>
      <c r="AD3" s="16"/>
    </row>
    <row r="4" spans="1:30" ht="12" customHeight="1" x14ac:dyDescent="0.2">
      <c r="A4" s="159"/>
      <c r="B4" s="159"/>
      <c r="C4" s="53" t="s">
        <v>486</v>
      </c>
      <c r="D4" s="17">
        <f>$M$22-D$30</f>
        <v>168067.03071432331</v>
      </c>
      <c r="E4" s="17">
        <f>IF((D4+D$30)&lt;&gt;0,$M$20*D4/(D4+D$30),0)</f>
        <v>-6.8718722642662463E-3</v>
      </c>
      <c r="F4" s="17">
        <f>IF((D4+D$30)&lt;&gt;0,$M$21*D4/(D4+D$30),0)</f>
        <v>0</v>
      </c>
      <c r="G4" s="16"/>
      <c r="H4" s="16"/>
      <c r="I4" s="16"/>
      <c r="J4" s="16"/>
      <c r="K4" s="16"/>
      <c r="L4" s="66" t="s">
        <v>531</v>
      </c>
      <c r="M4" s="141">
        <v>0.10704236088323049</v>
      </c>
      <c r="N4" s="16"/>
      <c r="O4" s="78">
        <v>1</v>
      </c>
      <c r="P4" s="78">
        <v>1</v>
      </c>
      <c r="Q4" s="78">
        <v>1</v>
      </c>
      <c r="R4" s="78">
        <v>1</v>
      </c>
      <c r="S4" s="78">
        <v>1</v>
      </c>
      <c r="T4" s="78">
        <v>1</v>
      </c>
      <c r="U4" s="78" t="s">
        <v>58</v>
      </c>
      <c r="V4" s="16"/>
      <c r="W4" s="16"/>
      <c r="X4" s="16"/>
      <c r="Y4" s="16"/>
      <c r="Z4" s="16"/>
      <c r="AA4" s="16"/>
      <c r="AB4" s="16"/>
      <c r="AC4" s="16"/>
      <c r="AD4" s="16"/>
    </row>
    <row r="5" spans="1:30" ht="12" customHeight="1" x14ac:dyDescent="0.2">
      <c r="A5" s="159"/>
      <c r="B5" s="159"/>
      <c r="C5" s="53" t="s">
        <v>487</v>
      </c>
      <c r="D5" s="17">
        <v>0</v>
      </c>
      <c r="E5" s="17">
        <v>0</v>
      </c>
      <c r="F5" s="17">
        <v>0</v>
      </c>
      <c r="G5" s="16"/>
      <c r="H5" s="16"/>
      <c r="I5" s="16"/>
      <c r="J5" s="16"/>
      <c r="K5" s="16"/>
      <c r="L5" s="66" t="s">
        <v>532</v>
      </c>
      <c r="M5" s="141">
        <v>0.01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</row>
    <row r="6" spans="1:30" ht="12" customHeight="1" x14ac:dyDescent="0.2">
      <c r="A6" s="159"/>
      <c r="B6" s="159"/>
      <c r="C6" s="53" t="s">
        <v>488</v>
      </c>
      <c r="D6" s="17">
        <v>0</v>
      </c>
      <c r="E6" s="17">
        <v>0</v>
      </c>
      <c r="F6" s="17">
        <v>0</v>
      </c>
      <c r="G6" s="16"/>
      <c r="H6" s="16"/>
      <c r="I6" s="16"/>
      <c r="J6" s="16"/>
      <c r="K6" s="16"/>
      <c r="L6" s="66" t="s">
        <v>533</v>
      </c>
      <c r="M6" s="141">
        <v>0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</row>
    <row r="7" spans="1:30" ht="12" customHeight="1" x14ac:dyDescent="0.2">
      <c r="A7" s="159"/>
      <c r="B7" s="159"/>
      <c r="C7" s="53" t="s">
        <v>489</v>
      </c>
      <c r="D7" s="17">
        <v>9962170.6825543884</v>
      </c>
      <c r="E7" s="17">
        <v>-375384.78610073053</v>
      </c>
      <c r="F7" s="17">
        <v>1737250.662</v>
      </c>
      <c r="G7" s="16"/>
      <c r="H7" s="16"/>
      <c r="I7" s="16"/>
      <c r="J7" s="16"/>
      <c r="K7" s="16"/>
      <c r="L7" s="66" t="s">
        <v>534</v>
      </c>
      <c r="M7" s="66">
        <f>M8+M9+M10+M11</f>
        <v>6071.4725248641162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</row>
    <row r="8" spans="1:30" ht="12" customHeight="1" x14ac:dyDescent="0.2">
      <c r="A8" s="159"/>
      <c r="B8" s="159"/>
      <c r="C8" s="53" t="s">
        <v>490</v>
      </c>
      <c r="D8" s="17">
        <v>1726269.2331153487</v>
      </c>
      <c r="E8" s="17">
        <v>-65727.578377463738</v>
      </c>
      <c r="F8" s="17">
        <v>418561.50550000003</v>
      </c>
      <c r="G8" s="16"/>
      <c r="H8" s="16"/>
      <c r="I8" s="16"/>
      <c r="J8" s="16"/>
      <c r="K8" s="16"/>
      <c r="L8" s="142" t="s">
        <v>535</v>
      </c>
      <c r="M8" s="66">
        <v>5780.3375351966524</v>
      </c>
      <c r="N8" s="16"/>
      <c r="O8" s="66" t="s">
        <v>568</v>
      </c>
      <c r="P8" s="78">
        <v>0</v>
      </c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</row>
    <row r="9" spans="1:30" ht="12" customHeight="1" x14ac:dyDescent="0.2">
      <c r="A9" s="159"/>
      <c r="B9" s="159"/>
      <c r="C9" s="53" t="s">
        <v>491</v>
      </c>
      <c r="D9" s="17"/>
      <c r="E9" s="17"/>
      <c r="F9" s="17"/>
      <c r="G9" s="16"/>
      <c r="H9" s="16"/>
      <c r="I9" s="16"/>
      <c r="J9" s="16"/>
      <c r="K9" s="16"/>
      <c r="L9" s="143" t="s">
        <v>536</v>
      </c>
      <c r="M9" s="66">
        <v>291.13498966746369</v>
      </c>
      <c r="N9" s="16"/>
      <c r="O9" s="66" t="s">
        <v>1104</v>
      </c>
      <c r="P9" s="78">
        <f>SUM(Mercado_Receita!$J$2:$J$629)</f>
        <v>279062</v>
      </c>
      <c r="Q9" s="78">
        <v>279062</v>
      </c>
      <c r="R9" s="78" t="str">
        <f>IF(ABS(P9-Q9)&gt;1,"ERRO BADNET","OK BADNET")</f>
        <v>OK BADNET</v>
      </c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</row>
    <row r="10" spans="1:30" ht="12" customHeight="1" x14ac:dyDescent="0.2">
      <c r="A10" s="159"/>
      <c r="B10" s="160"/>
      <c r="C10" s="53" t="s">
        <v>492</v>
      </c>
      <c r="D10" s="17">
        <f>SUM(D$2:D9)</f>
        <v>12736812.156446284</v>
      </c>
      <c r="E10" s="17">
        <f>SUM(E$2:E9)</f>
        <v>-514487.55797765864</v>
      </c>
      <c r="F10" s="17">
        <f>SUM(F$2:F9)</f>
        <v>2208412.9578435514</v>
      </c>
      <c r="G10" s="16"/>
      <c r="H10" s="16"/>
      <c r="I10" s="16"/>
      <c r="J10" s="16"/>
      <c r="K10" s="16"/>
      <c r="L10" s="142" t="s">
        <v>537</v>
      </c>
      <c r="M10" s="66">
        <v>0</v>
      </c>
      <c r="N10" s="16"/>
      <c r="O10" s="66" t="s">
        <v>1105</v>
      </c>
      <c r="P10" s="78">
        <f>SUM(Mercado_Receita!$L$2:$L$629)</f>
        <v>127877.8900000001</v>
      </c>
      <c r="Q10" s="78">
        <v>127877.89</v>
      </c>
      <c r="R10" s="78" t="str">
        <f>IF(ABS(P10-Q10)&gt;1,"ERRO BADNET","OK BADNET")</f>
        <v>OK BADNET</v>
      </c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</row>
    <row r="11" spans="1:30" ht="12" customHeight="1" x14ac:dyDescent="0.2">
      <c r="A11" s="159"/>
      <c r="B11" s="158" t="s">
        <v>493</v>
      </c>
      <c r="C11" s="53" t="s">
        <v>494</v>
      </c>
      <c r="D11" s="17">
        <v>4439052</v>
      </c>
      <c r="E11" s="17">
        <v>-139159.46940852149</v>
      </c>
      <c r="F11" s="17">
        <f>IF((+$D$11+$D$12+$D$16+$D$17+$D$39)&lt;&gt;0,$M$19*$D$11/(+$D$11+$D$12+$D$16+$D$17+$D$39),0)</f>
        <v>257590.31433967402</v>
      </c>
      <c r="G11" s="16"/>
      <c r="H11" s="16"/>
      <c r="I11" s="16"/>
      <c r="J11" s="16"/>
      <c r="K11" s="16"/>
      <c r="L11" s="142" t="s">
        <v>538</v>
      </c>
      <c r="M11" s="66">
        <v>0</v>
      </c>
      <c r="N11" s="16"/>
      <c r="O11" s="66" t="s">
        <v>1106</v>
      </c>
      <c r="P11" s="78">
        <f>SUM(Mercado_Receita!$N$2:$N$629)</f>
        <v>76142.038000000059</v>
      </c>
      <c r="Q11" s="78">
        <v>76142.038000000102</v>
      </c>
      <c r="R11" s="78" t="str">
        <f>IF(ABS(P11-Q11)&gt;1,"ERRO BADNET","OK BADNET")</f>
        <v>OK BADNET</v>
      </c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</row>
    <row r="12" spans="1:30" ht="12" customHeight="1" x14ac:dyDescent="0.2">
      <c r="A12" s="159"/>
      <c r="B12" s="159"/>
      <c r="C12" s="53" t="s">
        <v>495</v>
      </c>
      <c r="D12" s="17">
        <v>3663381</v>
      </c>
      <c r="E12" s="17">
        <v>-95115.907805428113</v>
      </c>
      <c r="F12" s="17">
        <f>IF((+$D$11+$D$12+$D$16+$D$17+$D$39)&lt;&gt;0,$M$19*$D$12/(+$D$11+$D$12+$D$16+$D$17+$D$39),0)</f>
        <v>212579.50196032607</v>
      </c>
      <c r="G12" s="16"/>
      <c r="H12" s="16"/>
      <c r="I12" s="16"/>
      <c r="J12" s="16"/>
      <c r="K12" s="16"/>
      <c r="L12" s="66" t="s">
        <v>539</v>
      </c>
      <c r="M12" s="66">
        <v>82213.510524864076</v>
      </c>
      <c r="N12" s="16"/>
      <c r="O12" s="66" t="s">
        <v>1107</v>
      </c>
      <c r="P12" s="78">
        <f>SUMIF('MERCADO TUSD'!$H$2:$H$48,"kW",'MERCADO TUSD'!$U$2:$U$48)</f>
        <v>279062</v>
      </c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</row>
    <row r="13" spans="1:30" ht="12" customHeight="1" x14ac:dyDescent="0.2">
      <c r="A13" s="159"/>
      <c r="B13" s="159"/>
      <c r="C13" s="53" t="s">
        <v>496</v>
      </c>
      <c r="D13" s="17">
        <f>-$M$51+682539.065472143</f>
        <v>682539.065472143</v>
      </c>
      <c r="E13" s="17">
        <v>-9712.1759204647551</v>
      </c>
      <c r="F13" s="17">
        <v>0</v>
      </c>
      <c r="G13" s="16"/>
      <c r="H13" s="16"/>
      <c r="I13" s="16"/>
      <c r="J13" s="16"/>
      <c r="K13" s="16"/>
      <c r="L13" s="66" t="s">
        <v>540</v>
      </c>
      <c r="M13" s="66">
        <v>1840.5110888118463</v>
      </c>
      <c r="N13" s="16"/>
      <c r="O13" s="66" t="s">
        <v>1108</v>
      </c>
      <c r="P13" s="78">
        <f>SUMIF('MERCADO TUSD'!$H$2:$H$48,"MWh",'MERCADO TUSD'!$U$2:$U$48)</f>
        <v>127877.88999999997</v>
      </c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</row>
    <row r="14" spans="1:30" ht="12" customHeight="1" x14ac:dyDescent="0.2">
      <c r="A14" s="159"/>
      <c r="B14" s="159"/>
      <c r="C14" s="53" t="s">
        <v>497</v>
      </c>
      <c r="D14" s="17">
        <v>0</v>
      </c>
      <c r="E14" s="17">
        <v>0</v>
      </c>
      <c r="F14" s="17">
        <v>0</v>
      </c>
      <c r="G14" s="16"/>
      <c r="H14" s="16"/>
      <c r="I14" s="16"/>
      <c r="J14" s="16"/>
      <c r="K14" s="16"/>
      <c r="L14" s="66" t="s">
        <v>541</v>
      </c>
      <c r="M14" s="66">
        <v>267.78776219347952</v>
      </c>
      <c r="N14" s="16"/>
      <c r="O14" s="66" t="s">
        <v>1109</v>
      </c>
      <c r="P14" s="78">
        <f>SUMIF('MERCADO TE'!$H$2:$H$40,"MWh",'MERCADO TE'!$U$2:$U$40)</f>
        <v>76142.038</v>
      </c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</row>
    <row r="15" spans="1:30" ht="12" customHeight="1" x14ac:dyDescent="0.2">
      <c r="A15" s="159"/>
      <c r="B15" s="159"/>
      <c r="C15" s="53" t="s">
        <v>498</v>
      </c>
      <c r="D15" s="17">
        <v>0</v>
      </c>
      <c r="E15" s="17">
        <v>0</v>
      </c>
      <c r="F15" s="17">
        <v>0</v>
      </c>
      <c r="G15" s="16"/>
      <c r="H15" s="16"/>
      <c r="I15" s="16"/>
      <c r="J15" s="16"/>
      <c r="K15" s="16"/>
      <c r="L15" s="66" t="s">
        <v>542</v>
      </c>
      <c r="M15" s="66">
        <f>M14*M12</f>
        <v>22015772.005523428</v>
      </c>
      <c r="N15" s="16"/>
      <c r="O15" s="66" t="s">
        <v>1110</v>
      </c>
      <c r="P15" s="78" t="str">
        <f>IF(ABS(P9-P12)&gt;1,"ERRO","OK")</f>
        <v>OK</v>
      </c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</row>
    <row r="16" spans="1:30" ht="12" customHeight="1" x14ac:dyDescent="0.2">
      <c r="A16" s="159"/>
      <c r="B16" s="159"/>
      <c r="C16" s="53" t="s">
        <v>499</v>
      </c>
      <c r="D16" s="17">
        <v>0</v>
      </c>
      <c r="E16" s="17">
        <v>0</v>
      </c>
      <c r="F16" s="17">
        <f>IF((+$D$11+$D$12+$D$16+$D$17+$D$39)&lt;&gt;0,$M$19*$D$16/(+$D$11+$D$12+$D$16+$D$17+$D$39),0)</f>
        <v>0</v>
      </c>
      <c r="G16" s="16"/>
      <c r="H16" s="16"/>
      <c r="I16" s="16"/>
      <c r="J16" s="16"/>
      <c r="K16" s="16"/>
      <c r="L16" s="66" t="s">
        <v>543</v>
      </c>
      <c r="M16" s="66">
        <v>80809.861366609111</v>
      </c>
      <c r="N16" s="16"/>
      <c r="O16" s="66" t="s">
        <v>1111</v>
      </c>
      <c r="P16" s="78" t="str">
        <f>IF(ABS(P10-P13)&gt;1,"ERRO","OK")</f>
        <v>OK</v>
      </c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</row>
    <row r="17" spans="1:30" ht="12" customHeight="1" x14ac:dyDescent="0.2">
      <c r="A17" s="159"/>
      <c r="B17" s="159"/>
      <c r="C17" s="53" t="s">
        <v>500</v>
      </c>
      <c r="D17" s="17">
        <v>0</v>
      </c>
      <c r="E17" s="17">
        <v>0</v>
      </c>
      <c r="F17" s="17">
        <f>IF((+$D$11+$D$12+$D$16+$D$17+$D$39)&lt;&gt;0,$M$19*$D$17/(+$D$11+$D$12+$D$16+$D$17+$D$39),0)</f>
        <v>0</v>
      </c>
      <c r="G17" s="16"/>
      <c r="H17" s="16"/>
      <c r="I17" s="16"/>
      <c r="J17" s="16"/>
      <c r="K17" s="16"/>
      <c r="L17" s="66" t="s">
        <v>544</v>
      </c>
      <c r="M17" s="66">
        <v>937382.51809999999</v>
      </c>
      <c r="N17" s="16"/>
      <c r="O17" s="66" t="s">
        <v>1112</v>
      </c>
      <c r="P17" s="78" t="str">
        <f>IF(ABS(P11-P14)&gt;1,"ERRO","OK")</f>
        <v>OK</v>
      </c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</row>
    <row r="18" spans="1:30" ht="12" customHeight="1" x14ac:dyDescent="0.2">
      <c r="A18" s="159"/>
      <c r="B18" s="160"/>
      <c r="C18" s="53" t="s">
        <v>492</v>
      </c>
      <c r="D18" s="17">
        <f>SUM(D$11:D17)</f>
        <v>8784972.0654721428</v>
      </c>
      <c r="E18" s="17">
        <f>SUM(E$11:E17)</f>
        <v>-243987.55313441437</v>
      </c>
      <c r="F18" s="17">
        <f>SUM(F$11:F17)</f>
        <v>470169.81630000006</v>
      </c>
      <c r="G18" s="16"/>
      <c r="H18" s="16"/>
      <c r="I18" s="16"/>
      <c r="J18" s="16"/>
      <c r="K18" s="16"/>
      <c r="L18" s="66" t="s">
        <v>545</v>
      </c>
      <c r="M18" s="6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</row>
    <row r="19" spans="1:30" ht="12" customHeight="1" x14ac:dyDescent="0.2">
      <c r="A19" s="159"/>
      <c r="B19" s="158" t="s">
        <v>501</v>
      </c>
      <c r="C19" s="53" t="s">
        <v>502</v>
      </c>
      <c r="D19" s="17">
        <v>15266236.414843004</v>
      </c>
      <c r="E19" s="17">
        <v>-283442.02355059516</v>
      </c>
      <c r="F19" s="17">
        <v>0</v>
      </c>
      <c r="G19" s="16"/>
      <c r="H19" s="16"/>
      <c r="I19" s="16"/>
      <c r="J19" s="16"/>
      <c r="K19" s="16"/>
      <c r="L19" s="66" t="s">
        <v>546</v>
      </c>
      <c r="M19" s="66">
        <v>470169.81630000006</v>
      </c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</row>
    <row r="20" spans="1:30" ht="12" customHeight="1" x14ac:dyDescent="0.2">
      <c r="A20" s="159"/>
      <c r="B20" s="160"/>
      <c r="C20" s="53" t="s">
        <v>492</v>
      </c>
      <c r="D20" s="17">
        <f>SUM(D$19:D19)</f>
        <v>15266236.414843004</v>
      </c>
      <c r="E20" s="17">
        <f>SUM(E$19:E19)</f>
        <v>-283442.02355059516</v>
      </c>
      <c r="F20" s="17">
        <f>SUM(F$19:F19)</f>
        <v>0</v>
      </c>
      <c r="G20" s="16"/>
      <c r="H20" s="16"/>
      <c r="I20" s="16"/>
      <c r="J20" s="16"/>
      <c r="K20" s="16"/>
      <c r="L20" s="66" t="s">
        <v>547</v>
      </c>
      <c r="M20" s="66">
        <v>-1.5760392733614292E-2</v>
      </c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</row>
    <row r="21" spans="1:30" ht="12" customHeight="1" x14ac:dyDescent="0.2">
      <c r="A21" s="159"/>
      <c r="B21" s="158" t="s">
        <v>503</v>
      </c>
      <c r="C21" s="53" t="s">
        <v>504</v>
      </c>
      <c r="D21" s="17"/>
      <c r="E21" s="17">
        <f>IF($D$47&lt;&gt;0,(1-$D$46/$D$47)*-10683598.7028357,0)+0</f>
        <v>-6880851.7402948737</v>
      </c>
      <c r="F21" s="17"/>
      <c r="G21" s="16"/>
      <c r="H21" s="16"/>
      <c r="I21" s="16"/>
      <c r="J21" s="16"/>
      <c r="K21" s="16"/>
      <c r="L21" s="66" t="s">
        <v>548</v>
      </c>
      <c r="M21" s="66">
        <v>0</v>
      </c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</row>
    <row r="22" spans="1:30" ht="12" customHeight="1" x14ac:dyDescent="0.2">
      <c r="A22" s="159"/>
      <c r="B22" s="159"/>
      <c r="C22" s="53" t="s">
        <v>505</v>
      </c>
      <c r="D22" s="17"/>
      <c r="E22" s="17"/>
      <c r="F22" s="17"/>
      <c r="G22" s="16"/>
      <c r="H22" s="16"/>
      <c r="I22" s="16"/>
      <c r="J22" s="16"/>
      <c r="K22" s="16"/>
      <c r="L22" s="66" t="s">
        <v>570</v>
      </c>
      <c r="M22" s="66">
        <v>385455.71101545799</v>
      </c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</row>
    <row r="23" spans="1:30" ht="12" customHeight="1" x14ac:dyDescent="0.2">
      <c r="A23" s="159"/>
      <c r="B23" s="160"/>
      <c r="C23" s="53" t="s">
        <v>492</v>
      </c>
      <c r="D23" s="17">
        <f>SUM(D$21:D22)</f>
        <v>0</v>
      </c>
      <c r="E23" s="17">
        <f>SUM(E$21:E22)</f>
        <v>-6880851.7402948737</v>
      </c>
      <c r="F23" s="17">
        <f>SUM(F$21:F22)</f>
        <v>0</v>
      </c>
      <c r="G23" s="16"/>
      <c r="H23" s="16"/>
      <c r="I23" s="16"/>
      <c r="J23" s="16"/>
      <c r="K23" s="16"/>
      <c r="L23" s="66" t="s">
        <v>549</v>
      </c>
      <c r="M23" s="66">
        <v>23</v>
      </c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</row>
    <row r="24" spans="1:30" ht="12" customHeight="1" x14ac:dyDescent="0.2">
      <c r="A24" s="159"/>
      <c r="B24" s="158" t="s">
        <v>506</v>
      </c>
      <c r="C24" s="53" t="s">
        <v>507</v>
      </c>
      <c r="D24" s="17">
        <f>$M$14*$M$8</f>
        <v>1547903.6532732847</v>
      </c>
      <c r="E24" s="17">
        <f>$M$16*$M$8/$M$12</f>
        <v>5681.6485744174561</v>
      </c>
      <c r="F24" s="17">
        <f>$M$17*$M$8/$M$12</f>
        <v>65906.28863332489</v>
      </c>
      <c r="G24" s="16"/>
      <c r="H24" s="16"/>
      <c r="I24" s="16"/>
      <c r="J24" s="16"/>
      <c r="K24" s="16"/>
      <c r="L24" s="66" t="s">
        <v>550</v>
      </c>
      <c r="M24" s="66">
        <v>0</v>
      </c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</row>
    <row r="25" spans="1:30" ht="12" customHeight="1" x14ac:dyDescent="0.2">
      <c r="A25" s="159"/>
      <c r="B25" s="159"/>
      <c r="C25" s="53" t="s">
        <v>508</v>
      </c>
      <c r="D25" s="17">
        <f>$M$14*$M$10</f>
        <v>0</v>
      </c>
      <c r="E25" s="17">
        <f>$M$16*$M$10/$M$12</f>
        <v>0</v>
      </c>
      <c r="F25" s="17">
        <f>$M$17*$M$10/$M$12</f>
        <v>0</v>
      </c>
      <c r="G25" s="16"/>
      <c r="H25" s="16"/>
      <c r="I25" s="16"/>
      <c r="J25" s="16"/>
      <c r="K25" s="16"/>
      <c r="L25" s="66" t="s">
        <v>551</v>
      </c>
      <c r="M25" s="66">
        <v>0</v>
      </c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</row>
    <row r="26" spans="1:30" ht="12" customHeight="1" x14ac:dyDescent="0.2">
      <c r="A26" s="159"/>
      <c r="B26" s="159"/>
      <c r="C26" s="53" t="s">
        <v>509</v>
      </c>
      <c r="D26" s="17">
        <f>$M$14*$M$9</f>
        <v>77962.38737927188</v>
      </c>
      <c r="E26" s="17">
        <f>$M$16*$M$9/$M$12</f>
        <v>286.16437862584286</v>
      </c>
      <c r="F26" s="17">
        <f>$M$17*$M$9/$M$12</f>
        <v>3319.4647446537288</v>
      </c>
      <c r="G26" s="16"/>
      <c r="H26" s="16"/>
      <c r="I26" s="16"/>
      <c r="J26" s="16"/>
      <c r="K26" s="16"/>
      <c r="L26" s="66" t="s">
        <v>552</v>
      </c>
      <c r="M26" s="66">
        <v>0</v>
      </c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</row>
    <row r="27" spans="1:30" ht="12" customHeight="1" x14ac:dyDescent="0.2">
      <c r="A27" s="159"/>
      <c r="B27" s="159"/>
      <c r="C27" s="53" t="s">
        <v>510</v>
      </c>
      <c r="D27" s="17">
        <v>32354.008021129412</v>
      </c>
      <c r="E27" s="17">
        <v>15165.650568105193</v>
      </c>
      <c r="F27" s="17">
        <v>0</v>
      </c>
      <c r="G27" s="16"/>
      <c r="H27" s="16"/>
      <c r="I27" s="16"/>
      <c r="J27" s="16"/>
      <c r="K27" s="16"/>
      <c r="L27" s="66" t="s">
        <v>553</v>
      </c>
      <c r="M27" s="66">
        <v>0</v>
      </c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</row>
    <row r="28" spans="1:30" ht="12" customHeight="1" x14ac:dyDescent="0.2">
      <c r="A28" s="159"/>
      <c r="B28" s="160"/>
      <c r="C28" s="53" t="s">
        <v>492</v>
      </c>
      <c r="D28" s="17">
        <f>SUM(D$24:D27)</f>
        <v>1658220.0486736861</v>
      </c>
      <c r="E28" s="17">
        <f>SUM(E$24:E27)</f>
        <v>21133.463521148493</v>
      </c>
      <c r="F28" s="17">
        <f>SUM(F$24:F27)</f>
        <v>69225.753377978617</v>
      </c>
      <c r="G28" s="16"/>
      <c r="H28" s="16"/>
      <c r="I28" s="16"/>
      <c r="J28" s="16"/>
      <c r="K28" s="16"/>
      <c r="L28" s="66" t="s">
        <v>554</v>
      </c>
      <c r="M28" s="66">
        <v>0</v>
      </c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</row>
    <row r="29" spans="1:30" ht="12" customHeight="1" x14ac:dyDescent="0.2">
      <c r="A29" s="160"/>
      <c r="B29" s="161" t="s">
        <v>492</v>
      </c>
      <c r="C29" s="162"/>
      <c r="D29" s="17">
        <f>SUMIF(C$2:C28,"SUBTOTAL",D$2:D28)</f>
        <v>38446240.685435116</v>
      </c>
      <c r="E29" s="17">
        <f>SUMIF(C$2:C28,"SUBTOTAL",E$2:E28)</f>
        <v>-7901635.4114363939</v>
      </c>
      <c r="F29" s="17">
        <f>SUMIF(C$2:C28,"SUBTOTAL",F$2:F28)</f>
        <v>2747808.5275215302</v>
      </c>
      <c r="G29" s="16"/>
      <c r="H29" s="16"/>
      <c r="I29" s="16"/>
      <c r="J29" s="16"/>
      <c r="K29" s="16"/>
      <c r="L29" s="66" t="s">
        <v>555</v>
      </c>
      <c r="M29" s="66">
        <v>0</v>
      </c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</row>
    <row r="30" spans="1:30" ht="12" customHeight="1" x14ac:dyDescent="0.2">
      <c r="A30" s="158" t="s">
        <v>511</v>
      </c>
      <c r="B30" s="158" t="s">
        <v>484</v>
      </c>
      <c r="C30" s="53" t="s">
        <v>486</v>
      </c>
      <c r="D30" s="17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217388.68030113468</v>
      </c>
      <c r="E30" s="17">
        <f>IF((D30+D$4)&lt;&gt;0,$M$20*D30/(D30+D$4),0)</f>
        <v>-8.8885204693480453E-3</v>
      </c>
      <c r="F30" s="17">
        <f>IF((D30+D$4)&lt;&gt;0,$M$21*D30/(D30+D$4),0)</f>
        <v>0</v>
      </c>
      <c r="G30" s="16"/>
      <c r="H30" s="16"/>
      <c r="I30" s="16"/>
      <c r="J30" s="16"/>
      <c r="K30" s="16"/>
      <c r="L30" s="66" t="s">
        <v>556</v>
      </c>
      <c r="M30" s="66">
        <v>0</v>
      </c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</row>
    <row r="31" spans="1:30" ht="12" customHeight="1" x14ac:dyDescent="0.2">
      <c r="A31" s="159"/>
      <c r="B31" s="159"/>
      <c r="C31" s="53" t="s">
        <v>512</v>
      </c>
      <c r="D31" s="17">
        <v>0</v>
      </c>
      <c r="E31" s="17">
        <v>0</v>
      </c>
      <c r="F31" s="17">
        <v>0</v>
      </c>
      <c r="G31" s="16"/>
      <c r="H31" s="16"/>
      <c r="I31" s="16"/>
      <c r="J31" s="16"/>
      <c r="K31" s="16"/>
      <c r="L31" s="66" t="s">
        <v>557</v>
      </c>
      <c r="M31" s="66">
        <v>0</v>
      </c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</row>
    <row r="32" spans="1:30" ht="12" customHeight="1" x14ac:dyDescent="0.2">
      <c r="A32" s="159"/>
      <c r="B32" s="159"/>
      <c r="C32" s="53" t="s">
        <v>513</v>
      </c>
      <c r="D32" s="17">
        <v>0</v>
      </c>
      <c r="E32" s="17">
        <v>0</v>
      </c>
      <c r="F32" s="17">
        <v>0</v>
      </c>
      <c r="G32" s="16"/>
      <c r="H32" s="16"/>
      <c r="I32" s="16"/>
      <c r="J32" s="16"/>
      <c r="K32" s="16"/>
      <c r="L32" s="66" t="s">
        <v>558</v>
      </c>
      <c r="M32" s="66">
        <v>0.45</v>
      </c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</row>
    <row r="33" spans="1:30" ht="12" customHeight="1" x14ac:dyDescent="0.2">
      <c r="A33" s="159"/>
      <c r="B33" s="159"/>
      <c r="C33" s="53" t="s">
        <v>572</v>
      </c>
      <c r="D33" s="17">
        <v>640267.50349107874</v>
      </c>
      <c r="E33" s="17">
        <v>-51214.334036968139</v>
      </c>
      <c r="F33" s="17">
        <v>42001.435756448831</v>
      </c>
      <c r="G33" s="16"/>
      <c r="H33" s="16"/>
      <c r="I33" s="16"/>
      <c r="J33" s="16"/>
      <c r="K33" s="16"/>
      <c r="L33" s="66" t="s">
        <v>559</v>
      </c>
      <c r="M33" s="66">
        <v>0.4</v>
      </c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</row>
    <row r="34" spans="1:30" ht="12" customHeight="1" x14ac:dyDescent="0.2">
      <c r="A34" s="159"/>
      <c r="B34" s="159"/>
      <c r="C34" s="53" t="s">
        <v>514</v>
      </c>
      <c r="D34" s="17"/>
      <c r="E34" s="17"/>
      <c r="F34" s="17"/>
      <c r="G34" s="16"/>
      <c r="H34" s="16"/>
      <c r="I34" s="16"/>
      <c r="J34" s="16"/>
      <c r="K34" s="16"/>
      <c r="L34" s="66" t="s">
        <v>560</v>
      </c>
      <c r="M34" s="66">
        <v>0.65</v>
      </c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</row>
    <row r="35" spans="1:30" ht="12" customHeight="1" x14ac:dyDescent="0.2">
      <c r="A35" s="159"/>
      <c r="B35" s="160"/>
      <c r="C35" s="53" t="s">
        <v>492</v>
      </c>
      <c r="D35" s="17">
        <f>SUM(D$30:D34)</f>
        <v>857656.18379221344</v>
      </c>
      <c r="E35" s="17">
        <f>SUM(E$30:E34)</f>
        <v>-51214.342925488607</v>
      </c>
      <c r="F35" s="17">
        <f>SUM(F$30:F34)</f>
        <v>42001.435756448831</v>
      </c>
      <c r="G35" s="16"/>
      <c r="H35" s="16"/>
      <c r="I35" s="16"/>
      <c r="J35" s="16"/>
      <c r="K35" s="16"/>
      <c r="L35" s="66" t="s">
        <v>561</v>
      </c>
      <c r="M35" s="66">
        <v>0.4</v>
      </c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</row>
    <row r="36" spans="1:30" ht="12" customHeight="1" x14ac:dyDescent="0.2">
      <c r="A36" s="159"/>
      <c r="B36" s="158" t="s">
        <v>515</v>
      </c>
      <c r="C36" s="53" t="s">
        <v>516</v>
      </c>
      <c r="D36" s="17">
        <f>$M$14*($M$12-$M$7)</f>
        <v>20389905.96487087</v>
      </c>
      <c r="E36" s="17">
        <f>$M$16*($M$12-$M$7)/$M$12</f>
        <v>74842.048413565804</v>
      </c>
      <c r="F36" s="17">
        <f>$M$17*($M$12-$M$7)/$M$12</f>
        <v>868156.7647220213</v>
      </c>
      <c r="G36" s="16"/>
      <c r="H36" s="16"/>
      <c r="I36" s="16"/>
      <c r="J36" s="16"/>
      <c r="K36" s="16"/>
      <c r="L36" s="66" t="s">
        <v>562</v>
      </c>
      <c r="M36" s="66">
        <v>0.1</v>
      </c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</row>
    <row r="37" spans="1:30" ht="12" customHeight="1" x14ac:dyDescent="0.2">
      <c r="A37" s="159"/>
      <c r="B37" s="160"/>
      <c r="C37" s="53" t="s">
        <v>492</v>
      </c>
      <c r="D37" s="17">
        <f>SUM(D$36:D36)</f>
        <v>20389905.96487087</v>
      </c>
      <c r="E37" s="17">
        <f>SUM(E$36:E36)</f>
        <v>74842.048413565804</v>
      </c>
      <c r="F37" s="17">
        <f>SUM(F$36:F36)</f>
        <v>868156.7647220213</v>
      </c>
      <c r="G37" s="16"/>
      <c r="H37" s="16"/>
      <c r="I37" s="16"/>
      <c r="J37" s="16"/>
      <c r="K37" s="16"/>
      <c r="L37" s="66" t="s">
        <v>563</v>
      </c>
      <c r="M37" s="66">
        <v>0</v>
      </c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</row>
    <row r="38" spans="1:30" ht="12" customHeight="1" x14ac:dyDescent="0.2">
      <c r="A38" s="159"/>
      <c r="B38" s="158" t="s">
        <v>493</v>
      </c>
      <c r="C38" s="53" t="s">
        <v>517</v>
      </c>
      <c r="D38" s="17">
        <v>0</v>
      </c>
      <c r="E38" s="17">
        <v>0</v>
      </c>
      <c r="F38" s="17">
        <v>0</v>
      </c>
      <c r="G38" s="16"/>
      <c r="H38" s="16"/>
      <c r="I38" s="16"/>
      <c r="J38" s="16"/>
      <c r="K38" s="16"/>
      <c r="L38" s="66" t="s">
        <v>564</v>
      </c>
      <c r="M38" s="66">
        <f>IFERROR(VLOOKUP("Convencional1RuralNão se aplicaRURALB2",Descontos!B1:U88,VLOOKUP("Convencional1RuralNão se aplicaRURALB2",Descontos!B1:U88,20,FALSE)+12,FALSE),100)</f>
        <v>0.06</v>
      </c>
      <c r="N38" s="16" t="s">
        <v>1125</v>
      </c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</row>
    <row r="39" spans="1:30" ht="12" customHeight="1" x14ac:dyDescent="0.2">
      <c r="A39" s="159"/>
      <c r="B39" s="159"/>
      <c r="C39" s="53" t="s">
        <v>518</v>
      </c>
      <c r="D39" s="17">
        <v>0</v>
      </c>
      <c r="E39" s="17">
        <v>0</v>
      </c>
      <c r="F39" s="17">
        <f>IF((+$D$11+$D$12+$D$16+$D$17+$D$39)&lt;&gt;0,$M$19*$D$39/(+$D$11+$D$12+$D$16+$D$17+$D$39),0)</f>
        <v>0</v>
      </c>
      <c r="G39" s="16"/>
      <c r="H39" s="16"/>
      <c r="I39" s="16"/>
      <c r="J39" s="16"/>
      <c r="K39" s="16"/>
      <c r="L39" s="66" t="s">
        <v>565</v>
      </c>
      <c r="M39" s="66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6">
        <v>0.3</v>
      </c>
      <c r="O39" s="16" t="s">
        <v>1126</v>
      </c>
      <c r="P39" s="16" t="s">
        <v>1127</v>
      </c>
      <c r="Q39" s="16" t="s">
        <v>1128</v>
      </c>
      <c r="R39" s="16" t="s">
        <v>1129</v>
      </c>
      <c r="S39" s="16" t="s">
        <v>1</v>
      </c>
      <c r="T39" s="16" t="s">
        <v>1130</v>
      </c>
      <c r="U39" s="16"/>
      <c r="V39" s="16"/>
      <c r="W39" s="16"/>
      <c r="X39" s="16"/>
      <c r="Y39" s="16"/>
      <c r="Z39" s="16"/>
      <c r="AA39" s="16"/>
      <c r="AB39" s="16"/>
      <c r="AC39" s="16"/>
      <c r="AD39" s="16"/>
    </row>
    <row r="40" spans="1:30" ht="12" customHeight="1" x14ac:dyDescent="0.25">
      <c r="A40" s="159"/>
      <c r="B40" s="159"/>
      <c r="C40" s="53" t="s">
        <v>519</v>
      </c>
      <c r="D40" s="17"/>
      <c r="E40" s="17">
        <v>0</v>
      </c>
      <c r="F40" s="17">
        <v>0</v>
      </c>
      <c r="G40" s="16"/>
      <c r="H40" s="16"/>
      <c r="I40" s="16"/>
      <c r="J40" s="16"/>
      <c r="K40" s="16"/>
      <c r="L40" s="66" t="s">
        <v>566</v>
      </c>
      <c r="M40" s="66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6">
        <v>0.4</v>
      </c>
      <c r="O40" s="81"/>
      <c r="P40" s="81"/>
      <c r="Q40" s="81"/>
      <c r="R40" s="81"/>
      <c r="S40" s="81"/>
      <c r="T40" s="81"/>
      <c r="U40" s="16"/>
      <c r="V40" s="16"/>
      <c r="W40" s="16"/>
      <c r="X40" s="16"/>
      <c r="Y40" s="16"/>
      <c r="Z40" s="16"/>
      <c r="AA40" s="16"/>
      <c r="AB40" s="16"/>
      <c r="AC40" s="16"/>
      <c r="AD40" s="16"/>
    </row>
    <row r="41" spans="1:30" ht="12" customHeight="1" x14ac:dyDescent="0.25">
      <c r="A41" s="159"/>
      <c r="B41" s="160"/>
      <c r="C41" s="53" t="s">
        <v>492</v>
      </c>
      <c r="D41" s="17">
        <f>SUM(D$38:D40)</f>
        <v>0</v>
      </c>
      <c r="E41" s="17">
        <f>SUM(E$38:E40)</f>
        <v>0</v>
      </c>
      <c r="F41" s="17">
        <f>SUM(F$38:F40)</f>
        <v>0</v>
      </c>
      <c r="G41" s="16"/>
      <c r="H41" s="16"/>
      <c r="I41" s="16"/>
      <c r="J41" s="16"/>
      <c r="K41" s="16"/>
      <c r="L41" s="16"/>
      <c r="M41" s="16"/>
      <c r="N41" s="16"/>
      <c r="O41" s="81"/>
      <c r="P41" s="81"/>
      <c r="Q41" s="81"/>
      <c r="R41" s="81"/>
      <c r="S41" s="81"/>
      <c r="T41" s="81"/>
      <c r="U41" s="16"/>
      <c r="V41" s="16"/>
      <c r="W41" s="16"/>
      <c r="X41" s="16"/>
      <c r="Y41" s="16"/>
      <c r="Z41" s="16"/>
      <c r="AA41" s="16"/>
      <c r="AB41" s="16"/>
      <c r="AC41" s="16"/>
      <c r="AD41" s="16"/>
    </row>
    <row r="42" spans="1:30" ht="12" customHeight="1" x14ac:dyDescent="0.25">
      <c r="A42" s="159"/>
      <c r="B42" s="158" t="s">
        <v>503</v>
      </c>
      <c r="C42" s="53" t="s">
        <v>504</v>
      </c>
      <c r="D42" s="17"/>
      <c r="E42" s="17">
        <f>IF($D$47&lt;&gt;0,($D$46/$D$47)* -10683598.7028357,0)+0</f>
        <v>-3802746.9625408254</v>
      </c>
      <c r="F42" s="17"/>
      <c r="G42" s="16"/>
      <c r="H42" s="16"/>
      <c r="I42" s="16"/>
      <c r="J42" s="16"/>
      <c r="K42" s="16"/>
      <c r="L42" s="16"/>
      <c r="M42" s="16"/>
      <c r="N42" s="16"/>
      <c r="O42" s="81"/>
      <c r="P42" s="81"/>
      <c r="Q42" s="81"/>
      <c r="R42" s="81"/>
      <c r="S42" s="81"/>
      <c r="T42" s="81"/>
      <c r="U42" s="16"/>
      <c r="V42" s="16"/>
      <c r="W42" s="16"/>
      <c r="X42" s="16"/>
      <c r="Y42" s="16"/>
      <c r="Z42" s="16"/>
      <c r="AA42" s="16"/>
      <c r="AB42" s="16"/>
      <c r="AC42" s="16"/>
      <c r="AD42" s="16"/>
    </row>
    <row r="43" spans="1:30" ht="12" customHeight="1" x14ac:dyDescent="0.25">
      <c r="A43" s="159"/>
      <c r="B43" s="160"/>
      <c r="C43" s="53" t="s">
        <v>492</v>
      </c>
      <c r="D43" s="17">
        <f>SUM(D$42:D42)</f>
        <v>0</v>
      </c>
      <c r="E43" s="17">
        <f>SUM(E$42:E42)</f>
        <v>-3802746.9625408254</v>
      </c>
      <c r="F43" s="17">
        <f>SUM(F$42:F42)</f>
        <v>0</v>
      </c>
      <c r="G43" s="16"/>
      <c r="H43" s="16"/>
      <c r="I43" s="16"/>
      <c r="J43" s="16"/>
      <c r="K43" s="16"/>
      <c r="L43" s="16"/>
      <c r="M43" s="16"/>
      <c r="N43" s="16"/>
      <c r="O43" s="81"/>
      <c r="P43" s="81"/>
      <c r="Q43" s="81"/>
      <c r="R43" s="81"/>
      <c r="S43" s="81"/>
      <c r="T43" s="81"/>
      <c r="U43" s="16"/>
      <c r="V43" s="16"/>
      <c r="W43" s="16"/>
      <c r="X43" s="16"/>
      <c r="Y43" s="16"/>
      <c r="Z43" s="16"/>
      <c r="AA43" s="16"/>
      <c r="AB43" s="16"/>
      <c r="AC43" s="16"/>
      <c r="AD43" s="16"/>
    </row>
    <row r="44" spans="1:30" ht="12" customHeight="1" x14ac:dyDescent="0.25">
      <c r="A44" s="159"/>
      <c r="B44" s="158" t="s">
        <v>506</v>
      </c>
      <c r="C44" s="53" t="s">
        <v>520</v>
      </c>
      <c r="D44" s="17">
        <f>$M$14*$M$11</f>
        <v>0</v>
      </c>
      <c r="E44" s="17">
        <f>$M$16*$M$11/$M$12</f>
        <v>0</v>
      </c>
      <c r="F44" s="17">
        <f>$M$17*$M$11/$M$12</f>
        <v>0</v>
      </c>
      <c r="G44" s="16"/>
      <c r="H44" s="16"/>
      <c r="I44" s="16"/>
      <c r="J44" s="16"/>
      <c r="K44" s="16"/>
      <c r="L44" s="16"/>
      <c r="M44" s="16"/>
      <c r="N44" s="16"/>
      <c r="O44" s="81"/>
      <c r="P44" s="81"/>
      <c r="Q44" s="81"/>
      <c r="R44" s="81"/>
      <c r="S44" s="81"/>
      <c r="T44" s="81"/>
      <c r="U44" s="16"/>
      <c r="V44" s="16"/>
      <c r="W44" s="16"/>
      <c r="X44" s="16"/>
      <c r="Y44" s="16"/>
      <c r="Z44" s="16"/>
      <c r="AA44" s="16"/>
      <c r="AB44" s="16"/>
      <c r="AC44" s="16"/>
      <c r="AD44" s="16"/>
    </row>
    <row r="45" spans="1:30" ht="12" customHeight="1" x14ac:dyDescent="0.25">
      <c r="A45" s="159"/>
      <c r="B45" s="160"/>
      <c r="C45" s="53" t="s">
        <v>492</v>
      </c>
      <c r="D45" s="17">
        <f>SUM(D$44:D44)</f>
        <v>0</v>
      </c>
      <c r="E45" s="17">
        <f>SUM(E$44:E44)</f>
        <v>0</v>
      </c>
      <c r="F45" s="17">
        <f>SUM(F$44:F44)</f>
        <v>0</v>
      </c>
      <c r="G45" s="16"/>
      <c r="H45" s="16"/>
      <c r="I45" s="16"/>
      <c r="J45" s="16"/>
      <c r="K45" s="16"/>
      <c r="L45" s="16"/>
      <c r="M45" s="16"/>
      <c r="N45" s="16"/>
      <c r="O45" s="81"/>
      <c r="P45" s="81"/>
      <c r="Q45" s="81"/>
      <c r="R45" s="81"/>
      <c r="S45" s="81"/>
      <c r="T45" s="81"/>
      <c r="U45" s="16"/>
      <c r="V45" s="16"/>
      <c r="W45" s="16"/>
      <c r="X45" s="16"/>
      <c r="Y45" s="16"/>
      <c r="Z45" s="16"/>
      <c r="AA45" s="16"/>
      <c r="AB45" s="16"/>
      <c r="AC45" s="16"/>
      <c r="AD45" s="16"/>
    </row>
    <row r="46" spans="1:30" ht="12" customHeight="1" x14ac:dyDescent="0.25">
      <c r="A46" s="160"/>
      <c r="B46" s="161" t="s">
        <v>492</v>
      </c>
      <c r="C46" s="162"/>
      <c r="D46" s="17">
        <f>SUMIF(C$30:C45,"SUBTOTAL",D$30:D45)</f>
        <v>21247562.148663085</v>
      </c>
      <c r="E46" s="17">
        <f>SUMIF(C$30:C45,"SUBTOTAL",E$30:E45)</f>
        <v>-3779119.257052748</v>
      </c>
      <c r="F46" s="17">
        <f>SUMIF(C$30:C45,"SUBTOTAL",F$30:F45)</f>
        <v>910158.20047847019</v>
      </c>
      <c r="G46" s="16"/>
      <c r="H46" s="16"/>
      <c r="I46" s="16"/>
      <c r="J46" s="16"/>
      <c r="K46" s="16"/>
      <c r="L46" s="16"/>
      <c r="M46" s="16"/>
      <c r="N46" s="16"/>
      <c r="O46" s="81"/>
      <c r="P46" s="81"/>
      <c r="Q46" s="81"/>
      <c r="R46" s="81"/>
      <c r="S46" s="81"/>
      <c r="T46" s="81"/>
      <c r="U46" s="16"/>
      <c r="V46" s="16"/>
      <c r="W46" s="16"/>
      <c r="X46" s="16"/>
      <c r="Y46" s="16"/>
      <c r="Z46" s="16"/>
      <c r="AA46" s="16"/>
      <c r="AB46" s="16"/>
      <c r="AC46" s="16"/>
      <c r="AD46" s="16"/>
    </row>
    <row r="47" spans="1:30" ht="12" customHeight="1" x14ac:dyDescent="0.25">
      <c r="A47" s="161" t="s">
        <v>521</v>
      </c>
      <c r="B47" s="165"/>
      <c r="C47" s="162"/>
      <c r="D47" s="17">
        <f>SUMIF(C$2:C46,"SUBTOTAL",D$2:D46)</f>
        <v>59693802.834098198</v>
      </c>
      <c r="E47" s="17">
        <f>SUMIF(C$2:C46,"SUBTOTAL",E$2:E46)</f>
        <v>-11680754.668489143</v>
      </c>
      <c r="F47" s="17">
        <f>SUMIF(C$2:C46,"SUBTOTAL",F$2:F46)</f>
        <v>3657966.7280000001</v>
      </c>
      <c r="G47" s="16"/>
      <c r="H47" s="16"/>
      <c r="I47" s="16"/>
      <c r="J47" s="16"/>
      <c r="K47" s="16"/>
      <c r="L47" s="16"/>
      <c r="M47" s="16"/>
      <c r="N47" s="16"/>
      <c r="O47" s="81"/>
      <c r="P47" s="81"/>
      <c r="Q47" s="81"/>
      <c r="R47" s="81"/>
      <c r="S47" s="81"/>
      <c r="T47" s="81"/>
      <c r="U47" s="16"/>
      <c r="V47" s="16"/>
      <c r="W47" s="16"/>
      <c r="X47" s="16"/>
      <c r="Y47" s="16"/>
      <c r="Z47" s="16"/>
      <c r="AA47" s="16"/>
      <c r="AB47" s="16"/>
      <c r="AC47" s="16"/>
      <c r="AD47" s="16"/>
    </row>
    <row r="48" spans="1:30" ht="12" customHeight="1" x14ac:dyDescent="0.25">
      <c r="A48" s="163" t="s">
        <v>1121</v>
      </c>
      <c r="B48" s="164"/>
      <c r="C48" s="164"/>
      <c r="D48" s="75">
        <f ca="1">'TUSD BE'!$AM$53+'TUSD BE'!$AM$57+'TE BE'!$AB$45</f>
        <v>59693802.834098205</v>
      </c>
      <c r="E48" s="75">
        <f ca="1">'TUSD BF'!$AM$53+'TE BF'!$AB$45</f>
        <v>-11680754.668489143</v>
      </c>
      <c r="F48" s="75">
        <f ca="1">'TUSD CVA'!$AM$53+'TE CVA'!$AB$45</f>
        <v>3657966.7280000006</v>
      </c>
      <c r="L48" s="140"/>
      <c r="M48" s="66"/>
      <c r="O48" s="81"/>
      <c r="P48" s="81"/>
      <c r="Q48" s="81"/>
      <c r="R48" s="81"/>
      <c r="S48" s="81"/>
      <c r="T48" s="81"/>
    </row>
    <row r="49" spans="1:20" ht="12" customHeight="1" x14ac:dyDescent="0.25">
      <c r="A49" s="163" t="s">
        <v>1122</v>
      </c>
      <c r="B49" s="164"/>
      <c r="C49" s="164"/>
      <c r="D49" s="76" t="str">
        <f ca="1">IF(ABS(D48-D47)&gt;1,"ERRO","OK")</f>
        <v>OK</v>
      </c>
      <c r="E49" s="76" t="str">
        <f ca="1">IF(ABS(E48-E47)&gt;1,"ERRO","OK")</f>
        <v>OK</v>
      </c>
      <c r="F49" s="76" t="str">
        <f ca="1">IF(ABS(F48-F47)&gt;1,"ERRO","OK")</f>
        <v>OK</v>
      </c>
      <c r="L49" s="140"/>
      <c r="M49" s="66"/>
      <c r="O49" s="81"/>
      <c r="P49" s="81"/>
      <c r="Q49" s="81"/>
      <c r="R49" s="81"/>
      <c r="S49" s="81"/>
      <c r="T49" s="81"/>
    </row>
    <row r="50" spans="1:20" ht="12" customHeight="1" x14ac:dyDescent="0.25">
      <c r="L50" s="140"/>
      <c r="M50" s="66"/>
      <c r="O50" s="81"/>
      <c r="P50" s="81"/>
      <c r="Q50" s="81"/>
      <c r="R50" s="81"/>
      <c r="S50" s="81"/>
      <c r="T50" s="81"/>
    </row>
    <row r="51" spans="1:20" ht="12" customHeight="1" x14ac:dyDescent="0.25">
      <c r="L51" s="87" t="s">
        <v>567</v>
      </c>
      <c r="M51" s="91">
        <v>0</v>
      </c>
      <c r="O51" s="81"/>
      <c r="P51" s="81"/>
      <c r="Q51" s="81"/>
      <c r="R51" s="81"/>
      <c r="S51" s="81"/>
      <c r="T51" s="81"/>
    </row>
    <row r="52" spans="1:20" ht="12" customHeight="1" x14ac:dyDescent="0.25">
      <c r="D52" s="15">
        <v>59693802.834098205</v>
      </c>
      <c r="E52" s="15">
        <v>-8022787.9404891245</v>
      </c>
      <c r="O52" s="81"/>
      <c r="P52" s="81"/>
      <c r="Q52" s="81"/>
      <c r="R52" s="81"/>
      <c r="S52" s="81"/>
      <c r="T52" s="81"/>
    </row>
    <row r="53" spans="1:20" ht="12" customHeight="1" x14ac:dyDescent="0.25">
      <c r="D53" s="146">
        <f ca="1">D52-D48</f>
        <v>0</v>
      </c>
      <c r="E53" s="146">
        <f ca="1">E52-E48-F48</f>
        <v>1.8160790205001831E-8</v>
      </c>
      <c r="O53" s="81"/>
      <c r="P53" s="81"/>
      <c r="Q53" s="81"/>
      <c r="R53" s="81"/>
      <c r="S53" s="81"/>
      <c r="T53" s="81"/>
    </row>
    <row r="54" spans="1:20" ht="12" customHeight="1" x14ac:dyDescent="0.25">
      <c r="O54" s="81"/>
      <c r="P54" s="81"/>
      <c r="Q54" s="81"/>
      <c r="R54" s="81"/>
      <c r="S54" s="81"/>
      <c r="T54" s="81"/>
    </row>
    <row r="55" spans="1:20" ht="12" customHeight="1" x14ac:dyDescent="0.25">
      <c r="O55" s="81"/>
      <c r="P55" s="81"/>
      <c r="Q55" s="81"/>
      <c r="R55" s="81"/>
      <c r="S55" s="81"/>
      <c r="T55" s="81"/>
    </row>
    <row r="56" spans="1:20" ht="12" customHeight="1" x14ac:dyDescent="0.25">
      <c r="O56" s="81"/>
      <c r="P56" s="81"/>
      <c r="Q56" s="81"/>
      <c r="R56" s="81"/>
      <c r="S56" s="81"/>
      <c r="T56" s="81"/>
    </row>
    <row r="57" spans="1:20" ht="12" customHeight="1" x14ac:dyDescent="0.25">
      <c r="O57" s="81"/>
      <c r="P57" s="81"/>
      <c r="Q57" s="81"/>
      <c r="R57" s="81"/>
      <c r="S57" s="81"/>
      <c r="T57" s="81"/>
    </row>
    <row r="58" spans="1:20" ht="12" customHeight="1" x14ac:dyDescent="0.25">
      <c r="O58" s="81"/>
      <c r="P58" s="81"/>
      <c r="Q58" s="81"/>
      <c r="R58" s="81"/>
      <c r="S58" s="81"/>
      <c r="T58" s="81"/>
    </row>
    <row r="59" spans="1:20" ht="12" customHeight="1" x14ac:dyDescent="0.25">
      <c r="O59" s="81"/>
      <c r="P59" s="81"/>
      <c r="Q59" s="81"/>
      <c r="R59" s="81"/>
      <c r="S59" s="81"/>
      <c r="T59" s="81"/>
    </row>
    <row r="60" spans="1:20" ht="12" customHeight="1" x14ac:dyDescent="0.25">
      <c r="O60" s="81"/>
      <c r="P60" s="81"/>
      <c r="Q60" s="81"/>
      <c r="R60" s="81"/>
      <c r="S60" s="81"/>
      <c r="T60" s="81"/>
    </row>
    <row r="61" spans="1:20" ht="12" customHeight="1" x14ac:dyDescent="0.25">
      <c r="O61" s="81"/>
      <c r="P61" s="81"/>
      <c r="Q61" s="81"/>
      <c r="R61" s="81"/>
      <c r="S61" s="81"/>
      <c r="T61" s="81"/>
    </row>
    <row r="62" spans="1:20" ht="12" customHeight="1" x14ac:dyDescent="0.25">
      <c r="O62" s="81"/>
      <c r="P62" s="81"/>
      <c r="Q62" s="81"/>
      <c r="R62" s="81"/>
      <c r="S62" s="81"/>
      <c r="T62" s="81"/>
    </row>
    <row r="63" spans="1:20" ht="12" customHeight="1" x14ac:dyDescent="0.25">
      <c r="O63" s="81"/>
      <c r="P63" s="81"/>
      <c r="Q63" s="81"/>
      <c r="R63" s="81"/>
      <c r="S63" s="81"/>
      <c r="T63" s="81"/>
    </row>
    <row r="64" spans="1:20" ht="12" customHeight="1" x14ac:dyDescent="0.25">
      <c r="O64" s="81"/>
      <c r="P64" s="81"/>
      <c r="Q64" s="81"/>
      <c r="R64" s="81"/>
      <c r="S64" s="81"/>
      <c r="T64" s="81"/>
    </row>
    <row r="65" spans="15:20" ht="12" customHeight="1" x14ac:dyDescent="0.25">
      <c r="O65" s="81"/>
      <c r="P65" s="81"/>
      <c r="Q65" s="81"/>
      <c r="R65" s="81"/>
      <c r="S65" s="81"/>
      <c r="T65" s="81"/>
    </row>
    <row r="66" spans="15:20" ht="12" customHeight="1" x14ac:dyDescent="0.25">
      <c r="O66" s="81"/>
      <c r="P66" s="81"/>
      <c r="Q66" s="81"/>
      <c r="R66" s="81"/>
      <c r="S66" s="81"/>
      <c r="T66" s="81"/>
    </row>
    <row r="67" spans="15:20" ht="12" customHeight="1" x14ac:dyDescent="0.25">
      <c r="O67" s="81"/>
      <c r="P67" s="81"/>
      <c r="Q67" s="81"/>
      <c r="R67" s="81"/>
      <c r="S67" s="81"/>
      <c r="T67" s="81"/>
    </row>
    <row r="68" spans="15:20" ht="12" customHeight="1" x14ac:dyDescent="0.25">
      <c r="O68" s="81"/>
      <c r="P68" s="81"/>
      <c r="Q68" s="81"/>
      <c r="R68" s="81"/>
      <c r="S68" s="81"/>
      <c r="T68" s="81"/>
    </row>
    <row r="69" spans="15:20" ht="12" customHeight="1" x14ac:dyDescent="0.25">
      <c r="O69" s="81"/>
      <c r="P69" s="81"/>
      <c r="Q69" s="81"/>
      <c r="R69" s="81"/>
      <c r="S69" s="81"/>
      <c r="T69" s="81"/>
    </row>
    <row r="70" spans="15:20" ht="12" customHeight="1" x14ac:dyDescent="0.25">
      <c r="O70" s="81"/>
      <c r="P70" s="81"/>
      <c r="Q70" s="81"/>
      <c r="R70" s="81"/>
      <c r="S70" s="81"/>
      <c r="T70" s="81"/>
    </row>
    <row r="71" spans="15:20" ht="12" customHeight="1" x14ac:dyDescent="0.25">
      <c r="O71" s="81"/>
      <c r="P71" s="81"/>
      <c r="Q71" s="81"/>
      <c r="R71" s="81"/>
      <c r="S71" s="81"/>
      <c r="T71" s="81"/>
    </row>
    <row r="72" spans="15:20" ht="12" customHeight="1" x14ac:dyDescent="0.25">
      <c r="O72" s="81"/>
      <c r="P72" s="81"/>
      <c r="Q72" s="81"/>
      <c r="R72" s="81"/>
      <c r="S72" s="81"/>
      <c r="T72" s="81"/>
    </row>
    <row r="73" spans="15:20" ht="12" customHeight="1" x14ac:dyDescent="0.25">
      <c r="O73" s="81"/>
      <c r="P73" s="81"/>
      <c r="Q73" s="81"/>
      <c r="R73" s="81"/>
      <c r="S73" s="81"/>
      <c r="T73" s="81"/>
    </row>
    <row r="74" spans="15:20" ht="12" customHeight="1" x14ac:dyDescent="0.25">
      <c r="O74" s="81"/>
      <c r="P74" s="81"/>
      <c r="Q74" s="81"/>
      <c r="R74" s="81"/>
      <c r="S74" s="81"/>
      <c r="T74" s="81"/>
    </row>
    <row r="75" spans="15:20" ht="12" customHeight="1" x14ac:dyDescent="0.25">
      <c r="O75" s="81"/>
      <c r="P75" s="81"/>
      <c r="Q75" s="81"/>
      <c r="R75" s="81"/>
      <c r="S75" s="81"/>
      <c r="T75" s="81"/>
    </row>
    <row r="76" spans="15:20" ht="12" customHeight="1" x14ac:dyDescent="0.25">
      <c r="O76" s="81"/>
      <c r="P76" s="81"/>
      <c r="Q76" s="81"/>
      <c r="R76" s="81"/>
      <c r="S76" s="81"/>
      <c r="T76" s="81"/>
    </row>
    <row r="77" spans="15:20" ht="12" customHeight="1" x14ac:dyDescent="0.25">
      <c r="O77" s="81"/>
      <c r="P77" s="81"/>
      <c r="Q77" s="81"/>
      <c r="R77" s="81"/>
      <c r="S77" s="81"/>
      <c r="T77" s="81"/>
    </row>
    <row r="78" spans="15:20" ht="12" customHeight="1" x14ac:dyDescent="0.25">
      <c r="O78" s="81"/>
      <c r="P78" s="81"/>
      <c r="Q78" s="81"/>
      <c r="R78" s="81"/>
      <c r="S78" s="81"/>
      <c r="T78" s="81"/>
    </row>
    <row r="79" spans="15:20" ht="12" customHeight="1" x14ac:dyDescent="0.25">
      <c r="O79" s="81"/>
      <c r="P79" s="81"/>
      <c r="Q79" s="81"/>
      <c r="R79" s="81"/>
      <c r="S79" s="81"/>
      <c r="T79" s="81"/>
    </row>
    <row r="80" spans="15:20" ht="12" customHeight="1" x14ac:dyDescent="0.25">
      <c r="O80" s="81"/>
      <c r="P80" s="81"/>
      <c r="Q80" s="81"/>
      <c r="R80" s="81"/>
      <c r="S80" s="81"/>
      <c r="T80" s="81"/>
    </row>
    <row r="81" spans="15:20" ht="12" customHeight="1" x14ac:dyDescent="0.25">
      <c r="O81" s="81"/>
      <c r="P81" s="81"/>
      <c r="Q81" s="81"/>
      <c r="R81" s="81"/>
      <c r="S81" s="81"/>
      <c r="T81" s="81"/>
    </row>
    <row r="82" spans="15:20" ht="12" customHeight="1" x14ac:dyDescent="0.25">
      <c r="O82" s="81"/>
      <c r="P82" s="81"/>
      <c r="Q82" s="81"/>
      <c r="R82" s="81"/>
      <c r="S82" s="81"/>
      <c r="T82" s="81"/>
    </row>
    <row r="83" spans="15:20" ht="12" customHeight="1" x14ac:dyDescent="0.25">
      <c r="O83" s="81"/>
      <c r="P83" s="81"/>
      <c r="Q83" s="81"/>
      <c r="R83" s="81"/>
      <c r="S83" s="81"/>
      <c r="T83" s="81"/>
    </row>
    <row r="84" spans="15:20" ht="12" customHeight="1" x14ac:dyDescent="0.25">
      <c r="O84" s="81"/>
      <c r="P84" s="81"/>
      <c r="Q84" s="81"/>
      <c r="R84" s="81"/>
      <c r="S84" s="81"/>
      <c r="T84" s="81"/>
    </row>
    <row r="85" spans="15:20" ht="12" customHeight="1" x14ac:dyDescent="0.25">
      <c r="O85" s="81"/>
      <c r="P85" s="81"/>
      <c r="Q85" s="81"/>
      <c r="R85" s="81"/>
      <c r="S85" s="81"/>
      <c r="T85" s="81"/>
    </row>
    <row r="86" spans="15:20" ht="12" customHeight="1" x14ac:dyDescent="0.25">
      <c r="O86" s="81"/>
      <c r="P86" s="81"/>
      <c r="Q86" s="81"/>
      <c r="R86" s="81"/>
      <c r="S86" s="81"/>
      <c r="T86" s="81"/>
    </row>
    <row r="87" spans="15:20" ht="12" customHeight="1" x14ac:dyDescent="0.25">
      <c r="O87" s="81"/>
      <c r="P87" s="81"/>
      <c r="Q87" s="81"/>
      <c r="R87" s="81"/>
      <c r="S87" s="81"/>
      <c r="T87" s="81"/>
    </row>
    <row r="88" spans="15:20" ht="12" customHeight="1" x14ac:dyDescent="0.25">
      <c r="O88" s="81"/>
      <c r="P88" s="81"/>
      <c r="Q88" s="81"/>
      <c r="R88" s="81"/>
      <c r="S88" s="81"/>
      <c r="T88" s="81"/>
    </row>
    <row r="89" spans="15:20" ht="12" customHeight="1" x14ac:dyDescent="0.25">
      <c r="O89" s="81"/>
      <c r="P89" s="81"/>
      <c r="Q89" s="81"/>
      <c r="R89" s="81"/>
      <c r="S89" s="81"/>
      <c r="T89" s="81"/>
    </row>
    <row r="90" spans="15:20" ht="12" customHeight="1" x14ac:dyDescent="0.25">
      <c r="O90" s="81"/>
      <c r="P90" s="81"/>
      <c r="Q90" s="81"/>
      <c r="R90" s="81"/>
      <c r="S90" s="81"/>
      <c r="T90" s="81"/>
    </row>
    <row r="91" spans="15:20" ht="12" customHeight="1" x14ac:dyDescent="0.25">
      <c r="O91" s="81"/>
      <c r="P91" s="81"/>
      <c r="Q91" s="81"/>
      <c r="R91" s="81"/>
      <c r="S91" s="81"/>
      <c r="T91" s="81"/>
    </row>
    <row r="92" spans="15:20" ht="12" customHeight="1" x14ac:dyDescent="0.25">
      <c r="O92" s="81"/>
      <c r="P92" s="81"/>
      <c r="Q92" s="81"/>
      <c r="R92" s="81"/>
      <c r="S92" s="81"/>
      <c r="T92" s="81"/>
    </row>
    <row r="93" spans="15:20" ht="12" customHeight="1" x14ac:dyDescent="0.25">
      <c r="O93" s="81"/>
      <c r="P93" s="81"/>
      <c r="Q93" s="81"/>
      <c r="R93" s="81"/>
      <c r="S93" s="81"/>
      <c r="T93" s="81"/>
    </row>
    <row r="94" spans="15:20" ht="12" customHeight="1" x14ac:dyDescent="0.25">
      <c r="O94" s="81"/>
      <c r="P94" s="81"/>
      <c r="Q94" s="81"/>
      <c r="R94" s="81"/>
      <c r="S94" s="81"/>
      <c r="T94" s="81"/>
    </row>
    <row r="95" spans="15:20" ht="12" customHeight="1" x14ac:dyDescent="0.25">
      <c r="O95" s="81"/>
      <c r="P95" s="81"/>
      <c r="Q95" s="81"/>
      <c r="R95" s="81"/>
      <c r="S95" s="81"/>
      <c r="T95" s="81"/>
    </row>
    <row r="96" spans="15:20" ht="12" customHeight="1" x14ac:dyDescent="0.25">
      <c r="O96" s="81"/>
      <c r="P96" s="81"/>
      <c r="Q96" s="81"/>
      <c r="R96" s="81"/>
      <c r="S96" s="81"/>
      <c r="T96" s="81"/>
    </row>
    <row r="97" spans="15:30" ht="12" customHeight="1" x14ac:dyDescent="0.25">
      <c r="O97" s="81"/>
      <c r="P97" s="81"/>
      <c r="Q97" s="81"/>
      <c r="R97" s="81"/>
      <c r="S97" s="81"/>
      <c r="T97" s="81"/>
    </row>
    <row r="98" spans="15:30" ht="12" customHeight="1" x14ac:dyDescent="0.25">
      <c r="O98" s="81"/>
      <c r="P98" s="81"/>
      <c r="Q98" s="81"/>
      <c r="R98" s="81"/>
      <c r="S98" s="81"/>
      <c r="T98" s="81"/>
    </row>
    <row r="99" spans="15:30" ht="12" customHeight="1" x14ac:dyDescent="0.25">
      <c r="O99" s="80"/>
      <c r="P99" s="80"/>
      <c r="Q99" s="80"/>
      <c r="R99" s="80"/>
      <c r="S99" s="80"/>
      <c r="T99" s="80"/>
    </row>
    <row r="100" spans="15:30" ht="12" customHeight="1" x14ac:dyDescent="0.25">
      <c r="O100" s="82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</row>
    <row r="101" spans="15:30" ht="12" customHeight="1" x14ac:dyDescent="0.25">
      <c r="O101" s="81" t="s">
        <v>1126</v>
      </c>
      <c r="P101" s="81" t="s">
        <v>1131</v>
      </c>
      <c r="Q101" s="81" t="s">
        <v>1132</v>
      </c>
      <c r="R101" s="81" t="s">
        <v>1133</v>
      </c>
      <c r="S101" s="81" t="s">
        <v>1134</v>
      </c>
      <c r="T101" s="81" t="s">
        <v>1135</v>
      </c>
      <c r="U101" s="81" t="s">
        <v>1136</v>
      </c>
      <c r="V101" s="81" t="s">
        <v>1137</v>
      </c>
      <c r="W101" s="81"/>
      <c r="X101" s="81"/>
      <c r="Y101" s="81"/>
      <c r="Z101" s="81"/>
      <c r="AA101" s="81"/>
      <c r="AB101" s="81"/>
      <c r="AC101" s="81"/>
      <c r="AD101" s="81"/>
    </row>
    <row r="102" spans="15:30" ht="12" customHeight="1" x14ac:dyDescent="0.25">
      <c r="O102" s="81" t="s">
        <v>37</v>
      </c>
      <c r="P102" s="81" t="s">
        <v>23</v>
      </c>
      <c r="Q102" s="81" t="s">
        <v>42</v>
      </c>
      <c r="R102" s="81" t="s">
        <v>43</v>
      </c>
      <c r="S102" s="81" t="s">
        <v>25</v>
      </c>
      <c r="T102" s="81" t="s">
        <v>43</v>
      </c>
      <c r="U102" s="81">
        <v>4</v>
      </c>
      <c r="V102" s="81">
        <v>0.3</v>
      </c>
      <c r="W102" s="81">
        <v>0.24</v>
      </c>
      <c r="X102" s="81">
        <v>0.18</v>
      </c>
      <c r="Y102" s="81">
        <v>0.12</v>
      </c>
      <c r="Z102" s="81">
        <v>0.06</v>
      </c>
      <c r="AA102" s="81">
        <v>0</v>
      </c>
      <c r="AB102" s="81"/>
      <c r="AC102" s="81"/>
      <c r="AD102" s="81"/>
    </row>
    <row r="103" spans="15:30" ht="12" customHeight="1" x14ac:dyDescent="0.25"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  <c r="AA103" s="81"/>
      <c r="AB103" s="81"/>
      <c r="AC103" s="81"/>
      <c r="AD103" s="81"/>
    </row>
    <row r="104" spans="15:30" ht="12" customHeight="1" x14ac:dyDescent="0.25"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  <c r="Z104" s="81"/>
      <c r="AA104" s="81"/>
      <c r="AB104" s="81"/>
      <c r="AC104" s="81"/>
      <c r="AD104" s="81"/>
    </row>
    <row r="105" spans="15:30" ht="12" customHeight="1" x14ac:dyDescent="0.25"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  <c r="AA105" s="81"/>
      <c r="AB105" s="81"/>
      <c r="AC105" s="81"/>
      <c r="AD105" s="81"/>
    </row>
    <row r="106" spans="15:30" ht="12" customHeight="1" x14ac:dyDescent="0.25"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  <c r="AA106" s="81"/>
      <c r="AB106" s="81"/>
      <c r="AC106" s="81"/>
      <c r="AD106" s="81"/>
    </row>
    <row r="107" spans="15:30" ht="12" customHeight="1" x14ac:dyDescent="0.25"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B107" s="81"/>
      <c r="AC107" s="81"/>
      <c r="AD107" s="81"/>
    </row>
    <row r="108" spans="15:30" ht="12" customHeight="1" x14ac:dyDescent="0.25"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  <c r="Z108" s="81"/>
      <c r="AA108" s="81"/>
      <c r="AB108" s="81"/>
      <c r="AC108" s="81"/>
      <c r="AD108" s="81"/>
    </row>
    <row r="109" spans="15:30" ht="12" customHeight="1" x14ac:dyDescent="0.25"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</row>
    <row r="110" spans="15:30" ht="12" customHeight="1" x14ac:dyDescent="0.25"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  <c r="AA110" s="81"/>
      <c r="AB110" s="81"/>
      <c r="AC110" s="81"/>
      <c r="AD110" s="81"/>
    </row>
    <row r="111" spans="15:30" ht="12" customHeight="1" x14ac:dyDescent="0.25"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  <c r="Z111" s="81"/>
      <c r="AA111" s="81"/>
      <c r="AB111" s="81"/>
      <c r="AC111" s="81"/>
      <c r="AD111" s="81"/>
    </row>
    <row r="112" spans="15:30" ht="12" customHeight="1" x14ac:dyDescent="0.25"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</row>
    <row r="113" spans="15:30" ht="12" customHeight="1" x14ac:dyDescent="0.25"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  <c r="Z113" s="81"/>
      <c r="AA113" s="81"/>
      <c r="AB113" s="81"/>
      <c r="AC113" s="81"/>
      <c r="AD113" s="81"/>
    </row>
    <row r="114" spans="15:30" ht="12" customHeight="1" x14ac:dyDescent="0.25"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  <c r="Z114" s="81"/>
      <c r="AA114" s="81"/>
      <c r="AB114" s="81"/>
      <c r="AC114" s="81"/>
      <c r="AD114" s="81"/>
    </row>
    <row r="115" spans="15:30" ht="12" customHeight="1" x14ac:dyDescent="0.25"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</row>
    <row r="116" spans="15:30" ht="12" customHeight="1" x14ac:dyDescent="0.25"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  <c r="Z116" s="81"/>
      <c r="AA116" s="81"/>
      <c r="AB116" s="81"/>
      <c r="AC116" s="81"/>
      <c r="AD116" s="81"/>
    </row>
    <row r="117" spans="15:30" ht="12" customHeight="1" x14ac:dyDescent="0.25"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  <c r="Z117" s="81"/>
      <c r="AA117" s="81"/>
      <c r="AB117" s="81"/>
      <c r="AC117" s="81"/>
      <c r="AD117" s="81"/>
    </row>
    <row r="118" spans="15:30" ht="12" customHeight="1" x14ac:dyDescent="0.25"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</row>
    <row r="119" spans="15:30" ht="12" customHeight="1" x14ac:dyDescent="0.25"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  <c r="AA119" s="81"/>
      <c r="AB119" s="81"/>
      <c r="AC119" s="81"/>
      <c r="AD119" s="81"/>
    </row>
    <row r="120" spans="15:30" ht="12" customHeight="1" x14ac:dyDescent="0.25"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  <c r="Z120" s="81"/>
      <c r="AA120" s="81"/>
      <c r="AB120" s="81"/>
      <c r="AC120" s="81"/>
      <c r="AD120" s="81"/>
    </row>
    <row r="121" spans="15:30" ht="12" customHeight="1" x14ac:dyDescent="0.25"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</row>
    <row r="122" spans="15:30" ht="12" customHeight="1" x14ac:dyDescent="0.25"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  <c r="AA122" s="81"/>
      <c r="AB122" s="81"/>
      <c r="AC122" s="81"/>
      <c r="AD122" s="81"/>
    </row>
    <row r="123" spans="15:30" ht="12" customHeight="1" x14ac:dyDescent="0.25"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  <c r="AA123" s="81"/>
      <c r="AB123" s="81"/>
      <c r="AC123" s="81"/>
      <c r="AD123" s="81"/>
    </row>
    <row r="124" spans="15:30" ht="12" customHeight="1" x14ac:dyDescent="0.25"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</row>
    <row r="125" spans="15:30" ht="12" customHeight="1" x14ac:dyDescent="0.25"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  <c r="AA125" s="81"/>
      <c r="AB125" s="81"/>
      <c r="AC125" s="81"/>
      <c r="AD125" s="81"/>
    </row>
    <row r="126" spans="15:30" ht="12" customHeight="1" x14ac:dyDescent="0.25"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  <c r="Z126" s="81"/>
      <c r="AA126" s="81"/>
      <c r="AB126" s="81"/>
      <c r="AC126" s="81"/>
      <c r="AD126" s="81"/>
    </row>
    <row r="127" spans="15:30" ht="12" customHeight="1" x14ac:dyDescent="0.25"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</row>
    <row r="128" spans="15:30" ht="12" customHeight="1" x14ac:dyDescent="0.25"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  <c r="AA128" s="81"/>
      <c r="AB128" s="81"/>
      <c r="AC128" s="81"/>
      <c r="AD128" s="81"/>
    </row>
    <row r="129" spans="15:30" ht="12" customHeight="1" x14ac:dyDescent="0.25"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  <c r="AB129" s="81"/>
      <c r="AC129" s="81"/>
      <c r="AD129" s="81"/>
    </row>
    <row r="130" spans="15:30" ht="12" customHeight="1" x14ac:dyDescent="0.25"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</row>
    <row r="131" spans="15:30" ht="12" customHeight="1" x14ac:dyDescent="0.25"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  <c r="AA131" s="81"/>
      <c r="AB131" s="81"/>
      <c r="AC131" s="81"/>
      <c r="AD131" s="81"/>
    </row>
    <row r="132" spans="15:30" ht="12" customHeight="1" x14ac:dyDescent="0.25"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  <c r="Z132" s="81"/>
      <c r="AA132" s="81"/>
      <c r="AB132" s="81"/>
      <c r="AC132" s="81"/>
      <c r="AD132" s="81"/>
    </row>
    <row r="133" spans="15:30" ht="12" customHeight="1" x14ac:dyDescent="0.25"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</row>
    <row r="134" spans="15:30" ht="12" customHeight="1" x14ac:dyDescent="0.25"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  <c r="AA134" s="81"/>
      <c r="AB134" s="81"/>
      <c r="AC134" s="81"/>
      <c r="AD134" s="81"/>
    </row>
    <row r="135" spans="15:30" ht="12" customHeight="1" x14ac:dyDescent="0.25"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  <c r="Z135" s="81"/>
      <c r="AA135" s="81"/>
      <c r="AB135" s="81"/>
      <c r="AC135" s="81"/>
      <c r="AD135" s="81"/>
    </row>
    <row r="136" spans="15:30" ht="12" customHeight="1" x14ac:dyDescent="0.25"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</row>
    <row r="137" spans="15:30" ht="12" customHeight="1" x14ac:dyDescent="0.25"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  <c r="AA137" s="81"/>
      <c r="AB137" s="81"/>
      <c r="AC137" s="81"/>
      <c r="AD137" s="81"/>
    </row>
    <row r="138" spans="15:30" ht="12" customHeight="1" x14ac:dyDescent="0.25"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  <c r="AA138" s="81"/>
      <c r="AB138" s="81"/>
      <c r="AC138" s="81"/>
      <c r="AD138" s="81"/>
    </row>
    <row r="139" spans="15:30" ht="12" customHeight="1" x14ac:dyDescent="0.25"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</row>
    <row r="140" spans="15:30" ht="12" customHeight="1" x14ac:dyDescent="0.25"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  <c r="AA140" s="81"/>
      <c r="AB140" s="81"/>
      <c r="AC140" s="81"/>
      <c r="AD140" s="81"/>
    </row>
    <row r="141" spans="15:30" ht="12" customHeight="1" x14ac:dyDescent="0.25"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  <c r="AA141" s="81"/>
      <c r="AB141" s="81"/>
      <c r="AC141" s="81"/>
      <c r="AD141" s="81"/>
    </row>
    <row r="142" spans="15:30" ht="12" customHeight="1" x14ac:dyDescent="0.25"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</row>
    <row r="143" spans="15:30" ht="12" customHeight="1" x14ac:dyDescent="0.25"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  <c r="AA143" s="81"/>
      <c r="AB143" s="81"/>
      <c r="AC143" s="81"/>
      <c r="AD143" s="81"/>
    </row>
    <row r="144" spans="15:30" ht="12" customHeight="1" x14ac:dyDescent="0.25"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  <c r="Z144" s="81"/>
      <c r="AA144" s="81"/>
      <c r="AB144" s="81"/>
      <c r="AC144" s="81"/>
      <c r="AD144" s="81"/>
    </row>
    <row r="145" spans="15:30" ht="12" customHeight="1" x14ac:dyDescent="0.25"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</row>
    <row r="146" spans="15:30" ht="12" customHeight="1" x14ac:dyDescent="0.25"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  <c r="AA146" s="81"/>
      <c r="AB146" s="81"/>
      <c r="AC146" s="81"/>
      <c r="AD146" s="81"/>
    </row>
    <row r="147" spans="15:30" ht="12" customHeight="1" x14ac:dyDescent="0.25"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  <c r="AA147" s="81"/>
      <c r="AB147" s="81"/>
      <c r="AC147" s="81"/>
      <c r="AD147" s="81"/>
    </row>
    <row r="148" spans="15:30" ht="12" customHeight="1" x14ac:dyDescent="0.25"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</row>
    <row r="149" spans="15:30" ht="12" customHeight="1" x14ac:dyDescent="0.25"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  <c r="AB149" s="81"/>
      <c r="AC149" s="81"/>
      <c r="AD149" s="81"/>
    </row>
    <row r="150" spans="15:30" ht="12" customHeight="1" x14ac:dyDescent="0.25"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  <c r="AA150" s="81"/>
      <c r="AB150" s="81"/>
      <c r="AC150" s="81"/>
      <c r="AD150" s="81"/>
    </row>
    <row r="151" spans="15:30" ht="12" customHeight="1" x14ac:dyDescent="0.25"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</row>
    <row r="152" spans="15:30" ht="12" customHeight="1" x14ac:dyDescent="0.25"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  <c r="AA152" s="81"/>
      <c r="AB152" s="81"/>
      <c r="AC152" s="81"/>
      <c r="AD152" s="81"/>
    </row>
    <row r="153" spans="15:30" ht="12" customHeight="1" x14ac:dyDescent="0.25"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  <c r="AC153" s="81"/>
      <c r="AD153" s="81"/>
    </row>
    <row r="154" spans="15:30" ht="12" customHeight="1" x14ac:dyDescent="0.25"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</row>
    <row r="155" spans="15:30" ht="12" customHeight="1" x14ac:dyDescent="0.25"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  <c r="AA155" s="81"/>
      <c r="AB155" s="81"/>
      <c r="AC155" s="81"/>
      <c r="AD155" s="81"/>
    </row>
    <row r="156" spans="15:30" ht="12" customHeight="1" x14ac:dyDescent="0.25"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  <c r="AA156" s="81"/>
      <c r="AB156" s="81"/>
      <c r="AC156" s="81"/>
      <c r="AD156" s="81"/>
    </row>
    <row r="157" spans="15:30" ht="12" customHeight="1" x14ac:dyDescent="0.25"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  <c r="AC157" s="81"/>
      <c r="AD157" s="81"/>
    </row>
    <row r="158" spans="15:30" ht="12" customHeight="1" x14ac:dyDescent="0.25"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  <c r="AA158" s="81"/>
      <c r="AB158" s="81"/>
      <c r="AC158" s="81"/>
      <c r="AD158" s="81"/>
    </row>
    <row r="159" spans="15:30" ht="12" customHeight="1" x14ac:dyDescent="0.25"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  <c r="AA159" s="81"/>
      <c r="AB159" s="81"/>
      <c r="AC159" s="81"/>
      <c r="AD159" s="81"/>
    </row>
    <row r="160" spans="15:30" ht="12" customHeight="1" x14ac:dyDescent="0.25"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  <c r="AC160" s="81"/>
      <c r="AD160" s="81"/>
    </row>
    <row r="161" spans="15:30" ht="12" customHeight="1" x14ac:dyDescent="0.25"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  <c r="AA161" s="81"/>
      <c r="AB161" s="81"/>
      <c r="AC161" s="81"/>
      <c r="AD161" s="81"/>
    </row>
    <row r="162" spans="15:30" ht="12" customHeight="1" x14ac:dyDescent="0.25"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  <c r="AA162" s="81"/>
      <c r="AB162" s="81"/>
      <c r="AC162" s="81"/>
      <c r="AD162" s="81"/>
    </row>
    <row r="163" spans="15:30" ht="12" customHeight="1" x14ac:dyDescent="0.25"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  <c r="AA163" s="81"/>
      <c r="AB163" s="81"/>
      <c r="AC163" s="81"/>
      <c r="AD163" s="81"/>
    </row>
    <row r="164" spans="15:30" ht="12" customHeight="1" x14ac:dyDescent="0.25"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  <c r="AA164" s="81"/>
      <c r="AB164" s="81"/>
      <c r="AC164" s="81"/>
      <c r="AD164" s="81"/>
    </row>
    <row r="165" spans="15:30" ht="12" customHeight="1" x14ac:dyDescent="0.25"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  <c r="AA165" s="81"/>
      <c r="AB165" s="81"/>
      <c r="AC165" s="81"/>
      <c r="AD165" s="81"/>
    </row>
    <row r="166" spans="15:30" ht="12" customHeight="1" x14ac:dyDescent="0.25"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  <c r="AA166" s="81"/>
      <c r="AB166" s="81"/>
      <c r="AC166" s="81"/>
      <c r="AD166" s="81"/>
    </row>
    <row r="167" spans="15:30" ht="12" customHeight="1" x14ac:dyDescent="0.25"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  <c r="Z167" s="81"/>
      <c r="AA167" s="81"/>
      <c r="AB167" s="81"/>
      <c r="AC167" s="81"/>
      <c r="AD167" s="81"/>
    </row>
    <row r="168" spans="15:30" ht="12" customHeight="1" x14ac:dyDescent="0.25"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  <c r="AA168" s="81"/>
      <c r="AB168" s="81"/>
      <c r="AC168" s="81"/>
      <c r="AD168" s="81"/>
    </row>
    <row r="169" spans="15:30" ht="12" customHeight="1" x14ac:dyDescent="0.25"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  <c r="AB169" s="81"/>
      <c r="AC169" s="81"/>
      <c r="AD169" s="81"/>
    </row>
    <row r="170" spans="15:30" ht="12" customHeight="1" x14ac:dyDescent="0.25"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  <c r="AA170" s="81"/>
      <c r="AB170" s="81"/>
      <c r="AC170" s="81"/>
      <c r="AD170" s="81"/>
    </row>
    <row r="171" spans="15:30" ht="12" customHeight="1" x14ac:dyDescent="0.25"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  <c r="AA171" s="81"/>
      <c r="AB171" s="81"/>
      <c r="AC171" s="81"/>
      <c r="AD171" s="81"/>
    </row>
    <row r="172" spans="15:30" ht="12" customHeight="1" x14ac:dyDescent="0.25"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  <c r="AA172" s="81"/>
      <c r="AB172" s="81"/>
      <c r="AC172" s="81"/>
      <c r="AD172" s="81"/>
    </row>
    <row r="173" spans="15:30" ht="12" customHeight="1" x14ac:dyDescent="0.25"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  <c r="AA173" s="81"/>
      <c r="AB173" s="81"/>
      <c r="AC173" s="81"/>
      <c r="AD173" s="81"/>
    </row>
    <row r="174" spans="15:30" ht="12" customHeight="1" x14ac:dyDescent="0.25"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  <c r="AA174" s="81"/>
      <c r="AB174" s="81"/>
      <c r="AC174" s="81"/>
      <c r="AD174" s="81"/>
    </row>
    <row r="175" spans="15:30" ht="12" customHeight="1" x14ac:dyDescent="0.25"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  <c r="AA175" s="81"/>
      <c r="AB175" s="81"/>
      <c r="AC175" s="81"/>
      <c r="AD175" s="81"/>
    </row>
    <row r="176" spans="15:30" ht="12" customHeight="1" x14ac:dyDescent="0.25"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  <c r="AA176" s="81"/>
      <c r="AB176" s="81"/>
      <c r="AC176" s="81"/>
      <c r="AD176" s="81"/>
    </row>
    <row r="177" spans="15:30" ht="12" customHeight="1" x14ac:dyDescent="0.25"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  <c r="AA177" s="81"/>
      <c r="AB177" s="81"/>
      <c r="AC177" s="81"/>
      <c r="AD177" s="81"/>
    </row>
    <row r="178" spans="15:30" ht="12" customHeight="1" x14ac:dyDescent="0.25"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  <c r="AA178" s="81"/>
      <c r="AB178" s="81"/>
      <c r="AC178" s="81"/>
      <c r="AD178" s="81"/>
    </row>
    <row r="179" spans="15:30" ht="12" customHeight="1" x14ac:dyDescent="0.25"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  <c r="AA179" s="81"/>
      <c r="AB179" s="81"/>
      <c r="AC179" s="81"/>
      <c r="AD179" s="81"/>
    </row>
    <row r="180" spans="15:30" ht="12" customHeight="1" x14ac:dyDescent="0.25"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  <c r="AA180" s="81"/>
      <c r="AB180" s="81"/>
      <c r="AC180" s="81"/>
      <c r="AD180" s="81"/>
    </row>
    <row r="181" spans="15:30" ht="12" customHeight="1" x14ac:dyDescent="0.25"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  <c r="AA181" s="81"/>
      <c r="AB181" s="81"/>
      <c r="AC181" s="81"/>
      <c r="AD181" s="81"/>
    </row>
    <row r="182" spans="15:30" ht="12" customHeight="1" x14ac:dyDescent="0.25"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  <c r="AA182" s="81"/>
      <c r="AB182" s="81"/>
      <c r="AC182" s="81"/>
      <c r="AD182" s="81"/>
    </row>
    <row r="183" spans="15:30" ht="12" customHeight="1" x14ac:dyDescent="0.25"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  <c r="AA183" s="81"/>
      <c r="AB183" s="81"/>
      <c r="AC183" s="81"/>
      <c r="AD183" s="81"/>
    </row>
    <row r="184" spans="15:30" ht="12" customHeight="1" x14ac:dyDescent="0.25"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  <c r="AA184" s="81"/>
      <c r="AB184" s="81"/>
      <c r="AC184" s="81"/>
      <c r="AD184" s="81"/>
    </row>
    <row r="185" spans="15:30" ht="12" customHeight="1" x14ac:dyDescent="0.25"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  <c r="AA185" s="81"/>
      <c r="AB185" s="81"/>
      <c r="AC185" s="81"/>
      <c r="AD185" s="81"/>
    </row>
    <row r="186" spans="15:30" ht="12" customHeight="1" x14ac:dyDescent="0.25"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  <c r="AA186" s="81"/>
      <c r="AB186" s="81"/>
      <c r="AC186" s="81"/>
      <c r="AD186" s="81"/>
    </row>
    <row r="187" spans="15:30" ht="12" customHeight="1" x14ac:dyDescent="0.25"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  <c r="AA187" s="81"/>
      <c r="AB187" s="81"/>
      <c r="AC187" s="81"/>
      <c r="AD187" s="81"/>
    </row>
    <row r="188" spans="15:30" ht="12" customHeight="1" x14ac:dyDescent="0.25"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  <c r="AA188" s="81"/>
      <c r="AB188" s="81"/>
      <c r="AC188" s="81"/>
      <c r="AD188" s="81"/>
    </row>
    <row r="189" spans="15:30" ht="12" customHeight="1" x14ac:dyDescent="0.25"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  <c r="AA189" s="81"/>
      <c r="AB189" s="81"/>
      <c r="AC189" s="81"/>
      <c r="AD189" s="81"/>
    </row>
    <row r="190" spans="15:30" ht="12" customHeight="1" x14ac:dyDescent="0.25"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  <c r="AA190" s="81"/>
      <c r="AB190" s="81"/>
      <c r="AC190" s="81"/>
      <c r="AD190" s="81"/>
    </row>
    <row r="191" spans="15:30" ht="12" customHeight="1" x14ac:dyDescent="0.25"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  <c r="AA191" s="81"/>
      <c r="AB191" s="81"/>
      <c r="AC191" s="81"/>
      <c r="AD191" s="81"/>
    </row>
    <row r="192" spans="15:30" ht="12" customHeight="1" x14ac:dyDescent="0.25"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  <c r="AB192" s="81"/>
      <c r="AC192" s="81"/>
      <c r="AD192" s="81"/>
    </row>
    <row r="193" spans="15:30" ht="12" customHeight="1" x14ac:dyDescent="0.25"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  <c r="AA193" s="81"/>
      <c r="AB193" s="81"/>
      <c r="AC193" s="81"/>
      <c r="AD193" s="81"/>
    </row>
    <row r="194" spans="15:30" ht="12" customHeight="1" x14ac:dyDescent="0.25"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  <c r="AA194" s="81"/>
      <c r="AB194" s="81"/>
      <c r="AC194" s="81"/>
      <c r="AD194" s="81"/>
    </row>
    <row r="195" spans="15:30" ht="12" customHeight="1" x14ac:dyDescent="0.25"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  <c r="AA195" s="81"/>
      <c r="AB195" s="81"/>
      <c r="AC195" s="81"/>
      <c r="AD195" s="81"/>
    </row>
    <row r="196" spans="15:30" ht="12" customHeight="1" x14ac:dyDescent="0.25"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  <c r="AA196" s="81"/>
      <c r="AB196" s="81"/>
      <c r="AC196" s="81"/>
      <c r="AD196" s="81"/>
    </row>
    <row r="197" spans="15:30" ht="12" customHeight="1" x14ac:dyDescent="0.25"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  <c r="AA197" s="81"/>
      <c r="AB197" s="81"/>
      <c r="AC197" s="81"/>
      <c r="AD197" s="81"/>
    </row>
    <row r="198" spans="15:30" ht="12" customHeight="1" x14ac:dyDescent="0.25"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  <c r="AA198" s="81"/>
      <c r="AB198" s="81"/>
      <c r="AC198" s="81"/>
      <c r="AD198" s="81"/>
    </row>
    <row r="199" spans="15:30" ht="12" customHeight="1" x14ac:dyDescent="0.25"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  <c r="AA199" s="81"/>
      <c r="AB199" s="81"/>
      <c r="AC199" s="81"/>
      <c r="AD199" s="81"/>
    </row>
    <row r="200" spans="15:30" ht="12" customHeight="1" x14ac:dyDescent="0.25"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  <c r="AA200" s="81"/>
      <c r="AB200" s="81"/>
      <c r="AC200" s="81"/>
      <c r="AD200" s="81"/>
    </row>
  </sheetData>
  <mergeCells count="19">
    <mergeCell ref="A48:C48"/>
    <mergeCell ref="A49:C49"/>
    <mergeCell ref="B42:B43"/>
    <mergeCell ref="B44:B45"/>
    <mergeCell ref="B46:C46"/>
    <mergeCell ref="A47:C47"/>
    <mergeCell ref="O1:U1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  <mergeCell ref="B38:B41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6C123-F402-47A3-9793-CFE69AD09519}">
  <sheetPr codeName="Planilha7"/>
  <dimension ref="A1:AP51"/>
  <sheetViews>
    <sheetView showGridLines="0" topLeftCell="D52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8" width="10" style="9" bestFit="1" customWidth="1"/>
    <col min="19" max="19" width="8.7109375" style="9" bestFit="1" customWidth="1"/>
    <col min="20" max="20" width="10.85546875" style="9" bestFit="1" customWidth="1"/>
    <col min="21" max="22" width="10" style="9" bestFit="1" customWidth="1"/>
    <col min="23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.85546875" style="9" bestFit="1" customWidth="1"/>
    <col min="31" max="31" width="10.5703125" style="9" bestFit="1" customWidth="1"/>
    <col min="32" max="32" width="7.28515625" style="9" bestFit="1" customWidth="1"/>
    <col min="33" max="33" width="10.5703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67" t="s">
        <v>68</v>
      </c>
      <c r="B1" s="167" t="s">
        <v>69</v>
      </c>
      <c r="C1" s="167" t="s">
        <v>70</v>
      </c>
      <c r="D1" s="167" t="s">
        <v>71</v>
      </c>
      <c r="E1" s="167" t="s">
        <v>72</v>
      </c>
      <c r="F1" s="167" t="s">
        <v>15</v>
      </c>
      <c r="G1" s="167" t="s">
        <v>74</v>
      </c>
      <c r="H1" s="167" t="s">
        <v>75</v>
      </c>
      <c r="I1" s="167" t="s">
        <v>573</v>
      </c>
      <c r="J1" s="155"/>
      <c r="L1" s="168" t="s">
        <v>574</v>
      </c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  <c r="AC1" s="168"/>
      <c r="AD1" s="168"/>
      <c r="AE1" s="168"/>
      <c r="AF1" s="168"/>
      <c r="AG1" s="168"/>
      <c r="AH1" s="168"/>
      <c r="AI1" s="168"/>
      <c r="AJ1" s="168"/>
      <c r="AK1" s="168"/>
      <c r="AL1" s="168"/>
      <c r="AM1" s="168"/>
      <c r="AP1" s="168" t="s">
        <v>575</v>
      </c>
    </row>
    <row r="2" spans="1:42" ht="11.25" customHeight="1" x14ac:dyDescent="0.25">
      <c r="A2" s="167"/>
      <c r="B2" s="167"/>
      <c r="C2" s="167"/>
      <c r="D2" s="167"/>
      <c r="E2" s="167"/>
      <c r="F2" s="167"/>
      <c r="G2" s="167"/>
      <c r="H2" s="167"/>
      <c r="I2" s="167"/>
      <c r="J2" s="155"/>
      <c r="L2" s="168" t="s">
        <v>483</v>
      </c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H2" s="168"/>
      <c r="AI2" s="168"/>
      <c r="AJ2" s="168"/>
      <c r="AK2" s="168"/>
      <c r="AL2" s="168"/>
      <c r="AM2" s="168"/>
      <c r="AP2" s="169"/>
    </row>
    <row r="3" spans="1:42" ht="11.25" customHeight="1" x14ac:dyDescent="0.25">
      <c r="A3" s="167"/>
      <c r="B3" s="167"/>
      <c r="C3" s="167"/>
      <c r="D3" s="167"/>
      <c r="E3" s="167"/>
      <c r="F3" s="167"/>
      <c r="G3" s="167"/>
      <c r="H3" s="167"/>
      <c r="I3" s="167"/>
      <c r="J3" s="155"/>
      <c r="L3" s="168" t="s">
        <v>484</v>
      </c>
      <c r="M3" s="168"/>
      <c r="N3" s="168"/>
      <c r="O3" s="168"/>
      <c r="P3" s="168"/>
      <c r="Q3" s="168"/>
      <c r="R3" s="168"/>
      <c r="S3" s="168"/>
      <c r="T3" s="168"/>
      <c r="U3" s="168" t="s">
        <v>493</v>
      </c>
      <c r="V3" s="168"/>
      <c r="W3" s="168"/>
      <c r="X3" s="168"/>
      <c r="Y3" s="168"/>
      <c r="Z3" s="168"/>
      <c r="AA3" s="168"/>
      <c r="AB3" s="168"/>
      <c r="AC3" s="168" t="s">
        <v>501</v>
      </c>
      <c r="AD3" s="168"/>
      <c r="AE3" s="168" t="s">
        <v>503</v>
      </c>
      <c r="AF3" s="168"/>
      <c r="AG3" s="168"/>
      <c r="AH3" s="168" t="s">
        <v>506</v>
      </c>
      <c r="AI3" s="168"/>
      <c r="AJ3" s="168"/>
      <c r="AK3" s="168"/>
      <c r="AL3" s="168"/>
      <c r="AM3" s="168" t="s">
        <v>492</v>
      </c>
      <c r="AP3" s="169"/>
    </row>
    <row r="4" spans="1:42" ht="11.25" customHeight="1" x14ac:dyDescent="0.25">
      <c r="A4" s="167"/>
      <c r="B4" s="167"/>
      <c r="C4" s="167"/>
      <c r="D4" s="167"/>
      <c r="E4" s="167"/>
      <c r="F4" s="167"/>
      <c r="G4" s="167"/>
      <c r="H4" s="167"/>
      <c r="I4" s="167"/>
      <c r="J4" s="155"/>
      <c r="L4" s="74" t="s">
        <v>569</v>
      </c>
      <c r="M4" s="74" t="s">
        <v>485</v>
      </c>
      <c r="N4" s="74" t="s">
        <v>486</v>
      </c>
      <c r="O4" s="74" t="s">
        <v>487</v>
      </c>
      <c r="P4" s="74" t="s">
        <v>488</v>
      </c>
      <c r="Q4" s="74" t="s">
        <v>489</v>
      </c>
      <c r="R4" s="74" t="s">
        <v>490</v>
      </c>
      <c r="S4" s="74" t="s">
        <v>491</v>
      </c>
      <c r="T4" s="74" t="s">
        <v>492</v>
      </c>
      <c r="U4" s="74" t="s">
        <v>494</v>
      </c>
      <c r="V4" s="74" t="s">
        <v>495</v>
      </c>
      <c r="W4" s="74" t="s">
        <v>496</v>
      </c>
      <c r="X4" s="74" t="s">
        <v>497</v>
      </c>
      <c r="Y4" s="74" t="s">
        <v>498</v>
      </c>
      <c r="Z4" s="74" t="s">
        <v>499</v>
      </c>
      <c r="AA4" s="74" t="s">
        <v>500</v>
      </c>
      <c r="AB4" s="74" t="s">
        <v>492</v>
      </c>
      <c r="AC4" s="74" t="s">
        <v>502</v>
      </c>
      <c r="AD4" s="74" t="s">
        <v>492</v>
      </c>
      <c r="AE4" s="74" t="s">
        <v>504</v>
      </c>
      <c r="AF4" s="74" t="s">
        <v>505</v>
      </c>
      <c r="AG4" s="74" t="s">
        <v>492</v>
      </c>
      <c r="AH4" s="74" t="s">
        <v>507</v>
      </c>
      <c r="AI4" s="74" t="s">
        <v>508</v>
      </c>
      <c r="AJ4" s="74" t="s">
        <v>509</v>
      </c>
      <c r="AK4" s="74" t="s">
        <v>510</v>
      </c>
      <c r="AL4" s="74" t="s">
        <v>492</v>
      </c>
      <c r="AM4" s="170"/>
      <c r="AP4" s="169"/>
    </row>
    <row r="5" spans="1:42" ht="11.25" customHeight="1" x14ac:dyDescent="0.25">
      <c r="A5" s="166" t="s">
        <v>38</v>
      </c>
      <c r="B5" s="166" t="s">
        <v>50</v>
      </c>
      <c r="C5" s="166" t="s">
        <v>25</v>
      </c>
      <c r="D5" s="166" t="s">
        <v>25</v>
      </c>
      <c r="E5" s="166" t="s">
        <v>25</v>
      </c>
      <c r="F5" s="166" t="s">
        <v>25</v>
      </c>
      <c r="G5" s="57" t="s">
        <v>84</v>
      </c>
      <c r="H5" s="57" t="s">
        <v>83</v>
      </c>
      <c r="I5" s="57">
        <f>'MERCADO TUSD'!$U$2</f>
        <v>2940</v>
      </c>
      <c r="J5" s="16"/>
      <c r="L5" s="17"/>
      <c r="M5" s="17"/>
      <c r="N5" s="17"/>
      <c r="O5" s="17"/>
      <c r="P5" s="17"/>
      <c r="Q5" s="17"/>
      <c r="R5" s="17"/>
      <c r="S5" s="17"/>
      <c r="T5" s="17"/>
      <c r="U5" s="17">
        <v>4.5382999999999996</v>
      </c>
      <c r="V5" s="17">
        <v>3.5983000000000001</v>
      </c>
      <c r="W5" s="17">
        <v>1.0368999999999999</v>
      </c>
      <c r="X5" s="17">
        <v>0</v>
      </c>
      <c r="Y5" s="17">
        <v>0</v>
      </c>
      <c r="Z5" s="17">
        <v>0</v>
      </c>
      <c r="AA5" s="17">
        <v>0</v>
      </c>
      <c r="AB5" s="17"/>
      <c r="AC5" s="17">
        <v>12.615399999999999</v>
      </c>
      <c r="AD5" s="17"/>
      <c r="AE5" s="17"/>
      <c r="AF5" s="17"/>
      <c r="AG5" s="17"/>
      <c r="AH5" s="17"/>
      <c r="AI5" s="17"/>
      <c r="AJ5" s="17"/>
      <c r="AK5" s="17"/>
      <c r="AL5" s="17"/>
      <c r="AM5" s="17"/>
      <c r="AP5" s="17">
        <v>1</v>
      </c>
    </row>
    <row r="6" spans="1:42" ht="11.25" customHeight="1" x14ac:dyDescent="0.25">
      <c r="A6" s="166"/>
      <c r="B6" s="166"/>
      <c r="C6" s="166"/>
      <c r="D6" s="166"/>
      <c r="E6" s="166"/>
      <c r="F6" s="166"/>
      <c r="G6" s="57" t="s">
        <v>85</v>
      </c>
      <c r="H6" s="57" t="s">
        <v>83</v>
      </c>
      <c r="I6" s="57">
        <f>'MERCADO TUSD'!$U$3</f>
        <v>2940</v>
      </c>
      <c r="J6" s="16"/>
      <c r="L6" s="17"/>
      <c r="M6" s="17"/>
      <c r="N6" s="17"/>
      <c r="O6" s="17"/>
      <c r="P6" s="17"/>
      <c r="Q6" s="17"/>
      <c r="R6" s="17"/>
      <c r="S6" s="17"/>
      <c r="T6" s="17"/>
      <c r="U6" s="17">
        <v>4.5391000000000004</v>
      </c>
      <c r="V6" s="17">
        <v>3.1063000000000001</v>
      </c>
      <c r="W6" s="17">
        <v>0.99</v>
      </c>
      <c r="X6" s="17">
        <v>0</v>
      </c>
      <c r="Y6" s="17">
        <v>0</v>
      </c>
      <c r="Z6" s="17">
        <v>0</v>
      </c>
      <c r="AA6" s="17">
        <v>0</v>
      </c>
      <c r="AB6" s="17"/>
      <c r="AC6" s="17">
        <v>12.615399999999999</v>
      </c>
      <c r="AD6" s="17"/>
      <c r="AE6" s="17"/>
      <c r="AF6" s="17"/>
      <c r="AG6" s="17"/>
      <c r="AH6" s="17"/>
      <c r="AI6" s="17"/>
      <c r="AJ6" s="17"/>
      <c r="AK6" s="17"/>
      <c r="AL6" s="17"/>
      <c r="AM6" s="17"/>
      <c r="AP6" s="17">
        <v>1</v>
      </c>
    </row>
    <row r="7" spans="1:42" ht="11.25" customHeight="1" x14ac:dyDescent="0.25">
      <c r="A7" s="166"/>
      <c r="B7" s="166"/>
      <c r="C7" s="166"/>
      <c r="D7" s="166"/>
      <c r="E7" s="166"/>
      <c r="F7" s="166"/>
      <c r="G7" s="57" t="s">
        <v>82</v>
      </c>
      <c r="H7" s="57" t="s">
        <v>78</v>
      </c>
      <c r="I7" s="57">
        <f>'MERCADO TUSD'!$U$4</f>
        <v>1433.7980000000002</v>
      </c>
      <c r="J7" s="16"/>
      <c r="L7" s="17"/>
      <c r="M7" s="17"/>
      <c r="N7" s="17"/>
      <c r="O7" s="17"/>
      <c r="P7" s="17"/>
      <c r="Q7" s="17"/>
      <c r="R7" s="17"/>
      <c r="S7" s="17"/>
      <c r="T7" s="17"/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/>
      <c r="AC7" s="17">
        <v>0</v>
      </c>
      <c r="AD7" s="17"/>
      <c r="AE7" s="17"/>
      <c r="AF7" s="17"/>
      <c r="AG7" s="17"/>
      <c r="AH7" s="17"/>
      <c r="AI7" s="17"/>
      <c r="AJ7" s="17"/>
      <c r="AK7" s="17"/>
      <c r="AL7" s="17"/>
      <c r="AM7" s="17"/>
      <c r="AP7" s="17">
        <v>1</v>
      </c>
    </row>
    <row r="8" spans="1:42" ht="11.25" customHeight="1" x14ac:dyDescent="0.25">
      <c r="A8" s="166"/>
      <c r="B8" s="166"/>
      <c r="C8" s="166"/>
      <c r="D8" s="166"/>
      <c r="E8" s="73" t="s">
        <v>86</v>
      </c>
      <c r="F8" s="73" t="s">
        <v>25</v>
      </c>
      <c r="G8" s="57" t="s">
        <v>82</v>
      </c>
      <c r="H8" s="57" t="s">
        <v>78</v>
      </c>
      <c r="I8" s="57">
        <f>'MERCADO TUSD'!$U$5</f>
        <v>0</v>
      </c>
      <c r="J8" s="16"/>
      <c r="L8" s="17"/>
      <c r="M8" s="17"/>
      <c r="N8" s="17"/>
      <c r="O8" s="17"/>
      <c r="P8" s="17"/>
      <c r="Q8" s="17"/>
      <c r="R8" s="17"/>
      <c r="S8" s="17"/>
      <c r="T8" s="17"/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7"/>
      <c r="AC8" s="17">
        <v>0</v>
      </c>
      <c r="AD8" s="17"/>
      <c r="AE8" s="17"/>
      <c r="AF8" s="17"/>
      <c r="AG8" s="17"/>
      <c r="AH8" s="17"/>
      <c r="AI8" s="17"/>
      <c r="AJ8" s="17"/>
      <c r="AK8" s="17"/>
      <c r="AL8" s="17"/>
      <c r="AM8" s="17"/>
      <c r="AP8" s="17">
        <v>1</v>
      </c>
    </row>
    <row r="9" spans="1:42" ht="11.25" customHeight="1" x14ac:dyDescent="0.25">
      <c r="A9" s="166"/>
      <c r="B9" s="73" t="s">
        <v>58</v>
      </c>
      <c r="C9" s="73" t="s">
        <v>25</v>
      </c>
      <c r="D9" s="73" t="s">
        <v>25</v>
      </c>
      <c r="E9" s="73" t="s">
        <v>25</v>
      </c>
      <c r="F9" s="73" t="s">
        <v>25</v>
      </c>
      <c r="G9" s="57" t="s">
        <v>9</v>
      </c>
      <c r="H9" s="57" t="s">
        <v>83</v>
      </c>
      <c r="I9" s="57">
        <f>'MERCADO TUSD'!$U$6</f>
        <v>20731</v>
      </c>
      <c r="J9" s="16"/>
      <c r="L9" s="17"/>
      <c r="M9" s="17"/>
      <c r="N9" s="17"/>
      <c r="O9" s="17"/>
      <c r="P9" s="17"/>
      <c r="Q9" s="17"/>
      <c r="R9" s="17"/>
      <c r="S9" s="17"/>
      <c r="T9" s="17"/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/>
      <c r="AC9" s="17">
        <v>6.7572000000000001</v>
      </c>
      <c r="AD9" s="17"/>
      <c r="AE9" s="17"/>
      <c r="AF9" s="17"/>
      <c r="AG9" s="17"/>
      <c r="AH9" s="17"/>
      <c r="AI9" s="17"/>
      <c r="AJ9" s="17"/>
      <c r="AK9" s="17"/>
      <c r="AL9" s="17"/>
      <c r="AM9" s="17"/>
      <c r="AP9" s="17"/>
    </row>
    <row r="10" spans="1:42" ht="11.25" customHeight="1" x14ac:dyDescent="0.25">
      <c r="A10" s="166"/>
      <c r="B10" s="166" t="s">
        <v>39</v>
      </c>
      <c r="C10" s="166" t="s">
        <v>25</v>
      </c>
      <c r="D10" s="166" t="s">
        <v>25</v>
      </c>
      <c r="E10" s="166" t="s">
        <v>25</v>
      </c>
      <c r="F10" s="166" t="s">
        <v>25</v>
      </c>
      <c r="G10" s="57" t="s">
        <v>9</v>
      </c>
      <c r="H10" s="57" t="s">
        <v>83</v>
      </c>
      <c r="I10" s="57">
        <f>'MERCADO TUSD'!$U$7</f>
        <v>252451</v>
      </c>
      <c r="J10" s="16"/>
      <c r="L10" s="17"/>
      <c r="M10" s="17"/>
      <c r="N10" s="17"/>
      <c r="O10" s="17"/>
      <c r="P10" s="17"/>
      <c r="Q10" s="17"/>
      <c r="R10" s="17"/>
      <c r="S10" s="17"/>
      <c r="T10" s="17"/>
      <c r="U10" s="17">
        <v>4.5391000000000004</v>
      </c>
      <c r="V10" s="17">
        <v>3.1063000000000001</v>
      </c>
      <c r="W10" s="17">
        <v>0.99</v>
      </c>
      <c r="X10" s="17">
        <v>0</v>
      </c>
      <c r="Y10" s="17">
        <v>0</v>
      </c>
      <c r="Z10" s="17">
        <v>0</v>
      </c>
      <c r="AA10" s="17">
        <v>0</v>
      </c>
      <c r="AB10" s="17"/>
      <c r="AC10" s="17">
        <v>12.615399999999999</v>
      </c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P10" s="17">
        <v>1</v>
      </c>
    </row>
    <row r="11" spans="1:42" ht="11.25" customHeight="1" x14ac:dyDescent="0.25">
      <c r="A11" s="166"/>
      <c r="B11" s="166"/>
      <c r="C11" s="166"/>
      <c r="D11" s="166"/>
      <c r="E11" s="166"/>
      <c r="F11" s="166"/>
      <c r="G11" s="57" t="s">
        <v>79</v>
      </c>
      <c r="H11" s="57" t="s">
        <v>78</v>
      </c>
      <c r="I11" s="57">
        <f>'MERCADO TUSD'!$U$8</f>
        <v>6165.058</v>
      </c>
      <c r="J11" s="16"/>
      <c r="L11" s="17"/>
      <c r="M11" s="17"/>
      <c r="N11" s="17"/>
      <c r="O11" s="17"/>
      <c r="P11" s="17"/>
      <c r="Q11" s="17"/>
      <c r="R11" s="17"/>
      <c r="S11" s="17"/>
      <c r="T11" s="17"/>
      <c r="U11" s="17">
        <v>109.1452</v>
      </c>
      <c r="V11" s="17">
        <v>86.539500000000004</v>
      </c>
      <c r="W11" s="17">
        <v>24.9375</v>
      </c>
      <c r="X11" s="17">
        <v>0</v>
      </c>
      <c r="Y11" s="17">
        <v>0</v>
      </c>
      <c r="Z11" s="17">
        <v>0</v>
      </c>
      <c r="AA11" s="17">
        <v>0</v>
      </c>
      <c r="AB11" s="17"/>
      <c r="AC11" s="17">
        <v>303.3999</v>
      </c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P11" s="17">
        <v>1</v>
      </c>
    </row>
    <row r="12" spans="1:42" ht="11.25" customHeight="1" x14ac:dyDescent="0.25">
      <c r="A12" s="166"/>
      <c r="B12" s="166"/>
      <c r="C12" s="166"/>
      <c r="D12" s="166"/>
      <c r="E12" s="166"/>
      <c r="F12" s="166"/>
      <c r="G12" s="57" t="s">
        <v>80</v>
      </c>
      <c r="H12" s="57" t="s">
        <v>78</v>
      </c>
      <c r="I12" s="57">
        <f>'MERCADO TUSD'!$U$9</f>
        <v>60495.598999999995</v>
      </c>
      <c r="J12" s="16"/>
      <c r="L12" s="17"/>
      <c r="M12" s="17"/>
      <c r="N12" s="17"/>
      <c r="O12" s="17"/>
      <c r="P12" s="17"/>
      <c r="Q12" s="17"/>
      <c r="R12" s="17"/>
      <c r="S12" s="17"/>
      <c r="T12" s="17"/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/>
      <c r="AC12" s="17">
        <v>0</v>
      </c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P12" s="17">
        <v>1</v>
      </c>
    </row>
    <row r="13" spans="1:42" ht="11.25" customHeight="1" x14ac:dyDescent="0.25">
      <c r="A13" s="166"/>
      <c r="B13" s="166"/>
      <c r="C13" s="166"/>
      <c r="D13" s="166"/>
      <c r="E13" s="166" t="s">
        <v>86</v>
      </c>
      <c r="F13" s="166" t="s">
        <v>25</v>
      </c>
      <c r="G13" s="57" t="s">
        <v>79</v>
      </c>
      <c r="H13" s="57" t="s">
        <v>78</v>
      </c>
      <c r="I13" s="57">
        <f>'MERCADO TUSD'!$U$10</f>
        <v>0</v>
      </c>
      <c r="J13" s="16"/>
      <c r="L13" s="17"/>
      <c r="M13" s="17"/>
      <c r="N13" s="17"/>
      <c r="O13" s="17"/>
      <c r="P13" s="17"/>
      <c r="Q13" s="17"/>
      <c r="R13" s="17"/>
      <c r="S13" s="17"/>
      <c r="T13" s="17"/>
      <c r="U13" s="17">
        <v>109.1452</v>
      </c>
      <c r="V13" s="17">
        <v>86.539500000000004</v>
      </c>
      <c r="W13" s="17">
        <v>24.9375</v>
      </c>
      <c r="X13" s="17">
        <v>0</v>
      </c>
      <c r="Y13" s="17">
        <v>0</v>
      </c>
      <c r="Z13" s="17">
        <v>0</v>
      </c>
      <c r="AA13" s="17">
        <v>0</v>
      </c>
      <c r="AB13" s="17"/>
      <c r="AC13" s="17">
        <v>303.3999</v>
      </c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P13" s="17">
        <v>1</v>
      </c>
    </row>
    <row r="14" spans="1:42" ht="11.25" customHeight="1" x14ac:dyDescent="0.25">
      <c r="A14" s="166"/>
      <c r="B14" s="166"/>
      <c r="C14" s="166"/>
      <c r="D14" s="166"/>
      <c r="E14" s="166"/>
      <c r="F14" s="166"/>
      <c r="G14" s="57" t="s">
        <v>80</v>
      </c>
      <c r="H14" s="57" t="s">
        <v>78</v>
      </c>
      <c r="I14" s="57">
        <f>'MERCADO TUSD'!$U$11</f>
        <v>0</v>
      </c>
      <c r="J14" s="16"/>
      <c r="L14" s="17"/>
      <c r="M14" s="17"/>
      <c r="N14" s="17"/>
      <c r="O14" s="17"/>
      <c r="P14" s="17"/>
      <c r="Q14" s="17"/>
      <c r="R14" s="17"/>
      <c r="S14" s="17"/>
      <c r="T14" s="17"/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/>
      <c r="AC14" s="17">
        <v>0</v>
      </c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P14" s="17">
        <v>1</v>
      </c>
    </row>
    <row r="15" spans="1:42" ht="11.25" customHeight="1" x14ac:dyDescent="0.25">
      <c r="A15" s="166" t="s">
        <v>89</v>
      </c>
      <c r="B15" s="166" t="s">
        <v>58</v>
      </c>
      <c r="C15" s="166" t="s">
        <v>25</v>
      </c>
      <c r="D15" s="166" t="s">
        <v>25</v>
      </c>
      <c r="E15" s="73" t="s">
        <v>90</v>
      </c>
      <c r="F15" s="73" t="s">
        <v>25</v>
      </c>
      <c r="G15" s="57" t="s">
        <v>9</v>
      </c>
      <c r="H15" s="57" t="s">
        <v>83</v>
      </c>
      <c r="I15" s="57">
        <f>'MERCADO TUSD'!$U$12+0.00000001</f>
        <v>1E-8</v>
      </c>
      <c r="J15" s="16"/>
      <c r="L15" s="17"/>
      <c r="M15" s="17"/>
      <c r="N15" s="17"/>
      <c r="O15" s="17"/>
      <c r="P15" s="17"/>
      <c r="Q15" s="17"/>
      <c r="R15" s="17"/>
      <c r="S15" s="17"/>
      <c r="T15" s="17"/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/>
      <c r="AC15" s="17">
        <v>5.7061000000000002</v>
      </c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P15" s="17"/>
    </row>
    <row r="16" spans="1:42" ht="11.25" customHeight="1" x14ac:dyDescent="0.25">
      <c r="A16" s="166"/>
      <c r="B16" s="166"/>
      <c r="C16" s="166"/>
      <c r="D16" s="166"/>
      <c r="E16" s="73" t="s">
        <v>91</v>
      </c>
      <c r="F16" s="73" t="s">
        <v>25</v>
      </c>
      <c r="G16" s="57" t="s">
        <v>9</v>
      </c>
      <c r="H16" s="57" t="s">
        <v>83</v>
      </c>
      <c r="I16" s="57">
        <f>'MERCADO TUSD'!$U$13+0.00000001</f>
        <v>1E-8</v>
      </c>
      <c r="J16" s="16"/>
      <c r="L16" s="17"/>
      <c r="M16" s="17"/>
      <c r="N16" s="17"/>
      <c r="O16" s="17"/>
      <c r="P16" s="17"/>
      <c r="Q16" s="17"/>
      <c r="R16" s="17"/>
      <c r="S16" s="17"/>
      <c r="T16" s="17"/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/>
      <c r="AC16" s="17">
        <v>9.5410000000000004</v>
      </c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P16" s="17"/>
    </row>
    <row r="17" spans="1:42" ht="11.25" customHeight="1" x14ac:dyDescent="0.25">
      <c r="A17" s="166" t="s">
        <v>22</v>
      </c>
      <c r="B17" s="166" t="s">
        <v>32</v>
      </c>
      <c r="C17" s="166" t="s">
        <v>24</v>
      </c>
      <c r="D17" s="166" t="s">
        <v>24</v>
      </c>
      <c r="E17" s="166" t="s">
        <v>25</v>
      </c>
      <c r="F17" s="166" t="s">
        <v>25</v>
      </c>
      <c r="G17" s="57" t="s">
        <v>79</v>
      </c>
      <c r="H17" s="57" t="s">
        <v>78</v>
      </c>
      <c r="I17" s="57">
        <f>'MERCADO TUSD'!$U$14</f>
        <v>2.7580000000000005</v>
      </c>
      <c r="J17" s="16"/>
      <c r="L17" s="17"/>
      <c r="M17" s="17"/>
      <c r="N17" s="17"/>
      <c r="O17" s="17"/>
      <c r="P17" s="17"/>
      <c r="Q17" s="17"/>
      <c r="R17" s="17"/>
      <c r="S17" s="17"/>
      <c r="T17" s="17"/>
      <c r="U17" s="17">
        <v>67.332700000000003</v>
      </c>
      <c r="V17" s="17">
        <v>50.054099999999998</v>
      </c>
      <c r="W17" s="17">
        <v>15.065099999999999</v>
      </c>
      <c r="X17" s="17">
        <v>0</v>
      </c>
      <c r="Y17" s="17">
        <v>0</v>
      </c>
      <c r="Z17" s="17">
        <v>0</v>
      </c>
      <c r="AA17" s="17">
        <v>0</v>
      </c>
      <c r="AB17" s="17"/>
      <c r="AC17" s="17">
        <v>559.54459999999995</v>
      </c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P17" s="17">
        <v>1</v>
      </c>
    </row>
    <row r="18" spans="1:42" ht="11.25" customHeight="1" x14ac:dyDescent="0.25">
      <c r="A18" s="166"/>
      <c r="B18" s="166"/>
      <c r="C18" s="166"/>
      <c r="D18" s="166"/>
      <c r="E18" s="166"/>
      <c r="F18" s="166"/>
      <c r="G18" s="57" t="s">
        <v>92</v>
      </c>
      <c r="H18" s="57" t="s">
        <v>78</v>
      </c>
      <c r="I18" s="57">
        <f>'MERCADO TUSD'!$U$15</f>
        <v>1.9870000000000001</v>
      </c>
      <c r="J18" s="16"/>
      <c r="L18" s="17"/>
      <c r="M18" s="17"/>
      <c r="N18" s="17"/>
      <c r="O18" s="17"/>
      <c r="P18" s="17"/>
      <c r="Q18" s="17"/>
      <c r="R18" s="17"/>
      <c r="S18" s="17"/>
      <c r="T18" s="17"/>
      <c r="U18" s="17">
        <v>33.666400000000003</v>
      </c>
      <c r="V18" s="17">
        <v>25.027000000000001</v>
      </c>
      <c r="W18" s="17">
        <v>7.5326000000000004</v>
      </c>
      <c r="X18" s="17">
        <v>0</v>
      </c>
      <c r="Y18" s="17">
        <v>0</v>
      </c>
      <c r="Z18" s="17">
        <v>0</v>
      </c>
      <c r="AA18" s="17">
        <v>0</v>
      </c>
      <c r="AB18" s="17"/>
      <c r="AC18" s="17">
        <v>279.77229999999997</v>
      </c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P18" s="17">
        <v>1</v>
      </c>
    </row>
    <row r="19" spans="1:42" ht="11.25" customHeight="1" x14ac:dyDescent="0.25">
      <c r="A19" s="166"/>
      <c r="B19" s="166"/>
      <c r="C19" s="166"/>
      <c r="D19" s="166"/>
      <c r="E19" s="166"/>
      <c r="F19" s="166"/>
      <c r="G19" s="57" t="s">
        <v>80</v>
      </c>
      <c r="H19" s="57" t="s">
        <v>78</v>
      </c>
      <c r="I19" s="57">
        <f>'MERCADO TUSD'!$U$16</f>
        <v>16.794</v>
      </c>
      <c r="J19" s="16"/>
      <c r="L19" s="17"/>
      <c r="M19" s="17"/>
      <c r="N19" s="17"/>
      <c r="O19" s="17"/>
      <c r="P19" s="17"/>
      <c r="Q19" s="17"/>
      <c r="R19" s="17"/>
      <c r="S19" s="17"/>
      <c r="T19" s="17"/>
      <c r="U19" s="17">
        <v>6.7332999999999998</v>
      </c>
      <c r="V19" s="17">
        <v>5.0053999999999998</v>
      </c>
      <c r="W19" s="17">
        <v>1.5065</v>
      </c>
      <c r="X19" s="17">
        <v>0</v>
      </c>
      <c r="Y19" s="17">
        <v>0</v>
      </c>
      <c r="Z19" s="17">
        <v>0</v>
      </c>
      <c r="AA19" s="17">
        <v>0</v>
      </c>
      <c r="AB19" s="17"/>
      <c r="AC19" s="17">
        <v>55.954500000000003</v>
      </c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P19" s="17">
        <v>1</v>
      </c>
    </row>
    <row r="20" spans="1:42" ht="11.25" customHeight="1" x14ac:dyDescent="0.25">
      <c r="A20" s="166"/>
      <c r="B20" s="166" t="s">
        <v>23</v>
      </c>
      <c r="C20" s="166" t="s">
        <v>24</v>
      </c>
      <c r="D20" s="73" t="s">
        <v>24</v>
      </c>
      <c r="E20" s="73" t="s">
        <v>25</v>
      </c>
      <c r="F20" s="73" t="s">
        <v>25</v>
      </c>
      <c r="G20" s="57" t="s">
        <v>82</v>
      </c>
      <c r="H20" s="57" t="s">
        <v>78</v>
      </c>
      <c r="I20" s="57">
        <f>'MERCADO TUSD'!$U$17</f>
        <v>38061.052999999993</v>
      </c>
      <c r="J20" s="16"/>
      <c r="L20" s="17"/>
      <c r="M20" s="17"/>
      <c r="N20" s="17"/>
      <c r="O20" s="17"/>
      <c r="P20" s="17"/>
      <c r="Q20" s="17"/>
      <c r="R20" s="17"/>
      <c r="S20" s="17"/>
      <c r="T20" s="17"/>
      <c r="U20" s="17">
        <v>20.4038</v>
      </c>
      <c r="V20" s="17">
        <v>15.167899999999999</v>
      </c>
      <c r="W20" s="17">
        <v>4.5651999999999999</v>
      </c>
      <c r="X20" s="17">
        <v>0</v>
      </c>
      <c r="Y20" s="17">
        <v>0</v>
      </c>
      <c r="Z20" s="17">
        <v>0</v>
      </c>
      <c r="AA20" s="17">
        <v>0</v>
      </c>
      <c r="AB20" s="17"/>
      <c r="AC20" s="17">
        <v>169.559</v>
      </c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P20" s="17">
        <v>1</v>
      </c>
    </row>
    <row r="21" spans="1:42" ht="11.25" customHeight="1" x14ac:dyDescent="0.25">
      <c r="A21" s="166"/>
      <c r="B21" s="166"/>
      <c r="C21" s="166"/>
      <c r="D21" s="73" t="s">
        <v>28</v>
      </c>
      <c r="E21" s="73" t="s">
        <v>25</v>
      </c>
      <c r="F21" s="73" t="s">
        <v>25</v>
      </c>
      <c r="G21" s="57" t="s">
        <v>82</v>
      </c>
      <c r="H21" s="57" t="s">
        <v>78</v>
      </c>
      <c r="I21" s="57">
        <f>'MERCADO TUSD'!$U$18</f>
        <v>264.92899999999997</v>
      </c>
      <c r="J21" s="16"/>
      <c r="L21" s="17"/>
      <c r="M21" s="17"/>
      <c r="N21" s="17"/>
      <c r="O21" s="17"/>
      <c r="P21" s="17"/>
      <c r="Q21" s="17"/>
      <c r="R21" s="17"/>
      <c r="S21" s="17"/>
      <c r="T21" s="17"/>
      <c r="U21" s="17">
        <f>(1 - CUSTOS!$M$24)*20.4038</f>
        <v>20.4038</v>
      </c>
      <c r="V21" s="17">
        <f>(1 - CUSTOS!$M$24)*15.1679</f>
        <v>15.167899999999999</v>
      </c>
      <c r="W21" s="17">
        <f>(1 - CUSTOS!$M$24)*4.5652</f>
        <v>4.5651999999999999</v>
      </c>
      <c r="X21" s="17">
        <v>0</v>
      </c>
      <c r="Y21" s="17">
        <v>0</v>
      </c>
      <c r="Z21" s="17">
        <v>0</v>
      </c>
      <c r="AA21" s="17">
        <v>0</v>
      </c>
      <c r="AB21" s="17"/>
      <c r="AC21" s="17">
        <f>(1 - CUSTOS!$M$24)*169.559</f>
        <v>169.559</v>
      </c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P21" s="17">
        <f>IF((1 - CUSTOS!$M$24)&lt;&gt;0,1/(1 - CUSTOS!$M$24),1)</f>
        <v>1</v>
      </c>
    </row>
    <row r="22" spans="1:42" ht="11.25" customHeight="1" x14ac:dyDescent="0.25">
      <c r="A22" s="166"/>
      <c r="B22" s="166"/>
      <c r="C22" s="166"/>
      <c r="D22" s="73" t="s">
        <v>29</v>
      </c>
      <c r="E22" s="73" t="s">
        <v>25</v>
      </c>
      <c r="F22" s="73" t="s">
        <v>25</v>
      </c>
      <c r="G22" s="57" t="s">
        <v>82</v>
      </c>
      <c r="H22" s="57" t="s">
        <v>78</v>
      </c>
      <c r="I22" s="57">
        <f>'MERCADO TUSD'!$U$19</f>
        <v>546.98300000000006</v>
      </c>
      <c r="J22" s="16"/>
      <c r="L22" s="17"/>
      <c r="M22" s="17"/>
      <c r="N22" s="17"/>
      <c r="O22" s="17"/>
      <c r="P22" s="17"/>
      <c r="Q22" s="17"/>
      <c r="R22" s="17"/>
      <c r="S22" s="17"/>
      <c r="T22" s="17"/>
      <c r="U22" s="17">
        <f>(1 - CUSTOS!$M$25)*20.4038</f>
        <v>20.4038</v>
      </c>
      <c r="V22" s="17">
        <f>(1 - CUSTOS!$M$25)*15.1679</f>
        <v>15.167899999999999</v>
      </c>
      <c r="W22" s="17">
        <f>(1 - CUSTOS!$M$25)*4.5652</f>
        <v>4.5651999999999999</v>
      </c>
      <c r="X22" s="17">
        <v>0</v>
      </c>
      <c r="Y22" s="17">
        <v>0</v>
      </c>
      <c r="Z22" s="17">
        <v>0</v>
      </c>
      <c r="AA22" s="17">
        <v>0</v>
      </c>
      <c r="AB22" s="17"/>
      <c r="AC22" s="17">
        <f>(1 - CUSTOS!$M$25)*169.559</f>
        <v>169.559</v>
      </c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P22" s="17">
        <f>IF((1 - CUSTOS!$M$25)&lt;&gt;0,1/(1 - CUSTOS!$M$25),1)</f>
        <v>1</v>
      </c>
    </row>
    <row r="23" spans="1:42" ht="11.25" customHeight="1" x14ac:dyDescent="0.25">
      <c r="A23" s="166"/>
      <c r="B23" s="166"/>
      <c r="C23" s="166"/>
      <c r="D23" s="73" t="s">
        <v>30</v>
      </c>
      <c r="E23" s="73" t="s">
        <v>25</v>
      </c>
      <c r="F23" s="73" t="s">
        <v>25</v>
      </c>
      <c r="G23" s="57" t="s">
        <v>82</v>
      </c>
      <c r="H23" s="57" t="s">
        <v>78</v>
      </c>
      <c r="I23" s="57">
        <f>'MERCADO TUSD'!$U$20</f>
        <v>480.18299999999999</v>
      </c>
      <c r="J23" s="16"/>
      <c r="L23" s="17"/>
      <c r="M23" s="17"/>
      <c r="N23" s="17"/>
      <c r="O23" s="17"/>
      <c r="P23" s="17"/>
      <c r="Q23" s="17"/>
      <c r="R23" s="17"/>
      <c r="S23" s="17"/>
      <c r="T23" s="17"/>
      <c r="U23" s="17">
        <f>(1 - CUSTOS!$M$26)*20.4038</f>
        <v>20.4038</v>
      </c>
      <c r="V23" s="17">
        <f>(1 - CUSTOS!$M$26)*15.1679</f>
        <v>15.167899999999999</v>
      </c>
      <c r="W23" s="17">
        <f>(1 - CUSTOS!$M$26)*4.5652</f>
        <v>4.5651999999999999</v>
      </c>
      <c r="X23" s="17">
        <v>0</v>
      </c>
      <c r="Y23" s="17">
        <v>0</v>
      </c>
      <c r="Z23" s="17">
        <v>0</v>
      </c>
      <c r="AA23" s="17">
        <v>0</v>
      </c>
      <c r="AB23" s="17"/>
      <c r="AC23" s="17">
        <f>(1 - CUSTOS!$M$26)*169.559</f>
        <v>169.559</v>
      </c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P23" s="17">
        <f>IF((1 - CUSTOS!$M$26)&lt;&gt;0,1/(1 - CUSTOS!$M$26),1)</f>
        <v>1</v>
      </c>
    </row>
    <row r="24" spans="1:42" ht="11.25" customHeight="1" x14ac:dyDescent="0.25">
      <c r="A24" s="166"/>
      <c r="B24" s="166"/>
      <c r="C24" s="166"/>
      <c r="D24" s="73" t="s">
        <v>31</v>
      </c>
      <c r="E24" s="73" t="s">
        <v>25</v>
      </c>
      <c r="F24" s="73" t="s">
        <v>25</v>
      </c>
      <c r="G24" s="57" t="s">
        <v>82</v>
      </c>
      <c r="H24" s="57" t="s">
        <v>78</v>
      </c>
      <c r="I24" s="57">
        <f>'MERCADO TUSD'!$U$21</f>
        <v>145.91099999999997</v>
      </c>
      <c r="J24" s="16"/>
      <c r="L24" s="17"/>
      <c r="M24" s="17"/>
      <c r="N24" s="17"/>
      <c r="O24" s="17"/>
      <c r="P24" s="17"/>
      <c r="Q24" s="17"/>
      <c r="R24" s="17"/>
      <c r="S24" s="17"/>
      <c r="T24" s="17"/>
      <c r="U24" s="17">
        <f>(1 - CUSTOS!$M$27)*20.4038</f>
        <v>20.4038</v>
      </c>
      <c r="V24" s="17">
        <f>(1 - CUSTOS!$M$27)*15.1679</f>
        <v>15.167899999999999</v>
      </c>
      <c r="W24" s="17">
        <f>(1 - CUSTOS!$M$27)*4.5652</f>
        <v>4.5651999999999999</v>
      </c>
      <c r="X24" s="17">
        <v>0</v>
      </c>
      <c r="Y24" s="17">
        <v>0</v>
      </c>
      <c r="Z24" s="17">
        <v>0</v>
      </c>
      <c r="AA24" s="17">
        <v>0</v>
      </c>
      <c r="AB24" s="17"/>
      <c r="AC24" s="17">
        <f>(1 - CUSTOS!$M$27)*169.559</f>
        <v>169.559</v>
      </c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P24" s="17">
        <f>IF((1 - CUSTOS!$M$27)&lt;&gt;0,1/(1 - CUSTOS!$M$27),1)</f>
        <v>1</v>
      </c>
    </row>
    <row r="25" spans="1:42" ht="11.25" customHeight="1" x14ac:dyDescent="0.25">
      <c r="A25" s="166"/>
      <c r="B25" s="166" t="s">
        <v>94</v>
      </c>
      <c r="C25" s="166" t="s">
        <v>24</v>
      </c>
      <c r="D25" s="73" t="s">
        <v>24</v>
      </c>
      <c r="E25" s="73" t="s">
        <v>25</v>
      </c>
      <c r="F25" s="73" t="s">
        <v>25</v>
      </c>
      <c r="G25" s="57" t="s">
        <v>82</v>
      </c>
      <c r="H25" s="57" t="s">
        <v>78</v>
      </c>
      <c r="I25" s="57">
        <f>'MERCADO TUSD'!$U$22</f>
        <v>0</v>
      </c>
      <c r="J25" s="16"/>
      <c r="L25" s="17"/>
      <c r="M25" s="17"/>
      <c r="N25" s="17"/>
      <c r="O25" s="17"/>
      <c r="P25" s="17"/>
      <c r="Q25" s="17"/>
      <c r="R25" s="17"/>
      <c r="S25" s="17"/>
      <c r="T25" s="17"/>
      <c r="U25" s="17">
        <v>20.4038</v>
      </c>
      <c r="V25" s="17">
        <v>15.167899999999999</v>
      </c>
      <c r="W25" s="17">
        <v>4.5651999999999999</v>
      </c>
      <c r="X25" s="17">
        <v>0</v>
      </c>
      <c r="Y25" s="17">
        <v>0</v>
      </c>
      <c r="Z25" s="17">
        <v>0</v>
      </c>
      <c r="AA25" s="17">
        <v>0</v>
      </c>
      <c r="AB25" s="17"/>
      <c r="AC25" s="17">
        <v>169.559</v>
      </c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P25" s="17">
        <v>1</v>
      </c>
    </row>
    <row r="26" spans="1:42" ht="11.25" customHeight="1" x14ac:dyDescent="0.25">
      <c r="A26" s="166"/>
      <c r="B26" s="166"/>
      <c r="C26" s="166"/>
      <c r="D26" s="73" t="s">
        <v>28</v>
      </c>
      <c r="E26" s="73" t="s">
        <v>25</v>
      </c>
      <c r="F26" s="73" t="s">
        <v>25</v>
      </c>
      <c r="G26" s="57" t="s">
        <v>82</v>
      </c>
      <c r="H26" s="57" t="s">
        <v>78</v>
      </c>
      <c r="I26" s="57">
        <f>'MERCADO TUSD'!$U$23</f>
        <v>0</v>
      </c>
      <c r="J26" s="16"/>
      <c r="L26" s="17"/>
      <c r="M26" s="17"/>
      <c r="N26" s="17"/>
      <c r="O26" s="17"/>
      <c r="P26" s="17"/>
      <c r="Q26" s="17"/>
      <c r="R26" s="17"/>
      <c r="S26" s="17"/>
      <c r="T26" s="17"/>
      <c r="U26" s="17">
        <f>(1 - CUSTOS!$M$24)*20.4038</f>
        <v>20.4038</v>
      </c>
      <c r="V26" s="17">
        <f>(1 - CUSTOS!$M$24)*15.1679</f>
        <v>15.167899999999999</v>
      </c>
      <c r="W26" s="17">
        <f>(1 - CUSTOS!$M$24)*4.5652</f>
        <v>4.5651999999999999</v>
      </c>
      <c r="X26" s="17">
        <v>0</v>
      </c>
      <c r="Y26" s="17">
        <v>0</v>
      </c>
      <c r="Z26" s="17">
        <v>0</v>
      </c>
      <c r="AA26" s="17">
        <v>0</v>
      </c>
      <c r="AB26" s="17"/>
      <c r="AC26" s="17">
        <f>(1 - CUSTOS!$M$24)*169.559</f>
        <v>169.559</v>
      </c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P26" s="17">
        <f>IF((1 - CUSTOS!$M$24)&lt;&gt;0,1/(1 - CUSTOS!$M$24),1)</f>
        <v>1</v>
      </c>
    </row>
    <row r="27" spans="1:42" ht="11.25" customHeight="1" x14ac:dyDescent="0.25">
      <c r="A27" s="166"/>
      <c r="B27" s="166"/>
      <c r="C27" s="166"/>
      <c r="D27" s="73" t="s">
        <v>29</v>
      </c>
      <c r="E27" s="73" t="s">
        <v>25</v>
      </c>
      <c r="F27" s="73" t="s">
        <v>25</v>
      </c>
      <c r="G27" s="57" t="s">
        <v>82</v>
      </c>
      <c r="H27" s="57" t="s">
        <v>78</v>
      </c>
      <c r="I27" s="57">
        <f>'MERCADO TUSD'!$U$24</f>
        <v>0</v>
      </c>
      <c r="J27" s="16"/>
      <c r="L27" s="17"/>
      <c r="M27" s="17"/>
      <c r="N27" s="17"/>
      <c r="O27" s="17"/>
      <c r="P27" s="17"/>
      <c r="Q27" s="17"/>
      <c r="R27" s="17"/>
      <c r="S27" s="17"/>
      <c r="T27" s="17"/>
      <c r="U27" s="17">
        <f>(1 - CUSTOS!$M$25)*20.4038</f>
        <v>20.4038</v>
      </c>
      <c r="V27" s="17">
        <f>(1 - CUSTOS!$M$25)*15.1679</f>
        <v>15.167899999999999</v>
      </c>
      <c r="W27" s="17">
        <f>(1 - CUSTOS!$M$25)*4.5652</f>
        <v>4.5651999999999999</v>
      </c>
      <c r="X27" s="17">
        <v>0</v>
      </c>
      <c r="Y27" s="17">
        <v>0</v>
      </c>
      <c r="Z27" s="17">
        <v>0</v>
      </c>
      <c r="AA27" s="17">
        <v>0</v>
      </c>
      <c r="AB27" s="17"/>
      <c r="AC27" s="17">
        <f>(1 - CUSTOS!$M$25)*169.559</f>
        <v>169.559</v>
      </c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P27" s="17">
        <f>IF((1 - CUSTOS!$M$25)&lt;&gt;0,1/(1 - CUSTOS!$M$25),1)</f>
        <v>1</v>
      </c>
    </row>
    <row r="28" spans="1:42" ht="11.25" customHeight="1" x14ac:dyDescent="0.25">
      <c r="A28" s="166"/>
      <c r="B28" s="166"/>
      <c r="C28" s="166"/>
      <c r="D28" s="73" t="s">
        <v>30</v>
      </c>
      <c r="E28" s="73" t="s">
        <v>25</v>
      </c>
      <c r="F28" s="73" t="s">
        <v>25</v>
      </c>
      <c r="G28" s="57" t="s">
        <v>82</v>
      </c>
      <c r="H28" s="57" t="s">
        <v>78</v>
      </c>
      <c r="I28" s="57">
        <f>'MERCADO TUSD'!$U$25</f>
        <v>0</v>
      </c>
      <c r="J28" s="16"/>
      <c r="L28" s="17"/>
      <c r="M28" s="17"/>
      <c r="N28" s="17"/>
      <c r="O28" s="17"/>
      <c r="P28" s="17"/>
      <c r="Q28" s="17"/>
      <c r="R28" s="17"/>
      <c r="S28" s="17"/>
      <c r="T28" s="17"/>
      <c r="U28" s="17">
        <f>(1 - CUSTOS!$M$26)*20.4038</f>
        <v>20.4038</v>
      </c>
      <c r="V28" s="17">
        <f>(1 - CUSTOS!$M$26)*15.1679</f>
        <v>15.167899999999999</v>
      </c>
      <c r="W28" s="17">
        <f>(1 - CUSTOS!$M$26)*4.5652</f>
        <v>4.5651999999999999</v>
      </c>
      <c r="X28" s="17">
        <v>0</v>
      </c>
      <c r="Y28" s="17">
        <v>0</v>
      </c>
      <c r="Z28" s="17">
        <v>0</v>
      </c>
      <c r="AA28" s="17">
        <v>0</v>
      </c>
      <c r="AB28" s="17"/>
      <c r="AC28" s="17">
        <f>(1 - CUSTOS!$M$26)*169.559</f>
        <v>169.559</v>
      </c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P28" s="17">
        <f>IF((1 - CUSTOS!$M$26)&lt;&gt;0,1/(1 - CUSTOS!$M$26),1)</f>
        <v>1</v>
      </c>
    </row>
    <row r="29" spans="1:42" ht="11.25" customHeight="1" x14ac:dyDescent="0.25">
      <c r="A29" s="166"/>
      <c r="B29" s="166"/>
      <c r="C29" s="166"/>
      <c r="D29" s="73" t="s">
        <v>31</v>
      </c>
      <c r="E29" s="73" t="s">
        <v>25</v>
      </c>
      <c r="F29" s="73" t="s">
        <v>25</v>
      </c>
      <c r="G29" s="57" t="s">
        <v>82</v>
      </c>
      <c r="H29" s="57" t="s">
        <v>78</v>
      </c>
      <c r="I29" s="57">
        <f>'MERCADO TUSD'!$U$26</f>
        <v>0</v>
      </c>
      <c r="J29" s="16"/>
      <c r="L29" s="17"/>
      <c r="M29" s="17"/>
      <c r="N29" s="17"/>
      <c r="O29" s="17"/>
      <c r="P29" s="17"/>
      <c r="Q29" s="17"/>
      <c r="R29" s="17"/>
      <c r="S29" s="17"/>
      <c r="T29" s="17"/>
      <c r="U29" s="17">
        <f>(1 - CUSTOS!$M$27)*20.4038</f>
        <v>20.4038</v>
      </c>
      <c r="V29" s="17">
        <f>(1 - CUSTOS!$M$27)*15.1679</f>
        <v>15.167899999999999</v>
      </c>
      <c r="W29" s="17">
        <f>(1 - CUSTOS!$M$27)*4.5652</f>
        <v>4.5651999999999999</v>
      </c>
      <c r="X29" s="17">
        <v>0</v>
      </c>
      <c r="Y29" s="17">
        <v>0</v>
      </c>
      <c r="Z29" s="17">
        <v>0</v>
      </c>
      <c r="AA29" s="17">
        <v>0</v>
      </c>
      <c r="AB29" s="17"/>
      <c r="AC29" s="17">
        <f>(1 - CUSTOS!$M$27)*169.559</f>
        <v>169.559</v>
      </c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P29" s="17">
        <f>IF((1 - CUSTOS!$M$27)&lt;&gt;0,1/(1 - CUSTOS!$M$27),1)</f>
        <v>1</v>
      </c>
    </row>
    <row r="30" spans="1:42" ht="11.25" customHeight="1" x14ac:dyDescent="0.25">
      <c r="A30" s="166" t="s">
        <v>42</v>
      </c>
      <c r="B30" s="166" t="s">
        <v>32</v>
      </c>
      <c r="C30" s="166" t="s">
        <v>43</v>
      </c>
      <c r="D30" s="166" t="s">
        <v>25</v>
      </c>
      <c r="E30" s="166" t="s">
        <v>25</v>
      </c>
      <c r="F30" s="166" t="s">
        <v>25</v>
      </c>
      <c r="G30" s="57" t="s">
        <v>79</v>
      </c>
      <c r="H30" s="57" t="s">
        <v>78</v>
      </c>
      <c r="I30" s="57">
        <f>'MERCADO TUSD'!$U$27</f>
        <v>0</v>
      </c>
      <c r="J30" s="16"/>
      <c r="L30" s="17"/>
      <c r="M30" s="17"/>
      <c r="N30" s="17"/>
      <c r="O30" s="17"/>
      <c r="P30" s="17"/>
      <c r="Q30" s="17"/>
      <c r="R30" s="17"/>
      <c r="S30" s="17"/>
      <c r="T30" s="17"/>
      <c r="U30" s="17">
        <f>(1 - CUSTOS!$M$28)*67.3327</f>
        <v>67.332700000000003</v>
      </c>
      <c r="V30" s="17">
        <f>(1 - CUSTOS!$M$28)*50.0541</f>
        <v>50.054099999999998</v>
      </c>
      <c r="W30" s="17">
        <f>(1 - CUSTOS!$M$28)*15.0651</f>
        <v>15.065099999999999</v>
      </c>
      <c r="X30" s="17">
        <v>0</v>
      </c>
      <c r="Y30" s="17">
        <v>0</v>
      </c>
      <c r="Z30" s="17">
        <v>0</v>
      </c>
      <c r="AA30" s="17">
        <v>0</v>
      </c>
      <c r="AB30" s="17"/>
      <c r="AC30" s="17">
        <f>(1 - CUSTOS!$M$28)*559.5446</f>
        <v>559.54459999999995</v>
      </c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P30" s="17">
        <f>IF((1 - CUSTOS!$M$28)&lt;&gt;0,1/(1 - CUSTOS!$M$28),1)</f>
        <v>1</v>
      </c>
    </row>
    <row r="31" spans="1:42" ht="11.25" customHeight="1" x14ac:dyDescent="0.25">
      <c r="A31" s="166"/>
      <c r="B31" s="166"/>
      <c r="C31" s="166"/>
      <c r="D31" s="166"/>
      <c r="E31" s="166"/>
      <c r="F31" s="166"/>
      <c r="G31" s="57" t="s">
        <v>92</v>
      </c>
      <c r="H31" s="57" t="s">
        <v>78</v>
      </c>
      <c r="I31" s="57">
        <f>'MERCADO TUSD'!$U$28</f>
        <v>0</v>
      </c>
      <c r="J31" s="16"/>
      <c r="L31" s="17"/>
      <c r="M31" s="17"/>
      <c r="N31" s="17"/>
      <c r="O31" s="17"/>
      <c r="P31" s="17"/>
      <c r="Q31" s="17"/>
      <c r="R31" s="17"/>
      <c r="S31" s="17"/>
      <c r="T31" s="17"/>
      <c r="U31" s="17">
        <f>(1 - CUSTOS!$M$28)*26.9331</f>
        <v>26.9331</v>
      </c>
      <c r="V31" s="17">
        <f>(1 - CUSTOS!$M$28)*20.0216</f>
        <v>20.021599999999999</v>
      </c>
      <c r="W31" s="17">
        <f>(1 - CUSTOS!$M$28)*6.0261</f>
        <v>6.0260999999999996</v>
      </c>
      <c r="X31" s="17">
        <v>0</v>
      </c>
      <c r="Y31" s="17">
        <v>0</v>
      </c>
      <c r="Z31" s="17">
        <v>0</v>
      </c>
      <c r="AA31" s="17">
        <v>0</v>
      </c>
      <c r="AB31" s="17"/>
      <c r="AC31" s="17">
        <f>(1 - CUSTOS!$M$28)*223.8178</f>
        <v>223.81780000000001</v>
      </c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P31" s="17">
        <f>IF((1 - CUSTOS!$M$28)&lt;&gt;0,1/(1 - CUSTOS!$M$28),1)</f>
        <v>1</v>
      </c>
    </row>
    <row r="32" spans="1:42" ht="11.25" customHeight="1" x14ac:dyDescent="0.25">
      <c r="A32" s="166"/>
      <c r="B32" s="166"/>
      <c r="C32" s="166"/>
      <c r="D32" s="166"/>
      <c r="E32" s="166"/>
      <c r="F32" s="166"/>
      <c r="G32" s="57" t="s">
        <v>80</v>
      </c>
      <c r="H32" s="57" t="s">
        <v>78</v>
      </c>
      <c r="I32" s="57">
        <f>'MERCADO TUSD'!$U$29</f>
        <v>0</v>
      </c>
      <c r="J32" s="16"/>
      <c r="L32" s="17"/>
      <c r="M32" s="17"/>
      <c r="N32" s="17"/>
      <c r="O32" s="17"/>
      <c r="P32" s="17"/>
      <c r="Q32" s="17"/>
      <c r="R32" s="17"/>
      <c r="S32" s="17"/>
      <c r="T32" s="17"/>
      <c r="U32" s="17">
        <f>(1 - CUSTOS!$M$28)*13.4665</f>
        <v>13.4665</v>
      </c>
      <c r="V32" s="17">
        <f>(1 - CUSTOS!$M$28)*10.0108</f>
        <v>10.0108</v>
      </c>
      <c r="W32" s="17">
        <f>(1 - CUSTOS!$M$28)*3.013</f>
        <v>3.0129999999999999</v>
      </c>
      <c r="X32" s="17">
        <v>0</v>
      </c>
      <c r="Y32" s="17">
        <v>0</v>
      </c>
      <c r="Z32" s="17">
        <v>0</v>
      </c>
      <c r="AA32" s="17">
        <v>0</v>
      </c>
      <c r="AB32" s="17"/>
      <c r="AC32" s="17">
        <f>(1 - CUSTOS!$M$28)*111.9089</f>
        <v>111.9089</v>
      </c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P32" s="17">
        <f>IF((1 - CUSTOS!$M$28)&lt;&gt;0,1/(1 - CUSTOS!$M$28),1)</f>
        <v>1</v>
      </c>
    </row>
    <row r="33" spans="1:42" ht="11.25" customHeight="1" x14ac:dyDescent="0.25">
      <c r="A33" s="166"/>
      <c r="B33" s="73" t="s">
        <v>23</v>
      </c>
      <c r="C33" s="73" t="s">
        <v>43</v>
      </c>
      <c r="D33" s="73" t="s">
        <v>25</v>
      </c>
      <c r="E33" s="73" t="s">
        <v>25</v>
      </c>
      <c r="F33" s="73" t="s">
        <v>25</v>
      </c>
      <c r="G33" s="57" t="s">
        <v>82</v>
      </c>
      <c r="H33" s="57" t="s">
        <v>78</v>
      </c>
      <c r="I33" s="57">
        <f>'MERCADO TUSD'!$U$30</f>
        <v>1694.7730000000001</v>
      </c>
      <c r="J33" s="16"/>
      <c r="L33" s="17"/>
      <c r="M33" s="17"/>
      <c r="N33" s="17"/>
      <c r="O33" s="17"/>
      <c r="P33" s="17"/>
      <c r="Q33" s="17"/>
      <c r="R33" s="17"/>
      <c r="S33" s="17"/>
      <c r="T33" s="17"/>
      <c r="U33" s="17">
        <f>(1 - CUSTOS!$M$28)*20.4038</f>
        <v>20.4038</v>
      </c>
      <c r="V33" s="17">
        <f>(1 - CUSTOS!$M$28)*15.1679</f>
        <v>15.167899999999999</v>
      </c>
      <c r="W33" s="17">
        <f>(1 - CUSTOS!$M$28)*4.5652</f>
        <v>4.5651999999999999</v>
      </c>
      <c r="X33" s="17">
        <v>0</v>
      </c>
      <c r="Y33" s="17">
        <v>0</v>
      </c>
      <c r="Z33" s="17">
        <v>0</v>
      </c>
      <c r="AA33" s="17">
        <v>0</v>
      </c>
      <c r="AB33" s="17"/>
      <c r="AC33" s="17">
        <f>(1 - CUSTOS!$M$28)*169.559</f>
        <v>169.559</v>
      </c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P33" s="17">
        <f>IF((1 - CUSTOS!$M$28)&lt;&gt;0,1/(1 - CUSTOS!$M$28),1)</f>
        <v>1</v>
      </c>
    </row>
    <row r="34" spans="1:42" ht="11.25" customHeight="1" x14ac:dyDescent="0.25">
      <c r="A34" s="166"/>
      <c r="B34" s="166" t="s">
        <v>32</v>
      </c>
      <c r="C34" s="166" t="s">
        <v>43</v>
      </c>
      <c r="D34" s="166" t="s">
        <v>95</v>
      </c>
      <c r="E34" s="166" t="s">
        <v>25</v>
      </c>
      <c r="F34" s="166" t="s">
        <v>25</v>
      </c>
      <c r="G34" s="57" t="s">
        <v>79</v>
      </c>
      <c r="H34" s="57" t="s">
        <v>78</v>
      </c>
      <c r="I34" s="57">
        <f>'MERCADO TUSD'!$U$31</f>
        <v>0</v>
      </c>
      <c r="J34" s="16"/>
      <c r="L34" s="17"/>
      <c r="M34" s="17"/>
      <c r="N34" s="17"/>
      <c r="O34" s="17"/>
      <c r="P34" s="17"/>
      <c r="Q34" s="17"/>
      <c r="R34" s="17"/>
      <c r="S34" s="17"/>
      <c r="T34" s="17"/>
      <c r="U34" s="17">
        <f>(1 - CUSTOS!$M$29)*67.3327</f>
        <v>67.332700000000003</v>
      </c>
      <c r="V34" s="17">
        <f>(1 - CUSTOS!$M$29)*50.0541</f>
        <v>50.054099999999998</v>
      </c>
      <c r="W34" s="17">
        <f>(1 - CUSTOS!$M$29)*15.0651</f>
        <v>15.065099999999999</v>
      </c>
      <c r="X34" s="17">
        <v>0</v>
      </c>
      <c r="Y34" s="17">
        <v>0</v>
      </c>
      <c r="Z34" s="17">
        <v>0</v>
      </c>
      <c r="AA34" s="17">
        <v>0</v>
      </c>
      <c r="AB34" s="17"/>
      <c r="AC34" s="17">
        <f>(1 - CUSTOS!$M$29)*559.5446</f>
        <v>559.54459999999995</v>
      </c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P34" s="17">
        <f>IF((1 - CUSTOS!$M$29)&lt;&gt;0,1/(1 - CUSTOS!$M$29),1)</f>
        <v>1</v>
      </c>
    </row>
    <row r="35" spans="1:42" ht="11.25" customHeight="1" x14ac:dyDescent="0.25">
      <c r="A35" s="166"/>
      <c r="B35" s="166"/>
      <c r="C35" s="166"/>
      <c r="D35" s="166"/>
      <c r="E35" s="166"/>
      <c r="F35" s="166"/>
      <c r="G35" s="57" t="s">
        <v>92</v>
      </c>
      <c r="H35" s="57" t="s">
        <v>78</v>
      </c>
      <c r="I35" s="57">
        <f>'MERCADO TUSD'!$U$32</f>
        <v>0</v>
      </c>
      <c r="J35" s="16"/>
      <c r="L35" s="17"/>
      <c r="M35" s="17"/>
      <c r="N35" s="17"/>
      <c r="O35" s="17"/>
      <c r="P35" s="17"/>
      <c r="Q35" s="17"/>
      <c r="R35" s="17"/>
      <c r="S35" s="17"/>
      <c r="T35" s="17"/>
      <c r="U35" s="17">
        <f>(1 - CUSTOS!$M$29)*26.9331</f>
        <v>26.9331</v>
      </c>
      <c r="V35" s="17">
        <f>(1 - CUSTOS!$M$29)*20.0216</f>
        <v>20.021599999999999</v>
      </c>
      <c r="W35" s="17">
        <f>(1 - CUSTOS!$M$29)*6.0261</f>
        <v>6.0260999999999996</v>
      </c>
      <c r="X35" s="17">
        <v>0</v>
      </c>
      <c r="Y35" s="17">
        <v>0</v>
      </c>
      <c r="Z35" s="17">
        <v>0</v>
      </c>
      <c r="AA35" s="17">
        <v>0</v>
      </c>
      <c r="AB35" s="17"/>
      <c r="AC35" s="17">
        <f>(1 - CUSTOS!$M$29)*223.8178</f>
        <v>223.81780000000001</v>
      </c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P35" s="17">
        <f>IF((1 - CUSTOS!$M$29)&lt;&gt;0,1/(1 - CUSTOS!$M$29),1)</f>
        <v>1</v>
      </c>
    </row>
    <row r="36" spans="1:42" ht="11.25" customHeight="1" x14ac:dyDescent="0.25">
      <c r="A36" s="166"/>
      <c r="B36" s="166"/>
      <c r="C36" s="166"/>
      <c r="D36" s="166"/>
      <c r="E36" s="166"/>
      <c r="F36" s="166"/>
      <c r="G36" s="57" t="s">
        <v>80</v>
      </c>
      <c r="H36" s="57" t="s">
        <v>78</v>
      </c>
      <c r="I36" s="57">
        <f>'MERCADO TUSD'!$U$33</f>
        <v>0</v>
      </c>
      <c r="J36" s="16"/>
      <c r="L36" s="17"/>
      <c r="M36" s="17"/>
      <c r="N36" s="17"/>
      <c r="O36" s="17"/>
      <c r="P36" s="17"/>
      <c r="Q36" s="17"/>
      <c r="R36" s="17"/>
      <c r="S36" s="17"/>
      <c r="T36" s="17"/>
      <c r="U36" s="17">
        <f>(1 - CUSTOS!$M$29)*13.4665</f>
        <v>13.4665</v>
      </c>
      <c r="V36" s="17">
        <f>(1 - CUSTOS!$M$29)*10.0108</f>
        <v>10.0108</v>
      </c>
      <c r="W36" s="17">
        <f>(1 - CUSTOS!$M$29)*3.013</f>
        <v>3.0129999999999999</v>
      </c>
      <c r="X36" s="17">
        <v>0</v>
      </c>
      <c r="Y36" s="17">
        <v>0</v>
      </c>
      <c r="Z36" s="17">
        <v>0</v>
      </c>
      <c r="AA36" s="17">
        <v>0</v>
      </c>
      <c r="AB36" s="17"/>
      <c r="AC36" s="17">
        <f>(1 - CUSTOS!$M$29)*111.9089</f>
        <v>111.9089</v>
      </c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P36" s="17">
        <f>IF((1 - CUSTOS!$M$29)&lt;&gt;0,1/(1 - CUSTOS!$M$29),1)</f>
        <v>1</v>
      </c>
    </row>
    <row r="37" spans="1:42" ht="11.25" customHeight="1" x14ac:dyDescent="0.25">
      <c r="A37" s="166"/>
      <c r="B37" s="73" t="s">
        <v>23</v>
      </c>
      <c r="C37" s="73" t="s">
        <v>43</v>
      </c>
      <c r="D37" s="73" t="s">
        <v>95</v>
      </c>
      <c r="E37" s="73" t="s">
        <v>25</v>
      </c>
      <c r="F37" s="73" t="s">
        <v>25</v>
      </c>
      <c r="G37" s="57" t="s">
        <v>82</v>
      </c>
      <c r="H37" s="57" t="s">
        <v>78</v>
      </c>
      <c r="I37" s="57">
        <f>'MERCADO TUSD'!$U$34</f>
        <v>0</v>
      </c>
      <c r="J37" s="16"/>
      <c r="L37" s="17"/>
      <c r="M37" s="17"/>
      <c r="N37" s="17"/>
      <c r="O37" s="17"/>
      <c r="P37" s="17"/>
      <c r="Q37" s="17"/>
      <c r="R37" s="17"/>
      <c r="S37" s="17"/>
      <c r="T37" s="17"/>
      <c r="U37" s="17">
        <f>(1 - CUSTOS!$M$29)*20.4038</f>
        <v>20.4038</v>
      </c>
      <c r="V37" s="17">
        <f>(1 - CUSTOS!$M$29)*15.1679</f>
        <v>15.167899999999999</v>
      </c>
      <c r="W37" s="17">
        <f>(1 - CUSTOS!$M$29)*4.5652</f>
        <v>4.5651999999999999</v>
      </c>
      <c r="X37" s="17">
        <v>0</v>
      </c>
      <c r="Y37" s="17">
        <v>0</v>
      </c>
      <c r="Z37" s="17">
        <v>0</v>
      </c>
      <c r="AA37" s="17">
        <v>0</v>
      </c>
      <c r="AB37" s="17"/>
      <c r="AC37" s="17">
        <f>(1 - CUSTOS!$M$29)*169.559</f>
        <v>169.559</v>
      </c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P37" s="17">
        <f>IF((1 - CUSTOS!$M$29)&lt;&gt;0,1/(1 - CUSTOS!$M$29),1)</f>
        <v>1</v>
      </c>
    </row>
    <row r="38" spans="1:42" ht="11.25" customHeight="1" x14ac:dyDescent="0.25">
      <c r="A38" s="166"/>
      <c r="B38" s="166" t="s">
        <v>32</v>
      </c>
      <c r="C38" s="166" t="s">
        <v>43</v>
      </c>
      <c r="D38" s="166" t="s">
        <v>96</v>
      </c>
      <c r="E38" s="166" t="s">
        <v>25</v>
      </c>
      <c r="F38" s="166" t="s">
        <v>25</v>
      </c>
      <c r="G38" s="57" t="s">
        <v>79</v>
      </c>
      <c r="H38" s="57" t="s">
        <v>78</v>
      </c>
      <c r="I38" s="57">
        <f>'MERCADO TUSD'!$U$35</f>
        <v>0</v>
      </c>
      <c r="J38" s="16"/>
      <c r="L38" s="17"/>
      <c r="M38" s="17"/>
      <c r="N38" s="17"/>
      <c r="O38" s="17"/>
      <c r="P38" s="17"/>
      <c r="Q38" s="17"/>
      <c r="R38" s="17"/>
      <c r="S38" s="17"/>
      <c r="T38" s="17"/>
      <c r="U38" s="17">
        <f>(1 - CUSTOS!$M$30)*67.3327</f>
        <v>67.332700000000003</v>
      </c>
      <c r="V38" s="17">
        <f>(1 - CUSTOS!$M$30)*50.0541</f>
        <v>50.054099999999998</v>
      </c>
      <c r="W38" s="17">
        <f>(1 - CUSTOS!$M$30)*15.0651</f>
        <v>15.065099999999999</v>
      </c>
      <c r="X38" s="17">
        <v>0</v>
      </c>
      <c r="Y38" s="17">
        <v>0</v>
      </c>
      <c r="Z38" s="17">
        <v>0</v>
      </c>
      <c r="AA38" s="17">
        <v>0</v>
      </c>
      <c r="AB38" s="17"/>
      <c r="AC38" s="17">
        <f>(1 - CUSTOS!$M$30)*559.5446</f>
        <v>559.54459999999995</v>
      </c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P38" s="17">
        <f>IF((1 - CUSTOS!$M$30)&lt;&gt;0,1/(1 - CUSTOS!$M$30),1)</f>
        <v>1</v>
      </c>
    </row>
    <row r="39" spans="1:42" ht="11.25" customHeight="1" x14ac:dyDescent="0.25">
      <c r="A39" s="166"/>
      <c r="B39" s="166"/>
      <c r="C39" s="166"/>
      <c r="D39" s="166"/>
      <c r="E39" s="166"/>
      <c r="F39" s="166"/>
      <c r="G39" s="57" t="s">
        <v>92</v>
      </c>
      <c r="H39" s="57" t="s">
        <v>78</v>
      </c>
      <c r="I39" s="57">
        <f>'MERCADO TUSD'!$U$36</f>
        <v>0</v>
      </c>
      <c r="J39" s="16"/>
      <c r="L39" s="17"/>
      <c r="M39" s="17"/>
      <c r="N39" s="17"/>
      <c r="O39" s="17"/>
      <c r="P39" s="17"/>
      <c r="Q39" s="17"/>
      <c r="R39" s="17"/>
      <c r="S39" s="17"/>
      <c r="T39" s="17"/>
      <c r="U39" s="17">
        <f>(1 - CUSTOS!$M$30)*26.9331</f>
        <v>26.9331</v>
      </c>
      <c r="V39" s="17">
        <f>(1 - CUSTOS!$M$30)*20.0216</f>
        <v>20.021599999999999</v>
      </c>
      <c r="W39" s="17">
        <f>(1 - CUSTOS!$M$30)*6.0261</f>
        <v>6.0260999999999996</v>
      </c>
      <c r="X39" s="17">
        <v>0</v>
      </c>
      <c r="Y39" s="17">
        <v>0</v>
      </c>
      <c r="Z39" s="17">
        <v>0</v>
      </c>
      <c r="AA39" s="17">
        <v>0</v>
      </c>
      <c r="AB39" s="17"/>
      <c r="AC39" s="17">
        <f>(1 - CUSTOS!$M$30)*223.8178</f>
        <v>223.81780000000001</v>
      </c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P39" s="17">
        <f>IF((1 - CUSTOS!$M$30)&lt;&gt;0,1/(1 - CUSTOS!$M$30),1)</f>
        <v>1</v>
      </c>
    </row>
    <row r="40" spans="1:42" ht="11.25" customHeight="1" x14ac:dyDescent="0.25">
      <c r="A40" s="166"/>
      <c r="B40" s="166"/>
      <c r="C40" s="166"/>
      <c r="D40" s="166"/>
      <c r="E40" s="166"/>
      <c r="F40" s="166"/>
      <c r="G40" s="57" t="s">
        <v>80</v>
      </c>
      <c r="H40" s="57" t="s">
        <v>78</v>
      </c>
      <c r="I40" s="57">
        <f>'MERCADO TUSD'!$U$37</f>
        <v>0</v>
      </c>
      <c r="J40" s="16"/>
      <c r="L40" s="17"/>
      <c r="M40" s="17"/>
      <c r="N40" s="17"/>
      <c r="O40" s="17"/>
      <c r="P40" s="17"/>
      <c r="Q40" s="17"/>
      <c r="R40" s="17"/>
      <c r="S40" s="17"/>
      <c r="T40" s="17"/>
      <c r="U40" s="17">
        <f>(1 - CUSTOS!$M$30)*13.4665</f>
        <v>13.4665</v>
      </c>
      <c r="V40" s="17">
        <f>(1 - CUSTOS!$M$30)*10.0108</f>
        <v>10.0108</v>
      </c>
      <c r="W40" s="17">
        <f>(1 - CUSTOS!$M$30)*3.013</f>
        <v>3.0129999999999999</v>
      </c>
      <c r="X40" s="17">
        <v>0</v>
      </c>
      <c r="Y40" s="17">
        <v>0</v>
      </c>
      <c r="Z40" s="17">
        <v>0</v>
      </c>
      <c r="AA40" s="17">
        <v>0</v>
      </c>
      <c r="AB40" s="17"/>
      <c r="AC40" s="17">
        <f>(1 - CUSTOS!$M$30)*111.9089</f>
        <v>111.9089</v>
      </c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P40" s="17">
        <f>IF((1 - CUSTOS!$M$30)&lt;&gt;0,1/(1 - CUSTOS!$M$30),1)</f>
        <v>1</v>
      </c>
    </row>
    <row r="41" spans="1:42" ht="11.25" customHeight="1" x14ac:dyDescent="0.25">
      <c r="A41" s="166"/>
      <c r="B41" s="73" t="s">
        <v>23</v>
      </c>
      <c r="C41" s="73" t="s">
        <v>43</v>
      </c>
      <c r="D41" s="73" t="s">
        <v>96</v>
      </c>
      <c r="E41" s="73" t="s">
        <v>25</v>
      </c>
      <c r="F41" s="73" t="s">
        <v>25</v>
      </c>
      <c r="G41" s="57" t="s">
        <v>82</v>
      </c>
      <c r="H41" s="57" t="s">
        <v>78</v>
      </c>
      <c r="I41" s="57">
        <f>'MERCADO TUSD'!$U$38</f>
        <v>0</v>
      </c>
      <c r="J41" s="16"/>
      <c r="L41" s="17"/>
      <c r="M41" s="17"/>
      <c r="N41" s="17"/>
      <c r="O41" s="17"/>
      <c r="P41" s="17"/>
      <c r="Q41" s="17"/>
      <c r="R41" s="17"/>
      <c r="S41" s="17"/>
      <c r="T41" s="17"/>
      <c r="U41" s="17">
        <f>(1 - CUSTOS!$M$30)*20.4038</f>
        <v>20.4038</v>
      </c>
      <c r="V41" s="17">
        <f>(1 - CUSTOS!$M$30)*15.1679</f>
        <v>15.167899999999999</v>
      </c>
      <c r="W41" s="17">
        <f>(1 - CUSTOS!$M$30)*4.5652</f>
        <v>4.5651999999999999</v>
      </c>
      <c r="X41" s="17">
        <v>0</v>
      </c>
      <c r="Y41" s="17">
        <v>0</v>
      </c>
      <c r="Z41" s="17">
        <v>0</v>
      </c>
      <c r="AA41" s="17">
        <v>0</v>
      </c>
      <c r="AB41" s="17"/>
      <c r="AC41" s="17">
        <f>(1 - CUSTOS!$M$30)*169.559</f>
        <v>169.559</v>
      </c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P41" s="17">
        <f>IF((1 - CUSTOS!$M$30)&lt;&gt;0,1/(1 - CUSTOS!$M$30),1)</f>
        <v>1</v>
      </c>
    </row>
    <row r="42" spans="1:42" ht="11.25" customHeight="1" x14ac:dyDescent="0.25">
      <c r="A42" s="166"/>
      <c r="B42" s="166" t="s">
        <v>94</v>
      </c>
      <c r="C42" s="166" t="s">
        <v>43</v>
      </c>
      <c r="D42" s="73" t="s">
        <v>25</v>
      </c>
      <c r="E42" s="73" t="s">
        <v>25</v>
      </c>
      <c r="F42" s="73" t="s">
        <v>25</v>
      </c>
      <c r="G42" s="57" t="s">
        <v>82</v>
      </c>
      <c r="H42" s="57" t="s">
        <v>78</v>
      </c>
      <c r="I42" s="57">
        <f>'MERCADO TUSD'!$U$39</f>
        <v>0</v>
      </c>
      <c r="J42" s="16"/>
      <c r="L42" s="17"/>
      <c r="M42" s="17"/>
      <c r="N42" s="17"/>
      <c r="O42" s="17"/>
      <c r="P42" s="17"/>
      <c r="Q42" s="17"/>
      <c r="R42" s="17"/>
      <c r="S42" s="17"/>
      <c r="T42" s="17"/>
      <c r="U42" s="17">
        <f>(1 - CUSTOS!$M$28)*20.4038</f>
        <v>20.4038</v>
      </c>
      <c r="V42" s="17">
        <f>(1 - CUSTOS!$M$28)*15.1679</f>
        <v>15.167899999999999</v>
      </c>
      <c r="W42" s="17">
        <f>(1 - CUSTOS!$M$28)*4.5652</f>
        <v>4.5651999999999999</v>
      </c>
      <c r="X42" s="17">
        <v>0</v>
      </c>
      <c r="Y42" s="17">
        <v>0</v>
      </c>
      <c r="Z42" s="17">
        <v>0</v>
      </c>
      <c r="AA42" s="17">
        <v>0</v>
      </c>
      <c r="AB42" s="17"/>
      <c r="AC42" s="17">
        <f>(1 - CUSTOS!$M$28)*169.559</f>
        <v>169.559</v>
      </c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P42" s="17">
        <f>IF((1 - CUSTOS!$M$28)&lt;&gt;0,1/(1 - CUSTOS!$M$28),1)</f>
        <v>1</v>
      </c>
    </row>
    <row r="43" spans="1:42" ht="11.25" customHeight="1" x14ac:dyDescent="0.25">
      <c r="A43" s="166"/>
      <c r="B43" s="166"/>
      <c r="C43" s="166"/>
      <c r="D43" s="73" t="s">
        <v>95</v>
      </c>
      <c r="E43" s="73" t="s">
        <v>25</v>
      </c>
      <c r="F43" s="73" t="s">
        <v>25</v>
      </c>
      <c r="G43" s="57" t="s">
        <v>82</v>
      </c>
      <c r="H43" s="57" t="s">
        <v>78</v>
      </c>
      <c r="I43" s="57">
        <f>'MERCADO TUSD'!$U$40</f>
        <v>0</v>
      </c>
      <c r="J43" s="16"/>
      <c r="L43" s="17"/>
      <c r="M43" s="17"/>
      <c r="N43" s="17"/>
      <c r="O43" s="17"/>
      <c r="P43" s="17"/>
      <c r="Q43" s="17"/>
      <c r="R43" s="17"/>
      <c r="S43" s="17"/>
      <c r="T43" s="17"/>
      <c r="U43" s="17">
        <f>(1 - CUSTOS!$M$29)*20.4038</f>
        <v>20.4038</v>
      </c>
      <c r="V43" s="17">
        <f>(1 - CUSTOS!$M$29)*15.1679</f>
        <v>15.167899999999999</v>
      </c>
      <c r="W43" s="17">
        <f>(1 - CUSTOS!$M$29)*4.5652</f>
        <v>4.5651999999999999</v>
      </c>
      <c r="X43" s="17">
        <v>0</v>
      </c>
      <c r="Y43" s="17">
        <v>0</v>
      </c>
      <c r="Z43" s="17">
        <v>0</v>
      </c>
      <c r="AA43" s="17">
        <v>0</v>
      </c>
      <c r="AB43" s="17"/>
      <c r="AC43" s="17">
        <f>(1 - CUSTOS!$M$29)*169.559</f>
        <v>169.559</v>
      </c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P43" s="17">
        <f>IF((1 - CUSTOS!$M$29)&lt;&gt;0,1/(1 - CUSTOS!$M$29),1)</f>
        <v>1</v>
      </c>
    </row>
    <row r="44" spans="1:42" ht="11.25" customHeight="1" x14ac:dyDescent="0.25">
      <c r="A44" s="166"/>
      <c r="B44" s="166"/>
      <c r="C44" s="166"/>
      <c r="D44" s="73" t="s">
        <v>96</v>
      </c>
      <c r="E44" s="73" t="s">
        <v>25</v>
      </c>
      <c r="F44" s="73" t="s">
        <v>25</v>
      </c>
      <c r="G44" s="57" t="s">
        <v>82</v>
      </c>
      <c r="H44" s="57" t="s">
        <v>78</v>
      </c>
      <c r="I44" s="57">
        <f>'MERCADO TUSD'!$U$41</f>
        <v>0</v>
      </c>
      <c r="J44" s="16"/>
      <c r="L44" s="17"/>
      <c r="M44" s="17"/>
      <c r="N44" s="17"/>
      <c r="O44" s="17"/>
      <c r="P44" s="17"/>
      <c r="Q44" s="17"/>
      <c r="R44" s="17"/>
      <c r="S44" s="17"/>
      <c r="T44" s="17"/>
      <c r="U44" s="17">
        <f>(1 - CUSTOS!$M$30)*20.4038</f>
        <v>20.4038</v>
      </c>
      <c r="V44" s="17">
        <f>(1 - CUSTOS!$M$30)*15.1679</f>
        <v>15.167899999999999</v>
      </c>
      <c r="W44" s="17">
        <f>(1 - CUSTOS!$M$30)*4.5652</f>
        <v>4.5651999999999999</v>
      </c>
      <c r="X44" s="17">
        <v>0</v>
      </c>
      <c r="Y44" s="17">
        <v>0</v>
      </c>
      <c r="Z44" s="17">
        <v>0</v>
      </c>
      <c r="AA44" s="17">
        <v>0</v>
      </c>
      <c r="AB44" s="17"/>
      <c r="AC44" s="17">
        <f>(1 - CUSTOS!$M$30)*169.559</f>
        <v>169.559</v>
      </c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P44" s="17">
        <f>IF((1 - CUSTOS!$M$30)&lt;&gt;0,1/(1 - CUSTOS!$M$30),1)</f>
        <v>1</v>
      </c>
    </row>
    <row r="45" spans="1:42" ht="11.25" customHeight="1" x14ac:dyDescent="0.25">
      <c r="A45" s="166" t="s">
        <v>36</v>
      </c>
      <c r="B45" s="166" t="s">
        <v>32</v>
      </c>
      <c r="C45" s="166" t="s">
        <v>25</v>
      </c>
      <c r="D45" s="166" t="s">
        <v>25</v>
      </c>
      <c r="E45" s="166" t="s">
        <v>25</v>
      </c>
      <c r="F45" s="166" t="s">
        <v>25</v>
      </c>
      <c r="G45" s="57" t="s">
        <v>79</v>
      </c>
      <c r="H45" s="57" t="s">
        <v>78</v>
      </c>
      <c r="I45" s="57">
        <f>'MERCADO TUSD'!$U$42</f>
        <v>1.1140000000000001</v>
      </c>
      <c r="J45" s="16"/>
      <c r="L45" s="17"/>
      <c r="M45" s="17"/>
      <c r="N45" s="17"/>
      <c r="O45" s="17"/>
      <c r="P45" s="17"/>
      <c r="Q45" s="17"/>
      <c r="R45" s="17"/>
      <c r="S45" s="17"/>
      <c r="T45" s="17"/>
      <c r="U45" s="17">
        <f>(1 - CUSTOS!$M$31)*75.4942</f>
        <v>75.494200000000006</v>
      </c>
      <c r="V45" s="17">
        <f>(1 - CUSTOS!$M$31)*56.1212</f>
        <v>56.121200000000002</v>
      </c>
      <c r="W45" s="17">
        <f>(1 - CUSTOS!$M$31)*16.8912</f>
        <v>16.891200000000001</v>
      </c>
      <c r="X45" s="17">
        <v>0</v>
      </c>
      <c r="Y45" s="17">
        <v>0</v>
      </c>
      <c r="Z45" s="17">
        <v>0</v>
      </c>
      <c r="AA45" s="17">
        <v>0</v>
      </c>
      <c r="AB45" s="17"/>
      <c r="AC45" s="17">
        <f>(1 - CUSTOS!$M$31)*627.3682</f>
        <v>627.3682</v>
      </c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P45" s="17">
        <f>IF((1 - CUSTOS!$M$31)&lt;&gt;0,1/(1 - CUSTOS!$M$31),1)</f>
        <v>1</v>
      </c>
    </row>
    <row r="46" spans="1:42" ht="11.25" customHeight="1" x14ac:dyDescent="0.25">
      <c r="A46" s="166"/>
      <c r="B46" s="166"/>
      <c r="C46" s="166"/>
      <c r="D46" s="166"/>
      <c r="E46" s="166"/>
      <c r="F46" s="166"/>
      <c r="G46" s="57" t="s">
        <v>92</v>
      </c>
      <c r="H46" s="57" t="s">
        <v>78</v>
      </c>
      <c r="I46" s="57">
        <f>'MERCADO TUSD'!$U$43</f>
        <v>0.48499999999999999</v>
      </c>
      <c r="J46" s="16"/>
      <c r="L46" s="17"/>
      <c r="M46" s="17"/>
      <c r="N46" s="17"/>
      <c r="O46" s="17"/>
      <c r="P46" s="17"/>
      <c r="Q46" s="17"/>
      <c r="R46" s="17"/>
      <c r="S46" s="17"/>
      <c r="T46" s="17"/>
      <c r="U46" s="17">
        <f>(1 - CUSTOS!$M$31)*15.0988</f>
        <v>15.098800000000001</v>
      </c>
      <c r="V46" s="17">
        <f>(1 - CUSTOS!$M$31)*11.2242</f>
        <v>11.2242</v>
      </c>
      <c r="W46" s="17">
        <f>(1 - CUSTOS!$M$31)*3.3782</f>
        <v>3.3782000000000001</v>
      </c>
      <c r="X46" s="17">
        <v>0</v>
      </c>
      <c r="Y46" s="17">
        <v>0</v>
      </c>
      <c r="Z46" s="17">
        <v>0</v>
      </c>
      <c r="AA46" s="17">
        <v>0</v>
      </c>
      <c r="AB46" s="17"/>
      <c r="AC46" s="17">
        <f>(1 - CUSTOS!$M$31)*125.4736</f>
        <v>125.4736</v>
      </c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P46" s="17">
        <f>IF((1 - CUSTOS!$M$31)&lt;&gt;0,1/(1 - CUSTOS!$M$31),1)</f>
        <v>1</v>
      </c>
    </row>
    <row r="47" spans="1:42" ht="11.25" customHeight="1" x14ac:dyDescent="0.25">
      <c r="A47" s="166"/>
      <c r="B47" s="166"/>
      <c r="C47" s="166"/>
      <c r="D47" s="166"/>
      <c r="E47" s="166"/>
      <c r="F47" s="166"/>
      <c r="G47" s="57" t="s">
        <v>80</v>
      </c>
      <c r="H47" s="57" t="s">
        <v>78</v>
      </c>
      <c r="I47" s="57">
        <f>'MERCADO TUSD'!$U$44</f>
        <v>6.2670000000000003</v>
      </c>
      <c r="J47" s="16"/>
      <c r="L47" s="17"/>
      <c r="M47" s="17"/>
      <c r="N47" s="17"/>
      <c r="O47" s="17"/>
      <c r="P47" s="17"/>
      <c r="Q47" s="17"/>
      <c r="R47" s="17"/>
      <c r="S47" s="17"/>
      <c r="T47" s="17"/>
      <c r="U47" s="17">
        <f>(1 - CUSTOS!$M$31)*15.0988</f>
        <v>15.098800000000001</v>
      </c>
      <c r="V47" s="17">
        <f>(1 - CUSTOS!$M$31)*11.2242</f>
        <v>11.2242</v>
      </c>
      <c r="W47" s="17">
        <f>(1 - CUSTOS!$M$31)*3.3782</f>
        <v>3.3782000000000001</v>
      </c>
      <c r="X47" s="17">
        <v>0</v>
      </c>
      <c r="Y47" s="17">
        <v>0</v>
      </c>
      <c r="Z47" s="17">
        <v>0</v>
      </c>
      <c r="AA47" s="17">
        <v>0</v>
      </c>
      <c r="AB47" s="17"/>
      <c r="AC47" s="17">
        <f>(1 - CUSTOS!$M$31)*125.4736</f>
        <v>125.4736</v>
      </c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P47" s="17">
        <f>IF((1 - CUSTOS!$M$31)&lt;&gt;0,1/(1 - CUSTOS!$M$31),1)</f>
        <v>1</v>
      </c>
    </row>
    <row r="48" spans="1:42" ht="11.25" customHeight="1" x14ac:dyDescent="0.25">
      <c r="A48" s="166"/>
      <c r="B48" s="73" t="s">
        <v>23</v>
      </c>
      <c r="C48" s="73" t="s">
        <v>25</v>
      </c>
      <c r="D48" s="73" t="s">
        <v>25</v>
      </c>
      <c r="E48" s="73" t="s">
        <v>25</v>
      </c>
      <c r="F48" s="73" t="s">
        <v>25</v>
      </c>
      <c r="G48" s="57" t="s">
        <v>82</v>
      </c>
      <c r="H48" s="57" t="s">
        <v>78</v>
      </c>
      <c r="I48" s="57">
        <f>'MERCADO TUSD'!$U$45</f>
        <v>13646.102000000001</v>
      </c>
      <c r="J48" s="16"/>
      <c r="L48" s="17"/>
      <c r="M48" s="17"/>
      <c r="N48" s="17"/>
      <c r="O48" s="17"/>
      <c r="P48" s="17"/>
      <c r="Q48" s="17"/>
      <c r="R48" s="17"/>
      <c r="S48" s="17"/>
      <c r="T48" s="17"/>
      <c r="U48" s="17">
        <f>(1 - CUSTOS!$M$31)*20.4038</f>
        <v>20.4038</v>
      </c>
      <c r="V48" s="17">
        <f>(1 - CUSTOS!$M$31)*15.1679</f>
        <v>15.167899999999999</v>
      </c>
      <c r="W48" s="17">
        <f>(1 - CUSTOS!$M$31)*4.5652</f>
        <v>4.5651999999999999</v>
      </c>
      <c r="X48" s="17">
        <v>0</v>
      </c>
      <c r="Y48" s="17">
        <v>0</v>
      </c>
      <c r="Z48" s="17">
        <v>0</v>
      </c>
      <c r="AA48" s="17">
        <v>0</v>
      </c>
      <c r="AB48" s="17"/>
      <c r="AC48" s="17">
        <f>(1 - CUSTOS!$M$31)*169.559</f>
        <v>169.559</v>
      </c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P48" s="17">
        <f>IF((1 - CUSTOS!$M$31)&lt;&gt;0,1/(1 - CUSTOS!$M$31),1)</f>
        <v>1</v>
      </c>
    </row>
    <row r="49" spans="1:42" ht="11.25" customHeight="1" x14ac:dyDescent="0.25">
      <c r="A49" s="166"/>
      <c r="B49" s="73" t="s">
        <v>94</v>
      </c>
      <c r="C49" s="73" t="s">
        <v>25</v>
      </c>
      <c r="D49" s="73" t="s">
        <v>25</v>
      </c>
      <c r="E49" s="73" t="s">
        <v>25</v>
      </c>
      <c r="F49" s="73" t="s">
        <v>25</v>
      </c>
      <c r="G49" s="57" t="s">
        <v>82</v>
      </c>
      <c r="H49" s="57" t="s">
        <v>78</v>
      </c>
      <c r="I49" s="57">
        <f>'MERCADO TUSD'!$U$46</f>
        <v>0</v>
      </c>
      <c r="J49" s="16"/>
      <c r="L49" s="17"/>
      <c r="M49" s="17"/>
      <c r="N49" s="17"/>
      <c r="O49" s="17"/>
      <c r="P49" s="17"/>
      <c r="Q49" s="17"/>
      <c r="R49" s="17"/>
      <c r="S49" s="17"/>
      <c r="T49" s="17"/>
      <c r="U49" s="17">
        <f>(1 - CUSTOS!$M$31)*20.4038</f>
        <v>20.4038</v>
      </c>
      <c r="V49" s="17">
        <f>(1 - CUSTOS!$M$31)*15.1679</f>
        <v>15.167899999999999</v>
      </c>
      <c r="W49" s="17">
        <f>(1 - CUSTOS!$M$31)*4.5652</f>
        <v>4.5651999999999999</v>
      </c>
      <c r="X49" s="17">
        <v>0</v>
      </c>
      <c r="Y49" s="17">
        <v>0</v>
      </c>
      <c r="Z49" s="17">
        <v>0</v>
      </c>
      <c r="AA49" s="17">
        <v>0</v>
      </c>
      <c r="AB49" s="17"/>
      <c r="AC49" s="17">
        <f>(1 - CUSTOS!$M$31)*169.559</f>
        <v>169.559</v>
      </c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P49" s="17">
        <f>IF((1 - CUSTOS!$M$31)&lt;&gt;0,1/(1 - CUSTOS!$M$31),1)</f>
        <v>1</v>
      </c>
    </row>
    <row r="50" spans="1:42" ht="11.25" customHeight="1" x14ac:dyDescent="0.25">
      <c r="A50" s="166" t="s">
        <v>45</v>
      </c>
      <c r="B50" s="166" t="s">
        <v>23</v>
      </c>
      <c r="C50" s="166" t="s">
        <v>46</v>
      </c>
      <c r="D50" s="73" t="s">
        <v>47</v>
      </c>
      <c r="E50" s="73" t="s">
        <v>25</v>
      </c>
      <c r="F50" s="73" t="s">
        <v>25</v>
      </c>
      <c r="G50" s="57" t="s">
        <v>82</v>
      </c>
      <c r="H50" s="57" t="s">
        <v>78</v>
      </c>
      <c r="I50" s="57">
        <f>'MERCADO TUSD'!$U$47</f>
        <v>4914.0960000000005</v>
      </c>
      <c r="J50" s="16"/>
      <c r="L50" s="17"/>
      <c r="M50" s="17"/>
      <c r="N50" s="17"/>
      <c r="O50" s="17"/>
      <c r="P50" s="17"/>
      <c r="Q50" s="17"/>
      <c r="R50" s="17"/>
      <c r="S50" s="17"/>
      <c r="T50" s="17"/>
      <c r="U50" s="17">
        <f>(1 - CUSTOS!$M$32)*20.4038</f>
        <v>11.222090000000001</v>
      </c>
      <c r="V50" s="17">
        <f>(1 - CUSTOS!$M$32)*15.1679</f>
        <v>8.3423449999999999</v>
      </c>
      <c r="W50" s="17">
        <f>(1 - CUSTOS!$M$32)*4.5652</f>
        <v>2.5108600000000001</v>
      </c>
      <c r="X50" s="17">
        <v>0</v>
      </c>
      <c r="Y50" s="17">
        <v>0</v>
      </c>
      <c r="Z50" s="17">
        <v>0</v>
      </c>
      <c r="AA50" s="17">
        <v>0</v>
      </c>
      <c r="AB50" s="17"/>
      <c r="AC50" s="17">
        <f>(1 - CUSTOS!$M$32)*169.559</f>
        <v>93.257450000000006</v>
      </c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P50" s="17">
        <f>IF((1 - CUSTOS!$M$32)&lt;&gt;0,1/(1 - CUSTOS!$M$32),1)</f>
        <v>1.8181818181818181</v>
      </c>
    </row>
    <row r="51" spans="1:42" ht="11.25" customHeight="1" x14ac:dyDescent="0.25">
      <c r="A51" s="166"/>
      <c r="B51" s="166"/>
      <c r="C51" s="166"/>
      <c r="D51" s="57" t="s">
        <v>97</v>
      </c>
      <c r="E51" s="57" t="s">
        <v>25</v>
      </c>
      <c r="F51" s="57" t="s">
        <v>25</v>
      </c>
      <c r="G51" s="57" t="s">
        <v>82</v>
      </c>
      <c r="H51" s="57" t="s">
        <v>78</v>
      </c>
      <c r="I51" s="57">
        <f>'MERCADO TUSD'!$U$48</f>
        <v>0</v>
      </c>
      <c r="J51" s="16"/>
      <c r="L51" s="17"/>
      <c r="M51" s="17"/>
      <c r="N51" s="17"/>
      <c r="O51" s="17"/>
      <c r="P51" s="17"/>
      <c r="Q51" s="17"/>
      <c r="R51" s="17"/>
      <c r="S51" s="17"/>
      <c r="T51" s="17"/>
      <c r="U51" s="17">
        <f>(1 - CUSTOS!$M$33)*20.4038</f>
        <v>12.242279999999999</v>
      </c>
      <c r="V51" s="17">
        <f>(1 - CUSTOS!$M$33)*15.1679</f>
        <v>9.1007400000000001</v>
      </c>
      <c r="W51" s="17">
        <f>(1 - CUSTOS!$M$33)*4.5652</f>
        <v>2.7391199999999998</v>
      </c>
      <c r="X51" s="17">
        <v>0</v>
      </c>
      <c r="Y51" s="17">
        <v>0</v>
      </c>
      <c r="Z51" s="17">
        <v>0</v>
      </c>
      <c r="AA51" s="17">
        <v>0</v>
      </c>
      <c r="AB51" s="17"/>
      <c r="AC51" s="17">
        <f>(1 - CUSTOS!$M$33)*169.559</f>
        <v>101.7354</v>
      </c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P51" s="17">
        <f>IF((1 - CUSTOS!$M$33)&lt;&gt;0,1/(1 - CUSTOS!$M$33),1)</f>
        <v>1.6666666666666667</v>
      </c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BB99D-341F-4651-B900-B0D4374FEA8E}">
  <sheetPr codeName="Planilha8"/>
  <dimension ref="A1:AP70"/>
  <sheetViews>
    <sheetView showGridLines="0" topLeftCell="D54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8" width="10" style="9" bestFit="1" customWidth="1"/>
    <col min="19" max="19" width="8.7109375" style="9" bestFit="1" customWidth="1"/>
    <col min="20" max="20" width="10.85546875" style="9" bestFit="1" customWidth="1"/>
    <col min="21" max="22" width="10" style="9" bestFit="1" customWidth="1"/>
    <col min="23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.85546875" style="9" bestFit="1" customWidth="1"/>
    <col min="31" max="31" width="10.5703125" style="9" bestFit="1" customWidth="1"/>
    <col min="32" max="32" width="7.28515625" style="9" bestFit="1" customWidth="1"/>
    <col min="33" max="33" width="10.5703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67" t="s">
        <v>68</v>
      </c>
      <c r="B1" s="167" t="s">
        <v>69</v>
      </c>
      <c r="C1" s="167" t="s">
        <v>70</v>
      </c>
      <c r="D1" s="167" t="s">
        <v>71</v>
      </c>
      <c r="E1" s="167" t="s">
        <v>72</v>
      </c>
      <c r="F1" s="167" t="s">
        <v>15</v>
      </c>
      <c r="G1" s="167" t="s">
        <v>74</v>
      </c>
      <c r="H1" s="167" t="s">
        <v>75</v>
      </c>
      <c r="I1" s="167" t="s">
        <v>573</v>
      </c>
      <c r="J1" s="155"/>
      <c r="L1" s="168" t="s">
        <v>574</v>
      </c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  <c r="AC1" s="168"/>
      <c r="AD1" s="168"/>
      <c r="AE1" s="168"/>
      <c r="AF1" s="168"/>
      <c r="AG1" s="168"/>
      <c r="AH1" s="168"/>
      <c r="AI1" s="168"/>
      <c r="AJ1" s="168"/>
      <c r="AK1" s="168"/>
      <c r="AL1" s="168"/>
      <c r="AM1" s="168"/>
      <c r="AP1" s="168" t="s">
        <v>575</v>
      </c>
    </row>
    <row r="2" spans="1:42" ht="11.25" customHeight="1" x14ac:dyDescent="0.25">
      <c r="A2" s="167"/>
      <c r="B2" s="167"/>
      <c r="C2" s="167"/>
      <c r="D2" s="167"/>
      <c r="E2" s="167"/>
      <c r="F2" s="167"/>
      <c r="G2" s="167"/>
      <c r="H2" s="167"/>
      <c r="I2" s="167"/>
      <c r="J2" s="155"/>
      <c r="L2" s="168" t="s">
        <v>483</v>
      </c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H2" s="168"/>
      <c r="AI2" s="168"/>
      <c r="AJ2" s="168"/>
      <c r="AK2" s="168"/>
      <c r="AL2" s="168"/>
      <c r="AM2" s="168"/>
      <c r="AP2" s="169"/>
    </row>
    <row r="3" spans="1:42" ht="11.25" customHeight="1" x14ac:dyDescent="0.25">
      <c r="A3" s="167"/>
      <c r="B3" s="167"/>
      <c r="C3" s="167"/>
      <c r="D3" s="167"/>
      <c r="E3" s="167"/>
      <c r="F3" s="167"/>
      <c r="G3" s="167"/>
      <c r="H3" s="167"/>
      <c r="I3" s="167"/>
      <c r="J3" s="155"/>
      <c r="L3" s="168" t="s">
        <v>484</v>
      </c>
      <c r="M3" s="168"/>
      <c r="N3" s="168"/>
      <c r="O3" s="168"/>
      <c r="P3" s="168"/>
      <c r="Q3" s="168"/>
      <c r="R3" s="168"/>
      <c r="S3" s="168"/>
      <c r="T3" s="168"/>
      <c r="U3" s="168" t="s">
        <v>493</v>
      </c>
      <c r="V3" s="168"/>
      <c r="W3" s="168"/>
      <c r="X3" s="168"/>
      <c r="Y3" s="168"/>
      <c r="Z3" s="168"/>
      <c r="AA3" s="168"/>
      <c r="AB3" s="168"/>
      <c r="AC3" s="168" t="s">
        <v>501</v>
      </c>
      <c r="AD3" s="168"/>
      <c r="AE3" s="168" t="s">
        <v>503</v>
      </c>
      <c r="AF3" s="168"/>
      <c r="AG3" s="168"/>
      <c r="AH3" s="168" t="s">
        <v>506</v>
      </c>
      <c r="AI3" s="168"/>
      <c r="AJ3" s="168"/>
      <c r="AK3" s="168"/>
      <c r="AL3" s="168"/>
      <c r="AM3" s="168" t="s">
        <v>492</v>
      </c>
      <c r="AP3" s="169"/>
    </row>
    <row r="4" spans="1:42" ht="11.25" customHeight="1" x14ac:dyDescent="0.25">
      <c r="A4" s="167"/>
      <c r="B4" s="167"/>
      <c r="C4" s="167"/>
      <c r="D4" s="167"/>
      <c r="E4" s="167"/>
      <c r="F4" s="167"/>
      <c r="G4" s="167"/>
      <c r="H4" s="167"/>
      <c r="I4" s="167"/>
      <c r="J4" s="155"/>
      <c r="L4" s="55" t="s">
        <v>569</v>
      </c>
      <c r="M4" s="55" t="s">
        <v>485</v>
      </c>
      <c r="N4" s="55" t="s">
        <v>486</v>
      </c>
      <c r="O4" s="55" t="s">
        <v>487</v>
      </c>
      <c r="P4" s="55" t="s">
        <v>488</v>
      </c>
      <c r="Q4" s="55" t="s">
        <v>489</v>
      </c>
      <c r="R4" s="55" t="s">
        <v>490</v>
      </c>
      <c r="S4" s="55" t="s">
        <v>491</v>
      </c>
      <c r="T4" s="55" t="s">
        <v>492</v>
      </c>
      <c r="U4" s="55" t="s">
        <v>494</v>
      </c>
      <c r="V4" s="55" t="s">
        <v>495</v>
      </c>
      <c r="W4" s="55" t="s">
        <v>496</v>
      </c>
      <c r="X4" s="55" t="s">
        <v>497</v>
      </c>
      <c r="Y4" s="55" t="s">
        <v>498</v>
      </c>
      <c r="Z4" s="55" t="s">
        <v>499</v>
      </c>
      <c r="AA4" s="55" t="s">
        <v>500</v>
      </c>
      <c r="AB4" s="55" t="s">
        <v>492</v>
      </c>
      <c r="AC4" s="55" t="s">
        <v>502</v>
      </c>
      <c r="AD4" s="55" t="s">
        <v>492</v>
      </c>
      <c r="AE4" s="55" t="s">
        <v>504</v>
      </c>
      <c r="AF4" s="55" t="s">
        <v>505</v>
      </c>
      <c r="AG4" s="55" t="s">
        <v>492</v>
      </c>
      <c r="AH4" s="55" t="s">
        <v>507</v>
      </c>
      <c r="AI4" s="55" t="s">
        <v>508</v>
      </c>
      <c r="AJ4" s="55" t="s">
        <v>509</v>
      </c>
      <c r="AK4" s="55" t="s">
        <v>510</v>
      </c>
      <c r="AL4" s="55" t="s">
        <v>492</v>
      </c>
      <c r="AM4" s="170"/>
      <c r="AP4" s="169"/>
    </row>
    <row r="5" spans="1:42" ht="11.25" customHeight="1" x14ac:dyDescent="0.25">
      <c r="A5" s="166" t="s">
        <v>38</v>
      </c>
      <c r="B5" s="166" t="s">
        <v>50</v>
      </c>
      <c r="C5" s="166" t="s">
        <v>25</v>
      </c>
      <c r="D5" s="166" t="s">
        <v>25</v>
      </c>
      <c r="E5" s="166" t="s">
        <v>25</v>
      </c>
      <c r="F5" s="166" t="s">
        <v>25</v>
      </c>
      <c r="G5" s="57" t="s">
        <v>84</v>
      </c>
      <c r="H5" s="57" t="s">
        <v>83</v>
      </c>
      <c r="I5" s="57">
        <f>'MERCADO TUSD'!$U$2</f>
        <v>2940</v>
      </c>
      <c r="J5" s="16"/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/>
      <c r="U5" s="17">
        <f>TRANSICAO!$U$5*CUSTOS!$R$3</f>
        <v>4.5382999999999996</v>
      </c>
      <c r="V5" s="17">
        <f>TRANSICAO!$V$5*CUSTOS!$R$3</f>
        <v>3.5983000000000001</v>
      </c>
      <c r="W5" s="17">
        <f>TRANSICAO!$W$5*CUSTOS!$R$3</f>
        <v>1.0368999999999999</v>
      </c>
      <c r="X5" s="17">
        <f>TRANSICAO!$X$5*CUSTOS!$R$3</f>
        <v>0</v>
      </c>
      <c r="Y5" s="17">
        <f>TRANSICAO!$Y$5*CUSTOS!$R$3</f>
        <v>0</v>
      </c>
      <c r="Z5" s="17">
        <f>TRANSICAO!$Z$5*CUSTOS!$R$3</f>
        <v>0</v>
      </c>
      <c r="AA5" s="17">
        <f>TRANSICAO!$AA$5*CUSTOS!$R$3</f>
        <v>0</v>
      </c>
      <c r="AB5" s="17">
        <f>TRANSICAO!$AB$5*CUSTOS!$R$3</f>
        <v>0</v>
      </c>
      <c r="AC5" s="17">
        <f>TRANSICAO!$AC$5*CUSTOS!$R$3</f>
        <v>12.615399999999999</v>
      </c>
      <c r="AD5" s="17">
        <f>TRANSICAO!$AD$5*CUSTOS!$R$3</f>
        <v>0</v>
      </c>
      <c r="AE5" s="17">
        <v>0</v>
      </c>
      <c r="AF5" s="17">
        <v>0</v>
      </c>
      <c r="AG5" s="17"/>
      <c r="AH5" s="17">
        <v>0</v>
      </c>
      <c r="AI5" s="17">
        <v>0</v>
      </c>
      <c r="AJ5" s="17">
        <v>0</v>
      </c>
      <c r="AK5" s="17">
        <f t="shared" ref="AK5:AK51" si="0">AJ5</f>
        <v>0</v>
      </c>
      <c r="AL5" s="17"/>
      <c r="AM5" s="17"/>
      <c r="AP5" s="17">
        <v>1</v>
      </c>
    </row>
    <row r="6" spans="1:42" ht="11.25" customHeight="1" x14ac:dyDescent="0.25">
      <c r="A6" s="166"/>
      <c r="B6" s="166"/>
      <c r="C6" s="166"/>
      <c r="D6" s="166"/>
      <c r="E6" s="166"/>
      <c r="F6" s="166"/>
      <c r="G6" s="57" t="s">
        <v>85</v>
      </c>
      <c r="H6" s="57" t="s">
        <v>83</v>
      </c>
      <c r="I6" s="57">
        <f>'MERCADO TUSD'!$U$3</f>
        <v>2940</v>
      </c>
      <c r="J6" s="16"/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/>
      <c r="U6" s="17">
        <f>TRANSICAO!$U$6*CUSTOS!$R$3</f>
        <v>4.5391000000000004</v>
      </c>
      <c r="V6" s="17">
        <f>TRANSICAO!$V$6*CUSTOS!$R$3</f>
        <v>3.1063000000000001</v>
      </c>
      <c r="W6" s="17">
        <f>TRANSICAO!$W$6*CUSTOS!$R$3</f>
        <v>0.99</v>
      </c>
      <c r="X6" s="17">
        <f>TRANSICAO!$X$6*CUSTOS!$R$3</f>
        <v>0</v>
      </c>
      <c r="Y6" s="17">
        <f>TRANSICAO!$Y$6*CUSTOS!$R$3</f>
        <v>0</v>
      </c>
      <c r="Z6" s="17">
        <f>TRANSICAO!$Z$6*CUSTOS!$R$3</f>
        <v>0</v>
      </c>
      <c r="AA6" s="17">
        <f>TRANSICAO!$AA$6*CUSTOS!$R$3</f>
        <v>0</v>
      </c>
      <c r="AB6" s="17">
        <f>TRANSICAO!$AB$6*CUSTOS!$R$3</f>
        <v>0</v>
      </c>
      <c r="AC6" s="17">
        <f>TRANSICAO!$AC$6*CUSTOS!$R$3</f>
        <v>12.615399999999999</v>
      </c>
      <c r="AD6" s="17">
        <f>TRANSICAO!$AD$6*CUSTOS!$R$3</f>
        <v>0</v>
      </c>
      <c r="AE6" s="17">
        <v>0</v>
      </c>
      <c r="AF6" s="17">
        <v>0</v>
      </c>
      <c r="AG6" s="17"/>
      <c r="AH6" s="17">
        <v>0</v>
      </c>
      <c r="AI6" s="17">
        <v>0</v>
      </c>
      <c r="AJ6" s="17">
        <v>0</v>
      </c>
      <c r="AK6" s="17">
        <f t="shared" si="0"/>
        <v>0</v>
      </c>
      <c r="AL6" s="17"/>
      <c r="AM6" s="17"/>
      <c r="AP6" s="17">
        <v>1</v>
      </c>
    </row>
    <row r="7" spans="1:42" ht="11.25" customHeight="1" x14ac:dyDescent="0.25">
      <c r="A7" s="166"/>
      <c r="B7" s="166"/>
      <c r="C7" s="166"/>
      <c r="D7" s="166"/>
      <c r="E7" s="166"/>
      <c r="F7" s="166"/>
      <c r="G7" s="57" t="s">
        <v>82</v>
      </c>
      <c r="H7" s="57" t="s">
        <v>78</v>
      </c>
      <c r="I7" s="57">
        <f>'MERCADO TUSD'!$U$4</f>
        <v>1433.7980000000002</v>
      </c>
      <c r="J7" s="16"/>
      <c r="L7" s="17">
        <f>0.84</f>
        <v>0.84</v>
      </c>
      <c r="M7" s="17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0.38716332209315024</v>
      </c>
      <c r="N7" s="17">
        <f ca="1">(+M7+O7+R7+U7+V7+W7+X7+Y7+Z7+AA7+AC7+AH7+AI7+AJ7+AK7)*CUSTOS!$M$5</f>
        <v>0.14466720759505769</v>
      </c>
      <c r="O7" s="17">
        <v>1</v>
      </c>
      <c r="P7" s="17">
        <v>1</v>
      </c>
      <c r="Q7" s="17">
        <f>0.84</f>
        <v>0.84</v>
      </c>
      <c r="R7" s="17">
        <v>1</v>
      </c>
      <c r="S7" s="17">
        <v>1</v>
      </c>
      <c r="T7" s="17"/>
      <c r="U7" s="17">
        <f>TRANSICAO!$U$7*CUSTOS!$R$3</f>
        <v>0</v>
      </c>
      <c r="V7" s="17">
        <f>TRANSICAO!$V$7*CUSTOS!$R$3</f>
        <v>0</v>
      </c>
      <c r="W7" s="17">
        <f>TRANSICAO!$W$7*CUSTOS!$R$3</f>
        <v>0</v>
      </c>
      <c r="X7" s="17">
        <f>TRANSICAO!$X$7*CUSTOS!$R$3</f>
        <v>0</v>
      </c>
      <c r="Y7" s="17">
        <f>TRANSICAO!$Y$7*CUSTOS!$R$3</f>
        <v>0</v>
      </c>
      <c r="Z7" s="17">
        <f>TRANSICAO!$Z$7*CUSTOS!$R$3</f>
        <v>0</v>
      </c>
      <c r="AA7" s="17">
        <f>TRANSICAO!$AA$7*CUSTOS!$R$3</f>
        <v>0</v>
      </c>
      <c r="AB7" s="17">
        <f>TRANSICAO!$AB$7*CUSTOS!$R$3</f>
        <v>0</v>
      </c>
      <c r="AC7" s="17">
        <f>TRANSICAO!$AC$7*CUSTOS!$R$3</f>
        <v>0</v>
      </c>
      <c r="AD7" s="17">
        <f>TRANSICAO!$AD$7*CUSTOS!$R$3</f>
        <v>0</v>
      </c>
      <c r="AE7" s="17">
        <v>0</v>
      </c>
      <c r="AF7" s="17">
        <v>0</v>
      </c>
      <c r="AG7" s="17"/>
      <c r="AH7" s="17">
        <v>5.5186000000000002</v>
      </c>
      <c r="AI7" s="17">
        <v>5.5186000000000002</v>
      </c>
      <c r="AJ7" s="17">
        <f ca="1">$N$63</f>
        <v>0.52117871870631038</v>
      </c>
      <c r="AK7" s="17">
        <f t="shared" ca="1" si="0"/>
        <v>0.52117871870631038</v>
      </c>
      <c r="AL7" s="17"/>
      <c r="AM7" s="17"/>
      <c r="AP7" s="17">
        <v>1</v>
      </c>
    </row>
    <row r="8" spans="1:42" ht="11.25" customHeight="1" x14ac:dyDescent="0.25">
      <c r="A8" s="166"/>
      <c r="B8" s="166"/>
      <c r="C8" s="166"/>
      <c r="D8" s="166"/>
      <c r="E8" s="58" t="s">
        <v>86</v>
      </c>
      <c r="F8" s="58" t="s">
        <v>25</v>
      </c>
      <c r="G8" s="57" t="s">
        <v>82</v>
      </c>
      <c r="H8" s="57" t="s">
        <v>78</v>
      </c>
      <c r="I8" s="57">
        <f>'MERCADO TUSD'!$U$5</f>
        <v>0</v>
      </c>
      <c r="J8" s="16"/>
      <c r="L8" s="17">
        <v>0</v>
      </c>
      <c r="M8" s="17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0.38716332209315024</v>
      </c>
      <c r="N8" s="17">
        <f ca="1">(+M8+O8+R8+U8+V8+W8+X8+Y8+Z8+AA8+AC8+AH8+AI8+AJ8+AK8)*CUSTOS!$M$5</f>
        <v>0.13466720759505768</v>
      </c>
      <c r="O8" s="17">
        <v>1</v>
      </c>
      <c r="P8" s="17">
        <v>0</v>
      </c>
      <c r="Q8" s="17">
        <v>0</v>
      </c>
      <c r="R8" s="17">
        <v>0</v>
      </c>
      <c r="S8" s="17">
        <v>0</v>
      </c>
      <c r="T8" s="17"/>
      <c r="U8" s="17">
        <f>TRANSICAO!$U$8*CUSTOS!$R$3</f>
        <v>0</v>
      </c>
      <c r="V8" s="17">
        <f>TRANSICAO!$V$8*CUSTOS!$R$3</f>
        <v>0</v>
      </c>
      <c r="W8" s="17">
        <f>TRANSICAO!$W$8*CUSTOS!$R$3</f>
        <v>0</v>
      </c>
      <c r="X8" s="17">
        <f>TRANSICAO!$X$8*CUSTOS!$R$3</f>
        <v>0</v>
      </c>
      <c r="Y8" s="17">
        <f>TRANSICAO!$Y$8*CUSTOS!$R$3</f>
        <v>0</v>
      </c>
      <c r="Z8" s="17">
        <f>TRANSICAO!$Z$8*CUSTOS!$R$3</f>
        <v>0</v>
      </c>
      <c r="AA8" s="17">
        <f>TRANSICAO!$AA$8*CUSTOS!$R$3</f>
        <v>0</v>
      </c>
      <c r="AB8" s="17">
        <f>TRANSICAO!$AB$8*CUSTOS!$R$3</f>
        <v>0</v>
      </c>
      <c r="AC8" s="17">
        <f>TRANSICAO!$AC$8*CUSTOS!$R$3</f>
        <v>0</v>
      </c>
      <c r="AD8" s="17">
        <f>TRANSICAO!$AD$8*CUSTOS!$R$3</f>
        <v>0</v>
      </c>
      <c r="AE8" s="17">
        <v>0</v>
      </c>
      <c r="AF8" s="17">
        <v>0</v>
      </c>
      <c r="AG8" s="17"/>
      <c r="AH8" s="17">
        <v>5.5186000000000002</v>
      </c>
      <c r="AI8" s="17">
        <v>5.5186000000000002</v>
      </c>
      <c r="AJ8" s="17">
        <f ca="1">$N$63</f>
        <v>0.52117871870631038</v>
      </c>
      <c r="AK8" s="17">
        <f t="shared" ca="1" si="0"/>
        <v>0.52117871870631038</v>
      </c>
      <c r="AL8" s="17"/>
      <c r="AM8" s="17"/>
      <c r="AP8" s="17">
        <v>1</v>
      </c>
    </row>
    <row r="9" spans="1:42" ht="11.25" customHeight="1" x14ac:dyDescent="0.25">
      <c r="A9" s="166"/>
      <c r="B9" s="58" t="s">
        <v>58</v>
      </c>
      <c r="C9" s="58" t="s">
        <v>25</v>
      </c>
      <c r="D9" s="58" t="s">
        <v>25</v>
      </c>
      <c r="E9" s="58" t="s">
        <v>25</v>
      </c>
      <c r="F9" s="58" t="s">
        <v>25</v>
      </c>
      <c r="G9" s="57" t="s">
        <v>9</v>
      </c>
      <c r="H9" s="57" t="s">
        <v>83</v>
      </c>
      <c r="I9" s="57">
        <f>'MERCADO TUSD'!$U$6</f>
        <v>20731</v>
      </c>
      <c r="J9" s="16"/>
      <c r="L9" s="17">
        <v>0</v>
      </c>
      <c r="M9" s="17">
        <v>2.7E-2</v>
      </c>
      <c r="N9" s="17">
        <f>0.0678</f>
        <v>6.7799999999999999E-2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/>
      <c r="U9" s="17">
        <f>TRANSICAO!$U$9*CUSTOS!$R$4</f>
        <v>0</v>
      </c>
      <c r="V9" s="17">
        <f>TRANSICAO!$V$9*CUSTOS!$R$4</f>
        <v>0</v>
      </c>
      <c r="W9" s="17">
        <f>TRANSICAO!$W$9*CUSTOS!$R$4</f>
        <v>0</v>
      </c>
      <c r="X9" s="17">
        <f>TRANSICAO!$X$9*CUSTOS!$R$4</f>
        <v>0</v>
      </c>
      <c r="Y9" s="17">
        <f>TRANSICAO!$Y$9*CUSTOS!$R$4</f>
        <v>0</v>
      </c>
      <c r="Z9" s="17">
        <f>TRANSICAO!$Z$9*CUSTOS!$R$4</f>
        <v>0</v>
      </c>
      <c r="AA9" s="17">
        <f>TRANSICAO!$AA$9*CUSTOS!$R$4</f>
        <v>0</v>
      </c>
      <c r="AB9" s="17">
        <f>TRANSICAO!$AB$9*CUSTOS!$R$4</f>
        <v>0</v>
      </c>
      <c r="AC9" s="17">
        <f>TRANSICAO!$AC$9*CUSTOS!$R$4</f>
        <v>6.7572000000000001</v>
      </c>
      <c r="AD9" s="17">
        <f>TRANSICAO!$AD$9*CUSTOS!$R$4</f>
        <v>0</v>
      </c>
      <c r="AE9" s="17">
        <v>0</v>
      </c>
      <c r="AF9" s="17">
        <v>0</v>
      </c>
      <c r="AG9" s="17"/>
      <c r="AH9" s="17">
        <v>0</v>
      </c>
      <c r="AI9" s="17">
        <v>0</v>
      </c>
      <c r="AJ9" s="17">
        <v>0</v>
      </c>
      <c r="AK9" s="17">
        <f t="shared" si="0"/>
        <v>0</v>
      </c>
      <c r="AL9" s="17"/>
      <c r="AM9" s="17"/>
      <c r="AP9" s="17"/>
    </row>
    <row r="10" spans="1:42" ht="11.25" customHeight="1" x14ac:dyDescent="0.25">
      <c r="A10" s="166"/>
      <c r="B10" s="166" t="s">
        <v>39</v>
      </c>
      <c r="C10" s="166" t="s">
        <v>25</v>
      </c>
      <c r="D10" s="166" t="s">
        <v>25</v>
      </c>
      <c r="E10" s="166" t="s">
        <v>25</v>
      </c>
      <c r="F10" s="166" t="s">
        <v>25</v>
      </c>
      <c r="G10" s="57" t="s">
        <v>9</v>
      </c>
      <c r="H10" s="57" t="s">
        <v>83</v>
      </c>
      <c r="I10" s="57">
        <f>'MERCADO TUSD'!$U$7</f>
        <v>252451</v>
      </c>
      <c r="J10" s="16"/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/>
      <c r="U10" s="17">
        <f>TRANSICAO!$U$10*CUSTOS!$R$3</f>
        <v>4.5391000000000004</v>
      </c>
      <c r="V10" s="17">
        <f>TRANSICAO!$V$10*CUSTOS!$R$3</f>
        <v>3.1063000000000001</v>
      </c>
      <c r="W10" s="17">
        <f>TRANSICAO!$W$10*CUSTOS!$R$3</f>
        <v>0.99</v>
      </c>
      <c r="X10" s="17">
        <f>TRANSICAO!$X$10*CUSTOS!$R$3</f>
        <v>0</v>
      </c>
      <c r="Y10" s="17">
        <f>TRANSICAO!$Y$10*CUSTOS!$R$3</f>
        <v>0</v>
      </c>
      <c r="Z10" s="17">
        <f>TRANSICAO!$Z$10*CUSTOS!$R$3</f>
        <v>0</v>
      </c>
      <c r="AA10" s="17">
        <f>TRANSICAO!$AA$10*CUSTOS!$R$3</f>
        <v>0</v>
      </c>
      <c r="AB10" s="17">
        <f>TRANSICAO!$AB$10*CUSTOS!$R$3</f>
        <v>0</v>
      </c>
      <c r="AC10" s="17">
        <f>TRANSICAO!$AC$10*CUSTOS!$R$3</f>
        <v>12.615399999999999</v>
      </c>
      <c r="AD10" s="17">
        <f>TRANSICAO!$AD$10*CUSTOS!$R$3</f>
        <v>0</v>
      </c>
      <c r="AE10" s="17">
        <v>0</v>
      </c>
      <c r="AF10" s="17">
        <v>0</v>
      </c>
      <c r="AG10" s="17"/>
      <c r="AH10" s="17">
        <v>0</v>
      </c>
      <c r="AI10" s="17">
        <v>0</v>
      </c>
      <c r="AJ10" s="17">
        <v>0</v>
      </c>
      <c r="AK10" s="17">
        <f t="shared" si="0"/>
        <v>0</v>
      </c>
      <c r="AL10" s="17"/>
      <c r="AM10" s="17"/>
      <c r="AP10" s="17">
        <v>1</v>
      </c>
    </row>
    <row r="11" spans="1:42" ht="11.25" customHeight="1" x14ac:dyDescent="0.25">
      <c r="A11" s="166"/>
      <c r="B11" s="166"/>
      <c r="C11" s="166"/>
      <c r="D11" s="166"/>
      <c r="E11" s="166"/>
      <c r="F11" s="166"/>
      <c r="G11" s="57" t="s">
        <v>79</v>
      </c>
      <c r="H11" s="57" t="s">
        <v>78</v>
      </c>
      <c r="I11" s="57">
        <f>'MERCADO TUSD'!$U$8</f>
        <v>6165.058</v>
      </c>
      <c r="J11" s="16"/>
      <c r="L11" s="17">
        <f>0.84</f>
        <v>0.84</v>
      </c>
      <c r="M11" s="17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0.38716332209315024</v>
      </c>
      <c r="N11" s="17">
        <f ca="1">(+M11+O11+R11+U11+V11+W11+X11+Y11+Z11+AA11+AC11+AH11+AI11+AJ11+AK11)*CUSTOS!$M$5</f>
        <v>5.3848882075950577</v>
      </c>
      <c r="O11" s="17">
        <v>1</v>
      </c>
      <c r="P11" s="17">
        <v>1</v>
      </c>
      <c r="Q11" s="17">
        <f>0.84</f>
        <v>0.84</v>
      </c>
      <c r="R11" s="17">
        <v>1</v>
      </c>
      <c r="S11" s="17">
        <v>1</v>
      </c>
      <c r="T11" s="17"/>
      <c r="U11" s="17">
        <f>TRANSICAO!$U$11*CUSTOS!$R$3</f>
        <v>109.1452</v>
      </c>
      <c r="V11" s="17">
        <f>TRANSICAO!$V$11*CUSTOS!$R$3</f>
        <v>86.539500000000004</v>
      </c>
      <c r="W11" s="17">
        <f>TRANSICAO!$W$11*CUSTOS!$R$3</f>
        <v>24.9375</v>
      </c>
      <c r="X11" s="17">
        <f>TRANSICAO!$X$11*CUSTOS!$R$3</f>
        <v>0</v>
      </c>
      <c r="Y11" s="17">
        <f>TRANSICAO!$Y$11*CUSTOS!$R$3</f>
        <v>0</v>
      </c>
      <c r="Z11" s="17">
        <f>TRANSICAO!$Z$11*CUSTOS!$R$3</f>
        <v>0</v>
      </c>
      <c r="AA11" s="17">
        <f>TRANSICAO!$AA$11*CUSTOS!$R$3</f>
        <v>0</v>
      </c>
      <c r="AB11" s="17">
        <f>TRANSICAO!$AB$11*CUSTOS!$R$3</f>
        <v>0</v>
      </c>
      <c r="AC11" s="17">
        <f>TRANSICAO!$AC$11*CUSTOS!$R$3</f>
        <v>303.3999</v>
      </c>
      <c r="AD11" s="17">
        <f>TRANSICAO!$AD$11*CUSTOS!$R$3</f>
        <v>0</v>
      </c>
      <c r="AE11" s="17">
        <v>0</v>
      </c>
      <c r="AF11" s="17">
        <v>0</v>
      </c>
      <c r="AG11" s="17"/>
      <c r="AH11" s="17">
        <v>5.5186000000000002</v>
      </c>
      <c r="AI11" s="17">
        <v>5.5186000000000002</v>
      </c>
      <c r="AJ11" s="17">
        <f ca="1">$N$63</f>
        <v>0.52117871870631038</v>
      </c>
      <c r="AK11" s="17">
        <f t="shared" ca="1" si="0"/>
        <v>0.52117871870631038</v>
      </c>
      <c r="AL11" s="17"/>
      <c r="AM11" s="17"/>
      <c r="AP11" s="17">
        <v>1</v>
      </c>
    </row>
    <row r="12" spans="1:42" ht="11.25" customHeight="1" x14ac:dyDescent="0.25">
      <c r="A12" s="166"/>
      <c r="B12" s="166"/>
      <c r="C12" s="166"/>
      <c r="D12" s="166"/>
      <c r="E12" s="166"/>
      <c r="F12" s="166"/>
      <c r="G12" s="57" t="s">
        <v>80</v>
      </c>
      <c r="H12" s="57" t="s">
        <v>78</v>
      </c>
      <c r="I12" s="57">
        <f>'MERCADO TUSD'!$U$9</f>
        <v>60495.598999999995</v>
      </c>
      <c r="J12" s="16"/>
      <c r="L12" s="17">
        <f>0.84</f>
        <v>0.84</v>
      </c>
      <c r="M12" s="17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0.38716332209315024</v>
      </c>
      <c r="N12" s="17">
        <f ca="1">(+M12+O12+R12+U12+V12+W12+X12+Y12+Z12+AA12+AC12+AH12+AI12+AJ12+AK12)*CUSTOS!$M$5</f>
        <v>0.14466720759505769</v>
      </c>
      <c r="O12" s="17">
        <v>1</v>
      </c>
      <c r="P12" s="17">
        <v>1</v>
      </c>
      <c r="Q12" s="17">
        <f>0.84</f>
        <v>0.84</v>
      </c>
      <c r="R12" s="17">
        <v>1</v>
      </c>
      <c r="S12" s="17">
        <v>1</v>
      </c>
      <c r="T12" s="17"/>
      <c r="U12" s="17">
        <f>TRANSICAO!$U$12*CUSTOS!$R$3</f>
        <v>0</v>
      </c>
      <c r="V12" s="17">
        <f>TRANSICAO!$V$12*CUSTOS!$R$3</f>
        <v>0</v>
      </c>
      <c r="W12" s="17">
        <f>TRANSICAO!$W$12*CUSTOS!$R$3</f>
        <v>0</v>
      </c>
      <c r="X12" s="17">
        <f>TRANSICAO!$X$12*CUSTOS!$R$3</f>
        <v>0</v>
      </c>
      <c r="Y12" s="17">
        <f>TRANSICAO!$Y$12*CUSTOS!$R$3</f>
        <v>0</v>
      </c>
      <c r="Z12" s="17">
        <f>TRANSICAO!$Z$12*CUSTOS!$R$3</f>
        <v>0</v>
      </c>
      <c r="AA12" s="17">
        <f>TRANSICAO!$AA$12*CUSTOS!$R$3</f>
        <v>0</v>
      </c>
      <c r="AB12" s="17">
        <f>TRANSICAO!$AB$12*CUSTOS!$R$3</f>
        <v>0</v>
      </c>
      <c r="AC12" s="17">
        <f>TRANSICAO!$AC$12*CUSTOS!$R$3</f>
        <v>0</v>
      </c>
      <c r="AD12" s="17">
        <f>TRANSICAO!$AD$12*CUSTOS!$R$3</f>
        <v>0</v>
      </c>
      <c r="AE12" s="17">
        <v>0</v>
      </c>
      <c r="AF12" s="17">
        <v>0</v>
      </c>
      <c r="AG12" s="17"/>
      <c r="AH12" s="17">
        <v>5.5186000000000002</v>
      </c>
      <c r="AI12" s="17">
        <v>5.5186000000000002</v>
      </c>
      <c r="AJ12" s="17">
        <f ca="1">$N$63</f>
        <v>0.52117871870631038</v>
      </c>
      <c r="AK12" s="17">
        <f t="shared" ca="1" si="0"/>
        <v>0.52117871870631038</v>
      </c>
      <c r="AL12" s="17"/>
      <c r="AM12" s="17"/>
      <c r="AP12" s="17">
        <v>1</v>
      </c>
    </row>
    <row r="13" spans="1:42" ht="11.25" customHeight="1" x14ac:dyDescent="0.25">
      <c r="A13" s="166"/>
      <c r="B13" s="166"/>
      <c r="C13" s="166"/>
      <c r="D13" s="166"/>
      <c r="E13" s="166" t="s">
        <v>86</v>
      </c>
      <c r="F13" s="166" t="s">
        <v>25</v>
      </c>
      <c r="G13" s="57" t="s">
        <v>79</v>
      </c>
      <c r="H13" s="57" t="s">
        <v>78</v>
      </c>
      <c r="I13" s="57">
        <f>'MERCADO TUSD'!$U$10</f>
        <v>0</v>
      </c>
      <c r="J13" s="16"/>
      <c r="L13" s="17">
        <v>0</v>
      </c>
      <c r="M13" s="17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0.38716332209315024</v>
      </c>
      <c r="N13" s="17">
        <f ca="1">(+M13+O13+R13+U13+V13+W13+X13+Y13+Z13+AA13+AC13+AH13+AI13+AJ13+AK13)*CUSTOS!$M$5</f>
        <v>5.3748882075950579</v>
      </c>
      <c r="O13" s="17">
        <v>1</v>
      </c>
      <c r="P13" s="17">
        <v>0</v>
      </c>
      <c r="Q13" s="17">
        <v>0</v>
      </c>
      <c r="R13" s="17">
        <v>0</v>
      </c>
      <c r="S13" s="17">
        <v>0</v>
      </c>
      <c r="T13" s="17"/>
      <c r="U13" s="17">
        <f>TRANSICAO!$U$13*CUSTOS!$R$3</f>
        <v>109.1452</v>
      </c>
      <c r="V13" s="17">
        <f>TRANSICAO!$V$13*CUSTOS!$R$3</f>
        <v>86.539500000000004</v>
      </c>
      <c r="W13" s="17">
        <f>TRANSICAO!$W$13*CUSTOS!$R$3</f>
        <v>24.9375</v>
      </c>
      <c r="X13" s="17">
        <f>TRANSICAO!$X$13*CUSTOS!$R$3</f>
        <v>0</v>
      </c>
      <c r="Y13" s="17">
        <f>TRANSICAO!$Y$13*CUSTOS!$R$3</f>
        <v>0</v>
      </c>
      <c r="Z13" s="17">
        <f>TRANSICAO!$Z$13*CUSTOS!$R$3</f>
        <v>0</v>
      </c>
      <c r="AA13" s="17">
        <f>TRANSICAO!$AA$13*CUSTOS!$R$3</f>
        <v>0</v>
      </c>
      <c r="AB13" s="17">
        <f>TRANSICAO!$AB$13*CUSTOS!$R$3</f>
        <v>0</v>
      </c>
      <c r="AC13" s="17">
        <f>TRANSICAO!$AC$13*CUSTOS!$R$3</f>
        <v>303.3999</v>
      </c>
      <c r="AD13" s="17">
        <f>TRANSICAO!$AD$13*CUSTOS!$R$3</f>
        <v>0</v>
      </c>
      <c r="AE13" s="17">
        <v>0</v>
      </c>
      <c r="AF13" s="17">
        <v>0</v>
      </c>
      <c r="AG13" s="17"/>
      <c r="AH13" s="17">
        <v>5.5186000000000002</v>
      </c>
      <c r="AI13" s="17">
        <v>5.5186000000000002</v>
      </c>
      <c r="AJ13" s="17">
        <f ca="1">$N$63</f>
        <v>0.52117871870631038</v>
      </c>
      <c r="AK13" s="17">
        <f t="shared" ca="1" si="0"/>
        <v>0.52117871870631038</v>
      </c>
      <c r="AL13" s="17"/>
      <c r="AM13" s="17"/>
      <c r="AP13" s="17">
        <v>1</v>
      </c>
    </row>
    <row r="14" spans="1:42" ht="11.25" customHeight="1" x14ac:dyDescent="0.25">
      <c r="A14" s="166"/>
      <c r="B14" s="166"/>
      <c r="C14" s="166"/>
      <c r="D14" s="166"/>
      <c r="E14" s="166"/>
      <c r="F14" s="166"/>
      <c r="G14" s="57" t="s">
        <v>80</v>
      </c>
      <c r="H14" s="57" t="s">
        <v>78</v>
      </c>
      <c r="I14" s="57">
        <f>'MERCADO TUSD'!$U$11</f>
        <v>0</v>
      </c>
      <c r="J14" s="16"/>
      <c r="L14" s="17">
        <v>0</v>
      </c>
      <c r="M14" s="17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0.38716332209315024</v>
      </c>
      <c r="N14" s="17">
        <f ca="1">(+M14+O14+R14+U14+V14+W14+X14+Y14+Z14+AA14+AC14+AH14+AI14+AJ14+AK14)*CUSTOS!$M$5</f>
        <v>0.13466720759505768</v>
      </c>
      <c r="O14" s="17">
        <v>1</v>
      </c>
      <c r="P14" s="17">
        <v>0</v>
      </c>
      <c r="Q14" s="17">
        <v>0</v>
      </c>
      <c r="R14" s="17">
        <v>0</v>
      </c>
      <c r="S14" s="17">
        <v>0</v>
      </c>
      <c r="T14" s="17"/>
      <c r="U14" s="17">
        <f>TRANSICAO!$U$14*CUSTOS!$R$3</f>
        <v>0</v>
      </c>
      <c r="V14" s="17">
        <f>TRANSICAO!$V$14*CUSTOS!$R$3</f>
        <v>0</v>
      </c>
      <c r="W14" s="17">
        <f>TRANSICAO!$W$14*CUSTOS!$R$3</f>
        <v>0</v>
      </c>
      <c r="X14" s="17">
        <f>TRANSICAO!$X$14*CUSTOS!$R$3</f>
        <v>0</v>
      </c>
      <c r="Y14" s="17">
        <f>TRANSICAO!$Y$14*CUSTOS!$R$3</f>
        <v>0</v>
      </c>
      <c r="Z14" s="17">
        <f>TRANSICAO!$Z$14*CUSTOS!$R$3</f>
        <v>0</v>
      </c>
      <c r="AA14" s="17">
        <f>TRANSICAO!$AA$14*CUSTOS!$R$3</f>
        <v>0</v>
      </c>
      <c r="AB14" s="17">
        <f>TRANSICAO!$AB$14*CUSTOS!$R$3</f>
        <v>0</v>
      </c>
      <c r="AC14" s="17">
        <f>TRANSICAO!$AC$14*CUSTOS!$R$3</f>
        <v>0</v>
      </c>
      <c r="AD14" s="17">
        <f>TRANSICAO!$AD$14*CUSTOS!$R$3</f>
        <v>0</v>
      </c>
      <c r="AE14" s="17">
        <v>0</v>
      </c>
      <c r="AF14" s="17">
        <v>0</v>
      </c>
      <c r="AG14" s="17"/>
      <c r="AH14" s="17">
        <v>5.5186000000000002</v>
      </c>
      <c r="AI14" s="17">
        <v>5.5186000000000002</v>
      </c>
      <c r="AJ14" s="17">
        <f ca="1">$N$63</f>
        <v>0.52117871870631038</v>
      </c>
      <c r="AK14" s="17">
        <f t="shared" ca="1" si="0"/>
        <v>0.52117871870631038</v>
      </c>
      <c r="AL14" s="17"/>
      <c r="AM14" s="17"/>
      <c r="AP14" s="17">
        <v>1</v>
      </c>
    </row>
    <row r="15" spans="1:42" ht="11.25" customHeight="1" x14ac:dyDescent="0.25">
      <c r="A15" s="166" t="s">
        <v>89</v>
      </c>
      <c r="B15" s="166" t="s">
        <v>58</v>
      </c>
      <c r="C15" s="166" t="s">
        <v>25</v>
      </c>
      <c r="D15" s="166" t="s">
        <v>25</v>
      </c>
      <c r="E15" s="58" t="s">
        <v>90</v>
      </c>
      <c r="F15" s="58" t="s">
        <v>25</v>
      </c>
      <c r="G15" s="57" t="s">
        <v>9</v>
      </c>
      <c r="H15" s="57" t="s">
        <v>83</v>
      </c>
      <c r="I15" s="57">
        <f>'MERCADO TUSD'!$U$12+0.00000001</f>
        <v>1E-8</v>
      </c>
      <c r="J15" s="16"/>
      <c r="L15" s="17">
        <v>0</v>
      </c>
      <c r="M15" s="17">
        <v>2.2800000000000001E-2</v>
      </c>
      <c r="N15" s="17">
        <f>0.0573</f>
        <v>5.7299999999999997E-2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/>
      <c r="U15" s="17">
        <f>TRANSICAO!$U$15*CUSTOS!$T$4</f>
        <v>0</v>
      </c>
      <c r="V15" s="17">
        <f>TRANSICAO!$V$15*CUSTOS!$T$4</f>
        <v>0</v>
      </c>
      <c r="W15" s="17">
        <f>TRANSICAO!$W$15*CUSTOS!$T$4</f>
        <v>0</v>
      </c>
      <c r="X15" s="17">
        <f>TRANSICAO!$X$15*CUSTOS!$T$4</f>
        <v>0</v>
      </c>
      <c r="Y15" s="17">
        <f>TRANSICAO!$Y$15*CUSTOS!$T$4</f>
        <v>0</v>
      </c>
      <c r="Z15" s="17">
        <f>TRANSICAO!$Z$15*CUSTOS!$T$4</f>
        <v>0</v>
      </c>
      <c r="AA15" s="17">
        <f>TRANSICAO!$AA$15*CUSTOS!$T$4</f>
        <v>0</v>
      </c>
      <c r="AB15" s="17">
        <f>TRANSICAO!$AB$15*CUSTOS!$T$4</f>
        <v>0</v>
      </c>
      <c r="AC15" s="17">
        <f>TRANSICAO!$AC$15*CUSTOS!$T$4</f>
        <v>5.7061000000000002</v>
      </c>
      <c r="AD15" s="17">
        <f>TRANSICAO!$AD$15*CUSTOS!$T$4</f>
        <v>0</v>
      </c>
      <c r="AE15" s="17">
        <v>0</v>
      </c>
      <c r="AF15" s="17">
        <v>0</v>
      </c>
      <c r="AG15" s="17"/>
      <c r="AH15" s="17">
        <v>0</v>
      </c>
      <c r="AI15" s="17">
        <v>0</v>
      </c>
      <c r="AJ15" s="17">
        <v>0</v>
      </c>
      <c r="AK15" s="17">
        <f t="shared" si="0"/>
        <v>0</v>
      </c>
      <c r="AL15" s="17"/>
      <c r="AM15" s="17"/>
      <c r="AP15" s="17"/>
    </row>
    <row r="16" spans="1:42" ht="11.25" customHeight="1" x14ac:dyDescent="0.25">
      <c r="A16" s="166"/>
      <c r="B16" s="166"/>
      <c r="C16" s="166"/>
      <c r="D16" s="166"/>
      <c r="E16" s="58" t="s">
        <v>91</v>
      </c>
      <c r="F16" s="58" t="s">
        <v>25</v>
      </c>
      <c r="G16" s="57" t="s">
        <v>9</v>
      </c>
      <c r="H16" s="57" t="s">
        <v>83</v>
      </c>
      <c r="I16" s="57">
        <f>'MERCADO TUSD'!$U$13+0.00000001</f>
        <v>1E-8</v>
      </c>
      <c r="J16" s="16"/>
      <c r="L16" s="17">
        <v>0</v>
      </c>
      <c r="M16" s="17">
        <v>2.2800000000000001E-2</v>
      </c>
      <c r="N16" s="17">
        <f>0.0573</f>
        <v>5.7299999999999997E-2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/>
      <c r="U16" s="17">
        <f>TRANSICAO!$U$16*CUSTOS!$T$4</f>
        <v>0</v>
      </c>
      <c r="V16" s="17">
        <f>TRANSICAO!$V$16*CUSTOS!$T$4</f>
        <v>0</v>
      </c>
      <c r="W16" s="17">
        <f>TRANSICAO!$W$16*CUSTOS!$T$4</f>
        <v>0</v>
      </c>
      <c r="X16" s="17">
        <f>TRANSICAO!$X$16*CUSTOS!$T$4</f>
        <v>0</v>
      </c>
      <c r="Y16" s="17">
        <f>TRANSICAO!$Y$16*CUSTOS!$T$4</f>
        <v>0</v>
      </c>
      <c r="Z16" s="17">
        <f>TRANSICAO!$Z$16*CUSTOS!$T$4</f>
        <v>0</v>
      </c>
      <c r="AA16" s="17">
        <f>TRANSICAO!$AA$16*CUSTOS!$T$4</f>
        <v>0</v>
      </c>
      <c r="AB16" s="17">
        <f>TRANSICAO!$AB$16*CUSTOS!$T$4</f>
        <v>0</v>
      </c>
      <c r="AC16" s="17">
        <f>TRANSICAO!$AC$16*CUSTOS!$T$4</f>
        <v>9.5410000000000004</v>
      </c>
      <c r="AD16" s="17">
        <f>TRANSICAO!$AD$16*CUSTOS!$T$4</f>
        <v>0</v>
      </c>
      <c r="AE16" s="17">
        <v>0</v>
      </c>
      <c r="AF16" s="17">
        <v>0</v>
      </c>
      <c r="AG16" s="17"/>
      <c r="AH16" s="17">
        <v>0</v>
      </c>
      <c r="AI16" s="17">
        <v>0</v>
      </c>
      <c r="AJ16" s="17">
        <v>0</v>
      </c>
      <c r="AK16" s="17">
        <f t="shared" si="0"/>
        <v>0</v>
      </c>
      <c r="AL16" s="17"/>
      <c r="AM16" s="17"/>
      <c r="AP16" s="17"/>
    </row>
    <row r="17" spans="1:42" ht="11.25" customHeight="1" x14ac:dyDescent="0.25">
      <c r="A17" s="166" t="s">
        <v>22</v>
      </c>
      <c r="B17" s="166" t="s">
        <v>32</v>
      </c>
      <c r="C17" s="166" t="s">
        <v>24</v>
      </c>
      <c r="D17" s="166" t="s">
        <v>24</v>
      </c>
      <c r="E17" s="166" t="s">
        <v>25</v>
      </c>
      <c r="F17" s="166" t="s">
        <v>25</v>
      </c>
      <c r="G17" s="57" t="s">
        <v>79</v>
      </c>
      <c r="H17" s="57" t="s">
        <v>78</v>
      </c>
      <c r="I17" s="57">
        <f>'MERCADO TUSD'!$U$14</f>
        <v>2.7580000000000005</v>
      </c>
      <c r="J17" s="16"/>
      <c r="L17" s="17">
        <f>1</f>
        <v>1</v>
      </c>
      <c r="M17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0.87144660127922891</v>
      </c>
      <c r="N17" s="17">
        <f ca="1">(+M17+O17+R17+U17+V17+W17+X17+Y17+Z17+AA17+AC17+AH17+AI17+AJ17+AK17)*CUSTOS!$M$5</f>
        <v>7.3532604209085308</v>
      </c>
      <c r="O17" s="17">
        <v>1</v>
      </c>
      <c r="P17" s="17">
        <v>1</v>
      </c>
      <c r="Q17" s="17">
        <f>1</f>
        <v>1</v>
      </c>
      <c r="R17" s="17">
        <v>1</v>
      </c>
      <c r="S17" s="17">
        <v>1</v>
      </c>
      <c r="T17" s="17"/>
      <c r="U17" s="17">
        <f>TRANSICAO!$U$17*CUSTOS!$T$3</f>
        <v>67.332700000000003</v>
      </c>
      <c r="V17" s="17">
        <f>TRANSICAO!$V$17*CUSTOS!$T$3</f>
        <v>50.054099999999998</v>
      </c>
      <c r="W17" s="17">
        <f>TRANSICAO!$W$17*CUSTOS!$T$3</f>
        <v>15.065099999999999</v>
      </c>
      <c r="X17" s="17">
        <f>TRANSICAO!$X$17*CUSTOS!$T$3</f>
        <v>0</v>
      </c>
      <c r="Y17" s="17">
        <f>TRANSICAO!$Y$17*CUSTOS!$T$3</f>
        <v>0</v>
      </c>
      <c r="Z17" s="17">
        <f>TRANSICAO!$Z$17*CUSTOS!$T$3</f>
        <v>0</v>
      </c>
      <c r="AA17" s="17">
        <f>TRANSICAO!$AA$17*CUSTOS!$T$3</f>
        <v>0</v>
      </c>
      <c r="AB17" s="17">
        <f>TRANSICAO!$AB$17*CUSTOS!$T$3</f>
        <v>0</v>
      </c>
      <c r="AC17" s="17">
        <f>TRANSICAO!$AC$17*CUSTOS!$T$3</f>
        <v>559.54459999999995</v>
      </c>
      <c r="AD17" s="17">
        <f>TRANSICAO!$AD$17*CUSTOS!$T$3</f>
        <v>0</v>
      </c>
      <c r="AE17" s="17">
        <v>0</v>
      </c>
      <c r="AF17" s="17">
        <v>0</v>
      </c>
      <c r="AG17" s="17"/>
      <c r="AH17" s="17">
        <v>19.518599999999999</v>
      </c>
      <c r="AI17" s="17">
        <v>19.518599999999999</v>
      </c>
      <c r="AJ17" s="17">
        <f ca="1">$N$64</f>
        <v>0.71044774478695294</v>
      </c>
      <c r="AK17" s="17">
        <f t="shared" ca="1" si="0"/>
        <v>0.71044774478695294</v>
      </c>
      <c r="AL17" s="17"/>
      <c r="AM17" s="17"/>
      <c r="AP17" s="17">
        <v>1</v>
      </c>
    </row>
    <row r="18" spans="1:42" ht="11.25" customHeight="1" x14ac:dyDescent="0.25">
      <c r="A18" s="166"/>
      <c r="B18" s="166"/>
      <c r="C18" s="166"/>
      <c r="D18" s="166"/>
      <c r="E18" s="166"/>
      <c r="F18" s="166"/>
      <c r="G18" s="57" t="s">
        <v>92</v>
      </c>
      <c r="H18" s="57" t="s">
        <v>78</v>
      </c>
      <c r="I18" s="57">
        <f>'MERCADO TUSD'!$U$15</f>
        <v>1.9870000000000001</v>
      </c>
      <c r="J18" s="16"/>
      <c r="L18" s="17">
        <f>1</f>
        <v>1</v>
      </c>
      <c r="M18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0.87144660127922891</v>
      </c>
      <c r="N18" s="17">
        <f ca="1">(+M18+O18+R18+U18+V18+W18+X18+Y18+Z18+AA18+AC18+AH18+AI18+AJ18+AK18)*CUSTOS!$M$5</f>
        <v>3.8932784209085312</v>
      </c>
      <c r="O18" s="17">
        <v>1</v>
      </c>
      <c r="P18" s="17">
        <v>1</v>
      </c>
      <c r="Q18" s="17">
        <f>1</f>
        <v>1</v>
      </c>
      <c r="R18" s="17">
        <v>1</v>
      </c>
      <c r="S18" s="17">
        <v>1</v>
      </c>
      <c r="T18" s="17"/>
      <c r="U18" s="17">
        <f>TRANSICAO!$U$18*CUSTOS!$T$3</f>
        <v>33.666400000000003</v>
      </c>
      <c r="V18" s="17">
        <f>TRANSICAO!$V$18*CUSTOS!$T$3</f>
        <v>25.027000000000001</v>
      </c>
      <c r="W18" s="17">
        <f>TRANSICAO!$W$18*CUSTOS!$T$3</f>
        <v>7.5326000000000004</v>
      </c>
      <c r="X18" s="17">
        <f>TRANSICAO!$X$18*CUSTOS!$T$3</f>
        <v>0</v>
      </c>
      <c r="Y18" s="17">
        <f>TRANSICAO!$Y$18*CUSTOS!$T$3</f>
        <v>0</v>
      </c>
      <c r="Z18" s="17">
        <f>TRANSICAO!$Z$18*CUSTOS!$T$3</f>
        <v>0</v>
      </c>
      <c r="AA18" s="17">
        <f>TRANSICAO!$AA$18*CUSTOS!$T$3</f>
        <v>0</v>
      </c>
      <c r="AB18" s="17">
        <f>TRANSICAO!$AB$18*CUSTOS!$T$3</f>
        <v>0</v>
      </c>
      <c r="AC18" s="17">
        <f>TRANSICAO!$AC$18*CUSTOS!$T$3</f>
        <v>279.77229999999997</v>
      </c>
      <c r="AD18" s="17">
        <f>TRANSICAO!$AD$18*CUSTOS!$T$3</f>
        <v>0</v>
      </c>
      <c r="AE18" s="17">
        <v>0</v>
      </c>
      <c r="AF18" s="17">
        <v>0</v>
      </c>
      <c r="AG18" s="17"/>
      <c r="AH18" s="17">
        <v>19.518599999999999</v>
      </c>
      <c r="AI18" s="17">
        <v>19.518599999999999</v>
      </c>
      <c r="AJ18" s="17">
        <f ca="1">$N$64</f>
        <v>0.71044774478695294</v>
      </c>
      <c r="AK18" s="17">
        <f t="shared" ca="1" si="0"/>
        <v>0.71044774478695294</v>
      </c>
      <c r="AL18" s="17"/>
      <c r="AM18" s="17"/>
      <c r="AP18" s="17">
        <v>1</v>
      </c>
    </row>
    <row r="19" spans="1:42" ht="11.25" customHeight="1" x14ac:dyDescent="0.25">
      <c r="A19" s="166"/>
      <c r="B19" s="166"/>
      <c r="C19" s="166"/>
      <c r="D19" s="166"/>
      <c r="E19" s="166"/>
      <c r="F19" s="166"/>
      <c r="G19" s="57" t="s">
        <v>80</v>
      </c>
      <c r="H19" s="57" t="s">
        <v>78</v>
      </c>
      <c r="I19" s="57">
        <f>'MERCADO TUSD'!$U$16</f>
        <v>16.794</v>
      </c>
      <c r="J19" s="16"/>
      <c r="L19" s="17">
        <f>1</f>
        <v>1</v>
      </c>
      <c r="M19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0.87144660127922891</v>
      </c>
      <c r="N19" s="17">
        <f ca="1">(+M19+O19+R19+U19+V19+W19+X19+Y19+Z19+AA19+AC19+AH19+AI19+AJ19+AK19)*CUSTOS!$M$5</f>
        <v>1.1252924209085311</v>
      </c>
      <c r="O19" s="17">
        <v>1</v>
      </c>
      <c r="P19" s="17">
        <v>1</v>
      </c>
      <c r="Q19" s="17">
        <f>1</f>
        <v>1</v>
      </c>
      <c r="R19" s="17">
        <v>1</v>
      </c>
      <c r="S19" s="17">
        <v>1</v>
      </c>
      <c r="T19" s="17"/>
      <c r="U19" s="17">
        <f>TRANSICAO!$U$19*CUSTOS!$T$3</f>
        <v>6.7332999999999998</v>
      </c>
      <c r="V19" s="17">
        <f>TRANSICAO!$V$19*CUSTOS!$T$3</f>
        <v>5.0053999999999998</v>
      </c>
      <c r="W19" s="17">
        <f>TRANSICAO!$W$19*CUSTOS!$T$3</f>
        <v>1.5065</v>
      </c>
      <c r="X19" s="17">
        <f>TRANSICAO!$X$19*CUSTOS!$T$3</f>
        <v>0</v>
      </c>
      <c r="Y19" s="17">
        <f>TRANSICAO!$Y$19*CUSTOS!$T$3</f>
        <v>0</v>
      </c>
      <c r="Z19" s="17">
        <f>TRANSICAO!$Z$19*CUSTOS!$T$3</f>
        <v>0</v>
      </c>
      <c r="AA19" s="17">
        <f>TRANSICAO!$AA$19*CUSTOS!$T$3</f>
        <v>0</v>
      </c>
      <c r="AB19" s="17">
        <f>TRANSICAO!$AB$19*CUSTOS!$T$3</f>
        <v>0</v>
      </c>
      <c r="AC19" s="17">
        <f>TRANSICAO!$AC$19*CUSTOS!$T$3</f>
        <v>55.954500000000003</v>
      </c>
      <c r="AD19" s="17">
        <f>TRANSICAO!$AD$19*CUSTOS!$T$3</f>
        <v>0</v>
      </c>
      <c r="AE19" s="17">
        <v>0</v>
      </c>
      <c r="AF19" s="17">
        <v>0</v>
      </c>
      <c r="AG19" s="17"/>
      <c r="AH19" s="17">
        <v>19.518599999999999</v>
      </c>
      <c r="AI19" s="17">
        <v>19.518599999999999</v>
      </c>
      <c r="AJ19" s="17">
        <f ca="1">$N$64</f>
        <v>0.71044774478695294</v>
      </c>
      <c r="AK19" s="17">
        <f t="shared" ca="1" si="0"/>
        <v>0.71044774478695294</v>
      </c>
      <c r="AL19" s="17"/>
      <c r="AM19" s="17"/>
      <c r="AP19" s="17">
        <v>1</v>
      </c>
    </row>
    <row r="20" spans="1:42" ht="11.25" customHeight="1" x14ac:dyDescent="0.25">
      <c r="A20" s="166"/>
      <c r="B20" s="166" t="s">
        <v>23</v>
      </c>
      <c r="C20" s="166" t="s">
        <v>24</v>
      </c>
      <c r="D20" s="58" t="s">
        <v>24</v>
      </c>
      <c r="E20" s="58" t="s">
        <v>25</v>
      </c>
      <c r="F20" s="58" t="s">
        <v>25</v>
      </c>
      <c r="G20" s="57" t="s">
        <v>82</v>
      </c>
      <c r="H20" s="57" t="s">
        <v>78</v>
      </c>
      <c r="I20" s="57">
        <f>'MERCADO TUSD'!$U$17</f>
        <v>38061.052999999993</v>
      </c>
      <c r="J20" s="16"/>
      <c r="L20" s="17">
        <f>1</f>
        <v>1</v>
      </c>
      <c r="M20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0.87144660127922891</v>
      </c>
      <c r="N20" s="17">
        <f ca="1">(+M20+O20+R20+U20+V20+W20+X20+Y20+Z20+AA20+AC20+AH20+AI20+AJ20+AK20)*CUSTOS!$M$5</f>
        <v>2.5302544209085314</v>
      </c>
      <c r="O20" s="17">
        <v>1</v>
      </c>
      <c r="P20" s="17">
        <v>1</v>
      </c>
      <c r="Q20" s="17">
        <f>1</f>
        <v>1</v>
      </c>
      <c r="R20" s="17">
        <v>1</v>
      </c>
      <c r="S20" s="17">
        <v>1</v>
      </c>
      <c r="T20" s="17"/>
      <c r="U20" s="17">
        <f>TRANSICAO!$U$20*CUSTOS!$T$3</f>
        <v>20.4038</v>
      </c>
      <c r="V20" s="17">
        <f>TRANSICAO!$V$20*CUSTOS!$T$3</f>
        <v>15.167899999999999</v>
      </c>
      <c r="W20" s="17">
        <f>TRANSICAO!$W$20*CUSTOS!$T$3</f>
        <v>4.5651999999999999</v>
      </c>
      <c r="X20" s="17">
        <f>TRANSICAO!$X$20*CUSTOS!$T$3</f>
        <v>0</v>
      </c>
      <c r="Y20" s="17">
        <f>TRANSICAO!$Y$20*CUSTOS!$T$3</f>
        <v>0</v>
      </c>
      <c r="Z20" s="17">
        <f>TRANSICAO!$Z$20*CUSTOS!$T$3</f>
        <v>0</v>
      </c>
      <c r="AA20" s="17">
        <f>TRANSICAO!$AA$20*CUSTOS!$T$3</f>
        <v>0</v>
      </c>
      <c r="AB20" s="17">
        <f>TRANSICAO!$AB$20*CUSTOS!$T$3</f>
        <v>0</v>
      </c>
      <c r="AC20" s="17">
        <f>TRANSICAO!$AC$20*CUSTOS!$T$3</f>
        <v>169.559</v>
      </c>
      <c r="AD20" s="17">
        <f>TRANSICAO!$AD$20*CUSTOS!$T$3</f>
        <v>0</v>
      </c>
      <c r="AE20" s="17">
        <v>0</v>
      </c>
      <c r="AF20" s="17">
        <v>0</v>
      </c>
      <c r="AG20" s="17"/>
      <c r="AH20" s="17">
        <v>19.518599999999999</v>
      </c>
      <c r="AI20" s="17">
        <v>19.518599999999999</v>
      </c>
      <c r="AJ20" s="17">
        <f ca="1">$N$64</f>
        <v>0.71044774478695294</v>
      </c>
      <c r="AK20" s="17">
        <f t="shared" ca="1" si="0"/>
        <v>0.71044774478695294</v>
      </c>
      <c r="AL20" s="17"/>
      <c r="AM20" s="17"/>
      <c r="AP20" s="17">
        <v>1</v>
      </c>
    </row>
    <row r="21" spans="1:42" ht="11.25" customHeight="1" x14ac:dyDescent="0.25">
      <c r="A21" s="166"/>
      <c r="B21" s="166"/>
      <c r="C21" s="166"/>
      <c r="D21" s="58" t="s">
        <v>28</v>
      </c>
      <c r="E21" s="58" t="s">
        <v>25</v>
      </c>
      <c r="F21" s="58" t="s">
        <v>25</v>
      </c>
      <c r="G21" s="57" t="s">
        <v>82</v>
      </c>
      <c r="H21" s="57" t="s">
        <v>78</v>
      </c>
      <c r="I21" s="57">
        <f>'MERCADO TUSD'!$U$18</f>
        <v>264.92899999999997</v>
      </c>
      <c r="J21" s="16"/>
      <c r="L21" s="17">
        <v>0</v>
      </c>
      <c r="M21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0.87144660127922891</v>
      </c>
      <c r="N21" s="17">
        <f ca="1">(+M21+O21+R21+U21+V21+W21+X21+Y21+Z21+AA21+AC21+AH21+AI21+AJ21+AK21)*CUSTOS!$M$5</f>
        <v>2.5202544209085311</v>
      </c>
      <c r="O21" s="17">
        <f>1 - CUSTOS!$M$24</f>
        <v>1</v>
      </c>
      <c r="P21" s="17">
        <v>0</v>
      </c>
      <c r="Q21" s="17">
        <v>0</v>
      </c>
      <c r="R21" s="17">
        <v>0</v>
      </c>
      <c r="S21" s="17">
        <f>1 - CUSTOS!$M$24</f>
        <v>1</v>
      </c>
      <c r="T21" s="17"/>
      <c r="U21" s="17">
        <f>TRANSICAO!$U$21*CUSTOS!$T$3</f>
        <v>20.4038</v>
      </c>
      <c r="V21" s="17">
        <f>TRANSICAO!$V$21*CUSTOS!$T$3</f>
        <v>15.167899999999999</v>
      </c>
      <c r="W21" s="17">
        <f>TRANSICAO!$W$21*CUSTOS!$T$3</f>
        <v>4.5651999999999999</v>
      </c>
      <c r="X21" s="17">
        <f>TRANSICAO!$X$21*CUSTOS!$T$3</f>
        <v>0</v>
      </c>
      <c r="Y21" s="17">
        <f>TRANSICAO!$Y$21*CUSTOS!$T$3</f>
        <v>0</v>
      </c>
      <c r="Z21" s="17">
        <f>TRANSICAO!$Z$21*CUSTOS!$T$3</f>
        <v>0</v>
      </c>
      <c r="AA21" s="17">
        <f>TRANSICAO!$AA$21*CUSTOS!$T$3</f>
        <v>0</v>
      </c>
      <c r="AB21" s="17">
        <f>TRANSICAO!$AB$21*CUSTOS!$T$3</f>
        <v>0</v>
      </c>
      <c r="AC21" s="17">
        <f>TRANSICAO!$AC$21*CUSTOS!$T$3</f>
        <v>169.559</v>
      </c>
      <c r="AD21" s="17">
        <f>TRANSICAO!$AD$21*CUSTOS!$T$3</f>
        <v>0</v>
      </c>
      <c r="AE21" s="17">
        <v>0</v>
      </c>
      <c r="AF21" s="17">
        <v>0</v>
      </c>
      <c r="AG21" s="17"/>
      <c r="AH21" s="17">
        <f>(1 - CUSTOS!$M$24)*19.5186</f>
        <v>19.518599999999999</v>
      </c>
      <c r="AI21" s="17">
        <f>(1 - CUSTOS!$M$24)*19.5186</f>
        <v>19.518599999999999</v>
      </c>
      <c r="AJ21" s="17">
        <f ca="1">$N$64*(1-CUSTOS!$M$24)</f>
        <v>0.71044774478695294</v>
      </c>
      <c r="AK21" s="17">
        <f t="shared" ca="1" si="0"/>
        <v>0.71044774478695294</v>
      </c>
      <c r="AL21" s="17"/>
      <c r="AM21" s="17"/>
      <c r="AP21" s="17">
        <f>IF((1 - CUSTOS!$M$24)&lt;&gt;0,1/(1 - CUSTOS!$M$24),1)</f>
        <v>1</v>
      </c>
    </row>
    <row r="22" spans="1:42" ht="11.25" customHeight="1" x14ac:dyDescent="0.25">
      <c r="A22" s="166"/>
      <c r="B22" s="166"/>
      <c r="C22" s="166"/>
      <c r="D22" s="58" t="s">
        <v>29</v>
      </c>
      <c r="E22" s="58" t="s">
        <v>25</v>
      </c>
      <c r="F22" s="58" t="s">
        <v>25</v>
      </c>
      <c r="G22" s="57" t="s">
        <v>82</v>
      </c>
      <c r="H22" s="57" t="s">
        <v>78</v>
      </c>
      <c r="I22" s="57">
        <f>'MERCADO TUSD'!$U$19</f>
        <v>546.98300000000006</v>
      </c>
      <c r="J22" s="16"/>
      <c r="L22" s="17">
        <v>0</v>
      </c>
      <c r="M22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0.87144660127922891</v>
      </c>
      <c r="N22" s="17">
        <f ca="1">(+M22+O22+R22+U22+V22+W22+X22+Y22+Z22+AA22+AC22+AH22+AI22+AJ22+AK22)*CUSTOS!$M$5</f>
        <v>2.5202544209085311</v>
      </c>
      <c r="O22" s="17">
        <f>1 - CUSTOS!$M$25</f>
        <v>1</v>
      </c>
      <c r="P22" s="17">
        <v>0</v>
      </c>
      <c r="Q22" s="17">
        <v>0</v>
      </c>
      <c r="R22" s="17">
        <v>0</v>
      </c>
      <c r="S22" s="17">
        <f>1 - CUSTOS!$M$25</f>
        <v>1</v>
      </c>
      <c r="T22" s="17"/>
      <c r="U22" s="17">
        <f>TRANSICAO!$U$22*CUSTOS!$T$3</f>
        <v>20.4038</v>
      </c>
      <c r="V22" s="17">
        <f>TRANSICAO!$V$22*CUSTOS!$T$3</f>
        <v>15.167899999999999</v>
      </c>
      <c r="W22" s="17">
        <f>TRANSICAO!$W$22*CUSTOS!$T$3</f>
        <v>4.5651999999999999</v>
      </c>
      <c r="X22" s="17">
        <f>TRANSICAO!$X$22*CUSTOS!$T$3</f>
        <v>0</v>
      </c>
      <c r="Y22" s="17">
        <f>TRANSICAO!$Y$22*CUSTOS!$T$3</f>
        <v>0</v>
      </c>
      <c r="Z22" s="17">
        <f>TRANSICAO!$Z$22*CUSTOS!$T$3</f>
        <v>0</v>
      </c>
      <c r="AA22" s="17">
        <f>TRANSICAO!$AA$22*CUSTOS!$T$3</f>
        <v>0</v>
      </c>
      <c r="AB22" s="17">
        <f>TRANSICAO!$AB$22*CUSTOS!$T$3</f>
        <v>0</v>
      </c>
      <c r="AC22" s="17">
        <f>TRANSICAO!$AC$22*CUSTOS!$T$3</f>
        <v>169.559</v>
      </c>
      <c r="AD22" s="17">
        <f>TRANSICAO!$AD$22*CUSTOS!$T$3</f>
        <v>0</v>
      </c>
      <c r="AE22" s="17">
        <v>0</v>
      </c>
      <c r="AF22" s="17">
        <v>0</v>
      </c>
      <c r="AG22" s="17"/>
      <c r="AH22" s="17">
        <f>(1 - CUSTOS!$M$25)*19.5186</f>
        <v>19.518599999999999</v>
      </c>
      <c r="AI22" s="17">
        <f>(1 - CUSTOS!$M$25)*19.5186</f>
        <v>19.518599999999999</v>
      </c>
      <c r="AJ22" s="17">
        <f ca="1">$N$64*(1-CUSTOS!$M$25)</f>
        <v>0.71044774478695294</v>
      </c>
      <c r="AK22" s="17">
        <f t="shared" ca="1" si="0"/>
        <v>0.71044774478695294</v>
      </c>
      <c r="AL22" s="17"/>
      <c r="AM22" s="17"/>
      <c r="AP22" s="17">
        <f>IF((1 - CUSTOS!$M$25)&lt;&gt;0,1/(1 - CUSTOS!$M$25),1)</f>
        <v>1</v>
      </c>
    </row>
    <row r="23" spans="1:42" ht="11.25" customHeight="1" x14ac:dyDescent="0.25">
      <c r="A23" s="166"/>
      <c r="B23" s="166"/>
      <c r="C23" s="166"/>
      <c r="D23" s="58" t="s">
        <v>30</v>
      </c>
      <c r="E23" s="58" t="s">
        <v>25</v>
      </c>
      <c r="F23" s="58" t="s">
        <v>25</v>
      </c>
      <c r="G23" s="57" t="s">
        <v>82</v>
      </c>
      <c r="H23" s="57" t="s">
        <v>78</v>
      </c>
      <c r="I23" s="57">
        <f>'MERCADO TUSD'!$U$20</f>
        <v>480.18299999999999</v>
      </c>
      <c r="J23" s="16"/>
      <c r="L23" s="17">
        <v>0</v>
      </c>
      <c r="M23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0.87144660127922891</v>
      </c>
      <c r="N23" s="17">
        <f ca="1">(+M23+O23+R23+U23+V23+W23+X23+Y23+Z23+AA23+AC23+AH23+AI23+AJ23+AK23)*CUSTOS!$M$5</f>
        <v>2.5202544209085311</v>
      </c>
      <c r="O23" s="17">
        <f>1 - CUSTOS!$M$26</f>
        <v>1</v>
      </c>
      <c r="P23" s="17">
        <v>0</v>
      </c>
      <c r="Q23" s="17">
        <v>0</v>
      </c>
      <c r="R23" s="17">
        <v>0</v>
      </c>
      <c r="S23" s="17">
        <f>1 - CUSTOS!$M$26</f>
        <v>1</v>
      </c>
      <c r="T23" s="17"/>
      <c r="U23" s="17">
        <f>TRANSICAO!$U$23*CUSTOS!$T$3</f>
        <v>20.4038</v>
      </c>
      <c r="V23" s="17">
        <f>TRANSICAO!$V$23*CUSTOS!$T$3</f>
        <v>15.167899999999999</v>
      </c>
      <c r="W23" s="17">
        <f>TRANSICAO!$W$23*CUSTOS!$T$3</f>
        <v>4.5651999999999999</v>
      </c>
      <c r="X23" s="17">
        <f>TRANSICAO!$X$23*CUSTOS!$T$3</f>
        <v>0</v>
      </c>
      <c r="Y23" s="17">
        <f>TRANSICAO!$Y$23*CUSTOS!$T$3</f>
        <v>0</v>
      </c>
      <c r="Z23" s="17">
        <f>TRANSICAO!$Z$23*CUSTOS!$T$3</f>
        <v>0</v>
      </c>
      <c r="AA23" s="17">
        <f>TRANSICAO!$AA$23*CUSTOS!$T$3</f>
        <v>0</v>
      </c>
      <c r="AB23" s="17">
        <f>TRANSICAO!$AB$23*CUSTOS!$T$3</f>
        <v>0</v>
      </c>
      <c r="AC23" s="17">
        <f>TRANSICAO!$AC$23*CUSTOS!$T$3</f>
        <v>169.559</v>
      </c>
      <c r="AD23" s="17">
        <f>TRANSICAO!$AD$23*CUSTOS!$T$3</f>
        <v>0</v>
      </c>
      <c r="AE23" s="17">
        <v>0</v>
      </c>
      <c r="AF23" s="17">
        <v>0</v>
      </c>
      <c r="AG23" s="17"/>
      <c r="AH23" s="17">
        <f>(1 - CUSTOS!$M$26)*19.5186</f>
        <v>19.518599999999999</v>
      </c>
      <c r="AI23" s="17">
        <f>(1 - CUSTOS!$M$26)*19.5186</f>
        <v>19.518599999999999</v>
      </c>
      <c r="AJ23" s="17">
        <f ca="1">$N$64*(1-CUSTOS!$M$26)</f>
        <v>0.71044774478695294</v>
      </c>
      <c r="AK23" s="17">
        <f t="shared" ca="1" si="0"/>
        <v>0.71044774478695294</v>
      </c>
      <c r="AL23" s="17"/>
      <c r="AM23" s="17"/>
      <c r="AP23" s="17">
        <f>IF((1 - CUSTOS!$M$26)&lt;&gt;0,1/(1 - CUSTOS!$M$26),1)</f>
        <v>1</v>
      </c>
    </row>
    <row r="24" spans="1:42" ht="11.25" customHeight="1" x14ac:dyDescent="0.25">
      <c r="A24" s="166"/>
      <c r="B24" s="166"/>
      <c r="C24" s="166"/>
      <c r="D24" s="58" t="s">
        <v>31</v>
      </c>
      <c r="E24" s="58" t="s">
        <v>25</v>
      </c>
      <c r="F24" s="58" t="s">
        <v>25</v>
      </c>
      <c r="G24" s="57" t="s">
        <v>82</v>
      </c>
      <c r="H24" s="57" t="s">
        <v>78</v>
      </c>
      <c r="I24" s="57">
        <f>'MERCADO TUSD'!$U$21</f>
        <v>145.91099999999997</v>
      </c>
      <c r="J24" s="16"/>
      <c r="L24" s="17">
        <v>0</v>
      </c>
      <c r="M24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0.87144660127922891</v>
      </c>
      <c r="N24" s="17">
        <f ca="1">(+M24+O24+R24+U24+V24+W24+X24+Y24+Z24+AA24+AC24+AH24+AI24+AJ24+AK24)*CUSTOS!$M$5</f>
        <v>2.5202544209085311</v>
      </c>
      <c r="O24" s="17">
        <f>1 - CUSTOS!$M$27</f>
        <v>1</v>
      </c>
      <c r="P24" s="17">
        <v>0</v>
      </c>
      <c r="Q24" s="17">
        <v>0</v>
      </c>
      <c r="R24" s="17">
        <v>0</v>
      </c>
      <c r="S24" s="17">
        <f>1 - CUSTOS!$M$27</f>
        <v>1</v>
      </c>
      <c r="T24" s="17"/>
      <c r="U24" s="17">
        <f>TRANSICAO!$U$24*CUSTOS!$T$3</f>
        <v>20.4038</v>
      </c>
      <c r="V24" s="17">
        <f>TRANSICAO!$V$24*CUSTOS!$T$3</f>
        <v>15.167899999999999</v>
      </c>
      <c r="W24" s="17">
        <f>TRANSICAO!$W$24*CUSTOS!$T$3</f>
        <v>4.5651999999999999</v>
      </c>
      <c r="X24" s="17">
        <f>TRANSICAO!$X$24*CUSTOS!$T$3</f>
        <v>0</v>
      </c>
      <c r="Y24" s="17">
        <f>TRANSICAO!$Y$24*CUSTOS!$T$3</f>
        <v>0</v>
      </c>
      <c r="Z24" s="17">
        <f>TRANSICAO!$Z$24*CUSTOS!$T$3</f>
        <v>0</v>
      </c>
      <c r="AA24" s="17">
        <f>TRANSICAO!$AA$24*CUSTOS!$T$3</f>
        <v>0</v>
      </c>
      <c r="AB24" s="17">
        <f>TRANSICAO!$AB$24*CUSTOS!$T$3</f>
        <v>0</v>
      </c>
      <c r="AC24" s="17">
        <f>TRANSICAO!$AC$24*CUSTOS!$T$3</f>
        <v>169.559</v>
      </c>
      <c r="AD24" s="17">
        <f>TRANSICAO!$AD$24*CUSTOS!$T$3</f>
        <v>0</v>
      </c>
      <c r="AE24" s="17">
        <v>0</v>
      </c>
      <c r="AF24" s="17">
        <v>0</v>
      </c>
      <c r="AG24" s="17"/>
      <c r="AH24" s="17">
        <f>(1 - CUSTOS!$M$27)*19.5186</f>
        <v>19.518599999999999</v>
      </c>
      <c r="AI24" s="17">
        <f>(1 - CUSTOS!$M$27)*19.5186</f>
        <v>19.518599999999999</v>
      </c>
      <c r="AJ24" s="17">
        <f ca="1">$N$64*(1-CUSTOS!$M$27)</f>
        <v>0.71044774478695294</v>
      </c>
      <c r="AK24" s="17">
        <f t="shared" ca="1" si="0"/>
        <v>0.71044774478695294</v>
      </c>
      <c r="AL24" s="17"/>
      <c r="AM24" s="17"/>
      <c r="AP24" s="17">
        <f>IF((1 - CUSTOS!$M$27)&lt;&gt;0,1/(1 - CUSTOS!$M$27),1)</f>
        <v>1</v>
      </c>
    </row>
    <row r="25" spans="1:42" ht="11.25" customHeight="1" x14ac:dyDescent="0.25">
      <c r="A25" s="166"/>
      <c r="B25" s="166" t="s">
        <v>94</v>
      </c>
      <c r="C25" s="166" t="s">
        <v>24</v>
      </c>
      <c r="D25" s="58" t="s">
        <v>24</v>
      </c>
      <c r="E25" s="58" t="s">
        <v>25</v>
      </c>
      <c r="F25" s="58" t="s">
        <v>25</v>
      </c>
      <c r="G25" s="57" t="s">
        <v>82</v>
      </c>
      <c r="H25" s="57" t="s">
        <v>78</v>
      </c>
      <c r="I25" s="57">
        <f>'MERCADO TUSD'!$U$22</f>
        <v>0</v>
      </c>
      <c r="J25" s="16"/>
      <c r="L25" s="17">
        <f>1</f>
        <v>1</v>
      </c>
      <c r="M25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0.87144660127922891</v>
      </c>
      <c r="N25" s="17">
        <f ca="1">(+M25+O25+R25+U25+V25+W25+X25+Y25+Z25+AA25+AC25+AH25+AI25+AJ25+AK25)*CUSTOS!$M$5</f>
        <v>2.5302544209085314</v>
      </c>
      <c r="O25" s="17">
        <v>1</v>
      </c>
      <c r="P25" s="17">
        <v>1</v>
      </c>
      <c r="Q25" s="17">
        <f>1</f>
        <v>1</v>
      </c>
      <c r="R25" s="17">
        <v>1</v>
      </c>
      <c r="S25" s="17">
        <v>1</v>
      </c>
      <c r="T25" s="17"/>
      <c r="U25" s="17">
        <f>TRANSICAO!$U$25*CUSTOS!$T$3</f>
        <v>20.4038</v>
      </c>
      <c r="V25" s="17">
        <f>TRANSICAO!$V$25*CUSTOS!$T$3</f>
        <v>15.167899999999999</v>
      </c>
      <c r="W25" s="17">
        <f>TRANSICAO!$W$25*CUSTOS!$T$3</f>
        <v>4.5651999999999999</v>
      </c>
      <c r="X25" s="17">
        <f>TRANSICAO!$X$25*CUSTOS!$T$3</f>
        <v>0</v>
      </c>
      <c r="Y25" s="17">
        <f>TRANSICAO!$Y$25*CUSTOS!$T$3</f>
        <v>0</v>
      </c>
      <c r="Z25" s="17">
        <f>TRANSICAO!$Z$25*CUSTOS!$T$3</f>
        <v>0</v>
      </c>
      <c r="AA25" s="17">
        <f>TRANSICAO!$AA$25*CUSTOS!$T$3</f>
        <v>0</v>
      </c>
      <c r="AB25" s="17">
        <f>TRANSICAO!$AB$25*CUSTOS!$T$3</f>
        <v>0</v>
      </c>
      <c r="AC25" s="17">
        <f>TRANSICAO!$AC$25*CUSTOS!$T$3</f>
        <v>169.559</v>
      </c>
      <c r="AD25" s="17">
        <f>TRANSICAO!$AD$25*CUSTOS!$T$3</f>
        <v>0</v>
      </c>
      <c r="AE25" s="17">
        <v>0</v>
      </c>
      <c r="AF25" s="17">
        <v>0</v>
      </c>
      <c r="AG25" s="17"/>
      <c r="AH25" s="17">
        <v>19.518599999999999</v>
      </c>
      <c r="AI25" s="17">
        <v>19.518599999999999</v>
      </c>
      <c r="AJ25" s="17">
        <f ca="1">$N$64</f>
        <v>0.71044774478695294</v>
      </c>
      <c r="AK25" s="17">
        <f t="shared" ca="1" si="0"/>
        <v>0.71044774478695294</v>
      </c>
      <c r="AL25" s="17"/>
      <c r="AM25" s="17"/>
      <c r="AP25" s="17">
        <v>1</v>
      </c>
    </row>
    <row r="26" spans="1:42" ht="11.25" customHeight="1" x14ac:dyDescent="0.25">
      <c r="A26" s="166"/>
      <c r="B26" s="166"/>
      <c r="C26" s="166"/>
      <c r="D26" s="58" t="s">
        <v>28</v>
      </c>
      <c r="E26" s="58" t="s">
        <v>25</v>
      </c>
      <c r="F26" s="58" t="s">
        <v>25</v>
      </c>
      <c r="G26" s="57" t="s">
        <v>82</v>
      </c>
      <c r="H26" s="57" t="s">
        <v>78</v>
      </c>
      <c r="I26" s="57">
        <f>'MERCADO TUSD'!$U$23</f>
        <v>0</v>
      </c>
      <c r="J26" s="16"/>
      <c r="L26" s="17">
        <v>0</v>
      </c>
      <c r="M26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0.87144660127922891</v>
      </c>
      <c r="N26" s="17">
        <f ca="1">(+M26+O26+R26+U26+V26+W26+X26+Y26+Z26+AA26+AC26+AH26+AI26+AJ26+AK26)*CUSTOS!$M$5</f>
        <v>2.5202544209085311</v>
      </c>
      <c r="O26" s="17">
        <f>1 - CUSTOS!$M$24</f>
        <v>1</v>
      </c>
      <c r="P26" s="17">
        <v>0</v>
      </c>
      <c r="Q26" s="17">
        <v>0</v>
      </c>
      <c r="R26" s="17">
        <v>0</v>
      </c>
      <c r="S26" s="17">
        <f>1 - CUSTOS!$M$24</f>
        <v>1</v>
      </c>
      <c r="T26" s="17"/>
      <c r="U26" s="17">
        <f>TRANSICAO!$U$26*CUSTOS!$T$3</f>
        <v>20.4038</v>
      </c>
      <c r="V26" s="17">
        <f>TRANSICAO!$V$26*CUSTOS!$T$3</f>
        <v>15.167899999999999</v>
      </c>
      <c r="W26" s="17">
        <f>TRANSICAO!$W$26*CUSTOS!$T$3</f>
        <v>4.5651999999999999</v>
      </c>
      <c r="X26" s="17">
        <f>TRANSICAO!$X$26*CUSTOS!$T$3</f>
        <v>0</v>
      </c>
      <c r="Y26" s="17">
        <f>TRANSICAO!$Y$26*CUSTOS!$T$3</f>
        <v>0</v>
      </c>
      <c r="Z26" s="17">
        <f>TRANSICAO!$Z$26*CUSTOS!$T$3</f>
        <v>0</v>
      </c>
      <c r="AA26" s="17">
        <f>TRANSICAO!$AA$26*CUSTOS!$T$3</f>
        <v>0</v>
      </c>
      <c r="AB26" s="17">
        <f>TRANSICAO!$AB$26*CUSTOS!$T$3</f>
        <v>0</v>
      </c>
      <c r="AC26" s="17">
        <f>TRANSICAO!$AC$26*CUSTOS!$T$3</f>
        <v>169.559</v>
      </c>
      <c r="AD26" s="17">
        <f>TRANSICAO!$AD$26*CUSTOS!$T$3</f>
        <v>0</v>
      </c>
      <c r="AE26" s="17">
        <v>0</v>
      </c>
      <c r="AF26" s="17">
        <v>0</v>
      </c>
      <c r="AG26" s="17"/>
      <c r="AH26" s="17">
        <f>(1 - CUSTOS!$M$24)*19.5186</f>
        <v>19.518599999999999</v>
      </c>
      <c r="AI26" s="17">
        <f>(1 - CUSTOS!$M$24)*19.5186</f>
        <v>19.518599999999999</v>
      </c>
      <c r="AJ26" s="17">
        <f ca="1">$N$64*(1-CUSTOS!$M$24)</f>
        <v>0.71044774478695294</v>
      </c>
      <c r="AK26" s="17">
        <f t="shared" ca="1" si="0"/>
        <v>0.71044774478695294</v>
      </c>
      <c r="AL26" s="17"/>
      <c r="AM26" s="17"/>
      <c r="AP26" s="17">
        <f>IF((1 - CUSTOS!$M$24)&lt;&gt;0,1/(1 - CUSTOS!$M$24),1)</f>
        <v>1</v>
      </c>
    </row>
    <row r="27" spans="1:42" ht="11.25" customHeight="1" x14ac:dyDescent="0.25">
      <c r="A27" s="166"/>
      <c r="B27" s="166"/>
      <c r="C27" s="166"/>
      <c r="D27" s="58" t="s">
        <v>29</v>
      </c>
      <c r="E27" s="58" t="s">
        <v>25</v>
      </c>
      <c r="F27" s="58" t="s">
        <v>25</v>
      </c>
      <c r="G27" s="57" t="s">
        <v>82</v>
      </c>
      <c r="H27" s="57" t="s">
        <v>78</v>
      </c>
      <c r="I27" s="57">
        <f>'MERCADO TUSD'!$U$24</f>
        <v>0</v>
      </c>
      <c r="J27" s="16"/>
      <c r="L27" s="17">
        <v>0</v>
      </c>
      <c r="M27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0.87144660127922891</v>
      </c>
      <c r="N27" s="17">
        <f ca="1">(+M27+O27+R27+U27+V27+W27+X27+Y27+Z27+AA27+AC27+AH27+AI27+AJ27+AK27)*CUSTOS!$M$5</f>
        <v>2.5202544209085311</v>
      </c>
      <c r="O27" s="17">
        <f>1 - CUSTOS!$M$25</f>
        <v>1</v>
      </c>
      <c r="P27" s="17">
        <v>0</v>
      </c>
      <c r="Q27" s="17">
        <v>0</v>
      </c>
      <c r="R27" s="17">
        <v>0</v>
      </c>
      <c r="S27" s="17">
        <f>1 - CUSTOS!$M$25</f>
        <v>1</v>
      </c>
      <c r="T27" s="17"/>
      <c r="U27" s="17">
        <f>TRANSICAO!$U$27*CUSTOS!$T$3</f>
        <v>20.4038</v>
      </c>
      <c r="V27" s="17">
        <f>TRANSICAO!$V$27*CUSTOS!$T$3</f>
        <v>15.167899999999999</v>
      </c>
      <c r="W27" s="17">
        <f>TRANSICAO!$W$27*CUSTOS!$T$3</f>
        <v>4.5651999999999999</v>
      </c>
      <c r="X27" s="17">
        <f>TRANSICAO!$X$27*CUSTOS!$T$3</f>
        <v>0</v>
      </c>
      <c r="Y27" s="17">
        <f>TRANSICAO!$Y$27*CUSTOS!$T$3</f>
        <v>0</v>
      </c>
      <c r="Z27" s="17">
        <f>TRANSICAO!$Z$27*CUSTOS!$T$3</f>
        <v>0</v>
      </c>
      <c r="AA27" s="17">
        <f>TRANSICAO!$AA$27*CUSTOS!$T$3</f>
        <v>0</v>
      </c>
      <c r="AB27" s="17">
        <f>TRANSICAO!$AB$27*CUSTOS!$T$3</f>
        <v>0</v>
      </c>
      <c r="AC27" s="17">
        <f>TRANSICAO!$AC$27*CUSTOS!$T$3</f>
        <v>169.559</v>
      </c>
      <c r="AD27" s="17">
        <f>TRANSICAO!$AD$27*CUSTOS!$T$3</f>
        <v>0</v>
      </c>
      <c r="AE27" s="17">
        <v>0</v>
      </c>
      <c r="AF27" s="17">
        <v>0</v>
      </c>
      <c r="AG27" s="17"/>
      <c r="AH27" s="17">
        <f>(1 - CUSTOS!$M$25)*19.5186</f>
        <v>19.518599999999999</v>
      </c>
      <c r="AI27" s="17">
        <f>(1 - CUSTOS!$M$25)*19.5186</f>
        <v>19.518599999999999</v>
      </c>
      <c r="AJ27" s="17">
        <f ca="1">$N$64*(1-CUSTOS!$M$25)</f>
        <v>0.71044774478695294</v>
      </c>
      <c r="AK27" s="17">
        <f t="shared" ca="1" si="0"/>
        <v>0.71044774478695294</v>
      </c>
      <c r="AL27" s="17"/>
      <c r="AM27" s="17"/>
      <c r="AP27" s="17">
        <f>IF((1 - CUSTOS!$M$25)&lt;&gt;0,1/(1 - CUSTOS!$M$25),1)</f>
        <v>1</v>
      </c>
    </row>
    <row r="28" spans="1:42" ht="11.25" customHeight="1" x14ac:dyDescent="0.25">
      <c r="A28" s="166"/>
      <c r="B28" s="166"/>
      <c r="C28" s="166"/>
      <c r="D28" s="58" t="s">
        <v>30</v>
      </c>
      <c r="E28" s="58" t="s">
        <v>25</v>
      </c>
      <c r="F28" s="58" t="s">
        <v>25</v>
      </c>
      <c r="G28" s="57" t="s">
        <v>82</v>
      </c>
      <c r="H28" s="57" t="s">
        <v>78</v>
      </c>
      <c r="I28" s="57">
        <f>'MERCADO TUSD'!$U$25</f>
        <v>0</v>
      </c>
      <c r="J28" s="16"/>
      <c r="L28" s="17">
        <v>0</v>
      </c>
      <c r="M28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0.87144660127922891</v>
      </c>
      <c r="N28" s="17">
        <f ca="1">(+M28+O28+R28+U28+V28+W28+X28+Y28+Z28+AA28+AC28+AH28+AI28+AJ28+AK28)*CUSTOS!$M$5</f>
        <v>2.5202544209085311</v>
      </c>
      <c r="O28" s="17">
        <f>1 - CUSTOS!$M$26</f>
        <v>1</v>
      </c>
      <c r="P28" s="17">
        <v>0</v>
      </c>
      <c r="Q28" s="17">
        <v>0</v>
      </c>
      <c r="R28" s="17">
        <v>0</v>
      </c>
      <c r="S28" s="17">
        <f>1 - CUSTOS!$M$26</f>
        <v>1</v>
      </c>
      <c r="T28" s="17"/>
      <c r="U28" s="17">
        <f>TRANSICAO!$U$28*CUSTOS!$T$3</f>
        <v>20.4038</v>
      </c>
      <c r="V28" s="17">
        <f>TRANSICAO!$V$28*CUSTOS!$T$3</f>
        <v>15.167899999999999</v>
      </c>
      <c r="W28" s="17">
        <f>TRANSICAO!$W$28*CUSTOS!$T$3</f>
        <v>4.5651999999999999</v>
      </c>
      <c r="X28" s="17">
        <f>TRANSICAO!$X$28*CUSTOS!$T$3</f>
        <v>0</v>
      </c>
      <c r="Y28" s="17">
        <f>TRANSICAO!$Y$28*CUSTOS!$T$3</f>
        <v>0</v>
      </c>
      <c r="Z28" s="17">
        <f>TRANSICAO!$Z$28*CUSTOS!$T$3</f>
        <v>0</v>
      </c>
      <c r="AA28" s="17">
        <f>TRANSICAO!$AA$28*CUSTOS!$T$3</f>
        <v>0</v>
      </c>
      <c r="AB28" s="17">
        <f>TRANSICAO!$AB$28*CUSTOS!$T$3</f>
        <v>0</v>
      </c>
      <c r="AC28" s="17">
        <f>TRANSICAO!$AC$28*CUSTOS!$T$3</f>
        <v>169.559</v>
      </c>
      <c r="AD28" s="17">
        <f>TRANSICAO!$AD$28*CUSTOS!$T$3</f>
        <v>0</v>
      </c>
      <c r="AE28" s="17">
        <v>0</v>
      </c>
      <c r="AF28" s="17">
        <v>0</v>
      </c>
      <c r="AG28" s="17"/>
      <c r="AH28" s="17">
        <f>(1 - CUSTOS!$M$26)*19.5186</f>
        <v>19.518599999999999</v>
      </c>
      <c r="AI28" s="17">
        <f>(1 - CUSTOS!$M$26)*19.5186</f>
        <v>19.518599999999999</v>
      </c>
      <c r="AJ28" s="17">
        <f ca="1">$N$64*(1-CUSTOS!$M$26)</f>
        <v>0.71044774478695294</v>
      </c>
      <c r="AK28" s="17">
        <f t="shared" ca="1" si="0"/>
        <v>0.71044774478695294</v>
      </c>
      <c r="AL28" s="17"/>
      <c r="AM28" s="17"/>
      <c r="AP28" s="17">
        <f>IF((1 - CUSTOS!$M$26)&lt;&gt;0,1/(1 - CUSTOS!$M$26),1)</f>
        <v>1</v>
      </c>
    </row>
    <row r="29" spans="1:42" ht="11.25" customHeight="1" x14ac:dyDescent="0.25">
      <c r="A29" s="166"/>
      <c r="B29" s="166"/>
      <c r="C29" s="166"/>
      <c r="D29" s="58" t="s">
        <v>31</v>
      </c>
      <c r="E29" s="58" t="s">
        <v>25</v>
      </c>
      <c r="F29" s="58" t="s">
        <v>25</v>
      </c>
      <c r="G29" s="57" t="s">
        <v>82</v>
      </c>
      <c r="H29" s="57" t="s">
        <v>78</v>
      </c>
      <c r="I29" s="57">
        <f>'MERCADO TUSD'!$U$26</f>
        <v>0</v>
      </c>
      <c r="J29" s="16"/>
      <c r="L29" s="17">
        <v>0</v>
      </c>
      <c r="M29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0.87144660127922891</v>
      </c>
      <c r="N29" s="17">
        <f ca="1">(+M29+O29+R29+U29+V29+W29+X29+Y29+Z29+AA29+AC29+AH29+AI29+AJ29+AK29)*CUSTOS!$M$5</f>
        <v>2.5202544209085311</v>
      </c>
      <c r="O29" s="17">
        <f>1 - CUSTOS!$M$27</f>
        <v>1</v>
      </c>
      <c r="P29" s="17">
        <v>0</v>
      </c>
      <c r="Q29" s="17">
        <v>0</v>
      </c>
      <c r="R29" s="17">
        <v>0</v>
      </c>
      <c r="S29" s="17">
        <f>1 - CUSTOS!$M$27</f>
        <v>1</v>
      </c>
      <c r="T29" s="17"/>
      <c r="U29" s="17">
        <f>TRANSICAO!$U$29*CUSTOS!$T$3</f>
        <v>20.4038</v>
      </c>
      <c r="V29" s="17">
        <f>TRANSICAO!$V$29*CUSTOS!$T$3</f>
        <v>15.167899999999999</v>
      </c>
      <c r="W29" s="17">
        <f>TRANSICAO!$W$29*CUSTOS!$T$3</f>
        <v>4.5651999999999999</v>
      </c>
      <c r="X29" s="17">
        <f>TRANSICAO!$X$29*CUSTOS!$T$3</f>
        <v>0</v>
      </c>
      <c r="Y29" s="17">
        <f>TRANSICAO!$Y$29*CUSTOS!$T$3</f>
        <v>0</v>
      </c>
      <c r="Z29" s="17">
        <f>TRANSICAO!$Z$29*CUSTOS!$T$3</f>
        <v>0</v>
      </c>
      <c r="AA29" s="17">
        <f>TRANSICAO!$AA$29*CUSTOS!$T$3</f>
        <v>0</v>
      </c>
      <c r="AB29" s="17">
        <f>TRANSICAO!$AB$29*CUSTOS!$T$3</f>
        <v>0</v>
      </c>
      <c r="AC29" s="17">
        <f>TRANSICAO!$AC$29*CUSTOS!$T$3</f>
        <v>169.559</v>
      </c>
      <c r="AD29" s="17">
        <f>TRANSICAO!$AD$29*CUSTOS!$T$3</f>
        <v>0</v>
      </c>
      <c r="AE29" s="17">
        <v>0</v>
      </c>
      <c r="AF29" s="17">
        <v>0</v>
      </c>
      <c r="AG29" s="17"/>
      <c r="AH29" s="17">
        <f>(1 - CUSTOS!$M$27)*19.5186</f>
        <v>19.518599999999999</v>
      </c>
      <c r="AI29" s="17">
        <f>(1 - CUSTOS!$M$27)*19.5186</f>
        <v>19.518599999999999</v>
      </c>
      <c r="AJ29" s="17">
        <f ca="1">$N$64*(1-CUSTOS!$M$27)</f>
        <v>0.71044774478695294</v>
      </c>
      <c r="AK29" s="17">
        <f t="shared" ca="1" si="0"/>
        <v>0.71044774478695294</v>
      </c>
      <c r="AL29" s="17"/>
      <c r="AM29" s="17"/>
      <c r="AP29" s="17">
        <f>IF((1 - CUSTOS!$M$27)&lt;&gt;0,1/(1 - CUSTOS!$M$27),1)</f>
        <v>1</v>
      </c>
    </row>
    <row r="30" spans="1:42" ht="11.25" customHeight="1" x14ac:dyDescent="0.25">
      <c r="A30" s="166" t="s">
        <v>42</v>
      </c>
      <c r="B30" s="166" t="s">
        <v>32</v>
      </c>
      <c r="C30" s="166" t="s">
        <v>43</v>
      </c>
      <c r="D30" s="166" t="s">
        <v>25</v>
      </c>
      <c r="E30" s="166" t="s">
        <v>25</v>
      </c>
      <c r="F30" s="166" t="s">
        <v>25</v>
      </c>
      <c r="G30" s="57" t="s">
        <v>79</v>
      </c>
      <c r="H30" s="57" t="s">
        <v>78</v>
      </c>
      <c r="I30" s="57">
        <f>'MERCADO TUSD'!$U$27</f>
        <v>0</v>
      </c>
      <c r="J30" s="16"/>
      <c r="L30" s="17">
        <f>1*(1 - CUSTOS!$M$28)</f>
        <v>1</v>
      </c>
      <c r="M30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0.87144660127922891</v>
      </c>
      <c r="N30" s="17">
        <f ca="1">(+M30+O30+R30+U30+V30+W30+X30+Y30+Z30+AA30+AC30+AH30+AI30+AJ30+AK30)*CUSTOS!$M$5</f>
        <v>7.3532604209085308</v>
      </c>
      <c r="O30" s="17">
        <f>1 - CUSTOS!$M$28</f>
        <v>1</v>
      </c>
      <c r="P30" s="17">
        <f>1 - CUSTOS!$M$28</f>
        <v>1</v>
      </c>
      <c r="Q30" s="17">
        <f>1*(1 - CUSTOS!$M$28)</f>
        <v>1</v>
      </c>
      <c r="R30" s="17">
        <f>1 - CUSTOS!$M$28</f>
        <v>1</v>
      </c>
      <c r="S30" s="17">
        <f>1 - CUSTOS!$M$28</f>
        <v>1</v>
      </c>
      <c r="T30" s="17"/>
      <c r="U30" s="17">
        <f>TRANSICAO!$U$30*CUSTOS!$T$3</f>
        <v>67.332700000000003</v>
      </c>
      <c r="V30" s="17">
        <f>TRANSICAO!$V$30*CUSTOS!$T$3</f>
        <v>50.054099999999998</v>
      </c>
      <c r="W30" s="17">
        <f>TRANSICAO!$W$30*CUSTOS!$T$3</f>
        <v>15.065099999999999</v>
      </c>
      <c r="X30" s="17">
        <f>TRANSICAO!$X$30*CUSTOS!$T$3</f>
        <v>0</v>
      </c>
      <c r="Y30" s="17">
        <f>TRANSICAO!$Y$30*CUSTOS!$T$3</f>
        <v>0</v>
      </c>
      <c r="Z30" s="17">
        <f>TRANSICAO!$Z$30*CUSTOS!$T$3</f>
        <v>0</v>
      </c>
      <c r="AA30" s="17">
        <f>TRANSICAO!$AA$30*CUSTOS!$T$3</f>
        <v>0</v>
      </c>
      <c r="AB30" s="17">
        <f>TRANSICAO!$AB$30*CUSTOS!$T$3</f>
        <v>0</v>
      </c>
      <c r="AC30" s="17">
        <f>TRANSICAO!$AC$30*CUSTOS!$T$3</f>
        <v>559.54459999999995</v>
      </c>
      <c r="AD30" s="17">
        <f>TRANSICAO!$AD$30*CUSTOS!$T$3</f>
        <v>0</v>
      </c>
      <c r="AE30" s="17">
        <v>0</v>
      </c>
      <c r="AF30" s="17">
        <v>0</v>
      </c>
      <c r="AG30" s="17"/>
      <c r="AH30" s="17">
        <f>(1 - CUSTOS!$M$28)*19.5186</f>
        <v>19.518599999999999</v>
      </c>
      <c r="AI30" s="17">
        <f>(1 - CUSTOS!$M$28)*19.5186</f>
        <v>19.518599999999999</v>
      </c>
      <c r="AJ30" s="17">
        <f ca="1">$N$64*(1-CUSTOS!$M$28)</f>
        <v>0.71044774478695294</v>
      </c>
      <c r="AK30" s="17">
        <f t="shared" ca="1" si="0"/>
        <v>0.71044774478695294</v>
      </c>
      <c r="AL30" s="17"/>
      <c r="AM30" s="17"/>
      <c r="AP30" s="17">
        <f>IF((1 - CUSTOS!$M$28)&lt;&gt;0,1/(1 - CUSTOS!$M$28),1)</f>
        <v>1</v>
      </c>
    </row>
    <row r="31" spans="1:42" ht="11.25" customHeight="1" x14ac:dyDescent="0.25">
      <c r="A31" s="166"/>
      <c r="B31" s="166"/>
      <c r="C31" s="166"/>
      <c r="D31" s="166"/>
      <c r="E31" s="166"/>
      <c r="F31" s="166"/>
      <c r="G31" s="57" t="s">
        <v>92</v>
      </c>
      <c r="H31" s="57" t="s">
        <v>78</v>
      </c>
      <c r="I31" s="57">
        <f>'MERCADO TUSD'!$U$28</f>
        <v>0</v>
      </c>
      <c r="J31" s="16"/>
      <c r="L31" s="17">
        <f>1*(1 - CUSTOS!$M$28)</f>
        <v>1</v>
      </c>
      <c r="M31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0.87144660127922891</v>
      </c>
      <c r="N31" s="17">
        <f ca="1">(+M31+O31+R31+U31+V31+W31+X31+Y31+Z31+AA31+AC31+AH31+AI31+AJ31+AK31)*CUSTOS!$M$5</f>
        <v>3.2012814209085314</v>
      </c>
      <c r="O31" s="17">
        <f>1 - CUSTOS!$M$28</f>
        <v>1</v>
      </c>
      <c r="P31" s="17">
        <f>1 - CUSTOS!$M$28</f>
        <v>1</v>
      </c>
      <c r="Q31" s="17">
        <f>1*(1 - CUSTOS!$M$28)</f>
        <v>1</v>
      </c>
      <c r="R31" s="17">
        <f>1 - CUSTOS!$M$28</f>
        <v>1</v>
      </c>
      <c r="S31" s="17">
        <f>1 - CUSTOS!$M$28</f>
        <v>1</v>
      </c>
      <c r="T31" s="17"/>
      <c r="U31" s="17">
        <f>TRANSICAO!$U$31*CUSTOS!$T$3</f>
        <v>26.9331</v>
      </c>
      <c r="V31" s="17">
        <f>TRANSICAO!$V$31*CUSTOS!$T$3</f>
        <v>20.021599999999999</v>
      </c>
      <c r="W31" s="17">
        <f>TRANSICAO!$W$31*CUSTOS!$T$3</f>
        <v>6.0260999999999996</v>
      </c>
      <c r="X31" s="17">
        <f>TRANSICAO!$X$31*CUSTOS!$T$3</f>
        <v>0</v>
      </c>
      <c r="Y31" s="17">
        <f>TRANSICAO!$Y$31*CUSTOS!$T$3</f>
        <v>0</v>
      </c>
      <c r="Z31" s="17">
        <f>TRANSICAO!$Z$31*CUSTOS!$T$3</f>
        <v>0</v>
      </c>
      <c r="AA31" s="17">
        <f>TRANSICAO!$AA$31*CUSTOS!$T$3</f>
        <v>0</v>
      </c>
      <c r="AB31" s="17">
        <f>TRANSICAO!$AB$31*CUSTOS!$T$3</f>
        <v>0</v>
      </c>
      <c r="AC31" s="17">
        <f>TRANSICAO!$AC$31*CUSTOS!$T$3</f>
        <v>223.81780000000001</v>
      </c>
      <c r="AD31" s="17">
        <f>TRANSICAO!$AD$31*CUSTOS!$T$3</f>
        <v>0</v>
      </c>
      <c r="AE31" s="17">
        <v>0</v>
      </c>
      <c r="AF31" s="17">
        <v>0</v>
      </c>
      <c r="AG31" s="17"/>
      <c r="AH31" s="17">
        <f>(1 - CUSTOS!$M$28)*19.5186</f>
        <v>19.518599999999999</v>
      </c>
      <c r="AI31" s="17">
        <f>(1 - CUSTOS!$M$28)*19.5186</f>
        <v>19.518599999999999</v>
      </c>
      <c r="AJ31" s="17">
        <f ca="1">$N$64*(1-CUSTOS!$M$28)</f>
        <v>0.71044774478695294</v>
      </c>
      <c r="AK31" s="17">
        <f t="shared" ca="1" si="0"/>
        <v>0.71044774478695294</v>
      </c>
      <c r="AL31" s="17"/>
      <c r="AM31" s="17"/>
      <c r="AP31" s="17">
        <f>IF((1 - CUSTOS!$M$28)&lt;&gt;0,1/(1 - CUSTOS!$M$28),1)</f>
        <v>1</v>
      </c>
    </row>
    <row r="32" spans="1:42" ht="11.25" customHeight="1" x14ac:dyDescent="0.25">
      <c r="A32" s="166"/>
      <c r="B32" s="166"/>
      <c r="C32" s="166"/>
      <c r="D32" s="166"/>
      <c r="E32" s="166"/>
      <c r="F32" s="166"/>
      <c r="G32" s="57" t="s">
        <v>80</v>
      </c>
      <c r="H32" s="57" t="s">
        <v>78</v>
      </c>
      <c r="I32" s="57">
        <f>'MERCADO TUSD'!$U$29</f>
        <v>0</v>
      </c>
      <c r="J32" s="16"/>
      <c r="L32" s="17">
        <f>1*(1 - CUSTOS!$M$28)</f>
        <v>1</v>
      </c>
      <c r="M32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0.87144660127922891</v>
      </c>
      <c r="N32" s="17">
        <f ca="1">(+M32+O32+R32+U32+V32+W32+X32+Y32+Z32+AA32+AC32+AH32+AI32+AJ32+AK32)*CUSTOS!$M$5</f>
        <v>1.8172874209085315</v>
      </c>
      <c r="O32" s="17">
        <f>1 - CUSTOS!$M$28</f>
        <v>1</v>
      </c>
      <c r="P32" s="17">
        <f>1 - CUSTOS!$M$28</f>
        <v>1</v>
      </c>
      <c r="Q32" s="17">
        <f>1*(1 - CUSTOS!$M$28)</f>
        <v>1</v>
      </c>
      <c r="R32" s="17">
        <f>1 - CUSTOS!$M$28</f>
        <v>1</v>
      </c>
      <c r="S32" s="17">
        <f>1 - CUSTOS!$M$28</f>
        <v>1</v>
      </c>
      <c r="T32" s="17"/>
      <c r="U32" s="17">
        <f>TRANSICAO!$U$32*CUSTOS!$T$3</f>
        <v>13.4665</v>
      </c>
      <c r="V32" s="17">
        <f>TRANSICAO!$V$32*CUSTOS!$T$3</f>
        <v>10.0108</v>
      </c>
      <c r="W32" s="17">
        <f>TRANSICAO!$W$32*CUSTOS!$T$3</f>
        <v>3.0129999999999999</v>
      </c>
      <c r="X32" s="17">
        <f>TRANSICAO!$X$32*CUSTOS!$T$3</f>
        <v>0</v>
      </c>
      <c r="Y32" s="17">
        <f>TRANSICAO!$Y$32*CUSTOS!$T$3</f>
        <v>0</v>
      </c>
      <c r="Z32" s="17">
        <f>TRANSICAO!$Z$32*CUSTOS!$T$3</f>
        <v>0</v>
      </c>
      <c r="AA32" s="17">
        <f>TRANSICAO!$AA$32*CUSTOS!$T$3</f>
        <v>0</v>
      </c>
      <c r="AB32" s="17">
        <f>TRANSICAO!$AB$32*CUSTOS!$T$3</f>
        <v>0</v>
      </c>
      <c r="AC32" s="17">
        <f>TRANSICAO!$AC$32*CUSTOS!$T$3</f>
        <v>111.9089</v>
      </c>
      <c r="AD32" s="17">
        <f>TRANSICAO!$AD$32*CUSTOS!$T$3</f>
        <v>0</v>
      </c>
      <c r="AE32" s="17">
        <v>0</v>
      </c>
      <c r="AF32" s="17">
        <v>0</v>
      </c>
      <c r="AG32" s="17"/>
      <c r="AH32" s="17">
        <f>(1 - CUSTOS!$M$28)*19.5186</f>
        <v>19.518599999999999</v>
      </c>
      <c r="AI32" s="17">
        <f>(1 - CUSTOS!$M$28)*19.5186</f>
        <v>19.518599999999999</v>
      </c>
      <c r="AJ32" s="17">
        <f ca="1">$N$64*(1-CUSTOS!$M$28)</f>
        <v>0.71044774478695294</v>
      </c>
      <c r="AK32" s="17">
        <f t="shared" ca="1" si="0"/>
        <v>0.71044774478695294</v>
      </c>
      <c r="AL32" s="17"/>
      <c r="AM32" s="17"/>
      <c r="AP32" s="17">
        <f>IF((1 - CUSTOS!$M$28)&lt;&gt;0,1/(1 - CUSTOS!$M$28),1)</f>
        <v>1</v>
      </c>
    </row>
    <row r="33" spans="1:42" ht="11.25" customHeight="1" x14ac:dyDescent="0.25">
      <c r="A33" s="166"/>
      <c r="B33" s="58" t="s">
        <v>23</v>
      </c>
      <c r="C33" s="58" t="s">
        <v>43</v>
      </c>
      <c r="D33" s="58" t="s">
        <v>25</v>
      </c>
      <c r="E33" s="58" t="s">
        <v>25</v>
      </c>
      <c r="F33" s="58" t="s">
        <v>25</v>
      </c>
      <c r="G33" s="57" t="s">
        <v>82</v>
      </c>
      <c r="H33" s="57" t="s">
        <v>78</v>
      </c>
      <c r="I33" s="57">
        <f>'MERCADO TUSD'!$U$30</f>
        <v>1694.7730000000001</v>
      </c>
      <c r="J33" s="16"/>
      <c r="L33" s="17">
        <f>1*(1 - CUSTOS!$M$28)</f>
        <v>1</v>
      </c>
      <c r="M33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0.87144660127922891</v>
      </c>
      <c r="N33" s="17">
        <f ca="1">(+M33+O33+R33+U33+V33+W33+X33+Y33+Z33+AA33+AC33+AH33+AI33+AJ33+AK33)*CUSTOS!$M$5</f>
        <v>2.5302544209085314</v>
      </c>
      <c r="O33" s="17">
        <f>1 - CUSTOS!$M$28</f>
        <v>1</v>
      </c>
      <c r="P33" s="17">
        <f>1 - CUSTOS!$M$28</f>
        <v>1</v>
      </c>
      <c r="Q33" s="17">
        <f>1*(1 - CUSTOS!$M$28)</f>
        <v>1</v>
      </c>
      <c r="R33" s="17">
        <f>1 - CUSTOS!$M$28</f>
        <v>1</v>
      </c>
      <c r="S33" s="17">
        <f>1 - CUSTOS!$M$28</f>
        <v>1</v>
      </c>
      <c r="T33" s="17"/>
      <c r="U33" s="17">
        <f>TRANSICAO!$U$33*CUSTOS!$T$3</f>
        <v>20.4038</v>
      </c>
      <c r="V33" s="17">
        <f>TRANSICAO!$V$33*CUSTOS!$T$3</f>
        <v>15.167899999999999</v>
      </c>
      <c r="W33" s="17">
        <f>TRANSICAO!$W$33*CUSTOS!$T$3</f>
        <v>4.5651999999999999</v>
      </c>
      <c r="X33" s="17">
        <f>TRANSICAO!$X$33*CUSTOS!$T$3</f>
        <v>0</v>
      </c>
      <c r="Y33" s="17">
        <f>TRANSICAO!$Y$33*CUSTOS!$T$3</f>
        <v>0</v>
      </c>
      <c r="Z33" s="17">
        <f>TRANSICAO!$Z$33*CUSTOS!$T$3</f>
        <v>0</v>
      </c>
      <c r="AA33" s="17">
        <f>TRANSICAO!$AA$33*CUSTOS!$T$3</f>
        <v>0</v>
      </c>
      <c r="AB33" s="17">
        <f>TRANSICAO!$AB$33*CUSTOS!$T$3</f>
        <v>0</v>
      </c>
      <c r="AC33" s="17">
        <f>TRANSICAO!$AC$33*CUSTOS!$T$3</f>
        <v>169.559</v>
      </c>
      <c r="AD33" s="17">
        <f>TRANSICAO!$AD$33*CUSTOS!$T$3</f>
        <v>0</v>
      </c>
      <c r="AE33" s="17">
        <v>0</v>
      </c>
      <c r="AF33" s="17">
        <v>0</v>
      </c>
      <c r="AG33" s="17"/>
      <c r="AH33" s="17">
        <f>(1 - CUSTOS!$M$28)*19.5186</f>
        <v>19.518599999999999</v>
      </c>
      <c r="AI33" s="17">
        <f>(1 - CUSTOS!$M$28)*19.5186</f>
        <v>19.518599999999999</v>
      </c>
      <c r="AJ33" s="17">
        <f ca="1">$N$64*(1-CUSTOS!$M$28)</f>
        <v>0.71044774478695294</v>
      </c>
      <c r="AK33" s="17">
        <f t="shared" ca="1" si="0"/>
        <v>0.71044774478695294</v>
      </c>
      <c r="AL33" s="17"/>
      <c r="AM33" s="17"/>
      <c r="AP33" s="17">
        <f>IF((1 - CUSTOS!$M$28)&lt;&gt;0,1/(1 - CUSTOS!$M$28),1)</f>
        <v>1</v>
      </c>
    </row>
    <row r="34" spans="1:42" ht="11.25" customHeight="1" x14ac:dyDescent="0.25">
      <c r="A34" s="166"/>
      <c r="B34" s="166" t="s">
        <v>32</v>
      </c>
      <c r="C34" s="166" t="s">
        <v>43</v>
      </c>
      <c r="D34" s="166" t="s">
        <v>95</v>
      </c>
      <c r="E34" s="166" t="s">
        <v>25</v>
      </c>
      <c r="F34" s="166" t="s">
        <v>25</v>
      </c>
      <c r="G34" s="57" t="s">
        <v>79</v>
      </c>
      <c r="H34" s="57" t="s">
        <v>78</v>
      </c>
      <c r="I34" s="57">
        <f>'MERCADO TUSD'!$U$31</f>
        <v>0</v>
      </c>
      <c r="J34" s="16"/>
      <c r="L34" s="17">
        <f>1*(1 - CUSTOS!$M$29)</f>
        <v>1</v>
      </c>
      <c r="M34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0.87144660127922891</v>
      </c>
      <c r="N34" s="17">
        <f ca="1">(+M34+O34+R34+U34+V34+W34+X34+Y34+Z34+AA34+AC34+AH34+AI34+AJ34+AK34)*CUSTOS!$M$5</f>
        <v>7.3532604209085308</v>
      </c>
      <c r="O34" s="17">
        <f>1 - CUSTOS!$M$29</f>
        <v>1</v>
      </c>
      <c r="P34" s="17">
        <f>1 - CUSTOS!$M$29</f>
        <v>1</v>
      </c>
      <c r="Q34" s="17">
        <f>1*(1 - CUSTOS!$M$29)</f>
        <v>1</v>
      </c>
      <c r="R34" s="17">
        <f>1 - CUSTOS!$M$29</f>
        <v>1</v>
      </c>
      <c r="S34" s="17">
        <f>1 - CUSTOS!$M$29</f>
        <v>1</v>
      </c>
      <c r="T34" s="17"/>
      <c r="U34" s="17">
        <f>TRANSICAO!$U$34*CUSTOS!$T$3</f>
        <v>67.332700000000003</v>
      </c>
      <c r="V34" s="17">
        <f>TRANSICAO!$V$34*CUSTOS!$T$3</f>
        <v>50.054099999999998</v>
      </c>
      <c r="W34" s="17">
        <f>TRANSICAO!$W$34*CUSTOS!$T$3</f>
        <v>15.065099999999999</v>
      </c>
      <c r="X34" s="17">
        <f>TRANSICAO!$X$34*CUSTOS!$T$3</f>
        <v>0</v>
      </c>
      <c r="Y34" s="17">
        <f>TRANSICAO!$Y$34*CUSTOS!$T$3</f>
        <v>0</v>
      </c>
      <c r="Z34" s="17">
        <f>TRANSICAO!$Z$34*CUSTOS!$T$3</f>
        <v>0</v>
      </c>
      <c r="AA34" s="17">
        <f>TRANSICAO!$AA$34*CUSTOS!$T$3</f>
        <v>0</v>
      </c>
      <c r="AB34" s="17">
        <f>TRANSICAO!$AB$34*CUSTOS!$T$3</f>
        <v>0</v>
      </c>
      <c r="AC34" s="17">
        <f>TRANSICAO!$AC$34*CUSTOS!$T$3</f>
        <v>559.54459999999995</v>
      </c>
      <c r="AD34" s="17">
        <f>TRANSICAO!$AD$34*CUSTOS!$T$3</f>
        <v>0</v>
      </c>
      <c r="AE34" s="17">
        <v>0</v>
      </c>
      <c r="AF34" s="17">
        <v>0</v>
      </c>
      <c r="AG34" s="17"/>
      <c r="AH34" s="17">
        <f>(1 - CUSTOS!$M$29)*19.5186</f>
        <v>19.518599999999999</v>
      </c>
      <c r="AI34" s="17">
        <f>(1 - CUSTOS!$M$29)*19.5186</f>
        <v>19.518599999999999</v>
      </c>
      <c r="AJ34" s="17">
        <f ca="1">$N$64*(1-CUSTOS!$M$29)</f>
        <v>0.71044774478695294</v>
      </c>
      <c r="AK34" s="17">
        <f t="shared" ca="1" si="0"/>
        <v>0.71044774478695294</v>
      </c>
      <c r="AL34" s="17"/>
      <c r="AM34" s="17"/>
      <c r="AP34" s="17">
        <f>IF((1 - CUSTOS!$M$29)&lt;&gt;0,1/(1 - CUSTOS!$M$29),1)</f>
        <v>1</v>
      </c>
    </row>
    <row r="35" spans="1:42" ht="11.25" customHeight="1" x14ac:dyDescent="0.25">
      <c r="A35" s="166"/>
      <c r="B35" s="166"/>
      <c r="C35" s="166"/>
      <c r="D35" s="166"/>
      <c r="E35" s="166"/>
      <c r="F35" s="166"/>
      <c r="G35" s="57" t="s">
        <v>92</v>
      </c>
      <c r="H35" s="57" t="s">
        <v>78</v>
      </c>
      <c r="I35" s="57">
        <f>'MERCADO TUSD'!$U$32</f>
        <v>0</v>
      </c>
      <c r="J35" s="16"/>
      <c r="L35" s="17">
        <f>1*(1 - CUSTOS!$M$29)</f>
        <v>1</v>
      </c>
      <c r="M35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0.87144660127922891</v>
      </c>
      <c r="N35" s="17">
        <f ca="1">(+M35+O35+R35+U35+V35+W35+X35+Y35+Z35+AA35+AC35+AH35+AI35+AJ35+AK35)*CUSTOS!$M$5</f>
        <v>3.2012814209085314</v>
      </c>
      <c r="O35" s="17">
        <f>1 - CUSTOS!$M$29</f>
        <v>1</v>
      </c>
      <c r="P35" s="17">
        <f>1 - CUSTOS!$M$29</f>
        <v>1</v>
      </c>
      <c r="Q35" s="17">
        <f>1*(1 - CUSTOS!$M$29)</f>
        <v>1</v>
      </c>
      <c r="R35" s="17">
        <f>1 - CUSTOS!$M$29</f>
        <v>1</v>
      </c>
      <c r="S35" s="17">
        <f>1 - CUSTOS!$M$29</f>
        <v>1</v>
      </c>
      <c r="T35" s="17"/>
      <c r="U35" s="17">
        <f>TRANSICAO!$U$35*CUSTOS!$T$3</f>
        <v>26.9331</v>
      </c>
      <c r="V35" s="17">
        <f>TRANSICAO!$V$35*CUSTOS!$T$3</f>
        <v>20.021599999999999</v>
      </c>
      <c r="W35" s="17">
        <f>TRANSICAO!$W$35*CUSTOS!$T$3</f>
        <v>6.0260999999999996</v>
      </c>
      <c r="X35" s="17">
        <f>TRANSICAO!$X$35*CUSTOS!$T$3</f>
        <v>0</v>
      </c>
      <c r="Y35" s="17">
        <f>TRANSICAO!$Y$35*CUSTOS!$T$3</f>
        <v>0</v>
      </c>
      <c r="Z35" s="17">
        <f>TRANSICAO!$Z$35*CUSTOS!$T$3</f>
        <v>0</v>
      </c>
      <c r="AA35" s="17">
        <f>TRANSICAO!$AA$35*CUSTOS!$T$3</f>
        <v>0</v>
      </c>
      <c r="AB35" s="17">
        <f>TRANSICAO!$AB$35*CUSTOS!$T$3</f>
        <v>0</v>
      </c>
      <c r="AC35" s="17">
        <f>TRANSICAO!$AC$35*CUSTOS!$T$3</f>
        <v>223.81780000000001</v>
      </c>
      <c r="AD35" s="17">
        <f>TRANSICAO!$AD$35*CUSTOS!$T$3</f>
        <v>0</v>
      </c>
      <c r="AE35" s="17">
        <v>0</v>
      </c>
      <c r="AF35" s="17">
        <v>0</v>
      </c>
      <c r="AG35" s="17"/>
      <c r="AH35" s="17">
        <f>(1 - CUSTOS!$M$29)*19.5186</f>
        <v>19.518599999999999</v>
      </c>
      <c r="AI35" s="17">
        <f>(1 - CUSTOS!$M$29)*19.5186</f>
        <v>19.518599999999999</v>
      </c>
      <c r="AJ35" s="17">
        <f ca="1">$N$64*(1-CUSTOS!$M$29)</f>
        <v>0.71044774478695294</v>
      </c>
      <c r="AK35" s="17">
        <f t="shared" ca="1" si="0"/>
        <v>0.71044774478695294</v>
      </c>
      <c r="AL35" s="17"/>
      <c r="AM35" s="17"/>
      <c r="AP35" s="17">
        <f>IF((1 - CUSTOS!$M$29)&lt;&gt;0,1/(1 - CUSTOS!$M$29),1)</f>
        <v>1</v>
      </c>
    </row>
    <row r="36" spans="1:42" ht="11.25" customHeight="1" x14ac:dyDescent="0.25">
      <c r="A36" s="166"/>
      <c r="B36" s="166"/>
      <c r="C36" s="166"/>
      <c r="D36" s="166"/>
      <c r="E36" s="166"/>
      <c r="F36" s="166"/>
      <c r="G36" s="57" t="s">
        <v>80</v>
      </c>
      <c r="H36" s="57" t="s">
        <v>78</v>
      </c>
      <c r="I36" s="57">
        <f>'MERCADO TUSD'!$U$33</f>
        <v>0</v>
      </c>
      <c r="J36" s="16"/>
      <c r="L36" s="17">
        <f>1*(1 - CUSTOS!$M$29)</f>
        <v>1</v>
      </c>
      <c r="M36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0.87144660127922891</v>
      </c>
      <c r="N36" s="17">
        <f ca="1">(+M36+O36+R36+U36+V36+W36+X36+Y36+Z36+AA36+AC36+AH36+AI36+AJ36+AK36)*CUSTOS!$M$5</f>
        <v>1.8172874209085315</v>
      </c>
      <c r="O36" s="17">
        <f>1 - CUSTOS!$M$29</f>
        <v>1</v>
      </c>
      <c r="P36" s="17">
        <f>1 - CUSTOS!$M$29</f>
        <v>1</v>
      </c>
      <c r="Q36" s="17">
        <f>1*(1 - CUSTOS!$M$29)</f>
        <v>1</v>
      </c>
      <c r="R36" s="17">
        <f>1 - CUSTOS!$M$29</f>
        <v>1</v>
      </c>
      <c r="S36" s="17">
        <f>1 - CUSTOS!$M$29</f>
        <v>1</v>
      </c>
      <c r="T36" s="17"/>
      <c r="U36" s="17">
        <f>TRANSICAO!$U$36*CUSTOS!$T$3</f>
        <v>13.4665</v>
      </c>
      <c r="V36" s="17">
        <f>TRANSICAO!$V$36*CUSTOS!$T$3</f>
        <v>10.0108</v>
      </c>
      <c r="W36" s="17">
        <f>TRANSICAO!$W$36*CUSTOS!$T$3</f>
        <v>3.0129999999999999</v>
      </c>
      <c r="X36" s="17">
        <f>TRANSICAO!$X$36*CUSTOS!$T$3</f>
        <v>0</v>
      </c>
      <c r="Y36" s="17">
        <f>TRANSICAO!$Y$36*CUSTOS!$T$3</f>
        <v>0</v>
      </c>
      <c r="Z36" s="17">
        <f>TRANSICAO!$Z$36*CUSTOS!$T$3</f>
        <v>0</v>
      </c>
      <c r="AA36" s="17">
        <f>TRANSICAO!$AA$36*CUSTOS!$T$3</f>
        <v>0</v>
      </c>
      <c r="AB36" s="17">
        <f>TRANSICAO!$AB$36*CUSTOS!$T$3</f>
        <v>0</v>
      </c>
      <c r="AC36" s="17">
        <f>TRANSICAO!$AC$36*CUSTOS!$T$3</f>
        <v>111.9089</v>
      </c>
      <c r="AD36" s="17">
        <f>TRANSICAO!$AD$36*CUSTOS!$T$3</f>
        <v>0</v>
      </c>
      <c r="AE36" s="17">
        <v>0</v>
      </c>
      <c r="AF36" s="17">
        <v>0</v>
      </c>
      <c r="AG36" s="17"/>
      <c r="AH36" s="17">
        <f>(1 - CUSTOS!$M$29)*19.5186</f>
        <v>19.518599999999999</v>
      </c>
      <c r="AI36" s="17">
        <f>(1 - CUSTOS!$M$29)*19.5186</f>
        <v>19.518599999999999</v>
      </c>
      <c r="AJ36" s="17">
        <f ca="1">$N$64*(1-CUSTOS!$M$29)</f>
        <v>0.71044774478695294</v>
      </c>
      <c r="AK36" s="17">
        <f t="shared" ca="1" si="0"/>
        <v>0.71044774478695294</v>
      </c>
      <c r="AL36" s="17"/>
      <c r="AM36" s="17"/>
      <c r="AP36" s="17">
        <f>IF((1 - CUSTOS!$M$29)&lt;&gt;0,1/(1 - CUSTOS!$M$29),1)</f>
        <v>1</v>
      </c>
    </row>
    <row r="37" spans="1:42" ht="11.25" customHeight="1" x14ac:dyDescent="0.25">
      <c r="A37" s="166"/>
      <c r="B37" s="58" t="s">
        <v>23</v>
      </c>
      <c r="C37" s="58" t="s">
        <v>43</v>
      </c>
      <c r="D37" s="58" t="s">
        <v>95</v>
      </c>
      <c r="E37" s="58" t="s">
        <v>25</v>
      </c>
      <c r="F37" s="58" t="s">
        <v>25</v>
      </c>
      <c r="G37" s="57" t="s">
        <v>82</v>
      </c>
      <c r="H37" s="57" t="s">
        <v>78</v>
      </c>
      <c r="I37" s="57">
        <f>'MERCADO TUSD'!$U$34</f>
        <v>0</v>
      </c>
      <c r="J37" s="16"/>
      <c r="L37" s="17">
        <f>1*(1 - CUSTOS!$M$29)</f>
        <v>1</v>
      </c>
      <c r="M37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0.87144660127922891</v>
      </c>
      <c r="N37" s="17">
        <f ca="1">(+M37+O37+R37+U37+V37+W37+X37+Y37+Z37+AA37+AC37+AH37+AI37+AJ37+AK37)*CUSTOS!$M$5</f>
        <v>2.5302544209085314</v>
      </c>
      <c r="O37" s="17">
        <f>1 - CUSTOS!$M$29</f>
        <v>1</v>
      </c>
      <c r="P37" s="17">
        <f>1 - CUSTOS!$M$29</f>
        <v>1</v>
      </c>
      <c r="Q37" s="17">
        <f>1*(1 - CUSTOS!$M$29)</f>
        <v>1</v>
      </c>
      <c r="R37" s="17">
        <f>1 - CUSTOS!$M$29</f>
        <v>1</v>
      </c>
      <c r="S37" s="17">
        <f>1 - CUSTOS!$M$29</f>
        <v>1</v>
      </c>
      <c r="T37" s="17"/>
      <c r="U37" s="17">
        <f>TRANSICAO!$U$37*CUSTOS!$T$3</f>
        <v>20.4038</v>
      </c>
      <c r="V37" s="17">
        <f>TRANSICAO!$V$37*CUSTOS!$T$3</f>
        <v>15.167899999999999</v>
      </c>
      <c r="W37" s="17">
        <f>TRANSICAO!$W$37*CUSTOS!$T$3</f>
        <v>4.5651999999999999</v>
      </c>
      <c r="X37" s="17">
        <f>TRANSICAO!$X$37*CUSTOS!$T$3</f>
        <v>0</v>
      </c>
      <c r="Y37" s="17">
        <f>TRANSICAO!$Y$37*CUSTOS!$T$3</f>
        <v>0</v>
      </c>
      <c r="Z37" s="17">
        <f>TRANSICAO!$Z$37*CUSTOS!$T$3</f>
        <v>0</v>
      </c>
      <c r="AA37" s="17">
        <f>TRANSICAO!$AA$37*CUSTOS!$T$3</f>
        <v>0</v>
      </c>
      <c r="AB37" s="17">
        <f>TRANSICAO!$AB$37*CUSTOS!$T$3</f>
        <v>0</v>
      </c>
      <c r="AC37" s="17">
        <f>TRANSICAO!$AC$37*CUSTOS!$T$3</f>
        <v>169.559</v>
      </c>
      <c r="AD37" s="17">
        <f>TRANSICAO!$AD$37*CUSTOS!$T$3</f>
        <v>0</v>
      </c>
      <c r="AE37" s="17">
        <v>0</v>
      </c>
      <c r="AF37" s="17">
        <v>0</v>
      </c>
      <c r="AG37" s="17"/>
      <c r="AH37" s="17">
        <f>(1 - CUSTOS!$M$29)*19.5186</f>
        <v>19.518599999999999</v>
      </c>
      <c r="AI37" s="17">
        <f>(1 - CUSTOS!$M$29)*19.5186</f>
        <v>19.518599999999999</v>
      </c>
      <c r="AJ37" s="17">
        <f ca="1">$N$64*(1-CUSTOS!$M$29)</f>
        <v>0.71044774478695294</v>
      </c>
      <c r="AK37" s="17">
        <f t="shared" ca="1" si="0"/>
        <v>0.71044774478695294</v>
      </c>
      <c r="AL37" s="17"/>
      <c r="AM37" s="17"/>
      <c r="AP37" s="17">
        <f>IF((1 - CUSTOS!$M$29)&lt;&gt;0,1/(1 - CUSTOS!$M$29),1)</f>
        <v>1</v>
      </c>
    </row>
    <row r="38" spans="1:42" ht="11.25" customHeight="1" x14ac:dyDescent="0.25">
      <c r="A38" s="166"/>
      <c r="B38" s="166" t="s">
        <v>32</v>
      </c>
      <c r="C38" s="166" t="s">
        <v>43</v>
      </c>
      <c r="D38" s="166" t="s">
        <v>96</v>
      </c>
      <c r="E38" s="166" t="s">
        <v>25</v>
      </c>
      <c r="F38" s="166" t="s">
        <v>25</v>
      </c>
      <c r="G38" s="57" t="s">
        <v>79</v>
      </c>
      <c r="H38" s="57" t="s">
        <v>78</v>
      </c>
      <c r="I38" s="57">
        <f>'MERCADO TUSD'!$U$35</f>
        <v>0</v>
      </c>
      <c r="J38" s="16"/>
      <c r="L38" s="17">
        <f>1*(1 - CUSTOS!$M$30)</f>
        <v>1</v>
      </c>
      <c r="M38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0.87144660127922891</v>
      </c>
      <c r="N38" s="17">
        <f ca="1">(+M38+O38+R38+U38+V38+W38+X38+Y38+Z38+AA38+AC38+AH38+AI38+AJ38+AK38)*CUSTOS!$M$5</f>
        <v>7.3532604209085308</v>
      </c>
      <c r="O38" s="17">
        <f>1 - CUSTOS!$M$30</f>
        <v>1</v>
      </c>
      <c r="P38" s="17">
        <f>1 - CUSTOS!$M$30</f>
        <v>1</v>
      </c>
      <c r="Q38" s="17">
        <f>1*(1 - CUSTOS!$M$30)</f>
        <v>1</v>
      </c>
      <c r="R38" s="17">
        <f>1 - CUSTOS!$M$30</f>
        <v>1</v>
      </c>
      <c r="S38" s="17">
        <f>1 - CUSTOS!$M$30</f>
        <v>1</v>
      </c>
      <c r="T38" s="17"/>
      <c r="U38" s="17">
        <f>TRANSICAO!$U$38*CUSTOS!$T$3</f>
        <v>67.332700000000003</v>
      </c>
      <c r="V38" s="17">
        <f>TRANSICAO!$V$38*CUSTOS!$T$3</f>
        <v>50.054099999999998</v>
      </c>
      <c r="W38" s="17">
        <f>TRANSICAO!$W$38*CUSTOS!$T$3</f>
        <v>15.065099999999999</v>
      </c>
      <c r="X38" s="17">
        <f>TRANSICAO!$X$38*CUSTOS!$T$3</f>
        <v>0</v>
      </c>
      <c r="Y38" s="17">
        <f>TRANSICAO!$Y$38*CUSTOS!$T$3</f>
        <v>0</v>
      </c>
      <c r="Z38" s="17">
        <f>TRANSICAO!$Z$38*CUSTOS!$T$3</f>
        <v>0</v>
      </c>
      <c r="AA38" s="17">
        <f>TRANSICAO!$AA$38*CUSTOS!$T$3</f>
        <v>0</v>
      </c>
      <c r="AB38" s="17">
        <f>TRANSICAO!$AB$38*CUSTOS!$T$3</f>
        <v>0</v>
      </c>
      <c r="AC38" s="17">
        <f>TRANSICAO!$AC$38*CUSTOS!$T$3</f>
        <v>559.54459999999995</v>
      </c>
      <c r="AD38" s="17">
        <f>TRANSICAO!$AD$38*CUSTOS!$T$3</f>
        <v>0</v>
      </c>
      <c r="AE38" s="17">
        <v>0</v>
      </c>
      <c r="AF38" s="17">
        <v>0</v>
      </c>
      <c r="AG38" s="17"/>
      <c r="AH38" s="17">
        <f>(1 - CUSTOS!$M$30)*19.5186</f>
        <v>19.518599999999999</v>
      </c>
      <c r="AI38" s="17">
        <f>(1 - CUSTOS!$M$30)*19.5186</f>
        <v>19.518599999999999</v>
      </c>
      <c r="AJ38" s="17">
        <f ca="1">$N$64*(1-CUSTOS!$M$30)</f>
        <v>0.71044774478695294</v>
      </c>
      <c r="AK38" s="17">
        <f t="shared" ca="1" si="0"/>
        <v>0.71044774478695294</v>
      </c>
      <c r="AL38" s="17"/>
      <c r="AM38" s="17"/>
      <c r="AP38" s="17">
        <f>IF((1 - CUSTOS!$M$30)&lt;&gt;0,1/(1 - CUSTOS!$M$30),1)</f>
        <v>1</v>
      </c>
    </row>
    <row r="39" spans="1:42" ht="11.25" customHeight="1" x14ac:dyDescent="0.25">
      <c r="A39" s="166"/>
      <c r="B39" s="166"/>
      <c r="C39" s="166"/>
      <c r="D39" s="166"/>
      <c r="E39" s="166"/>
      <c r="F39" s="166"/>
      <c r="G39" s="57" t="s">
        <v>92</v>
      </c>
      <c r="H39" s="57" t="s">
        <v>78</v>
      </c>
      <c r="I39" s="57">
        <f>'MERCADO TUSD'!$U$36</f>
        <v>0</v>
      </c>
      <c r="J39" s="16"/>
      <c r="L39" s="17">
        <f>1*(1 - CUSTOS!$M$30)</f>
        <v>1</v>
      </c>
      <c r="M39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0.87144660127922891</v>
      </c>
      <c r="N39" s="17">
        <f ca="1">(+M39+O39+R39+U39+V39+W39+X39+Y39+Z39+AA39+AC39+AH39+AI39+AJ39+AK39)*CUSTOS!$M$5</f>
        <v>3.2012814209085314</v>
      </c>
      <c r="O39" s="17">
        <f>1 - CUSTOS!$M$30</f>
        <v>1</v>
      </c>
      <c r="P39" s="17">
        <f>1 - CUSTOS!$M$30</f>
        <v>1</v>
      </c>
      <c r="Q39" s="17">
        <f>1*(1 - CUSTOS!$M$30)</f>
        <v>1</v>
      </c>
      <c r="R39" s="17">
        <f>1 - CUSTOS!$M$30</f>
        <v>1</v>
      </c>
      <c r="S39" s="17">
        <f>1 - CUSTOS!$M$30</f>
        <v>1</v>
      </c>
      <c r="T39" s="17"/>
      <c r="U39" s="17">
        <f>TRANSICAO!$U$39*CUSTOS!$T$3</f>
        <v>26.9331</v>
      </c>
      <c r="V39" s="17">
        <f>TRANSICAO!$V$39*CUSTOS!$T$3</f>
        <v>20.021599999999999</v>
      </c>
      <c r="W39" s="17">
        <f>TRANSICAO!$W$39*CUSTOS!$T$3</f>
        <v>6.0260999999999996</v>
      </c>
      <c r="X39" s="17">
        <f>TRANSICAO!$X$39*CUSTOS!$T$3</f>
        <v>0</v>
      </c>
      <c r="Y39" s="17">
        <f>TRANSICAO!$Y$39*CUSTOS!$T$3</f>
        <v>0</v>
      </c>
      <c r="Z39" s="17">
        <f>TRANSICAO!$Z$39*CUSTOS!$T$3</f>
        <v>0</v>
      </c>
      <c r="AA39" s="17">
        <f>TRANSICAO!$AA$39*CUSTOS!$T$3</f>
        <v>0</v>
      </c>
      <c r="AB39" s="17">
        <f>TRANSICAO!$AB$39*CUSTOS!$T$3</f>
        <v>0</v>
      </c>
      <c r="AC39" s="17">
        <f>TRANSICAO!$AC$39*CUSTOS!$T$3</f>
        <v>223.81780000000001</v>
      </c>
      <c r="AD39" s="17">
        <f>TRANSICAO!$AD$39*CUSTOS!$T$3</f>
        <v>0</v>
      </c>
      <c r="AE39" s="17">
        <v>0</v>
      </c>
      <c r="AF39" s="17">
        <v>0</v>
      </c>
      <c r="AG39" s="17"/>
      <c r="AH39" s="17">
        <f>(1 - CUSTOS!$M$30)*19.5186</f>
        <v>19.518599999999999</v>
      </c>
      <c r="AI39" s="17">
        <f>(1 - CUSTOS!$M$30)*19.5186</f>
        <v>19.518599999999999</v>
      </c>
      <c r="AJ39" s="17">
        <f ca="1">$N$64*(1-CUSTOS!$M$30)</f>
        <v>0.71044774478695294</v>
      </c>
      <c r="AK39" s="17">
        <f t="shared" ca="1" si="0"/>
        <v>0.71044774478695294</v>
      </c>
      <c r="AL39" s="17"/>
      <c r="AM39" s="17"/>
      <c r="AP39" s="17">
        <f>IF((1 - CUSTOS!$M$30)&lt;&gt;0,1/(1 - CUSTOS!$M$30),1)</f>
        <v>1</v>
      </c>
    </row>
    <row r="40" spans="1:42" ht="11.25" customHeight="1" x14ac:dyDescent="0.25">
      <c r="A40" s="166"/>
      <c r="B40" s="166"/>
      <c r="C40" s="166"/>
      <c r="D40" s="166"/>
      <c r="E40" s="166"/>
      <c r="F40" s="166"/>
      <c r="G40" s="57" t="s">
        <v>80</v>
      </c>
      <c r="H40" s="57" t="s">
        <v>78</v>
      </c>
      <c r="I40" s="57">
        <f>'MERCADO TUSD'!$U$37</f>
        <v>0</v>
      </c>
      <c r="J40" s="16"/>
      <c r="L40" s="17">
        <f>1*(1 - CUSTOS!$M$30)</f>
        <v>1</v>
      </c>
      <c r="M40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0.87144660127922891</v>
      </c>
      <c r="N40" s="17">
        <f ca="1">(+M40+O40+R40+U40+V40+W40+X40+Y40+Z40+AA40+AC40+AH40+AI40+AJ40+AK40)*CUSTOS!$M$5</f>
        <v>1.8172874209085315</v>
      </c>
      <c r="O40" s="17">
        <f>1 - CUSTOS!$M$30</f>
        <v>1</v>
      </c>
      <c r="P40" s="17">
        <f>1 - CUSTOS!$M$30</f>
        <v>1</v>
      </c>
      <c r="Q40" s="17">
        <f>1*(1 - CUSTOS!$M$30)</f>
        <v>1</v>
      </c>
      <c r="R40" s="17">
        <f>1 - CUSTOS!$M$30</f>
        <v>1</v>
      </c>
      <c r="S40" s="17">
        <f>1 - CUSTOS!$M$30</f>
        <v>1</v>
      </c>
      <c r="T40" s="17"/>
      <c r="U40" s="17">
        <f>TRANSICAO!$U$40*CUSTOS!$T$3</f>
        <v>13.4665</v>
      </c>
      <c r="V40" s="17">
        <f>TRANSICAO!$V$40*CUSTOS!$T$3</f>
        <v>10.0108</v>
      </c>
      <c r="W40" s="17">
        <f>TRANSICAO!$W$40*CUSTOS!$T$3</f>
        <v>3.0129999999999999</v>
      </c>
      <c r="X40" s="17">
        <f>TRANSICAO!$X$40*CUSTOS!$T$3</f>
        <v>0</v>
      </c>
      <c r="Y40" s="17">
        <f>TRANSICAO!$Y$40*CUSTOS!$T$3</f>
        <v>0</v>
      </c>
      <c r="Z40" s="17">
        <f>TRANSICAO!$Z$40*CUSTOS!$T$3</f>
        <v>0</v>
      </c>
      <c r="AA40" s="17">
        <f>TRANSICAO!$AA$40*CUSTOS!$T$3</f>
        <v>0</v>
      </c>
      <c r="AB40" s="17">
        <f>TRANSICAO!$AB$40*CUSTOS!$T$3</f>
        <v>0</v>
      </c>
      <c r="AC40" s="17">
        <f>TRANSICAO!$AC$40*CUSTOS!$T$3</f>
        <v>111.9089</v>
      </c>
      <c r="AD40" s="17">
        <f>TRANSICAO!$AD$40*CUSTOS!$T$3</f>
        <v>0</v>
      </c>
      <c r="AE40" s="17">
        <v>0</v>
      </c>
      <c r="AF40" s="17">
        <v>0</v>
      </c>
      <c r="AG40" s="17"/>
      <c r="AH40" s="17">
        <f>(1 - CUSTOS!$M$30)*19.5186</f>
        <v>19.518599999999999</v>
      </c>
      <c r="AI40" s="17">
        <f>(1 - CUSTOS!$M$30)*19.5186</f>
        <v>19.518599999999999</v>
      </c>
      <c r="AJ40" s="17">
        <f ca="1">$N$64*(1-CUSTOS!$M$30)</f>
        <v>0.71044774478695294</v>
      </c>
      <c r="AK40" s="17">
        <f t="shared" ca="1" si="0"/>
        <v>0.71044774478695294</v>
      </c>
      <c r="AL40" s="17"/>
      <c r="AM40" s="17"/>
      <c r="AP40" s="17">
        <f>IF((1 - CUSTOS!$M$30)&lt;&gt;0,1/(1 - CUSTOS!$M$30),1)</f>
        <v>1</v>
      </c>
    </row>
    <row r="41" spans="1:42" ht="11.25" customHeight="1" x14ac:dyDescent="0.25">
      <c r="A41" s="166"/>
      <c r="B41" s="58" t="s">
        <v>23</v>
      </c>
      <c r="C41" s="58" t="s">
        <v>43</v>
      </c>
      <c r="D41" s="58" t="s">
        <v>96</v>
      </c>
      <c r="E41" s="58" t="s">
        <v>25</v>
      </c>
      <c r="F41" s="58" t="s">
        <v>25</v>
      </c>
      <c r="G41" s="57" t="s">
        <v>82</v>
      </c>
      <c r="H41" s="57" t="s">
        <v>78</v>
      </c>
      <c r="I41" s="57">
        <f>'MERCADO TUSD'!$U$38</f>
        <v>0</v>
      </c>
      <c r="J41" s="16"/>
      <c r="L41" s="17">
        <f>1*(1 - CUSTOS!$M$30)</f>
        <v>1</v>
      </c>
      <c r="M41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0.87144660127922891</v>
      </c>
      <c r="N41" s="17">
        <f ca="1">(+M41+O41+R41+U41+V41+W41+X41+Y41+Z41+AA41+AC41+AH41+AI41+AJ41+AK41)*CUSTOS!$M$5</f>
        <v>2.5302544209085314</v>
      </c>
      <c r="O41" s="17">
        <f>1 - CUSTOS!$M$30</f>
        <v>1</v>
      </c>
      <c r="P41" s="17">
        <f>1 - CUSTOS!$M$30</f>
        <v>1</v>
      </c>
      <c r="Q41" s="17">
        <f>1*(1 - CUSTOS!$M$30)</f>
        <v>1</v>
      </c>
      <c r="R41" s="17">
        <f>1 - CUSTOS!$M$30</f>
        <v>1</v>
      </c>
      <c r="S41" s="17">
        <f>1 - CUSTOS!$M$30</f>
        <v>1</v>
      </c>
      <c r="T41" s="17"/>
      <c r="U41" s="17">
        <f>TRANSICAO!$U$41*CUSTOS!$T$3</f>
        <v>20.4038</v>
      </c>
      <c r="V41" s="17">
        <f>TRANSICAO!$V$41*CUSTOS!$T$3</f>
        <v>15.167899999999999</v>
      </c>
      <c r="W41" s="17">
        <f>TRANSICAO!$W$41*CUSTOS!$T$3</f>
        <v>4.5651999999999999</v>
      </c>
      <c r="X41" s="17">
        <f>TRANSICAO!$X$41*CUSTOS!$T$3</f>
        <v>0</v>
      </c>
      <c r="Y41" s="17">
        <f>TRANSICAO!$Y$41*CUSTOS!$T$3</f>
        <v>0</v>
      </c>
      <c r="Z41" s="17">
        <f>TRANSICAO!$Z$41*CUSTOS!$T$3</f>
        <v>0</v>
      </c>
      <c r="AA41" s="17">
        <f>TRANSICAO!$AA$41*CUSTOS!$T$3</f>
        <v>0</v>
      </c>
      <c r="AB41" s="17">
        <f>TRANSICAO!$AB$41*CUSTOS!$T$3</f>
        <v>0</v>
      </c>
      <c r="AC41" s="17">
        <f>TRANSICAO!$AC$41*CUSTOS!$T$3</f>
        <v>169.559</v>
      </c>
      <c r="AD41" s="17">
        <f>TRANSICAO!$AD$41*CUSTOS!$T$3</f>
        <v>0</v>
      </c>
      <c r="AE41" s="17">
        <v>0</v>
      </c>
      <c r="AF41" s="17">
        <v>0</v>
      </c>
      <c r="AG41" s="17"/>
      <c r="AH41" s="17">
        <f>(1 - CUSTOS!$M$30)*19.5186</f>
        <v>19.518599999999999</v>
      </c>
      <c r="AI41" s="17">
        <f>(1 - CUSTOS!$M$30)*19.5186</f>
        <v>19.518599999999999</v>
      </c>
      <c r="AJ41" s="17">
        <f ca="1">$N$64*(1-CUSTOS!$M$30)</f>
        <v>0.71044774478695294</v>
      </c>
      <c r="AK41" s="17">
        <f t="shared" ca="1" si="0"/>
        <v>0.71044774478695294</v>
      </c>
      <c r="AL41" s="17"/>
      <c r="AM41" s="17"/>
      <c r="AP41" s="17">
        <f>IF((1 - CUSTOS!$M$30)&lt;&gt;0,1/(1 - CUSTOS!$M$30),1)</f>
        <v>1</v>
      </c>
    </row>
    <row r="42" spans="1:42" ht="11.25" customHeight="1" x14ac:dyDescent="0.25">
      <c r="A42" s="166"/>
      <c r="B42" s="166" t="s">
        <v>94</v>
      </c>
      <c r="C42" s="166" t="s">
        <v>43</v>
      </c>
      <c r="D42" s="58" t="s">
        <v>25</v>
      </c>
      <c r="E42" s="58" t="s">
        <v>25</v>
      </c>
      <c r="F42" s="58" t="s">
        <v>25</v>
      </c>
      <c r="G42" s="57" t="s">
        <v>82</v>
      </c>
      <c r="H42" s="57" t="s">
        <v>78</v>
      </c>
      <c r="I42" s="57">
        <f>'MERCADO TUSD'!$U$39</f>
        <v>0</v>
      </c>
      <c r="J42" s="16"/>
      <c r="L42" s="17">
        <f>1*(1 - CUSTOS!$M$28)</f>
        <v>1</v>
      </c>
      <c r="M42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0.87144660127922891</v>
      </c>
      <c r="N42" s="17">
        <f ca="1">(+M42+O42+R42+U42+V42+W42+X42+Y42+Z42+AA42+AC42+AH42+AI42+AJ42+AK42)*CUSTOS!$M$5</f>
        <v>2.5302544209085314</v>
      </c>
      <c r="O42" s="17">
        <f>1 - CUSTOS!$M$28</f>
        <v>1</v>
      </c>
      <c r="P42" s="17">
        <f>1 - CUSTOS!$M$28</f>
        <v>1</v>
      </c>
      <c r="Q42" s="17">
        <f>1*(1 - CUSTOS!$M$28)</f>
        <v>1</v>
      </c>
      <c r="R42" s="17">
        <f>1 - CUSTOS!$M$28</f>
        <v>1</v>
      </c>
      <c r="S42" s="17">
        <f>1 - CUSTOS!$M$28</f>
        <v>1</v>
      </c>
      <c r="T42" s="17"/>
      <c r="U42" s="17">
        <f>TRANSICAO!$U$42*CUSTOS!$T$3</f>
        <v>20.4038</v>
      </c>
      <c r="V42" s="17">
        <f>TRANSICAO!$V$42*CUSTOS!$T$3</f>
        <v>15.167899999999999</v>
      </c>
      <c r="W42" s="17">
        <f>TRANSICAO!$W$42*CUSTOS!$T$3</f>
        <v>4.5651999999999999</v>
      </c>
      <c r="X42" s="17">
        <f>TRANSICAO!$X$42*CUSTOS!$T$3</f>
        <v>0</v>
      </c>
      <c r="Y42" s="17">
        <f>TRANSICAO!$Y$42*CUSTOS!$T$3</f>
        <v>0</v>
      </c>
      <c r="Z42" s="17">
        <f>TRANSICAO!$Z$42*CUSTOS!$T$3</f>
        <v>0</v>
      </c>
      <c r="AA42" s="17">
        <f>TRANSICAO!$AA$42*CUSTOS!$T$3</f>
        <v>0</v>
      </c>
      <c r="AB42" s="17">
        <f>TRANSICAO!$AB$42*CUSTOS!$T$3</f>
        <v>0</v>
      </c>
      <c r="AC42" s="17">
        <f>TRANSICAO!$AC$42*CUSTOS!$T$3</f>
        <v>169.559</v>
      </c>
      <c r="AD42" s="17">
        <f>TRANSICAO!$AD$42*CUSTOS!$T$3</f>
        <v>0</v>
      </c>
      <c r="AE42" s="17">
        <v>0</v>
      </c>
      <c r="AF42" s="17">
        <v>0</v>
      </c>
      <c r="AG42" s="17"/>
      <c r="AH42" s="17">
        <f>(1 - CUSTOS!$M$28)*19.5186</f>
        <v>19.518599999999999</v>
      </c>
      <c r="AI42" s="17">
        <f>(1 - CUSTOS!$M$28)*19.5186</f>
        <v>19.518599999999999</v>
      </c>
      <c r="AJ42" s="17">
        <f ca="1">$N$64*(1-CUSTOS!$M$28)</f>
        <v>0.71044774478695294</v>
      </c>
      <c r="AK42" s="17">
        <f t="shared" ca="1" si="0"/>
        <v>0.71044774478695294</v>
      </c>
      <c r="AL42" s="17"/>
      <c r="AM42" s="17"/>
      <c r="AP42" s="17">
        <f>IF((1 - CUSTOS!$M$28)&lt;&gt;0,1/(1 - CUSTOS!$M$28),1)</f>
        <v>1</v>
      </c>
    </row>
    <row r="43" spans="1:42" ht="11.25" customHeight="1" x14ac:dyDescent="0.25">
      <c r="A43" s="166"/>
      <c r="B43" s="166"/>
      <c r="C43" s="166"/>
      <c r="D43" s="58" t="s">
        <v>95</v>
      </c>
      <c r="E43" s="58" t="s">
        <v>25</v>
      </c>
      <c r="F43" s="58" t="s">
        <v>25</v>
      </c>
      <c r="G43" s="57" t="s">
        <v>82</v>
      </c>
      <c r="H43" s="57" t="s">
        <v>78</v>
      </c>
      <c r="I43" s="57">
        <f>'MERCADO TUSD'!$U$40</f>
        <v>0</v>
      </c>
      <c r="J43" s="16"/>
      <c r="L43" s="17">
        <f>1*(1 - CUSTOS!$M$29)</f>
        <v>1</v>
      </c>
      <c r="M43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0.87144660127922891</v>
      </c>
      <c r="N43" s="17">
        <f ca="1">(+M43+O43+R43+U43+V43+W43+X43+Y43+Z43+AA43+AC43+AH43+AI43+AJ43+AK43)*CUSTOS!$M$5</f>
        <v>2.5302544209085314</v>
      </c>
      <c r="O43" s="17">
        <f>1 - CUSTOS!$M$29</f>
        <v>1</v>
      </c>
      <c r="P43" s="17">
        <f>1 - CUSTOS!$M$29</f>
        <v>1</v>
      </c>
      <c r="Q43" s="17">
        <f>1*(1 - CUSTOS!$M$29)</f>
        <v>1</v>
      </c>
      <c r="R43" s="17">
        <f>1 - CUSTOS!$M$29</f>
        <v>1</v>
      </c>
      <c r="S43" s="17">
        <f>1 - CUSTOS!$M$29</f>
        <v>1</v>
      </c>
      <c r="T43" s="17"/>
      <c r="U43" s="17">
        <f>TRANSICAO!$U$43*CUSTOS!$T$3</f>
        <v>20.4038</v>
      </c>
      <c r="V43" s="17">
        <f>TRANSICAO!$V$43*CUSTOS!$T$3</f>
        <v>15.167899999999999</v>
      </c>
      <c r="W43" s="17">
        <f>TRANSICAO!$W$43*CUSTOS!$T$3</f>
        <v>4.5651999999999999</v>
      </c>
      <c r="X43" s="17">
        <f>TRANSICAO!$X$43*CUSTOS!$T$3</f>
        <v>0</v>
      </c>
      <c r="Y43" s="17">
        <f>TRANSICAO!$Y$43*CUSTOS!$T$3</f>
        <v>0</v>
      </c>
      <c r="Z43" s="17">
        <f>TRANSICAO!$Z$43*CUSTOS!$T$3</f>
        <v>0</v>
      </c>
      <c r="AA43" s="17">
        <f>TRANSICAO!$AA$43*CUSTOS!$T$3</f>
        <v>0</v>
      </c>
      <c r="AB43" s="17">
        <f>TRANSICAO!$AB$43*CUSTOS!$T$3</f>
        <v>0</v>
      </c>
      <c r="AC43" s="17">
        <f>TRANSICAO!$AC$43*CUSTOS!$T$3</f>
        <v>169.559</v>
      </c>
      <c r="AD43" s="17">
        <f>TRANSICAO!$AD$43*CUSTOS!$T$3</f>
        <v>0</v>
      </c>
      <c r="AE43" s="17">
        <v>0</v>
      </c>
      <c r="AF43" s="17">
        <v>0</v>
      </c>
      <c r="AG43" s="17"/>
      <c r="AH43" s="17">
        <f>(1 - CUSTOS!$M$29)*19.5186</f>
        <v>19.518599999999999</v>
      </c>
      <c r="AI43" s="17">
        <f>(1 - CUSTOS!$M$29)*19.5186</f>
        <v>19.518599999999999</v>
      </c>
      <c r="AJ43" s="17">
        <f ca="1">$N$64*(1-CUSTOS!$M$29)</f>
        <v>0.71044774478695294</v>
      </c>
      <c r="AK43" s="17">
        <f t="shared" ca="1" si="0"/>
        <v>0.71044774478695294</v>
      </c>
      <c r="AL43" s="17"/>
      <c r="AM43" s="17"/>
      <c r="AP43" s="17">
        <f>IF((1 - CUSTOS!$M$29)&lt;&gt;0,1/(1 - CUSTOS!$M$29),1)</f>
        <v>1</v>
      </c>
    </row>
    <row r="44" spans="1:42" ht="11.25" customHeight="1" x14ac:dyDescent="0.25">
      <c r="A44" s="166"/>
      <c r="B44" s="166"/>
      <c r="C44" s="166"/>
      <c r="D44" s="58" t="s">
        <v>96</v>
      </c>
      <c r="E44" s="58" t="s">
        <v>25</v>
      </c>
      <c r="F44" s="58" t="s">
        <v>25</v>
      </c>
      <c r="G44" s="57" t="s">
        <v>82</v>
      </c>
      <c r="H44" s="57" t="s">
        <v>78</v>
      </c>
      <c r="I44" s="57">
        <f>'MERCADO TUSD'!$U$41</f>
        <v>0</v>
      </c>
      <c r="J44" s="16"/>
      <c r="L44" s="17">
        <f>1*(1 - CUSTOS!$M$30)</f>
        <v>1</v>
      </c>
      <c r="M44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0.87144660127922891</v>
      </c>
      <c r="N44" s="17">
        <f ca="1">(+M44+O44+R44+U44+V44+W44+X44+Y44+Z44+AA44+AC44+AH44+AI44+AJ44+AK44)*CUSTOS!$M$5</f>
        <v>2.5302544209085314</v>
      </c>
      <c r="O44" s="17">
        <f>1 - CUSTOS!$M$30</f>
        <v>1</v>
      </c>
      <c r="P44" s="17">
        <f>1 - CUSTOS!$M$30</f>
        <v>1</v>
      </c>
      <c r="Q44" s="17">
        <f>1*(1 - CUSTOS!$M$30)</f>
        <v>1</v>
      </c>
      <c r="R44" s="17">
        <f>1 - CUSTOS!$M$30</f>
        <v>1</v>
      </c>
      <c r="S44" s="17">
        <f>1 - CUSTOS!$M$30</f>
        <v>1</v>
      </c>
      <c r="T44" s="17"/>
      <c r="U44" s="17">
        <f>TRANSICAO!$U$44*CUSTOS!$T$3</f>
        <v>20.4038</v>
      </c>
      <c r="V44" s="17">
        <f>TRANSICAO!$V$44*CUSTOS!$T$3</f>
        <v>15.167899999999999</v>
      </c>
      <c r="W44" s="17">
        <f>TRANSICAO!$W$44*CUSTOS!$T$3</f>
        <v>4.5651999999999999</v>
      </c>
      <c r="X44" s="17">
        <f>TRANSICAO!$X$44*CUSTOS!$T$3</f>
        <v>0</v>
      </c>
      <c r="Y44" s="17">
        <f>TRANSICAO!$Y$44*CUSTOS!$T$3</f>
        <v>0</v>
      </c>
      <c r="Z44" s="17">
        <f>TRANSICAO!$Z$44*CUSTOS!$T$3</f>
        <v>0</v>
      </c>
      <c r="AA44" s="17">
        <f>TRANSICAO!$AA$44*CUSTOS!$T$3</f>
        <v>0</v>
      </c>
      <c r="AB44" s="17">
        <f>TRANSICAO!$AB$44*CUSTOS!$T$3</f>
        <v>0</v>
      </c>
      <c r="AC44" s="17">
        <f>TRANSICAO!$AC$44*CUSTOS!$T$3</f>
        <v>169.559</v>
      </c>
      <c r="AD44" s="17">
        <f>TRANSICAO!$AD$44*CUSTOS!$T$3</f>
        <v>0</v>
      </c>
      <c r="AE44" s="17">
        <v>0</v>
      </c>
      <c r="AF44" s="17">
        <v>0</v>
      </c>
      <c r="AG44" s="17"/>
      <c r="AH44" s="17">
        <f>(1 - CUSTOS!$M$30)*19.5186</f>
        <v>19.518599999999999</v>
      </c>
      <c r="AI44" s="17">
        <f>(1 - CUSTOS!$M$30)*19.5186</f>
        <v>19.518599999999999</v>
      </c>
      <c r="AJ44" s="17">
        <f ca="1">$N$64*(1-CUSTOS!$M$30)</f>
        <v>0.71044774478695294</v>
      </c>
      <c r="AK44" s="17">
        <f t="shared" ca="1" si="0"/>
        <v>0.71044774478695294</v>
      </c>
      <c r="AL44" s="17"/>
      <c r="AM44" s="17"/>
      <c r="AP44" s="17">
        <f>IF((1 - CUSTOS!$M$30)&lt;&gt;0,1/(1 - CUSTOS!$M$30),1)</f>
        <v>1</v>
      </c>
    </row>
    <row r="45" spans="1:42" ht="11.25" customHeight="1" x14ac:dyDescent="0.25">
      <c r="A45" s="166" t="s">
        <v>36</v>
      </c>
      <c r="B45" s="166" t="s">
        <v>32</v>
      </c>
      <c r="C45" s="166" t="s">
        <v>25</v>
      </c>
      <c r="D45" s="166" t="s">
        <v>25</v>
      </c>
      <c r="E45" s="166" t="s">
        <v>25</v>
      </c>
      <c r="F45" s="166" t="s">
        <v>25</v>
      </c>
      <c r="G45" s="57" t="s">
        <v>79</v>
      </c>
      <c r="H45" s="57" t="s">
        <v>78</v>
      </c>
      <c r="I45" s="57">
        <f>'MERCADO TUSD'!$U$42</f>
        <v>1.1140000000000001</v>
      </c>
      <c r="J45" s="16"/>
      <c r="L45" s="17">
        <f>1*(1 - CUSTOS!$M$31)</f>
        <v>1</v>
      </c>
      <c r="M45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0.87144660127922891</v>
      </c>
      <c r="N45" s="17">
        <f ca="1">(+M45+O45+R45+U45+V45+W45+X45+Y45+Z45+AA45+AC45+AH45+AI45+AJ45+AK45)*CUSTOS!$M$5</f>
        <v>8.1920434209085311</v>
      </c>
      <c r="O45" s="17">
        <f>1 - CUSTOS!$M$31</f>
        <v>1</v>
      </c>
      <c r="P45" s="17">
        <f>1 - CUSTOS!$M$31</f>
        <v>1</v>
      </c>
      <c r="Q45" s="17">
        <f>1*(1 - CUSTOS!$M$31)</f>
        <v>1</v>
      </c>
      <c r="R45" s="17">
        <f>1 - CUSTOS!$M$31</f>
        <v>1</v>
      </c>
      <c r="S45" s="17">
        <f>1 - CUSTOS!$M$31</f>
        <v>1</v>
      </c>
      <c r="T45" s="17"/>
      <c r="U45" s="17">
        <f>TRANSICAO!$U$45*CUSTOS!$T$3</f>
        <v>75.494200000000006</v>
      </c>
      <c r="V45" s="17">
        <f>TRANSICAO!$V$45*CUSTOS!$T$3</f>
        <v>56.121200000000002</v>
      </c>
      <c r="W45" s="17">
        <f>TRANSICAO!$W$45*CUSTOS!$T$3</f>
        <v>16.891200000000001</v>
      </c>
      <c r="X45" s="17">
        <f>TRANSICAO!$X$45*CUSTOS!$T$3</f>
        <v>0</v>
      </c>
      <c r="Y45" s="17">
        <f>TRANSICAO!$Y$45*CUSTOS!$T$3</f>
        <v>0</v>
      </c>
      <c r="Z45" s="17">
        <f>TRANSICAO!$Z$45*CUSTOS!$T$3</f>
        <v>0</v>
      </c>
      <c r="AA45" s="17">
        <f>TRANSICAO!$AA$45*CUSTOS!$T$3</f>
        <v>0</v>
      </c>
      <c r="AB45" s="17">
        <f>TRANSICAO!$AB$45*CUSTOS!$T$3</f>
        <v>0</v>
      </c>
      <c r="AC45" s="17">
        <f>TRANSICAO!$AC$45*CUSTOS!$T$3</f>
        <v>627.3682</v>
      </c>
      <c r="AD45" s="17">
        <f>TRANSICAO!$AD$45*CUSTOS!$T$3</f>
        <v>0</v>
      </c>
      <c r="AE45" s="17">
        <v>0</v>
      </c>
      <c r="AF45" s="17">
        <v>0</v>
      </c>
      <c r="AG45" s="17"/>
      <c r="AH45" s="17">
        <f>(1 - CUSTOS!$M$31)*19.5186</f>
        <v>19.518599999999999</v>
      </c>
      <c r="AI45" s="17">
        <f>(1 - CUSTOS!$M$31)*19.5186</f>
        <v>19.518599999999999</v>
      </c>
      <c r="AJ45" s="17">
        <f ca="1">$N$64*(1-CUSTOS!$M$31)</f>
        <v>0.71044774478695294</v>
      </c>
      <c r="AK45" s="17">
        <f t="shared" ca="1" si="0"/>
        <v>0.71044774478695294</v>
      </c>
      <c r="AL45" s="17"/>
      <c r="AM45" s="17"/>
      <c r="AP45" s="17">
        <f>IF((1 - CUSTOS!$M$31)&lt;&gt;0,1/(1 - CUSTOS!$M$31),1)</f>
        <v>1</v>
      </c>
    </row>
    <row r="46" spans="1:42" ht="11.25" customHeight="1" x14ac:dyDescent="0.25">
      <c r="A46" s="166"/>
      <c r="B46" s="166"/>
      <c r="C46" s="166"/>
      <c r="D46" s="166"/>
      <c r="E46" s="166"/>
      <c r="F46" s="166"/>
      <c r="G46" s="57" t="s">
        <v>92</v>
      </c>
      <c r="H46" s="57" t="s">
        <v>78</v>
      </c>
      <c r="I46" s="57">
        <f>'MERCADO TUSD'!$U$43</f>
        <v>0.48499999999999999</v>
      </c>
      <c r="J46" s="16"/>
      <c r="L46" s="17">
        <f>1*(1 - CUSTOS!$M$31)</f>
        <v>1</v>
      </c>
      <c r="M46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0.87144660127922891</v>
      </c>
      <c r="N46" s="17">
        <f ca="1">(+M46+O46+R46+U46+V46+W46+X46+Y46+Z46+AA46+AC46+AH46+AI46+AJ46+AK46)*CUSTOS!$M$5</f>
        <v>1.9850434209085313</v>
      </c>
      <c r="O46" s="17">
        <f>1 - CUSTOS!$M$31</f>
        <v>1</v>
      </c>
      <c r="P46" s="17">
        <f>1 - CUSTOS!$M$31</f>
        <v>1</v>
      </c>
      <c r="Q46" s="17">
        <f>1*(1 - CUSTOS!$M$31)</f>
        <v>1</v>
      </c>
      <c r="R46" s="17">
        <f>1 - CUSTOS!$M$31</f>
        <v>1</v>
      </c>
      <c r="S46" s="17">
        <f>1 - CUSTOS!$M$31</f>
        <v>1</v>
      </c>
      <c r="T46" s="17"/>
      <c r="U46" s="17">
        <f>TRANSICAO!$U$46*CUSTOS!$T$3</f>
        <v>15.098800000000001</v>
      </c>
      <c r="V46" s="17">
        <f>TRANSICAO!$V$46*CUSTOS!$T$3</f>
        <v>11.2242</v>
      </c>
      <c r="W46" s="17">
        <f>TRANSICAO!$W$46*CUSTOS!$T$3</f>
        <v>3.3782000000000001</v>
      </c>
      <c r="X46" s="17">
        <f>TRANSICAO!$X$46*CUSTOS!$T$3</f>
        <v>0</v>
      </c>
      <c r="Y46" s="17">
        <f>TRANSICAO!$Y$46*CUSTOS!$T$3</f>
        <v>0</v>
      </c>
      <c r="Z46" s="17">
        <f>TRANSICAO!$Z$46*CUSTOS!$T$3</f>
        <v>0</v>
      </c>
      <c r="AA46" s="17">
        <f>TRANSICAO!$AA$46*CUSTOS!$T$3</f>
        <v>0</v>
      </c>
      <c r="AB46" s="17">
        <f>TRANSICAO!$AB$46*CUSTOS!$T$3</f>
        <v>0</v>
      </c>
      <c r="AC46" s="17">
        <f>TRANSICAO!$AC$46*CUSTOS!$T$3</f>
        <v>125.4736</v>
      </c>
      <c r="AD46" s="17">
        <f>TRANSICAO!$AD$46*CUSTOS!$T$3</f>
        <v>0</v>
      </c>
      <c r="AE46" s="17">
        <v>0</v>
      </c>
      <c r="AF46" s="17">
        <v>0</v>
      </c>
      <c r="AG46" s="17"/>
      <c r="AH46" s="17">
        <f>(1 - CUSTOS!$M$31)*19.5186</f>
        <v>19.518599999999999</v>
      </c>
      <c r="AI46" s="17">
        <f>(1 - CUSTOS!$M$31)*19.5186</f>
        <v>19.518599999999999</v>
      </c>
      <c r="AJ46" s="17">
        <f ca="1">$N$64*(1-CUSTOS!$M$31)</f>
        <v>0.71044774478695294</v>
      </c>
      <c r="AK46" s="17">
        <f t="shared" ca="1" si="0"/>
        <v>0.71044774478695294</v>
      </c>
      <c r="AL46" s="17"/>
      <c r="AM46" s="17"/>
      <c r="AP46" s="17">
        <f>IF((1 - CUSTOS!$M$31)&lt;&gt;0,1/(1 - CUSTOS!$M$31),1)</f>
        <v>1</v>
      </c>
    </row>
    <row r="47" spans="1:42" ht="11.25" customHeight="1" x14ac:dyDescent="0.25">
      <c r="A47" s="166"/>
      <c r="B47" s="166"/>
      <c r="C47" s="166"/>
      <c r="D47" s="166"/>
      <c r="E47" s="166"/>
      <c r="F47" s="166"/>
      <c r="G47" s="57" t="s">
        <v>80</v>
      </c>
      <c r="H47" s="57" t="s">
        <v>78</v>
      </c>
      <c r="I47" s="57">
        <f>'MERCADO TUSD'!$U$44</f>
        <v>6.2670000000000003</v>
      </c>
      <c r="J47" s="16"/>
      <c r="L47" s="17">
        <f>1*(1 - CUSTOS!$M$31)</f>
        <v>1</v>
      </c>
      <c r="M47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0.87144660127922891</v>
      </c>
      <c r="N47" s="17">
        <f ca="1">(+M47+O47+R47+U47+V47+W47+X47+Y47+Z47+AA47+AC47+AH47+AI47+AJ47+AK47)*CUSTOS!$M$5</f>
        <v>1.9850434209085313</v>
      </c>
      <c r="O47" s="17">
        <f>1 - CUSTOS!$M$31</f>
        <v>1</v>
      </c>
      <c r="P47" s="17">
        <f>1 - CUSTOS!$M$31</f>
        <v>1</v>
      </c>
      <c r="Q47" s="17">
        <f>1*(1 - CUSTOS!$M$31)</f>
        <v>1</v>
      </c>
      <c r="R47" s="17">
        <f>1 - CUSTOS!$M$31</f>
        <v>1</v>
      </c>
      <c r="S47" s="17">
        <f>1 - CUSTOS!$M$31</f>
        <v>1</v>
      </c>
      <c r="T47" s="17"/>
      <c r="U47" s="17">
        <f>TRANSICAO!$U$47*CUSTOS!$T$3</f>
        <v>15.098800000000001</v>
      </c>
      <c r="V47" s="17">
        <f>TRANSICAO!$V$47*CUSTOS!$T$3</f>
        <v>11.2242</v>
      </c>
      <c r="W47" s="17">
        <f>TRANSICAO!$W$47*CUSTOS!$T$3</f>
        <v>3.3782000000000001</v>
      </c>
      <c r="X47" s="17">
        <f>TRANSICAO!$X$47*CUSTOS!$T$3</f>
        <v>0</v>
      </c>
      <c r="Y47" s="17">
        <f>TRANSICAO!$Y$47*CUSTOS!$T$3</f>
        <v>0</v>
      </c>
      <c r="Z47" s="17">
        <f>TRANSICAO!$Z$47*CUSTOS!$T$3</f>
        <v>0</v>
      </c>
      <c r="AA47" s="17">
        <f>TRANSICAO!$AA$47*CUSTOS!$T$3</f>
        <v>0</v>
      </c>
      <c r="AB47" s="17">
        <f>TRANSICAO!$AB$47*CUSTOS!$T$3</f>
        <v>0</v>
      </c>
      <c r="AC47" s="17">
        <f>TRANSICAO!$AC$47*CUSTOS!$T$3</f>
        <v>125.4736</v>
      </c>
      <c r="AD47" s="17">
        <f>TRANSICAO!$AD$47*CUSTOS!$T$3</f>
        <v>0</v>
      </c>
      <c r="AE47" s="17">
        <v>0</v>
      </c>
      <c r="AF47" s="17">
        <v>0</v>
      </c>
      <c r="AG47" s="17"/>
      <c r="AH47" s="17">
        <f>(1 - CUSTOS!$M$31)*19.5186</f>
        <v>19.518599999999999</v>
      </c>
      <c r="AI47" s="17">
        <f>(1 - CUSTOS!$M$31)*19.5186</f>
        <v>19.518599999999999</v>
      </c>
      <c r="AJ47" s="17">
        <f ca="1">$N$64*(1-CUSTOS!$M$31)</f>
        <v>0.71044774478695294</v>
      </c>
      <c r="AK47" s="17">
        <f t="shared" ca="1" si="0"/>
        <v>0.71044774478695294</v>
      </c>
      <c r="AL47" s="17"/>
      <c r="AM47" s="17"/>
      <c r="AP47" s="17">
        <f>IF((1 - CUSTOS!$M$31)&lt;&gt;0,1/(1 - CUSTOS!$M$31),1)</f>
        <v>1</v>
      </c>
    </row>
    <row r="48" spans="1:42" ht="11.25" customHeight="1" x14ac:dyDescent="0.25">
      <c r="A48" s="166"/>
      <c r="B48" s="58" t="s">
        <v>23</v>
      </c>
      <c r="C48" s="58" t="s">
        <v>25</v>
      </c>
      <c r="D48" s="58" t="s">
        <v>25</v>
      </c>
      <c r="E48" s="58" t="s">
        <v>25</v>
      </c>
      <c r="F48" s="58" t="s">
        <v>25</v>
      </c>
      <c r="G48" s="57" t="s">
        <v>82</v>
      </c>
      <c r="H48" s="57" t="s">
        <v>78</v>
      </c>
      <c r="I48" s="57">
        <f>'MERCADO TUSD'!$U$45</f>
        <v>13646.102000000001</v>
      </c>
      <c r="J48" s="16"/>
      <c r="L48" s="17">
        <f>1*(1 - CUSTOS!$M$31)</f>
        <v>1</v>
      </c>
      <c r="M48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0.87144660127922891</v>
      </c>
      <c r="N48" s="17">
        <f ca="1">(+M48+O48+R48+U48+V48+W48+X48+Y48+Z48+AA48+AC48+AH48+AI48+AJ48+AK48)*CUSTOS!$M$5</f>
        <v>2.5302544209085314</v>
      </c>
      <c r="O48" s="17">
        <f>1 - CUSTOS!$M$31</f>
        <v>1</v>
      </c>
      <c r="P48" s="17">
        <f>1 - CUSTOS!$M$31</f>
        <v>1</v>
      </c>
      <c r="Q48" s="17">
        <f>1*(1 - CUSTOS!$M$31)</f>
        <v>1</v>
      </c>
      <c r="R48" s="17">
        <f>1 - CUSTOS!$M$31</f>
        <v>1</v>
      </c>
      <c r="S48" s="17">
        <f>1 - CUSTOS!$M$31</f>
        <v>1</v>
      </c>
      <c r="T48" s="17"/>
      <c r="U48" s="17">
        <f>TRANSICAO!$U$48*CUSTOS!$T$3</f>
        <v>20.4038</v>
      </c>
      <c r="V48" s="17">
        <f>TRANSICAO!$V$48*CUSTOS!$T$3</f>
        <v>15.167899999999999</v>
      </c>
      <c r="W48" s="17">
        <f>TRANSICAO!$W$48*CUSTOS!$T$3</f>
        <v>4.5651999999999999</v>
      </c>
      <c r="X48" s="17">
        <f>TRANSICAO!$X$48*CUSTOS!$T$3</f>
        <v>0</v>
      </c>
      <c r="Y48" s="17">
        <f>TRANSICAO!$Y$48*CUSTOS!$T$3</f>
        <v>0</v>
      </c>
      <c r="Z48" s="17">
        <f>TRANSICAO!$Z$48*CUSTOS!$T$3</f>
        <v>0</v>
      </c>
      <c r="AA48" s="17">
        <f>TRANSICAO!$AA$48*CUSTOS!$T$3</f>
        <v>0</v>
      </c>
      <c r="AB48" s="17">
        <f>TRANSICAO!$AB$48*CUSTOS!$T$3</f>
        <v>0</v>
      </c>
      <c r="AC48" s="17">
        <f>TRANSICAO!$AC$48*CUSTOS!$T$3</f>
        <v>169.559</v>
      </c>
      <c r="AD48" s="17">
        <f>TRANSICAO!$AD$48*CUSTOS!$T$3</f>
        <v>0</v>
      </c>
      <c r="AE48" s="17">
        <v>0</v>
      </c>
      <c r="AF48" s="17">
        <v>0</v>
      </c>
      <c r="AG48" s="17"/>
      <c r="AH48" s="17">
        <f>(1 - CUSTOS!$M$31)*19.5186</f>
        <v>19.518599999999999</v>
      </c>
      <c r="AI48" s="17">
        <f>(1 - CUSTOS!$M$31)*19.5186</f>
        <v>19.518599999999999</v>
      </c>
      <c r="AJ48" s="17">
        <f ca="1">$N$64*(1-CUSTOS!$M$31)</f>
        <v>0.71044774478695294</v>
      </c>
      <c r="AK48" s="17">
        <f t="shared" ca="1" si="0"/>
        <v>0.71044774478695294</v>
      </c>
      <c r="AL48" s="17"/>
      <c r="AM48" s="17"/>
      <c r="AP48" s="17">
        <f>IF((1 - CUSTOS!$M$31)&lt;&gt;0,1/(1 - CUSTOS!$M$31),1)</f>
        <v>1</v>
      </c>
    </row>
    <row r="49" spans="1:42" ht="11.25" customHeight="1" x14ac:dyDescent="0.25">
      <c r="A49" s="166"/>
      <c r="B49" s="58" t="s">
        <v>94</v>
      </c>
      <c r="C49" s="58" t="s">
        <v>25</v>
      </c>
      <c r="D49" s="58" t="s">
        <v>25</v>
      </c>
      <c r="E49" s="58" t="s">
        <v>25</v>
      </c>
      <c r="F49" s="58" t="s">
        <v>25</v>
      </c>
      <c r="G49" s="57" t="s">
        <v>82</v>
      </c>
      <c r="H49" s="57" t="s">
        <v>78</v>
      </c>
      <c r="I49" s="57">
        <f>'MERCADO TUSD'!$U$46</f>
        <v>0</v>
      </c>
      <c r="J49" s="16"/>
      <c r="L49" s="17">
        <f>1*(1 - CUSTOS!$M$31)</f>
        <v>1</v>
      </c>
      <c r="M49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0.87144660127922891</v>
      </c>
      <c r="N49" s="17">
        <f ca="1">(+M49+O49+R49+U49+V49+W49+X49+Y49+Z49+AA49+AC49+AH49+AI49+AJ49+AK49)*CUSTOS!$M$5</f>
        <v>2.5302544209085314</v>
      </c>
      <c r="O49" s="17">
        <f>1 - CUSTOS!$M$31</f>
        <v>1</v>
      </c>
      <c r="P49" s="17">
        <f>1 - CUSTOS!$M$31</f>
        <v>1</v>
      </c>
      <c r="Q49" s="17">
        <f>1*(1 - CUSTOS!$M$31)</f>
        <v>1</v>
      </c>
      <c r="R49" s="17">
        <f>1 - CUSTOS!$M$31</f>
        <v>1</v>
      </c>
      <c r="S49" s="17">
        <f>1 - CUSTOS!$M$31</f>
        <v>1</v>
      </c>
      <c r="T49" s="17"/>
      <c r="U49" s="17">
        <f>TRANSICAO!$U$49*CUSTOS!$T$3</f>
        <v>20.4038</v>
      </c>
      <c r="V49" s="17">
        <f>TRANSICAO!$V$49*CUSTOS!$T$3</f>
        <v>15.167899999999999</v>
      </c>
      <c r="W49" s="17">
        <f>TRANSICAO!$W$49*CUSTOS!$T$3</f>
        <v>4.5651999999999999</v>
      </c>
      <c r="X49" s="17">
        <f>TRANSICAO!$X$49*CUSTOS!$T$3</f>
        <v>0</v>
      </c>
      <c r="Y49" s="17">
        <f>TRANSICAO!$Y$49*CUSTOS!$T$3</f>
        <v>0</v>
      </c>
      <c r="Z49" s="17">
        <f>TRANSICAO!$Z$49*CUSTOS!$T$3</f>
        <v>0</v>
      </c>
      <c r="AA49" s="17">
        <f>TRANSICAO!$AA$49*CUSTOS!$T$3</f>
        <v>0</v>
      </c>
      <c r="AB49" s="17">
        <f>TRANSICAO!$AB$49*CUSTOS!$T$3</f>
        <v>0</v>
      </c>
      <c r="AC49" s="17">
        <f>TRANSICAO!$AC$49*CUSTOS!$T$3</f>
        <v>169.559</v>
      </c>
      <c r="AD49" s="17">
        <f>TRANSICAO!$AD$49*CUSTOS!$T$3</f>
        <v>0</v>
      </c>
      <c r="AE49" s="17">
        <v>0</v>
      </c>
      <c r="AF49" s="17">
        <v>0</v>
      </c>
      <c r="AG49" s="17"/>
      <c r="AH49" s="17">
        <f>(1 - CUSTOS!$M$31)*19.5186</f>
        <v>19.518599999999999</v>
      </c>
      <c r="AI49" s="17">
        <f>(1 - CUSTOS!$M$31)*19.5186</f>
        <v>19.518599999999999</v>
      </c>
      <c r="AJ49" s="17">
        <f ca="1">$N$64*(1-CUSTOS!$M$31)</f>
        <v>0.71044774478695294</v>
      </c>
      <c r="AK49" s="17">
        <f t="shared" ca="1" si="0"/>
        <v>0.71044774478695294</v>
      </c>
      <c r="AL49" s="17"/>
      <c r="AM49" s="17"/>
      <c r="AP49" s="17">
        <f>IF((1 - CUSTOS!$M$31)&lt;&gt;0,1/(1 - CUSTOS!$M$31),1)</f>
        <v>1</v>
      </c>
    </row>
    <row r="50" spans="1:42" ht="11.25" customHeight="1" x14ac:dyDescent="0.25">
      <c r="A50" s="166" t="s">
        <v>45</v>
      </c>
      <c r="B50" s="166" t="s">
        <v>23</v>
      </c>
      <c r="C50" s="166" t="s">
        <v>46</v>
      </c>
      <c r="D50" s="58" t="s">
        <v>47</v>
      </c>
      <c r="E50" s="58" t="s">
        <v>25</v>
      </c>
      <c r="F50" s="58" t="s">
        <v>25</v>
      </c>
      <c r="G50" s="57" t="s">
        <v>82</v>
      </c>
      <c r="H50" s="57" t="s">
        <v>78</v>
      </c>
      <c r="I50" s="57">
        <f>'MERCADO TUSD'!$U$47</f>
        <v>4914.0960000000005</v>
      </c>
      <c r="J50" s="16"/>
      <c r="L50" s="17">
        <f>1*(1 - CUSTOS!$M$32)</f>
        <v>0.55000000000000004</v>
      </c>
      <c r="M50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CUSTOS!$M$32)</f>
        <v>0.47929563070357595</v>
      </c>
      <c r="N50" s="17">
        <f ca="1">(+M50+O50+R50+U50+V50+W50+X50+Y50+Z50+AA50+AC50+AH50+AI50+AJ50+AK50)*CUSTOS!$M$5</f>
        <v>1.3916399314996926</v>
      </c>
      <c r="O50" s="17">
        <f>1 - CUSTOS!$M$32</f>
        <v>0.55000000000000004</v>
      </c>
      <c r="P50" s="17">
        <f>1 - CUSTOS!$M$32</f>
        <v>0.55000000000000004</v>
      </c>
      <c r="Q50" s="17">
        <f>1*(1 - CUSTOS!$M$32)</f>
        <v>0.55000000000000004</v>
      </c>
      <c r="R50" s="17">
        <f>1 - CUSTOS!$M$32</f>
        <v>0.55000000000000004</v>
      </c>
      <c r="S50" s="17">
        <f>1 - CUSTOS!$M$32</f>
        <v>0.55000000000000004</v>
      </c>
      <c r="T50" s="17"/>
      <c r="U50" s="17">
        <f>TRANSICAO!$U$50*CUSTOS!$T$3</f>
        <v>11.222090000000001</v>
      </c>
      <c r="V50" s="17">
        <f>TRANSICAO!$V$50*CUSTOS!$T$3</f>
        <v>8.3423449999999999</v>
      </c>
      <c r="W50" s="17">
        <f>TRANSICAO!$W$50*CUSTOS!$T$3</f>
        <v>2.5108600000000001</v>
      </c>
      <c r="X50" s="17">
        <f>TRANSICAO!$X$50*CUSTOS!$T$3</f>
        <v>0</v>
      </c>
      <c r="Y50" s="17">
        <f>TRANSICAO!$Y$50*CUSTOS!$T$3</f>
        <v>0</v>
      </c>
      <c r="Z50" s="17">
        <f>TRANSICAO!$Z$50*CUSTOS!$T$3</f>
        <v>0</v>
      </c>
      <c r="AA50" s="17">
        <f>TRANSICAO!$AA$50*CUSTOS!$T$3</f>
        <v>0</v>
      </c>
      <c r="AB50" s="17">
        <f>TRANSICAO!$AB$50*CUSTOS!$T$3</f>
        <v>0</v>
      </c>
      <c r="AC50" s="17">
        <f>TRANSICAO!$AC$50*CUSTOS!$T$3</f>
        <v>93.257450000000006</v>
      </c>
      <c r="AD50" s="17">
        <f>TRANSICAO!$AD$50*CUSTOS!$T$3</f>
        <v>0</v>
      </c>
      <c r="AE50" s="17">
        <v>0</v>
      </c>
      <c r="AF50" s="17">
        <v>0</v>
      </c>
      <c r="AG50" s="17"/>
      <c r="AH50" s="17">
        <f>(1 - CUSTOS!$M$32)*19.5186</f>
        <v>10.73523</v>
      </c>
      <c r="AI50" s="17">
        <f>(1 - CUSTOS!$M$32)*19.5186</f>
        <v>10.73523</v>
      </c>
      <c r="AJ50" s="17">
        <f ca="1">$N$64*(1-CUSTOS!$M$32)</f>
        <v>0.39074625963282417</v>
      </c>
      <c r="AK50" s="17">
        <f t="shared" ca="1" si="0"/>
        <v>0.39074625963282417</v>
      </c>
      <c r="AL50" s="17"/>
      <c r="AM50" s="17"/>
      <c r="AP50" s="17">
        <f>IF((1 - CUSTOS!$M$32)&lt;&gt;0,1/(1 - CUSTOS!$M$32),1)</f>
        <v>1.8181818181818181</v>
      </c>
    </row>
    <row r="51" spans="1:42" ht="11.25" customHeight="1" x14ac:dyDescent="0.25">
      <c r="A51" s="166"/>
      <c r="B51" s="166"/>
      <c r="C51" s="166"/>
      <c r="D51" s="57" t="s">
        <v>97</v>
      </c>
      <c r="E51" s="57" t="s">
        <v>25</v>
      </c>
      <c r="F51" s="57" t="s">
        <v>25</v>
      </c>
      <c r="G51" s="57" t="s">
        <v>82</v>
      </c>
      <c r="H51" s="57" t="s">
        <v>78</v>
      </c>
      <c r="I51" s="57">
        <f>'MERCADO TUSD'!$U$48</f>
        <v>0</v>
      </c>
      <c r="J51" s="16"/>
      <c r="L51" s="17">
        <f>1*(1 - CUSTOS!$M$33)</f>
        <v>0.6</v>
      </c>
      <c r="M51" s="17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CUSTOS!$M$33)</f>
        <v>0.52286796076753728</v>
      </c>
      <c r="N51" s="17">
        <f ca="1">(+M51+O51+R51+U51+V51+W51+X51+Y51+Z51+AA51+AC51+AH51+AI51+AJ51+AK51)*CUSTOS!$M$5</f>
        <v>1.5181526525451188</v>
      </c>
      <c r="O51" s="17">
        <f>1 - CUSTOS!$M$33</f>
        <v>0.6</v>
      </c>
      <c r="P51" s="17">
        <f>1 - CUSTOS!$M$33</f>
        <v>0.6</v>
      </c>
      <c r="Q51" s="17">
        <f>1*(1 - CUSTOS!$M$33)</f>
        <v>0.6</v>
      </c>
      <c r="R51" s="17">
        <f>1 - CUSTOS!$M$33</f>
        <v>0.6</v>
      </c>
      <c r="S51" s="17">
        <f>1 - CUSTOS!$M$33</f>
        <v>0.6</v>
      </c>
      <c r="T51" s="17"/>
      <c r="U51" s="17">
        <f>TRANSICAO!$U$51*CUSTOS!$T$3</f>
        <v>12.242279999999999</v>
      </c>
      <c r="V51" s="17">
        <f>TRANSICAO!$V$51*CUSTOS!$T$3</f>
        <v>9.1007400000000001</v>
      </c>
      <c r="W51" s="17">
        <f>TRANSICAO!$W$51*CUSTOS!$T$3</f>
        <v>2.7391199999999998</v>
      </c>
      <c r="X51" s="17">
        <f>TRANSICAO!$X$51*CUSTOS!$T$3</f>
        <v>0</v>
      </c>
      <c r="Y51" s="17">
        <f>TRANSICAO!$Y$51*CUSTOS!$T$3</f>
        <v>0</v>
      </c>
      <c r="Z51" s="17">
        <f>TRANSICAO!$Z$51*CUSTOS!$T$3</f>
        <v>0</v>
      </c>
      <c r="AA51" s="17">
        <f>TRANSICAO!$AA$51*CUSTOS!$T$3</f>
        <v>0</v>
      </c>
      <c r="AB51" s="17">
        <f>TRANSICAO!$AB$51*CUSTOS!$T$3</f>
        <v>0</v>
      </c>
      <c r="AC51" s="17">
        <f>TRANSICAO!$AC$51*CUSTOS!$T$3</f>
        <v>101.7354</v>
      </c>
      <c r="AD51" s="17">
        <f>TRANSICAO!$AD$51*CUSTOS!$T$3</f>
        <v>0</v>
      </c>
      <c r="AE51" s="17">
        <v>0</v>
      </c>
      <c r="AF51" s="17">
        <v>0</v>
      </c>
      <c r="AG51" s="17"/>
      <c r="AH51" s="17">
        <f>(1 - CUSTOS!$M$33)*19.5186</f>
        <v>11.71116</v>
      </c>
      <c r="AI51" s="17">
        <f>(1 - CUSTOS!$M$33)*19.5186</f>
        <v>11.71116</v>
      </c>
      <c r="AJ51" s="17">
        <f ca="1">$N$64*(1-CUSTOS!$M$33)</f>
        <v>0.42626864687217175</v>
      </c>
      <c r="AK51" s="17">
        <f t="shared" ca="1" si="0"/>
        <v>0.42626864687217175</v>
      </c>
      <c r="AL51" s="17"/>
      <c r="AM51" s="17"/>
      <c r="AP51" s="17">
        <f>IF((1 - CUSTOS!$M$33)&lt;&gt;0,1/(1 - CUSTOS!$M$33),1)</f>
        <v>1.6666666666666667</v>
      </c>
    </row>
    <row r="53" spans="1:42" ht="11.25" customHeight="1" x14ac:dyDescent="0.25">
      <c r="K53" s="53" t="s">
        <v>576</v>
      </c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</row>
    <row r="54" spans="1:42" ht="11.25" customHeight="1" x14ac:dyDescent="0.25">
      <c r="K54" s="53" t="s">
        <v>577</v>
      </c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</row>
    <row r="55" spans="1:42" ht="11.25" customHeight="1" x14ac:dyDescent="0.25">
      <c r="K55" s="53" t="s">
        <v>578</v>
      </c>
      <c r="L55" s="17">
        <f>IF(ISERROR(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,0,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</f>
        <v>113333.42799999999</v>
      </c>
      <c r="M55" s="17">
        <f>IF(ISERROR(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,0,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</f>
        <v>77094.416141568741</v>
      </c>
      <c r="N55" s="17">
        <f ca="1">IF(ISERROR(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,0,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</f>
        <v>189215.56380896023</v>
      </c>
      <c r="O55" s="17">
        <f>IF(ISERROR(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,0,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</f>
        <v>125666.54679999998</v>
      </c>
      <c r="P55" s="17">
        <f>IF(ISERROR(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,0,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</f>
        <v>124228.54079999999</v>
      </c>
      <c r="Q55" s="17">
        <f>IF(ISERROR(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,0,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</f>
        <v>113333.42799999999</v>
      </c>
      <c r="R55" s="17">
        <f>IF(ISERROR(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,0,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</f>
        <v>124228.54079999999</v>
      </c>
      <c r="S55" s="17">
        <f>IF(ISERROR(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,0,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</f>
        <v>125666.54679999998</v>
      </c>
      <c r="T55" s="17"/>
      <c r="U55" s="17">
        <f>IF(ISERROR(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,0,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</f>
        <v>3020115.5768514397</v>
      </c>
      <c r="V55" s="17">
        <f>IF(ISERROR(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,0,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</f>
        <v>2210632.9645643197</v>
      </c>
      <c r="W55" s="17">
        <f>IF(ISERROR(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,0,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</f>
        <v>672444.02704055991</v>
      </c>
      <c r="X55" s="17">
        <f>IF(ISERROR(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,0,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</f>
        <v>0</v>
      </c>
      <c r="Y55" s="17">
        <f>IF(ISERROR(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,0,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</f>
        <v>0</v>
      </c>
      <c r="Z55" s="17">
        <f>IF(ISERROR(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,0,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</f>
        <v>0</v>
      </c>
      <c r="AA55" s="17">
        <f>IF(ISERROR(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,0,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</f>
        <v>0</v>
      </c>
      <c r="AB55" s="17"/>
      <c r="AC55" s="17">
        <f>IF(ISERROR(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,0,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</f>
        <v>15030975.739777453</v>
      </c>
      <c r="AD55" s="17"/>
      <c r="AE55" s="17">
        <f>IF(ISERROR(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,0,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</f>
        <v>0</v>
      </c>
      <c r="AF55" s="17">
        <f>IF(ISERROR(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,0,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</f>
        <v>0</v>
      </c>
      <c r="AG55" s="17"/>
      <c r="AH55" s="17">
        <f>IF(ISERROR(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,0,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</f>
        <v>1499512.6903704798</v>
      </c>
      <c r="AI55" s="17">
        <f>IF(ISERROR(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,0,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</f>
        <v>1499512.6903704798</v>
      </c>
      <c r="AJ55" s="17">
        <f ca="1">IF(ISERROR(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,0,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</f>
        <v>76391.34358988193</v>
      </c>
      <c r="AK55" s="17">
        <f ca="1">IF(ISERROR(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,0,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</f>
        <v>76391.34358988193</v>
      </c>
      <c r="AL55" s="17"/>
      <c r="AM55" s="17"/>
    </row>
    <row r="56" spans="1:42" ht="11.25" customHeight="1" x14ac:dyDescent="0.25">
      <c r="K56" s="53" t="s">
        <v>525</v>
      </c>
      <c r="L56" s="17">
        <f>CUSTOS!$D$2</f>
        <v>801843.46340475301</v>
      </c>
      <c r="M56" s="17">
        <f>CUSTOS!$D$3</f>
        <v>78461.746657470198</v>
      </c>
      <c r="N56" s="17">
        <f>CUSTOS!$D$4</f>
        <v>168067.03071432331</v>
      </c>
      <c r="O56" s="17">
        <f>CUSTOS!$D$5</f>
        <v>0</v>
      </c>
      <c r="P56" s="17">
        <f>CUSTOS!$D$6</f>
        <v>0</v>
      </c>
      <c r="Q56" s="17">
        <f>CUSTOS!$D$7</f>
        <v>9962170.6825543884</v>
      </c>
      <c r="R56" s="17">
        <f>CUSTOS!$D$8</f>
        <v>1726269.2331153487</v>
      </c>
      <c r="S56" s="17">
        <f>CUSTOS!$D$9</f>
        <v>0</v>
      </c>
      <c r="T56" s="17">
        <f>CUSTOS!$D$10</f>
        <v>12736812.156446284</v>
      </c>
      <c r="U56" s="17">
        <f>CUSTOS!$D$11</f>
        <v>4439052</v>
      </c>
      <c r="V56" s="17">
        <f>IF(SUM(V53:V55)&lt;&gt;0,CUSTOS!$D$12+CUSTOS!$D$16+CUSTOS!$D$17-'TR TUSD'!$Z$54-'TR TUSD'!$AA$54,0)</f>
        <v>3663381</v>
      </c>
      <c r="W56" s="17">
        <f>CUSTOS!$D$13</f>
        <v>682539.065472143</v>
      </c>
      <c r="X56" s="17">
        <f>CUSTOS!$D$14</f>
        <v>0</v>
      </c>
      <c r="Y56" s="17">
        <f>IF(SUM(V53:V55)=0,CUSTOS!$D$15+CUSTOS!$D$16+CUSTOS!$D$17-'TR TUSD'!$Z$54-'TR TUSD'!$AA$54,CUSTOS!$D$15)</f>
        <v>0</v>
      </c>
      <c r="Z56" s="17">
        <f>Z54</f>
        <v>0</v>
      </c>
      <c r="AA56" s="17">
        <f>AA54</f>
        <v>0</v>
      </c>
      <c r="AB56" s="17">
        <f>CUSTOS!$D$18</f>
        <v>8784972.0654721428</v>
      </c>
      <c r="AC56" s="17">
        <f>CUSTOS!$D$19</f>
        <v>15266236.414843004</v>
      </c>
      <c r="AD56" s="17">
        <f>CUSTOS!$D$20</f>
        <v>15266236.414843004</v>
      </c>
      <c r="AE56" s="17">
        <f>CUSTOS!$D$21</f>
        <v>0</v>
      </c>
      <c r="AF56" s="17">
        <f>CUSTOS!$D$22</f>
        <v>0</v>
      </c>
      <c r="AG56" s="17">
        <f>CUSTOS!$D$23</f>
        <v>0</v>
      </c>
      <c r="AH56" s="17">
        <f>CUSTOS!$D$24</f>
        <v>1547903.6532732847</v>
      </c>
      <c r="AI56" s="17">
        <f>CUSTOS!$D$25</f>
        <v>0</v>
      </c>
      <c r="AJ56" s="17">
        <f>CUSTOS!$D$26</f>
        <v>77962.38737927188</v>
      </c>
      <c r="AK56" s="17">
        <f>CUSTOS!$D$27</f>
        <v>32354.008021129412</v>
      </c>
      <c r="AL56" s="17">
        <f>CUSTOS!$D$28</f>
        <v>1658220.0486736861</v>
      </c>
      <c r="AM56" s="17">
        <f>CUSTOS!$D$29</f>
        <v>38446240.685435116</v>
      </c>
    </row>
    <row r="57" spans="1:42" ht="11.25" customHeight="1" x14ac:dyDescent="0.25">
      <c r="K57" s="53" t="s">
        <v>526</v>
      </c>
      <c r="L57" s="17">
        <f>CUSTOS!$E$2</f>
        <v>-69547.320604305176</v>
      </c>
      <c r="M57" s="17">
        <f>CUSTOS!$E$3</f>
        <v>-3827.8660232869229</v>
      </c>
      <c r="N57" s="17">
        <f>CUSTOS!$E$4</f>
        <v>-6.8718722642662463E-3</v>
      </c>
      <c r="O57" s="17">
        <f>CUSTOS!$E$5</f>
        <v>0</v>
      </c>
      <c r="P57" s="17">
        <f>CUSTOS!$E$6</f>
        <v>0</v>
      </c>
      <c r="Q57" s="17">
        <f>CUSTOS!$E$7</f>
        <v>-375384.78610073053</v>
      </c>
      <c r="R57" s="17">
        <f>CUSTOS!$E$8</f>
        <v>-65727.578377463738</v>
      </c>
      <c r="S57" s="17">
        <f>CUSTOS!$E$9</f>
        <v>0</v>
      </c>
      <c r="T57" s="17">
        <f>CUSTOS!$E$10</f>
        <v>-514487.55797765864</v>
      </c>
      <c r="U57" s="17">
        <f>CUSTOS!$E$11</f>
        <v>-139159.46940852149</v>
      </c>
      <c r="V57" s="17">
        <f>CUSTOS!$E$12</f>
        <v>-95115.907805428113</v>
      </c>
      <c r="W57" s="17">
        <f>CUSTOS!$E$13</f>
        <v>-9712.1759204647551</v>
      </c>
      <c r="X57" s="17">
        <f>CUSTOS!$E$14</f>
        <v>0</v>
      </c>
      <c r="Y57" s="17">
        <f>CUSTOS!$E$15</f>
        <v>0</v>
      </c>
      <c r="Z57" s="17">
        <f>CUSTOS!$E$16</f>
        <v>0</v>
      </c>
      <c r="AA57" s="17">
        <f>CUSTOS!$E$17</f>
        <v>0</v>
      </c>
      <c r="AB57" s="17">
        <f>CUSTOS!$E$18</f>
        <v>-243987.55313441437</v>
      </c>
      <c r="AC57" s="17">
        <f>CUSTOS!$E$19</f>
        <v>-283442.02355059516</v>
      </c>
      <c r="AD57" s="17">
        <f>CUSTOS!$E$20</f>
        <v>-283442.02355059516</v>
      </c>
      <c r="AE57" s="17">
        <f>CUSTOS!$E$21</f>
        <v>-6880851.7402948737</v>
      </c>
      <c r="AF57" s="17">
        <f>CUSTOS!$E$22</f>
        <v>0</v>
      </c>
      <c r="AG57" s="17">
        <f>CUSTOS!$E$23</f>
        <v>-6880851.7402948737</v>
      </c>
      <c r="AH57" s="17">
        <f>CUSTOS!$E$24</f>
        <v>5681.6485744174561</v>
      </c>
      <c r="AI57" s="17">
        <f>CUSTOS!$E$25</f>
        <v>0</v>
      </c>
      <c r="AJ57" s="17">
        <f>CUSTOS!$E$26</f>
        <v>286.16437862584286</v>
      </c>
      <c r="AK57" s="17">
        <f>CUSTOS!$E$27</f>
        <v>15165.650568105193</v>
      </c>
      <c r="AL57" s="17">
        <f>CUSTOS!$E$28</f>
        <v>21133.463521148493</v>
      </c>
      <c r="AM57" s="17">
        <f>CUSTOS!$E$29</f>
        <v>-7901635.4114363939</v>
      </c>
    </row>
    <row r="58" spans="1:42" ht="11.25" customHeight="1" x14ac:dyDescent="0.25">
      <c r="K58" s="53" t="s">
        <v>527</v>
      </c>
      <c r="L58" s="17">
        <f>CUSTOS!$F$2</f>
        <v>52600.790343551183</v>
      </c>
      <c r="M58" s="17">
        <f>CUSTOS!$F$3</f>
        <v>0</v>
      </c>
      <c r="N58" s="17">
        <f>CUSTOS!$F$4</f>
        <v>0</v>
      </c>
      <c r="O58" s="17">
        <f>CUSTOS!$F$5</f>
        <v>0</v>
      </c>
      <c r="P58" s="17">
        <f>CUSTOS!$F$6</f>
        <v>0</v>
      </c>
      <c r="Q58" s="17">
        <f>CUSTOS!$F$7</f>
        <v>1737250.662</v>
      </c>
      <c r="R58" s="17">
        <f>CUSTOS!$F$8</f>
        <v>418561.50550000003</v>
      </c>
      <c r="S58" s="17">
        <f>CUSTOS!$F$9</f>
        <v>0</v>
      </c>
      <c r="T58" s="17">
        <f>CUSTOS!$F$10</f>
        <v>2208412.9578435514</v>
      </c>
      <c r="U58" s="17">
        <f>CUSTOS!$F$11</f>
        <v>257590.31433967402</v>
      </c>
      <c r="V58" s="17">
        <f>CUSTOS!$F$12</f>
        <v>212579.50196032607</v>
      </c>
      <c r="W58" s="17">
        <f>CUSTOS!$F$13</f>
        <v>0</v>
      </c>
      <c r="X58" s="17">
        <f>CUSTOS!$F$14</f>
        <v>0</v>
      </c>
      <c r="Y58" s="17">
        <f>CUSTOS!$F$15</f>
        <v>0</v>
      </c>
      <c r="Z58" s="17">
        <f>CUSTOS!$F$16</f>
        <v>0</v>
      </c>
      <c r="AA58" s="17">
        <f>CUSTOS!$F$17</f>
        <v>0</v>
      </c>
      <c r="AB58" s="17">
        <f>CUSTOS!$F$18</f>
        <v>470169.81630000006</v>
      </c>
      <c r="AC58" s="17">
        <f>CUSTOS!$F$19</f>
        <v>0</v>
      </c>
      <c r="AD58" s="17">
        <f>CUSTOS!$F$20</f>
        <v>0</v>
      </c>
      <c r="AE58" s="17">
        <f>CUSTOS!$F$21</f>
        <v>0</v>
      </c>
      <c r="AF58" s="17">
        <f>CUSTOS!$F$22</f>
        <v>0</v>
      </c>
      <c r="AG58" s="17">
        <f>CUSTOS!$F$23</f>
        <v>0</v>
      </c>
      <c r="AH58" s="17">
        <f>CUSTOS!$F$24</f>
        <v>65906.28863332489</v>
      </c>
      <c r="AI58" s="17">
        <f>CUSTOS!$F$25</f>
        <v>0</v>
      </c>
      <c r="AJ58" s="17">
        <f>CUSTOS!$F$26</f>
        <v>3319.4647446537288</v>
      </c>
      <c r="AK58" s="17">
        <f>CUSTOS!$F$27</f>
        <v>0</v>
      </c>
      <c r="AL58" s="17">
        <f>CUSTOS!$F$28</f>
        <v>69225.753377978617</v>
      </c>
      <c r="AM58" s="17">
        <f>CUSTOS!$F$29</f>
        <v>2747808.5275215302</v>
      </c>
    </row>
    <row r="59" spans="1:42" ht="11.25" customHeight="1" x14ac:dyDescent="0.25">
      <c r="K59" s="53" t="s">
        <v>579</v>
      </c>
      <c r="L59" s="17">
        <v>0</v>
      </c>
      <c r="M59" s="17">
        <v>0</v>
      </c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/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  <c r="AA59" s="17">
        <v>0</v>
      </c>
      <c r="AB59" s="17"/>
      <c r="AC59" s="17">
        <v>0</v>
      </c>
      <c r="AD59" s="17"/>
      <c r="AE59" s="17">
        <v>0</v>
      </c>
      <c r="AF59" s="17">
        <v>0</v>
      </c>
      <c r="AG59" s="17"/>
      <c r="AH59" s="17">
        <v>0</v>
      </c>
      <c r="AI59" s="17">
        <v>0</v>
      </c>
      <c r="AJ59" s="17">
        <v>0</v>
      </c>
      <c r="AK59" s="17">
        <v>0</v>
      </c>
      <c r="AL59" s="17"/>
      <c r="AM59" s="17"/>
    </row>
    <row r="60" spans="1:42" ht="11.25" customHeight="1" x14ac:dyDescent="0.25">
      <c r="K60" s="53" t="s">
        <v>580</v>
      </c>
      <c r="L60" s="17">
        <f t="shared" ref="L60:S60" si="1">IF((L55+L53)&lt;&gt;0,(L56-L54-L59)/(L55+L53),0)</f>
        <v>7.075083473207509</v>
      </c>
      <c r="M60" s="17">
        <f t="shared" si="1"/>
        <v>1.0177357918294707</v>
      </c>
      <c r="N60" s="17">
        <f t="shared" ca="1" si="1"/>
        <v>0.88823047814402123</v>
      </c>
      <c r="O60" s="17">
        <f t="shared" si="1"/>
        <v>0</v>
      </c>
      <c r="P60" s="17">
        <f t="shared" si="1"/>
        <v>0</v>
      </c>
      <c r="Q60" s="17">
        <f t="shared" si="1"/>
        <v>87.901432598989146</v>
      </c>
      <c r="R60" s="17">
        <f t="shared" si="1"/>
        <v>13.895914916158693</v>
      </c>
      <c r="S60" s="17">
        <f t="shared" si="1"/>
        <v>0</v>
      </c>
      <c r="T60" s="17"/>
      <c r="U60" s="17">
        <f>IF(U55&lt;&gt;0,(U56-U54-U53-U59)/U55,0)</f>
        <v>1.4698285171681555</v>
      </c>
      <c r="V60" s="17">
        <f>IF(V55&lt;&gt;0,(V56-V54-V53-V59)/V55,0)</f>
        <v>1.6571638343961788</v>
      </c>
      <c r="W60" s="17">
        <f>IF(W55&lt;&gt;0,(W56-W54-W53-W59)/W55,0)</f>
        <v>1.0150124590681719</v>
      </c>
      <c r="X60" s="17">
        <f>IF(X55&lt;&gt;0,(X56-X54-X53-X59)/X55,0)</f>
        <v>0</v>
      </c>
      <c r="Y60" s="17">
        <f>IF(Y55&lt;&gt;0,(Y56-Y54-Y53-Y59)/Y55,0)</f>
        <v>0</v>
      </c>
      <c r="Z60" s="17"/>
      <c r="AA60" s="17"/>
      <c r="AB60" s="17"/>
      <c r="AC60" s="17">
        <f>IF(AC55&lt;&gt;0,(AC56-AC54-AC53-AC59)/AC55,0)</f>
        <v>1.0156517234235809</v>
      </c>
      <c r="AD60" s="17"/>
      <c r="AE60" s="17">
        <f>IF((AE55+AE53)&lt;&gt;0,(AE56-AE54-AE59)/(AE55+AE53),0)</f>
        <v>0</v>
      </c>
      <c r="AF60" s="17">
        <f>IF((AF55+AF53)&lt;&gt;0,(AF56-AF54-AF59)/(AF55+AF53),0)</f>
        <v>0</v>
      </c>
      <c r="AG60" s="17"/>
      <c r="AH60" s="17">
        <f>IF(AH55&lt;&gt;0,(AH56-AH54-AH53-AH59)/AH55,0)</f>
        <v>1.0322711259554922</v>
      </c>
      <c r="AI60" s="17">
        <f>IF(AI55&lt;&gt;0,(AI56-AI54-AI53-AI59)/AI55,0)</f>
        <v>0</v>
      </c>
      <c r="AJ60" s="17">
        <f ca="1">IF((AJ55+AJ53)&lt;&gt;0,(AJ56-AJ54-AJ59)/(AJ55+AJ53),0)</f>
        <v>1.0205657305600531</v>
      </c>
      <c r="AK60" s="17">
        <f ca="1">IF((AK55+AK53)&lt;&gt;0,(AK56-AK54-AK59)/(AK55+AK53),0)</f>
        <v>0.4235297679122732</v>
      </c>
      <c r="AL60" s="17"/>
      <c r="AM60" s="17"/>
    </row>
    <row r="62" spans="1:42" ht="11.25" customHeight="1" x14ac:dyDescent="0.25">
      <c r="K62" s="63" t="s">
        <v>1115</v>
      </c>
      <c r="L62" s="63" t="s">
        <v>1116</v>
      </c>
      <c r="M62" s="63" t="s">
        <v>1117</v>
      </c>
      <c r="N62" s="63" t="s">
        <v>1118</v>
      </c>
      <c r="O62" s="63" t="s">
        <v>1119</v>
      </c>
      <c r="P62" s="63" t="s">
        <v>1120</v>
      </c>
    </row>
    <row r="63" spans="1:42" ht="11.25" customHeight="1" x14ac:dyDescent="0.25">
      <c r="K63" s="57" t="s">
        <v>38</v>
      </c>
      <c r="L63" s="57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</f>
        <v>17385362.965082746</v>
      </c>
      <c r="M63" s="57">
        <f>+'TUSD BE'!$I$7+'TUSD BE'!$I$8+'TUSD BE'!$I$11+'TUSD BE'!$I$12+'TUSD BE'!$I$13+'TUSD BE'!$I$14</f>
        <v>68094.454999999987</v>
      </c>
      <c r="N63" s="57">
        <f ca="1">IF(AND($L$70&lt;&gt;0,M63&lt;&gt;0),(L63/$L$70*$AJ$56)/M63,0)</f>
        <v>0.52117871870631038</v>
      </c>
      <c r="O63" s="57"/>
      <c r="P63" s="57"/>
    </row>
    <row r="64" spans="1:42" ht="11.25" customHeight="1" x14ac:dyDescent="0.25">
      <c r="K64" s="57" t="s">
        <v>89</v>
      </c>
      <c r="L64" s="57">
        <f ca="1">+$L$65+$L$66+$L$67+$L$68+$L$69</f>
        <v>20806467.136138417</v>
      </c>
      <c r="M64" s="57">
        <f>+$M$65+$M$66+$M$67+$M$68+$M$69</f>
        <v>59783.434999999983</v>
      </c>
      <c r="N64" s="57">
        <f ca="1">IF(AND($L$70&lt;&gt;0,M64&lt;&gt;0),(L64/$L$70*$AJ$56)/M64,0)</f>
        <v>0.71044774478695294</v>
      </c>
      <c r="O64" s="57"/>
      <c r="P64" s="57"/>
    </row>
    <row r="65" spans="11:16" ht="11.25" customHeight="1" x14ac:dyDescent="0.25">
      <c r="K65" s="57" t="s">
        <v>89</v>
      </c>
      <c r="L65" s="57"/>
      <c r="M65" s="57"/>
      <c r="N65" s="57">
        <f ca="1">IF(AND($L$70&lt;&gt;0,M65&lt;&gt;0),(L65/$L$70*$AJ$56)/M65,0)</f>
        <v>0</v>
      </c>
      <c r="O65" s="57"/>
      <c r="P65" s="57"/>
    </row>
    <row r="66" spans="11:16" ht="11.25" customHeight="1" x14ac:dyDescent="0.25">
      <c r="K66" s="57" t="s">
        <v>22</v>
      </c>
      <c r="L66" s="57">
        <f ca="1">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</f>
        <v>14233125.796908857</v>
      </c>
      <c r="M66" s="57">
        <f>+'TUSD BE'!$I$17+'TUSD BE'!$I$18+'TUSD BE'!$I$19+'TUSD BE'!$I$20+'TUSD BE'!$I$21+'TUSD BE'!$I$22+'TUSD BE'!$I$23+'TUSD BE'!$I$24+'TUSD BE'!$I$25+'TUSD BE'!$I$26+'TUSD BE'!$I$27+'TUSD BE'!$I$28+'TUSD BE'!$I$29</f>
        <v>39520.597999999984</v>
      </c>
      <c r="N66" s="57"/>
      <c r="O66" s="57"/>
      <c r="P66" s="57"/>
    </row>
    <row r="67" spans="11:16" ht="11.25" customHeight="1" x14ac:dyDescent="0.25">
      <c r="K67" s="57" t="s">
        <v>42</v>
      </c>
      <c r="L67" s="57">
        <f ca="1">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</f>
        <v>617113.75646576844</v>
      </c>
      <c r="M67" s="57">
        <f>+'TUSD BE'!$I$30+'TUSD BE'!$I$31+'TUSD BE'!$I$32+'TUSD BE'!$I$33+'TUSD BE'!$I$34+'TUSD BE'!$I$35+'TUSD BE'!$I$36+'TUSD BE'!$I$37+'TUSD BE'!$I$38+'TUSD BE'!$I$39+'TUSD BE'!$I$40+'TUSD BE'!$I$41+'TUSD BE'!$I$42+'TUSD BE'!$I$43+'TUSD BE'!$I$44</f>
        <v>1694.7730000000001</v>
      </c>
      <c r="N67" s="57"/>
      <c r="O67" s="57"/>
      <c r="P67" s="57"/>
    </row>
    <row r="68" spans="11:16" ht="11.25" customHeight="1" x14ac:dyDescent="0.25">
      <c r="K68" s="57" t="s">
        <v>36</v>
      </c>
      <c r="L68" s="57">
        <f ca="1">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</f>
        <v>4972080.4827059219</v>
      </c>
      <c r="M68" s="57">
        <f>+'TUSD BE'!$I$45+'TUSD BE'!$I$46+'TUSD BE'!$I$47+'TUSD BE'!$I$48+'TUSD BE'!$I$49</f>
        <v>13653.968000000001</v>
      </c>
      <c r="N68" s="57"/>
      <c r="O68" s="57"/>
      <c r="P68" s="57"/>
    </row>
    <row r="69" spans="11:16" ht="11.25" customHeight="1" x14ac:dyDescent="0.25">
      <c r="K69" s="57" t="s">
        <v>45</v>
      </c>
      <c r="L69" s="57">
        <f ca="1">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</f>
        <v>984147.10005786852</v>
      </c>
      <c r="M69" s="57">
        <f>+'TUSD BE'!$I$50+'TUSD BE'!$I$51</f>
        <v>4914.0960000000005</v>
      </c>
      <c r="N69" s="57"/>
      <c r="O69" s="57"/>
      <c r="P69" s="57"/>
    </row>
    <row r="70" spans="11:16" ht="11.25" customHeight="1" x14ac:dyDescent="0.25">
      <c r="K70" s="57"/>
      <c r="L70" s="57">
        <f ca="1">SUM($L$63:$L$69,-$L$64)</f>
        <v>38191830.101221159</v>
      </c>
      <c r="M70" s="57">
        <f>SUM($M$63:$M$69,-$M$64)</f>
        <v>127877.88999999994</v>
      </c>
      <c r="N70" s="57"/>
      <c r="O70" s="57"/>
      <c r="P70" s="57"/>
    </row>
  </sheetData>
  <mergeCells count="73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45:E47"/>
    <mergeCell ref="F45:F47"/>
    <mergeCell ref="A50:A51"/>
    <mergeCell ref="B50:B51"/>
    <mergeCell ref="C50:C51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E38:E40"/>
    <mergeCell ref="F38:F40"/>
    <mergeCell ref="A30:A44"/>
    <mergeCell ref="B30:B32"/>
    <mergeCell ref="C30:C32"/>
    <mergeCell ref="D30:D32"/>
    <mergeCell ref="E30:E32"/>
    <mergeCell ref="F30:F32"/>
    <mergeCell ref="B34:B36"/>
    <mergeCell ref="C34:C36"/>
    <mergeCell ref="D34:D36"/>
    <mergeCell ref="E34:E36"/>
    <mergeCell ref="F13:F14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E5:E7"/>
    <mergeCell ref="F5:F7"/>
    <mergeCell ref="B10:B14"/>
    <mergeCell ref="C10:C14"/>
    <mergeCell ref="A15:A16"/>
    <mergeCell ref="B15:B16"/>
    <mergeCell ref="C15:C16"/>
    <mergeCell ref="D15:D16"/>
    <mergeCell ref="A5:A14"/>
    <mergeCell ref="B5:B8"/>
    <mergeCell ref="C5:C8"/>
    <mergeCell ref="D5:D8"/>
    <mergeCell ref="D10:D14"/>
    <mergeCell ref="E10:E12"/>
    <mergeCell ref="F10:F12"/>
    <mergeCell ref="E13:E14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18927-CD5E-4C98-B424-4CB51FF2F3A3}">
  <sheetPr codeName="Planilha9"/>
  <dimension ref="A1:AP58"/>
  <sheetViews>
    <sheetView showGridLines="0" topLeftCell="W1" workbookViewId="0">
      <selection activeCell="Y11" sqref="Y11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7.85546875" style="9" bestFit="1" customWidth="1"/>
    <col min="14" max="14" width="8.7109375" style="9" bestFit="1" customWidth="1"/>
    <col min="15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0" width="10.85546875" style="9" bestFit="1" customWidth="1"/>
    <col min="21" max="22" width="10" style="9" bestFit="1" customWidth="1"/>
    <col min="23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.85546875" style="9" bestFit="1" customWidth="1"/>
    <col min="31" max="31" width="10.5703125" style="9" bestFit="1" customWidth="1"/>
    <col min="32" max="32" width="7.28515625" style="9" bestFit="1" customWidth="1"/>
    <col min="33" max="33" width="10.5703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67" t="s">
        <v>68</v>
      </c>
      <c r="B1" s="167" t="s">
        <v>69</v>
      </c>
      <c r="C1" s="167" t="s">
        <v>70</v>
      </c>
      <c r="D1" s="167" t="s">
        <v>71</v>
      </c>
      <c r="E1" s="167" t="s">
        <v>72</v>
      </c>
      <c r="F1" s="167" t="s">
        <v>15</v>
      </c>
      <c r="G1" s="167" t="s">
        <v>74</v>
      </c>
      <c r="H1" s="167" t="s">
        <v>75</v>
      </c>
      <c r="I1" s="167" t="s">
        <v>573</v>
      </c>
      <c r="J1" s="155"/>
      <c r="L1" s="168" t="s">
        <v>581</v>
      </c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  <c r="AC1" s="168"/>
      <c r="AD1" s="168"/>
      <c r="AE1" s="168"/>
      <c r="AF1" s="168"/>
      <c r="AG1" s="168"/>
      <c r="AH1" s="168"/>
      <c r="AI1" s="168"/>
      <c r="AJ1" s="168"/>
      <c r="AK1" s="168"/>
      <c r="AL1" s="168"/>
      <c r="AM1" s="168"/>
      <c r="AP1" s="168" t="s">
        <v>575</v>
      </c>
    </row>
    <row r="2" spans="1:42" ht="11.25" customHeight="1" x14ac:dyDescent="0.25">
      <c r="A2" s="167"/>
      <c r="B2" s="167"/>
      <c r="C2" s="167"/>
      <c r="D2" s="167"/>
      <c r="E2" s="167"/>
      <c r="F2" s="167"/>
      <c r="G2" s="167"/>
      <c r="H2" s="167"/>
      <c r="I2" s="167"/>
      <c r="J2" s="155"/>
      <c r="L2" s="168" t="s">
        <v>483</v>
      </c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H2" s="168"/>
      <c r="AI2" s="168"/>
      <c r="AJ2" s="168"/>
      <c r="AK2" s="168"/>
      <c r="AL2" s="168"/>
      <c r="AM2" s="168"/>
      <c r="AP2" s="169"/>
    </row>
    <row r="3" spans="1:42" ht="11.25" customHeight="1" x14ac:dyDescent="0.25">
      <c r="A3" s="167"/>
      <c r="B3" s="167"/>
      <c r="C3" s="167"/>
      <c r="D3" s="167"/>
      <c r="E3" s="167"/>
      <c r="F3" s="167"/>
      <c r="G3" s="167"/>
      <c r="H3" s="167"/>
      <c r="I3" s="167"/>
      <c r="J3" s="155"/>
      <c r="L3" s="168" t="s">
        <v>484</v>
      </c>
      <c r="M3" s="168"/>
      <c r="N3" s="168"/>
      <c r="O3" s="168"/>
      <c r="P3" s="168"/>
      <c r="Q3" s="168"/>
      <c r="R3" s="168"/>
      <c r="S3" s="168"/>
      <c r="T3" s="168"/>
      <c r="U3" s="168" t="s">
        <v>493</v>
      </c>
      <c r="V3" s="168"/>
      <c r="W3" s="168"/>
      <c r="X3" s="168"/>
      <c r="Y3" s="168"/>
      <c r="Z3" s="168"/>
      <c r="AA3" s="168"/>
      <c r="AB3" s="168"/>
      <c r="AC3" s="168" t="s">
        <v>501</v>
      </c>
      <c r="AD3" s="168"/>
      <c r="AE3" s="168" t="s">
        <v>503</v>
      </c>
      <c r="AF3" s="168"/>
      <c r="AG3" s="168"/>
      <c r="AH3" s="168" t="s">
        <v>506</v>
      </c>
      <c r="AI3" s="168"/>
      <c r="AJ3" s="168"/>
      <c r="AK3" s="168"/>
      <c r="AL3" s="168"/>
      <c r="AM3" s="168" t="s">
        <v>492</v>
      </c>
      <c r="AP3" s="169"/>
    </row>
    <row r="4" spans="1:42" ht="11.25" customHeight="1" x14ac:dyDescent="0.25">
      <c r="A4" s="167"/>
      <c r="B4" s="167"/>
      <c r="C4" s="167"/>
      <c r="D4" s="167"/>
      <c r="E4" s="167"/>
      <c r="F4" s="167"/>
      <c r="G4" s="167"/>
      <c r="H4" s="167"/>
      <c r="I4" s="167"/>
      <c r="J4" s="155"/>
      <c r="L4" s="56" t="s">
        <v>569</v>
      </c>
      <c r="M4" s="56" t="s">
        <v>485</v>
      </c>
      <c r="N4" s="56" t="s">
        <v>486</v>
      </c>
      <c r="O4" s="56" t="s">
        <v>487</v>
      </c>
      <c r="P4" s="56" t="s">
        <v>488</v>
      </c>
      <c r="Q4" s="56" t="s">
        <v>489</v>
      </c>
      <c r="R4" s="56" t="s">
        <v>490</v>
      </c>
      <c r="S4" s="56" t="s">
        <v>491</v>
      </c>
      <c r="T4" s="56" t="s">
        <v>492</v>
      </c>
      <c r="U4" s="56" t="s">
        <v>494</v>
      </c>
      <c r="V4" s="56" t="s">
        <v>495</v>
      </c>
      <c r="W4" s="56" t="s">
        <v>496</v>
      </c>
      <c r="X4" s="56" t="s">
        <v>497</v>
      </c>
      <c r="Y4" s="56" t="s">
        <v>498</v>
      </c>
      <c r="Z4" s="56" t="s">
        <v>499</v>
      </c>
      <c r="AA4" s="56" t="s">
        <v>500</v>
      </c>
      <c r="AB4" s="56" t="s">
        <v>492</v>
      </c>
      <c r="AC4" s="56" t="s">
        <v>502</v>
      </c>
      <c r="AD4" s="56" t="s">
        <v>492</v>
      </c>
      <c r="AE4" s="56" t="s">
        <v>504</v>
      </c>
      <c r="AF4" s="56" t="s">
        <v>505</v>
      </c>
      <c r="AG4" s="56" t="s">
        <v>492</v>
      </c>
      <c r="AH4" s="56" t="s">
        <v>507</v>
      </c>
      <c r="AI4" s="56" t="s">
        <v>508</v>
      </c>
      <c r="AJ4" s="56" t="s">
        <v>509</v>
      </c>
      <c r="AK4" s="56" t="s">
        <v>510</v>
      </c>
      <c r="AL4" s="56" t="s">
        <v>492</v>
      </c>
      <c r="AM4" s="170"/>
      <c r="AP4" s="169"/>
    </row>
    <row r="5" spans="1:42" ht="11.25" customHeight="1" x14ac:dyDescent="0.25">
      <c r="A5" s="166" t="s">
        <v>38</v>
      </c>
      <c r="B5" s="166" t="s">
        <v>50</v>
      </c>
      <c r="C5" s="166" t="s">
        <v>25</v>
      </c>
      <c r="D5" s="166" t="s">
        <v>25</v>
      </c>
      <c r="E5" s="166" t="s">
        <v>25</v>
      </c>
      <c r="F5" s="166" t="s">
        <v>25</v>
      </c>
      <c r="G5" s="57" t="s">
        <v>84</v>
      </c>
      <c r="H5" s="57" t="s">
        <v>83</v>
      </c>
      <c r="I5" s="57">
        <f>'MERCADO TUSD'!$U$2</f>
        <v>2940</v>
      </c>
      <c r="J5" s="16"/>
      <c r="L5" s="17">
        <f>'TR TUSD'!$L$5*'TR TUSD'!$L$60</f>
        <v>0</v>
      </c>
      <c r="M5" s="17">
        <f>'TR TUSD'!$M$5*'TR TUSD'!$M$60</f>
        <v>0</v>
      </c>
      <c r="N5" s="17">
        <f ca="1">'TR TUSD'!$N$5*'TR TUSD'!$N$60</f>
        <v>0</v>
      </c>
      <c r="O5" s="17">
        <f>'TR TUSD'!$O$5*'TR TUSD'!$O$60</f>
        <v>0</v>
      </c>
      <c r="P5" s="17">
        <f>'TR TUSD'!$P$5*'TR TUSD'!$P$60</f>
        <v>0</v>
      </c>
      <c r="Q5" s="17">
        <f>'TR TUSD'!$Q$5*'TR TUSD'!$Q$60</f>
        <v>0</v>
      </c>
      <c r="R5" s="17">
        <f>'TR TUSD'!$R$5*'TR TUSD'!$R$60</f>
        <v>0</v>
      </c>
      <c r="S5" s="17">
        <f>'TR TUSD'!$S$5*'TR TUSD'!$S$60</f>
        <v>0</v>
      </c>
      <c r="T5" s="17">
        <f ca="1">SUM($L$5:$S$5)</f>
        <v>0</v>
      </c>
      <c r="U5" s="17">
        <f>'TR TUSD'!$U$5*'TR TUSD'!$U$60</f>
        <v>6.67052275946424</v>
      </c>
      <c r="V5" s="17">
        <f>'TR TUSD'!$V$5*'TR TUSD'!$V$60</f>
        <v>5.9629726253077697</v>
      </c>
      <c r="W5" s="17">
        <f>'TR TUSD'!$W$5*'TR TUSD'!$W$60</f>
        <v>1.0524664188077875</v>
      </c>
      <c r="X5" s="17">
        <f>'TR TUSD'!$X$5*'TR TUSD'!$X$60</f>
        <v>0</v>
      </c>
      <c r="Y5" s="17">
        <f>'TR TUSD'!$Y$5*'TR TUSD'!$Y$60</f>
        <v>0</v>
      </c>
      <c r="Z5" s="17">
        <f>'TR TUSD'!$Z$5</f>
        <v>0</v>
      </c>
      <c r="AA5" s="17">
        <f>'TR TUSD'!$AA$5</f>
        <v>0</v>
      </c>
      <c r="AB5" s="17">
        <f>SUM($U$5:$AA$5)</f>
        <v>13.685961803579797</v>
      </c>
      <c r="AC5" s="17">
        <f>'TR TUSD'!$AC$5*'TR TUSD'!$AC$60</f>
        <v>12.812852751677841</v>
      </c>
      <c r="AD5" s="17">
        <f>SUM($AC$5:$AC$5)</f>
        <v>12.812852751677841</v>
      </c>
      <c r="AE5" s="17">
        <v>0</v>
      </c>
      <c r="AF5" s="17">
        <v>0</v>
      </c>
      <c r="AG5" s="17">
        <f>SUM($AE$5:$AF$5)</f>
        <v>0</v>
      </c>
      <c r="AH5" s="17">
        <f>'TR TUSD'!$AH$5*'TR TUSD'!$AH$60</f>
        <v>0</v>
      </c>
      <c r="AI5" s="17">
        <f>'TR TUSD'!$AI$5*'TR TUSD'!$AI$60</f>
        <v>0</v>
      </c>
      <c r="AJ5" s="17">
        <f ca="1">'TR TUSD'!$AJ$5*'TR TUSD'!$AJ$60</f>
        <v>0</v>
      </c>
      <c r="AK5" s="17">
        <f ca="1">'TR TUSD'!$AK$5*'TR TUSD'!$AK$60</f>
        <v>0</v>
      </c>
      <c r="AL5" s="17">
        <f ca="1">SUM($AH$5:$AK$5)</f>
        <v>0</v>
      </c>
      <c r="AM5" s="17">
        <f ca="1">SUMIF($L$4:$AL$4,"SUBTOTAL",$L$5:$AL$5)</f>
        <v>26.498814555257638</v>
      </c>
      <c r="AP5" s="17">
        <v>1</v>
      </c>
    </row>
    <row r="6" spans="1:42" ht="11.25" customHeight="1" x14ac:dyDescent="0.25">
      <c r="A6" s="166"/>
      <c r="B6" s="166"/>
      <c r="C6" s="166"/>
      <c r="D6" s="166"/>
      <c r="E6" s="166"/>
      <c r="F6" s="166"/>
      <c r="G6" s="57" t="s">
        <v>85</v>
      </c>
      <c r="H6" s="57" t="s">
        <v>83</v>
      </c>
      <c r="I6" s="57">
        <f>'MERCADO TUSD'!$U$3</f>
        <v>2940</v>
      </c>
      <c r="J6" s="16"/>
      <c r="L6" s="17">
        <f>'TR TUSD'!$L$6*'TR TUSD'!$L$60</f>
        <v>0</v>
      </c>
      <c r="M6" s="17">
        <f>'TR TUSD'!$M$6*'TR TUSD'!$M$60</f>
        <v>0</v>
      </c>
      <c r="N6" s="17">
        <f ca="1">'TR TUSD'!$N$6*'TR TUSD'!$N$60</f>
        <v>0</v>
      </c>
      <c r="O6" s="17">
        <f>'TR TUSD'!$O$6*'TR TUSD'!$O$60</f>
        <v>0</v>
      </c>
      <c r="P6" s="17">
        <f>'TR TUSD'!$P$6*'TR TUSD'!$P$60</f>
        <v>0</v>
      </c>
      <c r="Q6" s="17">
        <f>'TR TUSD'!$Q$6*'TR TUSD'!$Q$60</f>
        <v>0</v>
      </c>
      <c r="R6" s="17">
        <f>'TR TUSD'!$R$6*'TR TUSD'!$R$60</f>
        <v>0</v>
      </c>
      <c r="S6" s="17">
        <f>'TR TUSD'!$S$6*'TR TUSD'!$S$60</f>
        <v>0</v>
      </c>
      <c r="T6" s="17">
        <f ca="1">SUM($L$6:$S$6)</f>
        <v>0</v>
      </c>
      <c r="U6" s="17">
        <f>'TR TUSD'!$U$6*'TR TUSD'!$U$60</f>
        <v>6.6716986222779751</v>
      </c>
      <c r="V6" s="17">
        <f>'TR TUSD'!$V$6*'TR TUSD'!$V$60</f>
        <v>5.1476480187848503</v>
      </c>
      <c r="W6" s="17">
        <f>'TR TUSD'!$W$6*'TR TUSD'!$W$60</f>
        <v>1.0048623344774903</v>
      </c>
      <c r="X6" s="17">
        <f>'TR TUSD'!$X$6*'TR TUSD'!$X$60</f>
        <v>0</v>
      </c>
      <c r="Y6" s="17">
        <f>'TR TUSD'!$Y$6*'TR TUSD'!$Y$60</f>
        <v>0</v>
      </c>
      <c r="Z6" s="17">
        <f>'TR TUSD'!$Z$6</f>
        <v>0</v>
      </c>
      <c r="AA6" s="17">
        <f>'TR TUSD'!$AA$6</f>
        <v>0</v>
      </c>
      <c r="AB6" s="17">
        <f>SUM($U$6:$AA$6)</f>
        <v>12.824208975540316</v>
      </c>
      <c r="AC6" s="17">
        <f>'TR TUSD'!$AC$6*'TR TUSD'!$AC$60</f>
        <v>12.812852751677841</v>
      </c>
      <c r="AD6" s="17">
        <f>SUM($AC$6:$AC$6)</f>
        <v>12.812852751677841</v>
      </c>
      <c r="AE6" s="17">
        <v>0</v>
      </c>
      <c r="AF6" s="17">
        <v>0</v>
      </c>
      <c r="AG6" s="17">
        <f>SUM($AE$6:$AF$6)</f>
        <v>0</v>
      </c>
      <c r="AH6" s="17">
        <f>'TR TUSD'!$AH$6*'TR TUSD'!$AH$60</f>
        <v>0</v>
      </c>
      <c r="AI6" s="17">
        <f>'TR TUSD'!$AI$6*'TR TUSD'!$AI$60</f>
        <v>0</v>
      </c>
      <c r="AJ6" s="17">
        <f ca="1">'TR TUSD'!$AJ$6*'TR TUSD'!$AJ$60</f>
        <v>0</v>
      </c>
      <c r="AK6" s="17">
        <f ca="1">'TR TUSD'!$AK$6*'TR TUSD'!$AK$60</f>
        <v>0</v>
      </c>
      <c r="AL6" s="17">
        <f ca="1">SUM($AH$6:$AK$6)</f>
        <v>0</v>
      </c>
      <c r="AM6" s="17">
        <f ca="1">SUMIF($L$4:$AL$4,"SUBTOTAL",$L$6:$AL$6)</f>
        <v>25.637061727218157</v>
      </c>
      <c r="AP6" s="17">
        <v>1</v>
      </c>
    </row>
    <row r="7" spans="1:42" ht="11.25" customHeight="1" x14ac:dyDescent="0.25">
      <c r="A7" s="166"/>
      <c r="B7" s="166"/>
      <c r="C7" s="166"/>
      <c r="D7" s="166"/>
      <c r="E7" s="166"/>
      <c r="F7" s="166"/>
      <c r="G7" s="57" t="s">
        <v>82</v>
      </c>
      <c r="H7" s="57" t="s">
        <v>78</v>
      </c>
      <c r="I7" s="57">
        <f>'MERCADO TUSD'!$U$4</f>
        <v>1433.7980000000002</v>
      </c>
      <c r="J7" s="16"/>
      <c r="L7" s="17">
        <f>'TR TUSD'!$L$7*'TR TUSD'!$L$60</f>
        <v>5.9430701174943072</v>
      </c>
      <c r="M7" s="17">
        <f>'TR TUSD'!$M$7*'TR TUSD'!$M$60</f>
        <v>0.39402997017780067</v>
      </c>
      <c r="N7" s="17">
        <f ca="1">'TR TUSD'!$N$7*'TR TUSD'!$N$60</f>
        <v>0.12849782297391846</v>
      </c>
      <c r="O7" s="17">
        <f>'TR TUSD'!$O$7*'TR TUSD'!$O$60</f>
        <v>0</v>
      </c>
      <c r="P7" s="17">
        <f>'TR TUSD'!$P$7*'TR TUSD'!$P$60</f>
        <v>0</v>
      </c>
      <c r="Q7" s="17">
        <f>'TR TUSD'!$Q$7*'TR TUSD'!$Q$60</f>
        <v>73.837203383150879</v>
      </c>
      <c r="R7" s="17">
        <f>'TR TUSD'!$R$7*'TR TUSD'!$R$60</f>
        <v>13.895914916158693</v>
      </c>
      <c r="S7" s="17">
        <f>'TR TUSD'!$S$7*'TR TUSD'!$S$60</f>
        <v>0</v>
      </c>
      <c r="T7" s="17">
        <f ca="1">SUM($L$7:$S$7)</f>
        <v>94.198716209955592</v>
      </c>
      <c r="U7" s="17">
        <f>'TR TUSD'!$U$7*'TR TUSD'!$U$60</f>
        <v>0</v>
      </c>
      <c r="V7" s="17">
        <f>'TR TUSD'!$V$7*'TR TUSD'!$V$60</f>
        <v>0</v>
      </c>
      <c r="W7" s="17">
        <f>'TR TUSD'!$W$7*'TR TUSD'!$W$60</f>
        <v>0</v>
      </c>
      <c r="X7" s="17">
        <f>'TR TUSD'!$X$7*'TR TUSD'!$X$60</f>
        <v>0</v>
      </c>
      <c r="Y7" s="17">
        <f>'TR TUSD'!$Y$7*'TR TUSD'!$Y$60</f>
        <v>0</v>
      </c>
      <c r="Z7" s="17">
        <f>'TR TUSD'!$Z$7</f>
        <v>0</v>
      </c>
      <c r="AA7" s="17">
        <f>'TR TUSD'!$AA$7</f>
        <v>0</v>
      </c>
      <c r="AB7" s="17">
        <f>SUM($U$7:$AA$7)</f>
        <v>0</v>
      </c>
      <c r="AC7" s="17">
        <f>'TR TUSD'!$AC$7*'TR TUSD'!$AC$60</f>
        <v>0</v>
      </c>
      <c r="AD7" s="17">
        <f>SUM($AC$7:$AC$7)</f>
        <v>0</v>
      </c>
      <c r="AE7" s="17">
        <v>0</v>
      </c>
      <c r="AF7" s="17">
        <v>0</v>
      </c>
      <c r="AG7" s="17">
        <f>SUM($AE$7:$AF$7)</f>
        <v>0</v>
      </c>
      <c r="AH7" s="17">
        <f>'TR TUSD'!$AH$7*'TR TUSD'!$AH$60</f>
        <v>5.6966914356979794</v>
      </c>
      <c r="AI7" s="17">
        <f>'TR TUSD'!$AI$7*'TR TUSD'!$AI$60</f>
        <v>0</v>
      </c>
      <c r="AJ7" s="17">
        <f ca="1">'TR TUSD'!$AJ$7*'TR TUSD'!$AJ$60</f>
        <v>0.531897139808858</v>
      </c>
      <c r="AK7" s="17">
        <f ca="1">'TR TUSD'!$AK$7*'TR TUSD'!$AK$60</f>
        <v>0.22073470177449955</v>
      </c>
      <c r="AL7" s="17">
        <f ca="1">SUM($AH$7:$AK$7)</f>
        <v>6.4493232772813363</v>
      </c>
      <c r="AM7" s="17">
        <f ca="1">SUMIF($L$4:$AL$4,"SUBTOTAL",$L$7:$AL$7)</f>
        <v>100.64803948723693</v>
      </c>
      <c r="AP7" s="17">
        <v>1</v>
      </c>
    </row>
    <row r="8" spans="1:42" ht="11.25" customHeight="1" x14ac:dyDescent="0.25">
      <c r="A8" s="166"/>
      <c r="B8" s="166"/>
      <c r="C8" s="166"/>
      <c r="D8" s="166"/>
      <c r="E8" s="58" t="s">
        <v>86</v>
      </c>
      <c r="F8" s="58" t="s">
        <v>25</v>
      </c>
      <c r="G8" s="57" t="s">
        <v>82</v>
      </c>
      <c r="H8" s="57" t="s">
        <v>78</v>
      </c>
      <c r="I8" s="57">
        <f>'MERCADO TUSD'!$U$5</f>
        <v>0</v>
      </c>
      <c r="J8" s="16"/>
      <c r="L8" s="17">
        <f>'TR TUSD'!$L$8*'TR TUSD'!$L$60</f>
        <v>0</v>
      </c>
      <c r="M8" s="17">
        <f>'TR TUSD'!$M$8*'TR TUSD'!$M$60</f>
        <v>0.39402997017780067</v>
      </c>
      <c r="N8" s="17">
        <f ca="1">'TR TUSD'!$N$8*'TR TUSD'!$N$60</f>
        <v>0.11961551819247825</v>
      </c>
      <c r="O8" s="17">
        <f>'TR TUSD'!$O$8*'TR TUSD'!$O$60</f>
        <v>0</v>
      </c>
      <c r="P8" s="17">
        <f>'TR TUSD'!$P$8*'TR TUSD'!$P$60</f>
        <v>0</v>
      </c>
      <c r="Q8" s="17">
        <f>'TR TUSD'!$Q$8*'TR TUSD'!$Q$60</f>
        <v>0</v>
      </c>
      <c r="R8" s="17">
        <f>'TR TUSD'!$R$8*'TR TUSD'!$R$60</f>
        <v>0</v>
      </c>
      <c r="S8" s="17">
        <f>'TR TUSD'!$S$8*'TR TUSD'!$S$60</f>
        <v>0</v>
      </c>
      <c r="T8" s="17">
        <f ca="1">SUM($L$8:$S$8)</f>
        <v>0.5136454883702789</v>
      </c>
      <c r="U8" s="17">
        <f>'TR TUSD'!$U$8*'TR TUSD'!$U$60</f>
        <v>0</v>
      </c>
      <c r="V8" s="17">
        <f>'TR TUSD'!$V$8*'TR TUSD'!$V$60</f>
        <v>0</v>
      </c>
      <c r="W8" s="17">
        <f>'TR TUSD'!$W$8*'TR TUSD'!$W$60</f>
        <v>0</v>
      </c>
      <c r="X8" s="17">
        <f>'TR TUSD'!$X$8*'TR TUSD'!$X$60</f>
        <v>0</v>
      </c>
      <c r="Y8" s="17">
        <f>'TR TUSD'!$Y$8*'TR TUSD'!$Y$60</f>
        <v>0</v>
      </c>
      <c r="Z8" s="17">
        <f>'TR TUSD'!$Z$8</f>
        <v>0</v>
      </c>
      <c r="AA8" s="17">
        <f>'TR TUSD'!$AA$8</f>
        <v>0</v>
      </c>
      <c r="AB8" s="17">
        <f>SUM($U$8:$AA$8)</f>
        <v>0</v>
      </c>
      <c r="AC8" s="17">
        <f>'TR TUSD'!$AC$8*'TR TUSD'!$AC$60</f>
        <v>0</v>
      </c>
      <c r="AD8" s="17">
        <f>SUM($AC$8:$AC$8)</f>
        <v>0</v>
      </c>
      <c r="AE8" s="17">
        <v>0</v>
      </c>
      <c r="AF8" s="17">
        <v>0</v>
      </c>
      <c r="AG8" s="17">
        <f>SUM($AE$8:$AF$8)</f>
        <v>0</v>
      </c>
      <c r="AH8" s="17">
        <f>'TR TUSD'!$AH$8*'TR TUSD'!$AH$60</f>
        <v>5.6966914356979794</v>
      </c>
      <c r="AI8" s="17">
        <f>'TR TUSD'!$AI$8*'TR TUSD'!$AI$60</f>
        <v>0</v>
      </c>
      <c r="AJ8" s="17">
        <f ca="1">'TR TUSD'!$AJ$8*'TR TUSD'!$AJ$60</f>
        <v>0.531897139808858</v>
      </c>
      <c r="AK8" s="17">
        <f ca="1">'TR TUSD'!$AK$8*'TR TUSD'!$AK$60</f>
        <v>0.22073470177449955</v>
      </c>
      <c r="AL8" s="17">
        <f ca="1">SUM($AH$8:$AK$8)</f>
        <v>6.4493232772813363</v>
      </c>
      <c r="AM8" s="17">
        <f ca="1">SUMIF($L$4:$AL$4,"SUBTOTAL",$L$8:$AL$8)</f>
        <v>6.962968765651615</v>
      </c>
      <c r="AP8" s="17">
        <v>1</v>
      </c>
    </row>
    <row r="9" spans="1:42" ht="11.25" customHeight="1" x14ac:dyDescent="0.25">
      <c r="A9" s="166"/>
      <c r="B9" s="58" t="s">
        <v>58</v>
      </c>
      <c r="C9" s="58" t="s">
        <v>25</v>
      </c>
      <c r="D9" s="58" t="s">
        <v>25</v>
      </c>
      <c r="E9" s="58" t="s">
        <v>25</v>
      </c>
      <c r="F9" s="58" t="s">
        <v>25</v>
      </c>
      <c r="G9" s="57" t="s">
        <v>9</v>
      </c>
      <c r="H9" s="57" t="s">
        <v>83</v>
      </c>
      <c r="I9" s="57">
        <f>'MERCADO TUSD'!$U$6</f>
        <v>20731</v>
      </c>
      <c r="J9" s="16"/>
      <c r="L9" s="17">
        <f>'TR TUSD'!$L$9*'TR TUSD'!$L$60</f>
        <v>0</v>
      </c>
      <c r="M9" s="17">
        <f>'TR TUSD'!$M$9*'TR TUSD'!$M$60</f>
        <v>2.747886637939571E-2</v>
      </c>
      <c r="N9" s="17">
        <f ca="1">'TR TUSD'!$N$9*'TR TUSD'!$N$60</f>
        <v>6.022202641816464E-2</v>
      </c>
      <c r="O9" s="17">
        <f>'TR TUSD'!$O$9*'TR TUSD'!$O$60</f>
        <v>0</v>
      </c>
      <c r="P9" s="17">
        <f>'TR TUSD'!$P$9*'TR TUSD'!$P$60</f>
        <v>0</v>
      </c>
      <c r="Q9" s="17">
        <f>'TR TUSD'!$Q$9*'TR TUSD'!$Q$60</f>
        <v>0</v>
      </c>
      <c r="R9" s="17">
        <f>'TR TUSD'!$R$9*'TR TUSD'!$R$60</f>
        <v>0</v>
      </c>
      <c r="S9" s="17">
        <f>'TR TUSD'!$S$9*'TR TUSD'!$S$60</f>
        <v>0</v>
      </c>
      <c r="T9" s="17">
        <f ca="1">SUM($L$9:$S$9)</f>
        <v>8.7700892797560354E-2</v>
      </c>
      <c r="U9" s="17">
        <f>'TR TUSD'!$U$9*'TR TUSD'!$U$60</f>
        <v>0</v>
      </c>
      <c r="V9" s="17">
        <f>'TR TUSD'!$V$9*'TR TUSD'!$V$60</f>
        <v>0</v>
      </c>
      <c r="W9" s="17">
        <f>'TR TUSD'!$W$9*'TR TUSD'!$W$60</f>
        <v>0</v>
      </c>
      <c r="X9" s="17">
        <f>'TR TUSD'!$X$9*'TR TUSD'!$X$60</f>
        <v>0</v>
      </c>
      <c r="Y9" s="17">
        <f>'TR TUSD'!$Y$9*'TR TUSD'!$Y$60</f>
        <v>0</v>
      </c>
      <c r="Z9" s="17">
        <f>'TR TUSD'!$Z$9*'TR TUSD'!$Z$60</f>
        <v>0</v>
      </c>
      <c r="AA9" s="17">
        <f>'TR TUSD'!$AA$9*'TR TUSD'!$AA$60</f>
        <v>0</v>
      </c>
      <c r="AB9" s="17">
        <f>SUM($U$9:$AA$9)</f>
        <v>0</v>
      </c>
      <c r="AC9" s="17">
        <f>'TR TUSD'!$AC$9*'TR TUSD'!$AC$60</f>
        <v>6.8629618255178206</v>
      </c>
      <c r="AD9" s="17">
        <f>SUM($AC$9:$AC$9)</f>
        <v>6.8629618255178206</v>
      </c>
      <c r="AE9" s="17">
        <v>0</v>
      </c>
      <c r="AF9" s="17">
        <v>0</v>
      </c>
      <c r="AG9" s="17">
        <f>SUM($AE$9:$AF$9)</f>
        <v>0</v>
      </c>
      <c r="AH9" s="17">
        <f>'TR TUSD'!$AH$9*'TR TUSD'!$AH$60</f>
        <v>0</v>
      </c>
      <c r="AI9" s="17">
        <f>'TR TUSD'!$AI$9*'TR TUSD'!$AI$60</f>
        <v>0</v>
      </c>
      <c r="AJ9" s="17">
        <f ca="1">'TR TUSD'!$AJ$9*'TR TUSD'!$AJ$60</f>
        <v>0</v>
      </c>
      <c r="AK9" s="17">
        <f ca="1">'TR TUSD'!$AK$9*'TR TUSD'!$AK$60</f>
        <v>0</v>
      </c>
      <c r="AL9" s="17">
        <f ca="1">SUM($AH$9:$AK$9)</f>
        <v>0</v>
      </c>
      <c r="AM9" s="17">
        <f ca="1">SUMIF($L$4:$AL$4,"SUBTOTAL",$L$9:$AL$9)</f>
        <v>6.9506627183153809</v>
      </c>
      <c r="AP9" s="17"/>
    </row>
    <row r="10" spans="1:42" ht="11.25" customHeight="1" x14ac:dyDescent="0.25">
      <c r="A10" s="166"/>
      <c r="B10" s="166" t="s">
        <v>39</v>
      </c>
      <c r="C10" s="166" t="s">
        <v>25</v>
      </c>
      <c r="D10" s="166" t="s">
        <v>25</v>
      </c>
      <c r="E10" s="166" t="s">
        <v>25</v>
      </c>
      <c r="F10" s="166" t="s">
        <v>25</v>
      </c>
      <c r="G10" s="57" t="s">
        <v>9</v>
      </c>
      <c r="H10" s="57" t="s">
        <v>83</v>
      </c>
      <c r="I10" s="57">
        <f>'MERCADO TUSD'!$U$7</f>
        <v>252451</v>
      </c>
      <c r="J10" s="16"/>
      <c r="L10" s="17">
        <f>'TR TUSD'!$L$10*'TR TUSD'!$L$60</f>
        <v>0</v>
      </c>
      <c r="M10" s="17">
        <f>'TR TUSD'!$M$10*'TR TUSD'!$M$60</f>
        <v>0</v>
      </c>
      <c r="N10" s="17">
        <f ca="1">'TR TUSD'!$N$10*'TR TUSD'!$N$60</f>
        <v>0</v>
      </c>
      <c r="O10" s="17">
        <f>'TR TUSD'!$O$10*'TR TUSD'!$O$60</f>
        <v>0</v>
      </c>
      <c r="P10" s="17">
        <f>'TR TUSD'!$P$10*'TR TUSD'!$P$60</f>
        <v>0</v>
      </c>
      <c r="Q10" s="17">
        <f>'TR TUSD'!$Q$10*'TR TUSD'!$Q$60</f>
        <v>0</v>
      </c>
      <c r="R10" s="17">
        <f>'TR TUSD'!$R$10*'TR TUSD'!$R$60</f>
        <v>0</v>
      </c>
      <c r="S10" s="17">
        <f>'TR TUSD'!$S$10*'TR TUSD'!$S$60</f>
        <v>0</v>
      </c>
      <c r="T10" s="17">
        <f ca="1">SUM($L$10:$S$10)</f>
        <v>0</v>
      </c>
      <c r="U10" s="17">
        <f>'TR TUSD'!$U$10*'TR TUSD'!$U$60</f>
        <v>6.6716986222779751</v>
      </c>
      <c r="V10" s="17">
        <f>'TR TUSD'!$V$10*'TR TUSD'!$V$60</f>
        <v>5.1476480187848503</v>
      </c>
      <c r="W10" s="17">
        <f>'TR TUSD'!$W$10*'TR TUSD'!$W$60</f>
        <v>1.0048623344774903</v>
      </c>
      <c r="X10" s="17">
        <f>'TR TUSD'!$X$10*'TR TUSD'!$X$60</f>
        <v>0</v>
      </c>
      <c r="Y10" s="17">
        <f>'TR TUSD'!$Y$10*'TR TUSD'!$Y$60</f>
        <v>0</v>
      </c>
      <c r="Z10" s="17">
        <f>'TR TUSD'!$Z$10</f>
        <v>0</v>
      </c>
      <c r="AA10" s="17">
        <f>'TR TUSD'!$AA$10</f>
        <v>0</v>
      </c>
      <c r="AB10" s="17">
        <f>SUM($U$10:$AA$10)</f>
        <v>12.824208975540316</v>
      </c>
      <c r="AC10" s="17">
        <f>'TR TUSD'!$AC$10*'TR TUSD'!$AC$60</f>
        <v>12.812852751677841</v>
      </c>
      <c r="AD10" s="17">
        <f>SUM($AC$10:$AC$10)</f>
        <v>12.812852751677841</v>
      </c>
      <c r="AE10" s="17">
        <v>0</v>
      </c>
      <c r="AF10" s="17">
        <v>0</v>
      </c>
      <c r="AG10" s="17">
        <f>SUM($AE$10:$AF$10)</f>
        <v>0</v>
      </c>
      <c r="AH10" s="17">
        <f>'TR TUSD'!$AH$10*'TR TUSD'!$AH$60</f>
        <v>0</v>
      </c>
      <c r="AI10" s="17">
        <f>'TR TUSD'!$AI$10*'TR TUSD'!$AI$60</f>
        <v>0</v>
      </c>
      <c r="AJ10" s="17">
        <f ca="1">'TR TUSD'!$AJ$10*'TR TUSD'!$AJ$60</f>
        <v>0</v>
      </c>
      <c r="AK10" s="17">
        <f ca="1">'TR TUSD'!$AK$10*'TR TUSD'!$AK$60</f>
        <v>0</v>
      </c>
      <c r="AL10" s="17">
        <f ca="1">SUM($AH$10:$AK$10)</f>
        <v>0</v>
      </c>
      <c r="AM10" s="17">
        <f ca="1">SUMIF($L$4:$AL$4,"SUBTOTAL",$L$10:$AL$10)</f>
        <v>25.637061727218157</v>
      </c>
      <c r="AP10" s="17">
        <v>1</v>
      </c>
    </row>
    <row r="11" spans="1:42" ht="11.25" customHeight="1" x14ac:dyDescent="0.25">
      <c r="A11" s="166"/>
      <c r="B11" s="166"/>
      <c r="C11" s="166"/>
      <c r="D11" s="166"/>
      <c r="E11" s="166"/>
      <c r="F11" s="166"/>
      <c r="G11" s="57" t="s">
        <v>79</v>
      </c>
      <c r="H11" s="57" t="s">
        <v>78</v>
      </c>
      <c r="I11" s="57">
        <f>'MERCADO TUSD'!$U$8</f>
        <v>6165.058</v>
      </c>
      <c r="J11" s="16"/>
      <c r="L11" s="17">
        <f>'TR TUSD'!$L$11*'TR TUSD'!$L$60</f>
        <v>5.9430701174943072</v>
      </c>
      <c r="M11" s="17">
        <f>'TR TUSD'!$M$11*'TR TUSD'!$M$60</f>
        <v>0.39402997017780067</v>
      </c>
      <c r="N11" s="17">
        <f ca="1">'TR TUSD'!$N$11*'TR TUSD'!$N$60</f>
        <v>4.7830218273842595</v>
      </c>
      <c r="O11" s="17">
        <f>'TR TUSD'!$O$11*'TR TUSD'!$O$60</f>
        <v>0</v>
      </c>
      <c r="P11" s="17">
        <f>'TR TUSD'!$P$11*'TR TUSD'!$P$60</f>
        <v>0</v>
      </c>
      <c r="Q11" s="17">
        <f>'TR TUSD'!$Q$11*'TR TUSD'!$Q$60</f>
        <v>73.837203383150879</v>
      </c>
      <c r="R11" s="17">
        <f>'TR TUSD'!$R$11*'TR TUSD'!$R$60</f>
        <v>13.895914916158693</v>
      </c>
      <c r="S11" s="17">
        <f>'TR TUSD'!$S$11*'TR TUSD'!$S$60</f>
        <v>0</v>
      </c>
      <c r="T11" s="17">
        <f ca="1">SUM($L$11:$S$11)</f>
        <v>98.85324021436594</v>
      </c>
      <c r="U11" s="17">
        <f>'TR TUSD'!$U$11*'TR TUSD'!$U$60</f>
        <v>160.42472747202177</v>
      </c>
      <c r="V11" s="17">
        <f>'TR TUSD'!$V$11*'TR TUSD'!$V$60</f>
        <v>143.41012964672811</v>
      </c>
      <c r="W11" s="17">
        <f>'TR TUSD'!$W$11*'TR TUSD'!$W$60</f>
        <v>25.311873198012538</v>
      </c>
      <c r="X11" s="17">
        <f>'TR TUSD'!$X$11*'TR TUSD'!$X$60</f>
        <v>0</v>
      </c>
      <c r="Y11" s="17">
        <f>'TR TUSD'!$Y$11*'TR TUSD'!$Y$60</f>
        <v>0</v>
      </c>
      <c r="Z11" s="17">
        <f>'TR TUSD'!$Z$11</f>
        <v>0</v>
      </c>
      <c r="AA11" s="17">
        <f>'TR TUSD'!$AA$11</f>
        <v>0</v>
      </c>
      <c r="AB11" s="17">
        <f>SUM($U$11:$AA$11)</f>
        <v>329.14673031676244</v>
      </c>
      <c r="AC11" s="17">
        <f>'TR TUSD'!$AC$11*'TR TUSD'!$AC$60</f>
        <v>308.1486313215421</v>
      </c>
      <c r="AD11" s="17">
        <f>SUM($AC$11:$AC$11)</f>
        <v>308.1486313215421</v>
      </c>
      <c r="AE11" s="17">
        <v>0</v>
      </c>
      <c r="AF11" s="17">
        <v>0</v>
      </c>
      <c r="AG11" s="17">
        <f>SUM($AE$11:$AF$11)</f>
        <v>0</v>
      </c>
      <c r="AH11" s="17">
        <f>'TR TUSD'!$AH$11*'TR TUSD'!$AH$60</f>
        <v>5.6966914356979794</v>
      </c>
      <c r="AI11" s="17">
        <f>'TR TUSD'!$AI$11*'TR TUSD'!$AI$60</f>
        <v>0</v>
      </c>
      <c r="AJ11" s="17">
        <f ca="1">'TR TUSD'!$AJ$11*'TR TUSD'!$AJ$60</f>
        <v>0.531897139808858</v>
      </c>
      <c r="AK11" s="17">
        <f ca="1">'TR TUSD'!$AK$11*'TR TUSD'!$AK$60</f>
        <v>0.22073470177449955</v>
      </c>
      <c r="AL11" s="17">
        <f ca="1">SUM($AH$11:$AK$11)</f>
        <v>6.4493232772813363</v>
      </c>
      <c r="AM11" s="17">
        <f ca="1">SUMIF($L$4:$AL$4,"SUBTOTAL",$L$11:$AL$11)</f>
        <v>742.59792512995182</v>
      </c>
      <c r="AP11" s="17">
        <v>1</v>
      </c>
    </row>
    <row r="12" spans="1:42" ht="11.25" customHeight="1" x14ac:dyDescent="0.25">
      <c r="A12" s="166"/>
      <c r="B12" s="166"/>
      <c r="C12" s="166"/>
      <c r="D12" s="166"/>
      <c r="E12" s="166"/>
      <c r="F12" s="166"/>
      <c r="G12" s="57" t="s">
        <v>80</v>
      </c>
      <c r="H12" s="57" t="s">
        <v>78</v>
      </c>
      <c r="I12" s="57">
        <f>'MERCADO TUSD'!$U$9</f>
        <v>60495.598999999995</v>
      </c>
      <c r="J12" s="16"/>
      <c r="L12" s="17">
        <f>'TR TUSD'!$L$12*'TR TUSD'!$L$60</f>
        <v>5.9430701174943072</v>
      </c>
      <c r="M12" s="17">
        <f>'TR TUSD'!$M$12*'TR TUSD'!$M$60</f>
        <v>0.39402997017780067</v>
      </c>
      <c r="N12" s="17">
        <f ca="1">'TR TUSD'!$N$12*'TR TUSD'!$N$60</f>
        <v>0.12849782297391846</v>
      </c>
      <c r="O12" s="17">
        <f>'TR TUSD'!$O$12*'TR TUSD'!$O$60</f>
        <v>0</v>
      </c>
      <c r="P12" s="17">
        <f>'TR TUSD'!$P$12*'TR TUSD'!$P$60</f>
        <v>0</v>
      </c>
      <c r="Q12" s="17">
        <f>'TR TUSD'!$Q$12*'TR TUSD'!$Q$60</f>
        <v>73.837203383150879</v>
      </c>
      <c r="R12" s="17">
        <f>'TR TUSD'!$R$12*'TR TUSD'!$R$60</f>
        <v>13.895914916158693</v>
      </c>
      <c r="S12" s="17">
        <f>'TR TUSD'!$S$12*'TR TUSD'!$S$60</f>
        <v>0</v>
      </c>
      <c r="T12" s="17">
        <f ca="1">SUM($L$12:$S$12)</f>
        <v>94.198716209955592</v>
      </c>
      <c r="U12" s="17">
        <f>'TR TUSD'!$U$12*'TR TUSD'!$U$60</f>
        <v>0</v>
      </c>
      <c r="V12" s="17">
        <f>'TR TUSD'!$V$12*'TR TUSD'!$V$60</f>
        <v>0</v>
      </c>
      <c r="W12" s="17">
        <f>'TR TUSD'!$W$12*'TR TUSD'!$W$60</f>
        <v>0</v>
      </c>
      <c r="X12" s="17">
        <f>'TR TUSD'!$X$12*'TR TUSD'!$X$60</f>
        <v>0</v>
      </c>
      <c r="Y12" s="17">
        <f>'TR TUSD'!$Y$12*'TR TUSD'!$Y$60</f>
        <v>0</v>
      </c>
      <c r="Z12" s="17">
        <f>'TR TUSD'!$Z$12</f>
        <v>0</v>
      </c>
      <c r="AA12" s="17">
        <f>'TR TUSD'!$AA$12</f>
        <v>0</v>
      </c>
      <c r="AB12" s="17">
        <f>SUM($U$12:$AA$12)</f>
        <v>0</v>
      </c>
      <c r="AC12" s="17">
        <f>'TR TUSD'!$AC$12*'TR TUSD'!$AC$60</f>
        <v>0</v>
      </c>
      <c r="AD12" s="17">
        <f>SUM($AC$12:$AC$12)</f>
        <v>0</v>
      </c>
      <c r="AE12" s="17">
        <v>0</v>
      </c>
      <c r="AF12" s="17">
        <v>0</v>
      </c>
      <c r="AG12" s="17">
        <f>SUM($AE$12:$AF$12)</f>
        <v>0</v>
      </c>
      <c r="AH12" s="17">
        <f>'TR TUSD'!$AH$12*'TR TUSD'!$AH$60</f>
        <v>5.6966914356979794</v>
      </c>
      <c r="AI12" s="17">
        <f>'TR TUSD'!$AI$12*'TR TUSD'!$AI$60</f>
        <v>0</v>
      </c>
      <c r="AJ12" s="17">
        <f ca="1">'TR TUSD'!$AJ$12*'TR TUSD'!$AJ$60</f>
        <v>0.531897139808858</v>
      </c>
      <c r="AK12" s="17">
        <f ca="1">'TR TUSD'!$AK$12*'TR TUSD'!$AK$60</f>
        <v>0.22073470177449955</v>
      </c>
      <c r="AL12" s="17">
        <f ca="1">SUM($AH$12:$AK$12)</f>
        <v>6.4493232772813363</v>
      </c>
      <c r="AM12" s="17">
        <f ca="1">SUMIF($L$4:$AL$4,"SUBTOTAL",$L$12:$AL$12)</f>
        <v>100.64803948723693</v>
      </c>
      <c r="AP12" s="17">
        <v>1</v>
      </c>
    </row>
    <row r="13" spans="1:42" ht="11.25" customHeight="1" x14ac:dyDescent="0.25">
      <c r="A13" s="166"/>
      <c r="B13" s="166"/>
      <c r="C13" s="166"/>
      <c r="D13" s="166"/>
      <c r="E13" s="166" t="s">
        <v>86</v>
      </c>
      <c r="F13" s="166" t="s">
        <v>25</v>
      </c>
      <c r="G13" s="57" t="s">
        <v>79</v>
      </c>
      <c r="H13" s="57" t="s">
        <v>78</v>
      </c>
      <c r="I13" s="57">
        <f>'MERCADO TUSD'!$U$10</f>
        <v>0</v>
      </c>
      <c r="J13" s="16"/>
      <c r="L13" s="17">
        <f>'TR TUSD'!$L$13*'TR TUSD'!$L$60</f>
        <v>0</v>
      </c>
      <c r="M13" s="17">
        <f>'TR TUSD'!$M$13*'TR TUSD'!$M$60</f>
        <v>0.39402997017780067</v>
      </c>
      <c r="N13" s="17">
        <f ca="1">'TR TUSD'!$N$13*'TR TUSD'!$N$60</f>
        <v>4.7741395226028196</v>
      </c>
      <c r="O13" s="17">
        <f>'TR TUSD'!$O$13*'TR TUSD'!$O$60</f>
        <v>0</v>
      </c>
      <c r="P13" s="17">
        <f>'TR TUSD'!$P$13*'TR TUSD'!$P$60</f>
        <v>0</v>
      </c>
      <c r="Q13" s="17">
        <f>'TR TUSD'!$Q$13*'TR TUSD'!$Q$60</f>
        <v>0</v>
      </c>
      <c r="R13" s="17">
        <f>'TR TUSD'!$R$13*'TR TUSD'!$R$60</f>
        <v>0</v>
      </c>
      <c r="S13" s="17">
        <f>'TR TUSD'!$S$13*'TR TUSD'!$S$60</f>
        <v>0</v>
      </c>
      <c r="T13" s="17">
        <f ca="1">SUM($L$13:$S$13)</f>
        <v>5.1681694927806205</v>
      </c>
      <c r="U13" s="17">
        <f>'TR TUSD'!$U$13*'TR TUSD'!$U$60</f>
        <v>160.42472747202177</v>
      </c>
      <c r="V13" s="17">
        <f>'TR TUSD'!$V$13*'TR TUSD'!$V$60</f>
        <v>143.41012964672811</v>
      </c>
      <c r="W13" s="17">
        <f>'TR TUSD'!$W$13*'TR TUSD'!$W$60</f>
        <v>25.311873198012538</v>
      </c>
      <c r="X13" s="17">
        <f>'TR TUSD'!$X$13*'TR TUSD'!$X$60</f>
        <v>0</v>
      </c>
      <c r="Y13" s="17">
        <f>'TR TUSD'!$Y$13*'TR TUSD'!$Y$60</f>
        <v>0</v>
      </c>
      <c r="Z13" s="17">
        <f>'TR TUSD'!$Z$13</f>
        <v>0</v>
      </c>
      <c r="AA13" s="17">
        <f>'TR TUSD'!$AA$13</f>
        <v>0</v>
      </c>
      <c r="AB13" s="17">
        <f>SUM($U$13:$AA$13)</f>
        <v>329.14673031676244</v>
      </c>
      <c r="AC13" s="17">
        <f>'TR TUSD'!$AC$13*'TR TUSD'!$AC$60</f>
        <v>308.1486313215421</v>
      </c>
      <c r="AD13" s="17">
        <f>SUM($AC$13:$AC$13)</f>
        <v>308.1486313215421</v>
      </c>
      <c r="AE13" s="17">
        <v>0</v>
      </c>
      <c r="AF13" s="17">
        <v>0</v>
      </c>
      <c r="AG13" s="17">
        <f>SUM($AE$13:$AF$13)</f>
        <v>0</v>
      </c>
      <c r="AH13" s="17">
        <f>'TR TUSD'!$AH$13*'TR TUSD'!$AH$60</f>
        <v>5.6966914356979794</v>
      </c>
      <c r="AI13" s="17">
        <f>'TR TUSD'!$AI$13*'TR TUSD'!$AI$60</f>
        <v>0</v>
      </c>
      <c r="AJ13" s="17">
        <f ca="1">'TR TUSD'!$AJ$13*'TR TUSD'!$AJ$60</f>
        <v>0.531897139808858</v>
      </c>
      <c r="AK13" s="17">
        <f ca="1">'TR TUSD'!$AK$13*'TR TUSD'!$AK$60</f>
        <v>0.22073470177449955</v>
      </c>
      <c r="AL13" s="17">
        <f ca="1">SUM($AH$13:$AK$13)</f>
        <v>6.4493232772813363</v>
      </c>
      <c r="AM13" s="17">
        <f ca="1">SUMIF($L$4:$AL$4,"SUBTOTAL",$L$13:$AL$13)</f>
        <v>648.91285440836646</v>
      </c>
      <c r="AP13" s="17">
        <v>1</v>
      </c>
    </row>
    <row r="14" spans="1:42" ht="11.25" customHeight="1" x14ac:dyDescent="0.25">
      <c r="A14" s="166"/>
      <c r="B14" s="166"/>
      <c r="C14" s="166"/>
      <c r="D14" s="166"/>
      <c r="E14" s="166"/>
      <c r="F14" s="166"/>
      <c r="G14" s="57" t="s">
        <v>80</v>
      </c>
      <c r="H14" s="57" t="s">
        <v>78</v>
      </c>
      <c r="I14" s="57">
        <f>'MERCADO TUSD'!$U$11</f>
        <v>0</v>
      </c>
      <c r="J14" s="16"/>
      <c r="L14" s="17">
        <f>'TR TUSD'!$L$14*'TR TUSD'!$L$60</f>
        <v>0</v>
      </c>
      <c r="M14" s="17">
        <f>'TR TUSD'!$M$14*'TR TUSD'!$M$60</f>
        <v>0.39402997017780067</v>
      </c>
      <c r="N14" s="17">
        <f ca="1">'TR TUSD'!$N$14*'TR TUSD'!$N$60</f>
        <v>0.11961551819247825</v>
      </c>
      <c r="O14" s="17">
        <f>'TR TUSD'!$O$14*'TR TUSD'!$O$60</f>
        <v>0</v>
      </c>
      <c r="P14" s="17">
        <f>'TR TUSD'!$P$14*'TR TUSD'!$P$60</f>
        <v>0</v>
      </c>
      <c r="Q14" s="17">
        <f>'TR TUSD'!$Q$14*'TR TUSD'!$Q$60</f>
        <v>0</v>
      </c>
      <c r="R14" s="17">
        <f>'TR TUSD'!$R$14*'TR TUSD'!$R$60</f>
        <v>0</v>
      </c>
      <c r="S14" s="17">
        <f>'TR TUSD'!$S$14*'TR TUSD'!$S$60</f>
        <v>0</v>
      </c>
      <c r="T14" s="17">
        <f ca="1">SUM($L$14:$S$14)</f>
        <v>0.5136454883702789</v>
      </c>
      <c r="U14" s="17">
        <f>'TR TUSD'!$U$14*'TR TUSD'!$U$60</f>
        <v>0</v>
      </c>
      <c r="V14" s="17">
        <f>'TR TUSD'!$V$14*'TR TUSD'!$V$60</f>
        <v>0</v>
      </c>
      <c r="W14" s="17">
        <f>'TR TUSD'!$W$14*'TR TUSD'!$W$60</f>
        <v>0</v>
      </c>
      <c r="X14" s="17">
        <f>'TR TUSD'!$X$14*'TR TUSD'!$X$60</f>
        <v>0</v>
      </c>
      <c r="Y14" s="17">
        <f>'TR TUSD'!$Y$14*'TR TUSD'!$Y$60</f>
        <v>0</v>
      </c>
      <c r="Z14" s="17">
        <f>'TR TUSD'!$Z$14</f>
        <v>0</v>
      </c>
      <c r="AA14" s="17">
        <f>'TR TUSD'!$AA$14</f>
        <v>0</v>
      </c>
      <c r="AB14" s="17">
        <f>SUM($U$14:$AA$14)</f>
        <v>0</v>
      </c>
      <c r="AC14" s="17">
        <f>'TR TUSD'!$AC$14*'TR TUSD'!$AC$60</f>
        <v>0</v>
      </c>
      <c r="AD14" s="17">
        <f>SUM($AC$14:$AC$14)</f>
        <v>0</v>
      </c>
      <c r="AE14" s="17">
        <v>0</v>
      </c>
      <c r="AF14" s="17">
        <v>0</v>
      </c>
      <c r="AG14" s="17">
        <f>SUM($AE$14:$AF$14)</f>
        <v>0</v>
      </c>
      <c r="AH14" s="17">
        <f>'TR TUSD'!$AH$14*'TR TUSD'!$AH$60</f>
        <v>5.6966914356979794</v>
      </c>
      <c r="AI14" s="17">
        <f>'TR TUSD'!$AI$14*'TR TUSD'!$AI$60</f>
        <v>0</v>
      </c>
      <c r="AJ14" s="17">
        <f ca="1">'TR TUSD'!$AJ$14*'TR TUSD'!$AJ$60</f>
        <v>0.531897139808858</v>
      </c>
      <c r="AK14" s="17">
        <f ca="1">'TR TUSD'!$AK$14*'TR TUSD'!$AK$60</f>
        <v>0.22073470177449955</v>
      </c>
      <c r="AL14" s="17">
        <f ca="1">SUM($AH$14:$AK$14)</f>
        <v>6.4493232772813363</v>
      </c>
      <c r="AM14" s="17">
        <f ca="1">SUMIF($L$4:$AL$4,"SUBTOTAL",$L$14:$AL$14)</f>
        <v>6.962968765651615</v>
      </c>
      <c r="AP14" s="17">
        <v>1</v>
      </c>
    </row>
    <row r="15" spans="1:42" ht="11.25" customHeight="1" x14ac:dyDescent="0.25">
      <c r="A15" s="166" t="s">
        <v>89</v>
      </c>
      <c r="B15" s="166" t="s">
        <v>58</v>
      </c>
      <c r="C15" s="166" t="s">
        <v>25</v>
      </c>
      <c r="D15" s="166" t="s">
        <v>25</v>
      </c>
      <c r="E15" s="58" t="s">
        <v>90</v>
      </c>
      <c r="F15" s="58" t="s">
        <v>25</v>
      </c>
      <c r="G15" s="57" t="s">
        <v>9</v>
      </c>
      <c r="H15" s="57" t="s">
        <v>83</v>
      </c>
      <c r="I15" s="57">
        <f>'MERCADO TUSD'!$U$12+0.00000001</f>
        <v>1E-8</v>
      </c>
      <c r="J15" s="16"/>
      <c r="L15" s="17">
        <f>'TR TUSD'!$L$15*'TR TUSD'!$L$60</f>
        <v>0</v>
      </c>
      <c r="M15" s="17">
        <f>'TR TUSD'!$M$15*'TR TUSD'!$M$60</f>
        <v>2.3204376053711933E-2</v>
      </c>
      <c r="N15" s="17">
        <f ca="1">'TR TUSD'!$N$15*'TR TUSD'!$N$60</f>
        <v>5.0895606397652414E-2</v>
      </c>
      <c r="O15" s="17">
        <f>'TR TUSD'!$O$15*'TR TUSD'!$O$60</f>
        <v>0</v>
      </c>
      <c r="P15" s="17">
        <f>'TR TUSD'!$P$15*'TR TUSD'!$P$60</f>
        <v>0</v>
      </c>
      <c r="Q15" s="17">
        <f>'TR TUSD'!$Q$15*'TR TUSD'!$Q$60</f>
        <v>0</v>
      </c>
      <c r="R15" s="17">
        <f>'TR TUSD'!$R$15*'TR TUSD'!$R$60</f>
        <v>0</v>
      </c>
      <c r="S15" s="17">
        <f>'TR TUSD'!$S$15*'TR TUSD'!$S$60</f>
        <v>0</v>
      </c>
      <c r="T15" s="17">
        <f ca="1">SUM($L$15:$S$15)</f>
        <v>7.4099982451364343E-2</v>
      </c>
      <c r="U15" s="17">
        <f>'TR TUSD'!$U$15*'TR TUSD'!$U$60</f>
        <v>0</v>
      </c>
      <c r="V15" s="17">
        <f>'TR TUSD'!$V$15*'TR TUSD'!$V$60</f>
        <v>0</v>
      </c>
      <c r="W15" s="17">
        <f>'TR TUSD'!$W$15*'TR TUSD'!$W$60</f>
        <v>0</v>
      </c>
      <c r="X15" s="17">
        <f>'TR TUSD'!$X$15*'TR TUSD'!$X$60</f>
        <v>0</v>
      </c>
      <c r="Y15" s="17">
        <f>'TR TUSD'!$Y$15*'TR TUSD'!$Y$60</f>
        <v>0</v>
      </c>
      <c r="Z15" s="17">
        <f>'TR TUSD'!$Z$15*'TR TUSD'!$Z$60</f>
        <v>0</v>
      </c>
      <c r="AA15" s="17">
        <f>'TR TUSD'!$AA$15*'TR TUSD'!$AA$60</f>
        <v>0</v>
      </c>
      <c r="AB15" s="17">
        <f>SUM($U$15:$AA$15)</f>
        <v>0</v>
      </c>
      <c r="AC15" s="17">
        <f>'TR TUSD'!$AC$15*'TR TUSD'!$AC$60</f>
        <v>5.7954102990272949</v>
      </c>
      <c r="AD15" s="17">
        <f>SUM($AC$15:$AC$15)</f>
        <v>5.7954102990272949</v>
      </c>
      <c r="AE15" s="17">
        <v>0</v>
      </c>
      <c r="AF15" s="17">
        <v>0</v>
      </c>
      <c r="AG15" s="17">
        <f>SUM($AE$15:$AF$15)</f>
        <v>0</v>
      </c>
      <c r="AH15" s="17">
        <f>'TR TUSD'!$AH$15*'TR TUSD'!$AH$60</f>
        <v>0</v>
      </c>
      <c r="AI15" s="17">
        <f>'TR TUSD'!$AI$15*'TR TUSD'!$AI$60</f>
        <v>0</v>
      </c>
      <c r="AJ15" s="17">
        <f ca="1">'TR TUSD'!$AJ$15*'TR TUSD'!$AJ$60</f>
        <v>0</v>
      </c>
      <c r="AK15" s="17">
        <f ca="1">'TR TUSD'!$AK$15*'TR TUSD'!$AK$60</f>
        <v>0</v>
      </c>
      <c r="AL15" s="17">
        <f ca="1">SUM($AH$15:$AK$15)</f>
        <v>0</v>
      </c>
      <c r="AM15" s="17">
        <f ca="1">SUMIF($L$4:$AL$4,"SUBTOTAL",$L$15:$AL$15)</f>
        <v>5.8695102814786591</v>
      </c>
      <c r="AP15" s="17"/>
    </row>
    <row r="16" spans="1:42" ht="11.25" customHeight="1" x14ac:dyDescent="0.25">
      <c r="A16" s="166"/>
      <c r="B16" s="166"/>
      <c r="C16" s="166"/>
      <c r="D16" s="166"/>
      <c r="E16" s="58" t="s">
        <v>91</v>
      </c>
      <c r="F16" s="58" t="s">
        <v>25</v>
      </c>
      <c r="G16" s="57" t="s">
        <v>9</v>
      </c>
      <c r="H16" s="57" t="s">
        <v>83</v>
      </c>
      <c r="I16" s="57">
        <f>'MERCADO TUSD'!$U$13+0.00000001</f>
        <v>1E-8</v>
      </c>
      <c r="J16" s="16"/>
      <c r="L16" s="17">
        <f>'TR TUSD'!$L$16*'TR TUSD'!$L$60</f>
        <v>0</v>
      </c>
      <c r="M16" s="17">
        <f>'TR TUSD'!$M$16*'TR TUSD'!$M$60</f>
        <v>2.3204376053711933E-2</v>
      </c>
      <c r="N16" s="17">
        <f ca="1">'TR TUSD'!$N$16*'TR TUSD'!$N$60</f>
        <v>5.0895606397652414E-2</v>
      </c>
      <c r="O16" s="17">
        <f>'TR TUSD'!$O$16*'TR TUSD'!$O$60</f>
        <v>0</v>
      </c>
      <c r="P16" s="17">
        <f>'TR TUSD'!$P$16*'TR TUSD'!$P$60</f>
        <v>0</v>
      </c>
      <c r="Q16" s="17">
        <f>'TR TUSD'!$Q$16*'TR TUSD'!$Q$60</f>
        <v>0</v>
      </c>
      <c r="R16" s="17">
        <f>'TR TUSD'!$R$16*'TR TUSD'!$R$60</f>
        <v>0</v>
      </c>
      <c r="S16" s="17">
        <f>'TR TUSD'!$S$16*'TR TUSD'!$S$60</f>
        <v>0</v>
      </c>
      <c r="T16" s="17">
        <f ca="1">SUM($L$16:$S$16)</f>
        <v>7.4099982451364343E-2</v>
      </c>
      <c r="U16" s="17">
        <f>'TR TUSD'!$U$16*'TR TUSD'!$U$60</f>
        <v>0</v>
      </c>
      <c r="V16" s="17">
        <f>'TR TUSD'!$V$16*'TR TUSD'!$V$60</f>
        <v>0</v>
      </c>
      <c r="W16" s="17">
        <f>'TR TUSD'!$W$16*'TR TUSD'!$W$60</f>
        <v>0</v>
      </c>
      <c r="X16" s="17">
        <f>'TR TUSD'!$X$16*'TR TUSD'!$X$60</f>
        <v>0</v>
      </c>
      <c r="Y16" s="17">
        <f>'TR TUSD'!$Y$16*'TR TUSD'!$Y$60</f>
        <v>0</v>
      </c>
      <c r="Z16" s="17">
        <f>'TR TUSD'!$Z$16*'TR TUSD'!$Z$60</f>
        <v>0</v>
      </c>
      <c r="AA16" s="17">
        <f>'TR TUSD'!$AA$16*'TR TUSD'!$AA$60</f>
        <v>0</v>
      </c>
      <c r="AB16" s="17">
        <f>SUM($U$16:$AA$16)</f>
        <v>0</v>
      </c>
      <c r="AC16" s="17">
        <f>'TR TUSD'!$AC$16*'TR TUSD'!$AC$60</f>
        <v>9.6903330931843854</v>
      </c>
      <c r="AD16" s="17">
        <f>SUM($AC$16:$AC$16)</f>
        <v>9.6903330931843854</v>
      </c>
      <c r="AE16" s="17">
        <v>0</v>
      </c>
      <c r="AF16" s="17">
        <v>0</v>
      </c>
      <c r="AG16" s="17">
        <f>SUM($AE$16:$AF$16)</f>
        <v>0</v>
      </c>
      <c r="AH16" s="17">
        <f>'TR TUSD'!$AH$16*'TR TUSD'!$AH$60</f>
        <v>0</v>
      </c>
      <c r="AI16" s="17">
        <f>'TR TUSD'!$AI$16*'TR TUSD'!$AI$60</f>
        <v>0</v>
      </c>
      <c r="AJ16" s="17">
        <f ca="1">'TR TUSD'!$AJ$16*'TR TUSD'!$AJ$60</f>
        <v>0</v>
      </c>
      <c r="AK16" s="17">
        <f ca="1">'TR TUSD'!$AK$16*'TR TUSD'!$AK$60</f>
        <v>0</v>
      </c>
      <c r="AL16" s="17">
        <f ca="1">SUM($AH$16:$AK$16)</f>
        <v>0</v>
      </c>
      <c r="AM16" s="17">
        <f ca="1">SUMIF($L$4:$AL$4,"SUBTOTAL",$L$16:$AL$16)</f>
        <v>9.7644330756357505</v>
      </c>
      <c r="AP16" s="17"/>
    </row>
    <row r="17" spans="1:42" ht="11.25" customHeight="1" x14ac:dyDescent="0.25">
      <c r="A17" s="166" t="s">
        <v>22</v>
      </c>
      <c r="B17" s="166" t="s">
        <v>32</v>
      </c>
      <c r="C17" s="166" t="s">
        <v>24</v>
      </c>
      <c r="D17" s="166" t="s">
        <v>24</v>
      </c>
      <c r="E17" s="166" t="s">
        <v>25</v>
      </c>
      <c r="F17" s="166" t="s">
        <v>25</v>
      </c>
      <c r="G17" s="57" t="s">
        <v>79</v>
      </c>
      <c r="H17" s="57" t="s">
        <v>78</v>
      </c>
      <c r="I17" s="57">
        <f>'MERCADO TUSD'!$U$14</f>
        <v>2.7580000000000005</v>
      </c>
      <c r="J17" s="16"/>
      <c r="L17" s="17">
        <f>'TR TUSD'!$L$17*'TR TUSD'!$L$60</f>
        <v>7.075083473207509</v>
      </c>
      <c r="M17" s="17">
        <f>'TR TUSD'!$M$17*'TR TUSD'!$M$60</f>
        <v>0.88690239679001703</v>
      </c>
      <c r="N17" s="17">
        <f ca="1">'TR TUSD'!$N$17*'TR TUSD'!$N$60</f>
        <v>6.5313900195810914</v>
      </c>
      <c r="O17" s="17">
        <f>'TR TUSD'!$O$17*'TR TUSD'!$O$60</f>
        <v>0</v>
      </c>
      <c r="P17" s="17">
        <f>'TR TUSD'!$P$17*'TR TUSD'!$P$60</f>
        <v>0</v>
      </c>
      <c r="Q17" s="17">
        <f>'TR TUSD'!$Q$17*'TR TUSD'!$Q$60</f>
        <v>87.901432598989146</v>
      </c>
      <c r="R17" s="17">
        <f>'TR TUSD'!$R$17*'TR TUSD'!$R$60</f>
        <v>13.895914916158693</v>
      </c>
      <c r="S17" s="17">
        <f>'TR TUSD'!$S$17*'TR TUSD'!$S$60</f>
        <v>0</v>
      </c>
      <c r="T17" s="17">
        <f ca="1">SUM($L$17:$S$17)</f>
        <v>116.29072340472645</v>
      </c>
      <c r="U17" s="17">
        <f>'TR TUSD'!$U$17*'TR TUSD'!$U$60</f>
        <v>98.967522597928266</v>
      </c>
      <c r="V17" s="17">
        <f>'TR TUSD'!$V$17*'TR TUSD'!$V$60</f>
        <v>82.947844283249765</v>
      </c>
      <c r="W17" s="17">
        <f>'TR TUSD'!$W$17*'TR TUSD'!$W$60</f>
        <v>15.291264197107916</v>
      </c>
      <c r="X17" s="17">
        <f>'TR TUSD'!$X$17*'TR TUSD'!$X$60</f>
        <v>0</v>
      </c>
      <c r="Y17" s="17">
        <f>'TR TUSD'!$Y$17*'TR TUSD'!$Y$60</f>
        <v>0</v>
      </c>
      <c r="Z17" s="17">
        <f>'TR TUSD'!$Z$17</f>
        <v>0</v>
      </c>
      <c r="AA17" s="17">
        <f>'TR TUSD'!$AA$17</f>
        <v>0</v>
      </c>
      <c r="AB17" s="17">
        <f>SUM($U$17:$AA$17)</f>
        <v>197.20663107828597</v>
      </c>
      <c r="AC17" s="17">
        <f>'TR TUSD'!$AC$17*'TR TUSD'!$AC$60</f>
        <v>568.30243732235817</v>
      </c>
      <c r="AD17" s="17">
        <f>SUM($AC$17:$AC$17)</f>
        <v>568.30243732235817</v>
      </c>
      <c r="AE17" s="17">
        <v>0</v>
      </c>
      <c r="AF17" s="17">
        <v>0</v>
      </c>
      <c r="AG17" s="17">
        <f>SUM($AE$17:$AF$17)</f>
        <v>0</v>
      </c>
      <c r="AH17" s="17">
        <f>'TR TUSD'!$AH$17*'TR TUSD'!$AH$60</f>
        <v>20.148487199074868</v>
      </c>
      <c r="AI17" s="17">
        <f>'TR TUSD'!$AI$17*'TR TUSD'!$AI$60</f>
        <v>0</v>
      </c>
      <c r="AJ17" s="17">
        <f ca="1">'TR TUSD'!$AJ$17*'TR TUSD'!$AJ$60</f>
        <v>0.72505862168323876</v>
      </c>
      <c r="AK17" s="17">
        <f ca="1">'TR TUSD'!$AK$17*'TR TUSD'!$AK$60</f>
        <v>0.30089576846341609</v>
      </c>
      <c r="AL17" s="17">
        <f ca="1">SUM($AH$17:$AK$17)</f>
        <v>21.174441589221523</v>
      </c>
      <c r="AM17" s="17">
        <f ca="1">SUMIF($L$4:$AL$4,"SUBTOTAL",$L$17:$AL$17)</f>
        <v>902.97423339459215</v>
      </c>
      <c r="AP17" s="17">
        <v>1</v>
      </c>
    </row>
    <row r="18" spans="1:42" ht="11.25" customHeight="1" x14ac:dyDescent="0.25">
      <c r="A18" s="166"/>
      <c r="B18" s="166"/>
      <c r="C18" s="166"/>
      <c r="D18" s="166"/>
      <c r="E18" s="166"/>
      <c r="F18" s="166"/>
      <c r="G18" s="57" t="s">
        <v>92</v>
      </c>
      <c r="H18" s="57" t="s">
        <v>78</v>
      </c>
      <c r="I18" s="57">
        <f>'MERCADO TUSD'!$U$15</f>
        <v>1.9870000000000001</v>
      </c>
      <c r="J18" s="16"/>
      <c r="L18" s="17">
        <f>'TR TUSD'!$L$18*'TR TUSD'!$L$60</f>
        <v>7.075083473207509</v>
      </c>
      <c r="M18" s="17">
        <f>'TR TUSD'!$M$18*'TR TUSD'!$M$60</f>
        <v>0.88690239679001703</v>
      </c>
      <c r="N18" s="17">
        <f ca="1">'TR TUSD'!$N$18*'TR TUSD'!$N$60</f>
        <v>3.4581285533513846</v>
      </c>
      <c r="O18" s="17">
        <f>'TR TUSD'!$O$18*'TR TUSD'!$O$60</f>
        <v>0</v>
      </c>
      <c r="P18" s="17">
        <f>'TR TUSD'!$P$18*'TR TUSD'!$P$60</f>
        <v>0</v>
      </c>
      <c r="Q18" s="17">
        <f>'TR TUSD'!$Q$18*'TR TUSD'!$Q$60</f>
        <v>87.901432598989146</v>
      </c>
      <c r="R18" s="17">
        <f>'TR TUSD'!$R$18*'TR TUSD'!$R$60</f>
        <v>13.895914916158693</v>
      </c>
      <c r="S18" s="17">
        <f>'TR TUSD'!$S$18*'TR TUSD'!$S$60</f>
        <v>0</v>
      </c>
      <c r="T18" s="17">
        <f ca="1">SUM($L$18:$S$18)</f>
        <v>113.21746193849674</v>
      </c>
      <c r="U18" s="17">
        <f>'TR TUSD'!$U$18*'TR TUSD'!$U$60</f>
        <v>49.483834790389999</v>
      </c>
      <c r="V18" s="17">
        <f>'TR TUSD'!$V$18*'TR TUSD'!$V$60</f>
        <v>41.473839283433165</v>
      </c>
      <c r="W18" s="17">
        <f>'TR TUSD'!$W$18*'TR TUSD'!$W$60</f>
        <v>7.6456828491769127</v>
      </c>
      <c r="X18" s="17">
        <f>'TR TUSD'!$X$18*'TR TUSD'!$X$60</f>
        <v>0</v>
      </c>
      <c r="Y18" s="17">
        <f>'TR TUSD'!$Y$18*'TR TUSD'!$Y$60</f>
        <v>0</v>
      </c>
      <c r="Z18" s="17">
        <f>'TR TUSD'!$Z$18</f>
        <v>0</v>
      </c>
      <c r="AA18" s="17">
        <f>'TR TUSD'!$AA$18</f>
        <v>0</v>
      </c>
      <c r="AB18" s="17">
        <f>SUM($U$18:$AA$18)</f>
        <v>98.603356923000078</v>
      </c>
      <c r="AC18" s="17">
        <f>'TR TUSD'!$AC$18*'TR TUSD'!$AC$60</f>
        <v>284.15121866117909</v>
      </c>
      <c r="AD18" s="17">
        <f>SUM($AC$18:$AC$18)</f>
        <v>284.15121866117909</v>
      </c>
      <c r="AE18" s="17">
        <v>0</v>
      </c>
      <c r="AF18" s="17">
        <v>0</v>
      </c>
      <c r="AG18" s="17">
        <f>SUM($AE$18:$AF$18)</f>
        <v>0</v>
      </c>
      <c r="AH18" s="17">
        <f>'TR TUSD'!$AH$18*'TR TUSD'!$AH$60</f>
        <v>20.148487199074868</v>
      </c>
      <c r="AI18" s="17">
        <f>'TR TUSD'!$AI$18*'TR TUSD'!$AI$60</f>
        <v>0</v>
      </c>
      <c r="AJ18" s="17">
        <f ca="1">'TR TUSD'!$AJ$18*'TR TUSD'!$AJ$60</f>
        <v>0.72505862168323876</v>
      </c>
      <c r="AK18" s="17">
        <f ca="1">'TR TUSD'!$AK$18*'TR TUSD'!$AK$60</f>
        <v>0.30089576846341609</v>
      </c>
      <c r="AL18" s="17">
        <f ca="1">SUM($AH$18:$AK$18)</f>
        <v>21.174441589221523</v>
      </c>
      <c r="AM18" s="17">
        <f ca="1">SUMIF($L$4:$AL$4,"SUBTOTAL",$L$18:$AL$18)</f>
        <v>517.14647911189741</v>
      </c>
      <c r="AP18" s="17">
        <v>1</v>
      </c>
    </row>
    <row r="19" spans="1:42" ht="11.25" customHeight="1" x14ac:dyDescent="0.25">
      <c r="A19" s="166"/>
      <c r="B19" s="166"/>
      <c r="C19" s="166"/>
      <c r="D19" s="166"/>
      <c r="E19" s="166"/>
      <c r="F19" s="166"/>
      <c r="G19" s="57" t="s">
        <v>80</v>
      </c>
      <c r="H19" s="57" t="s">
        <v>78</v>
      </c>
      <c r="I19" s="57">
        <f>'MERCADO TUSD'!$U$16</f>
        <v>16.794</v>
      </c>
      <c r="J19" s="16"/>
      <c r="L19" s="17">
        <f>'TR TUSD'!$L$19*'TR TUSD'!$L$60</f>
        <v>7.075083473207509</v>
      </c>
      <c r="M19" s="17">
        <f>'TR TUSD'!$M$19*'TR TUSD'!$M$60</f>
        <v>0.88690239679001703</v>
      </c>
      <c r="N19" s="17">
        <f ca="1">'TR TUSD'!$N$19*'TR TUSD'!$N$60</f>
        <v>0.99951902507542778</v>
      </c>
      <c r="O19" s="17">
        <f>'TR TUSD'!$O$19*'TR TUSD'!$O$60</f>
        <v>0</v>
      </c>
      <c r="P19" s="17">
        <f>'TR TUSD'!$P$19*'TR TUSD'!$P$60</f>
        <v>0</v>
      </c>
      <c r="Q19" s="17">
        <f>'TR TUSD'!$Q$19*'TR TUSD'!$Q$60</f>
        <v>87.901432598989146</v>
      </c>
      <c r="R19" s="17">
        <f>'TR TUSD'!$R$19*'TR TUSD'!$R$60</f>
        <v>13.895914916158693</v>
      </c>
      <c r="S19" s="17">
        <f>'TR TUSD'!$S$19*'TR TUSD'!$S$60</f>
        <v>0</v>
      </c>
      <c r="T19" s="17">
        <f ca="1">SUM($L$19:$S$19)</f>
        <v>110.75885241022078</v>
      </c>
      <c r="U19" s="17">
        <f>'TR TUSD'!$U$19*'TR TUSD'!$U$60</f>
        <v>9.8967963546483411</v>
      </c>
      <c r="V19" s="17">
        <f>'TR TUSD'!$V$19*'TR TUSD'!$V$60</f>
        <v>8.294767856686633</v>
      </c>
      <c r="W19" s="17">
        <f>'TR TUSD'!$W$19*'TR TUSD'!$W$60</f>
        <v>1.5291162695862011</v>
      </c>
      <c r="X19" s="17">
        <f>'TR TUSD'!$X$19*'TR TUSD'!$X$60</f>
        <v>0</v>
      </c>
      <c r="Y19" s="17">
        <f>'TR TUSD'!$Y$19*'TR TUSD'!$Y$60</f>
        <v>0</v>
      </c>
      <c r="Z19" s="17">
        <f>'TR TUSD'!$Z$19</f>
        <v>0</v>
      </c>
      <c r="AA19" s="17">
        <f>'TR TUSD'!$AA$19</f>
        <v>0</v>
      </c>
      <c r="AB19" s="17">
        <f>SUM($U$19:$AA$19)</f>
        <v>19.720680480921175</v>
      </c>
      <c r="AC19" s="17">
        <f>'TR TUSD'!$AC$19*'TR TUSD'!$AC$60</f>
        <v>56.830284358304759</v>
      </c>
      <c r="AD19" s="17">
        <f>SUM($AC$19:$AC$19)</f>
        <v>56.830284358304759</v>
      </c>
      <c r="AE19" s="17">
        <v>0</v>
      </c>
      <c r="AF19" s="17">
        <v>0</v>
      </c>
      <c r="AG19" s="17">
        <f>SUM($AE$19:$AF$19)</f>
        <v>0</v>
      </c>
      <c r="AH19" s="17">
        <f>'TR TUSD'!$AH$19*'TR TUSD'!$AH$60</f>
        <v>20.148487199074868</v>
      </c>
      <c r="AI19" s="17">
        <f>'TR TUSD'!$AI$19*'TR TUSD'!$AI$60</f>
        <v>0</v>
      </c>
      <c r="AJ19" s="17">
        <f ca="1">'TR TUSD'!$AJ$19*'TR TUSD'!$AJ$60</f>
        <v>0.72505862168323876</v>
      </c>
      <c r="AK19" s="17">
        <f ca="1">'TR TUSD'!$AK$19*'TR TUSD'!$AK$60</f>
        <v>0.30089576846341609</v>
      </c>
      <c r="AL19" s="17">
        <f ca="1">SUM($AH$19:$AK$19)</f>
        <v>21.174441589221523</v>
      </c>
      <c r="AM19" s="17">
        <f ca="1">SUMIF($L$4:$AL$4,"SUBTOTAL",$L$19:$AL$19)</f>
        <v>208.48425883866824</v>
      </c>
      <c r="AP19" s="17">
        <v>1</v>
      </c>
    </row>
    <row r="20" spans="1:42" ht="11.25" customHeight="1" x14ac:dyDescent="0.25">
      <c r="A20" s="166"/>
      <c r="B20" s="166" t="s">
        <v>23</v>
      </c>
      <c r="C20" s="166" t="s">
        <v>24</v>
      </c>
      <c r="D20" s="58" t="s">
        <v>24</v>
      </c>
      <c r="E20" s="58" t="s">
        <v>25</v>
      </c>
      <c r="F20" s="58" t="s">
        <v>25</v>
      </c>
      <c r="G20" s="57" t="s">
        <v>82</v>
      </c>
      <c r="H20" s="57" t="s">
        <v>78</v>
      </c>
      <c r="I20" s="57">
        <f>'MERCADO TUSD'!$U$17</f>
        <v>38061.052999999993</v>
      </c>
      <c r="J20" s="16"/>
      <c r="L20" s="17">
        <f>'TR TUSD'!$L$20*'TR TUSD'!$L$60</f>
        <v>7.075083473207509</v>
      </c>
      <c r="M20" s="17">
        <f>'TR TUSD'!$M$20*'TR TUSD'!$M$60</f>
        <v>0.88690239679001703</v>
      </c>
      <c r="N20" s="17">
        <f ca="1">'TR TUSD'!$N$20*'TR TUSD'!$N$60</f>
        <v>2.2474490941096086</v>
      </c>
      <c r="O20" s="17">
        <f>'TR TUSD'!$O$20*'TR TUSD'!$O$60</f>
        <v>0</v>
      </c>
      <c r="P20" s="17">
        <f>'TR TUSD'!$P$20*'TR TUSD'!$P$60</f>
        <v>0</v>
      </c>
      <c r="Q20" s="17">
        <f>'TR TUSD'!$Q$20*'TR TUSD'!$Q$60</f>
        <v>87.901432598989146</v>
      </c>
      <c r="R20" s="17">
        <f>'TR TUSD'!$R$20*'TR TUSD'!$R$60</f>
        <v>13.895914916158693</v>
      </c>
      <c r="S20" s="17">
        <f>'TR TUSD'!$S$20*'TR TUSD'!$S$60</f>
        <v>0</v>
      </c>
      <c r="T20" s="17">
        <f ca="1">SUM($L$20:$S$20)</f>
        <v>112.00678247925497</v>
      </c>
      <c r="U20" s="17">
        <f>'TR TUSD'!$U$20*'TR TUSD'!$U$60</f>
        <v>29.990087098595613</v>
      </c>
      <c r="V20" s="17">
        <f>'TR TUSD'!$V$20*'TR TUSD'!$V$60</f>
        <v>25.135695323737799</v>
      </c>
      <c r="W20" s="17">
        <f>'TR TUSD'!$W$20*'TR TUSD'!$W$60</f>
        <v>4.6337348781380188</v>
      </c>
      <c r="X20" s="17">
        <f>'TR TUSD'!$X$20*'TR TUSD'!$X$60</f>
        <v>0</v>
      </c>
      <c r="Y20" s="17">
        <f>'TR TUSD'!$Y$20*'TR TUSD'!$Y$60</f>
        <v>0</v>
      </c>
      <c r="Z20" s="17">
        <f>'TR TUSD'!$Z$20</f>
        <v>0</v>
      </c>
      <c r="AA20" s="17">
        <f>'TR TUSD'!$AA$20</f>
        <v>0</v>
      </c>
      <c r="AB20" s="17">
        <f>SUM($U$20:$AA$20)</f>
        <v>59.759517300471437</v>
      </c>
      <c r="AC20" s="17">
        <f>'TR TUSD'!$AC$20*'TR TUSD'!$AC$60</f>
        <v>172.21289057197896</v>
      </c>
      <c r="AD20" s="17">
        <f>SUM($AC$20:$AC$20)</f>
        <v>172.21289057197896</v>
      </c>
      <c r="AE20" s="17">
        <v>0</v>
      </c>
      <c r="AF20" s="17">
        <v>0</v>
      </c>
      <c r="AG20" s="17">
        <f>SUM($AE$20:$AF$20)</f>
        <v>0</v>
      </c>
      <c r="AH20" s="17">
        <f>'TR TUSD'!$AH$20*'TR TUSD'!$AH$60</f>
        <v>20.148487199074868</v>
      </c>
      <c r="AI20" s="17">
        <f>'TR TUSD'!$AI$20*'TR TUSD'!$AI$60</f>
        <v>0</v>
      </c>
      <c r="AJ20" s="17">
        <f ca="1">'TR TUSD'!$AJ$20*'TR TUSD'!$AJ$60</f>
        <v>0.72505862168323876</v>
      </c>
      <c r="AK20" s="17">
        <f ca="1">'TR TUSD'!$AK$20*'TR TUSD'!$AK$60</f>
        <v>0.30089576846341609</v>
      </c>
      <c r="AL20" s="17">
        <f ca="1">SUM($AH$20:$AK$20)</f>
        <v>21.174441589221523</v>
      </c>
      <c r="AM20" s="17">
        <f ca="1">SUMIF($L$4:$AL$4,"SUBTOTAL",$L$20:$AL$20)</f>
        <v>365.15363194092691</v>
      </c>
      <c r="AP20" s="17">
        <v>1</v>
      </c>
    </row>
    <row r="21" spans="1:42" ht="11.25" customHeight="1" x14ac:dyDescent="0.25">
      <c r="A21" s="166"/>
      <c r="B21" s="166"/>
      <c r="C21" s="166"/>
      <c r="D21" s="58" t="s">
        <v>28</v>
      </c>
      <c r="E21" s="58" t="s">
        <v>25</v>
      </c>
      <c r="F21" s="58" t="s">
        <v>25</v>
      </c>
      <c r="G21" s="57" t="s">
        <v>82</v>
      </c>
      <c r="H21" s="57" t="s">
        <v>78</v>
      </c>
      <c r="I21" s="57">
        <f>'MERCADO TUSD'!$U$18</f>
        <v>264.92899999999997</v>
      </c>
      <c r="J21" s="16"/>
      <c r="L21" s="17">
        <f>'TR TUSD'!$L$21*'TR TUSD'!$L$60</f>
        <v>0</v>
      </c>
      <c r="M21" s="17">
        <f>'TR TUSD'!$M$21*'TR TUSD'!$M$60</f>
        <v>0.88690239679001703</v>
      </c>
      <c r="N21" s="17">
        <f ca="1">'TR TUSD'!$N$21*'TR TUSD'!$N$60</f>
        <v>2.2385667893281678</v>
      </c>
      <c r="O21" s="17">
        <f>'TR TUSD'!$O$21*'TR TUSD'!$O$60</f>
        <v>0</v>
      </c>
      <c r="P21" s="17">
        <f>'TR TUSD'!$P$21*'TR TUSD'!$P$60</f>
        <v>0</v>
      </c>
      <c r="Q21" s="17">
        <f>'TR TUSD'!$Q$21*'TR TUSD'!$Q$60</f>
        <v>0</v>
      </c>
      <c r="R21" s="17">
        <f>'TR TUSD'!$R$21*'TR TUSD'!$R$60</f>
        <v>0</v>
      </c>
      <c r="S21" s="17">
        <f>'TR TUSD'!$S$21*'TR TUSD'!$S$60</f>
        <v>0</v>
      </c>
      <c r="T21" s="17">
        <f ca="1">SUM($L$21:$S$21)</f>
        <v>3.1254691861181847</v>
      </c>
      <c r="U21" s="17">
        <f>'TR TUSD'!$U$21*'TR TUSD'!$U$60</f>
        <v>29.990087098595613</v>
      </c>
      <c r="V21" s="17">
        <f>'TR TUSD'!$V$21*'TR TUSD'!$V$60</f>
        <v>25.135695323737799</v>
      </c>
      <c r="W21" s="17">
        <f>'TR TUSD'!$W$21*'TR TUSD'!$W$60</f>
        <v>4.6337348781380188</v>
      </c>
      <c r="X21" s="17">
        <f>'TR TUSD'!$X$21*'TR TUSD'!$X$60</f>
        <v>0</v>
      </c>
      <c r="Y21" s="17">
        <f>'TR TUSD'!$Y$21*'TR TUSD'!$Y$60</f>
        <v>0</v>
      </c>
      <c r="Z21" s="17">
        <f>'TR TUSD'!$Z$21</f>
        <v>0</v>
      </c>
      <c r="AA21" s="17">
        <f>'TR TUSD'!$AA$21</f>
        <v>0</v>
      </c>
      <c r="AB21" s="17">
        <f>SUM($U$21:$AA$21)</f>
        <v>59.759517300471437</v>
      </c>
      <c r="AC21" s="17">
        <f>'TR TUSD'!$AC$21*'TR TUSD'!$AC$60</f>
        <v>172.21289057197896</v>
      </c>
      <c r="AD21" s="17">
        <f>SUM($AC$21:$AC$21)</f>
        <v>172.21289057197896</v>
      </c>
      <c r="AE21" s="17">
        <v>0</v>
      </c>
      <c r="AF21" s="17">
        <v>0</v>
      </c>
      <c r="AG21" s="17">
        <f>SUM($AE$21:$AF$21)</f>
        <v>0</v>
      </c>
      <c r="AH21" s="17">
        <f>'TR TUSD'!$AH$21*'TR TUSD'!$AH$60</f>
        <v>20.148487199074868</v>
      </c>
      <c r="AI21" s="17">
        <f>'TR TUSD'!$AI$21*'TR TUSD'!$AI$60</f>
        <v>0</v>
      </c>
      <c r="AJ21" s="17">
        <f ca="1">'TR TUSD'!$AJ$21*'TR TUSD'!$AJ$60</f>
        <v>0.72505862168323876</v>
      </c>
      <c r="AK21" s="17">
        <f ca="1">'TR TUSD'!$AK$21*'TR TUSD'!$AK$60</f>
        <v>0.30089576846341609</v>
      </c>
      <c r="AL21" s="17">
        <f ca="1">SUM($AH$21:$AK$21)</f>
        <v>21.174441589221523</v>
      </c>
      <c r="AM21" s="17">
        <f ca="1">SUMIF($L$4:$AL$4,"SUBTOTAL",$L$21:$AL$21)</f>
        <v>256.27231864779014</v>
      </c>
      <c r="AP21" s="17">
        <f>IF((1 - CUSTOS!$M$24)&lt;&gt;0,1/(1 - CUSTOS!$M$24),1)</f>
        <v>1</v>
      </c>
    </row>
    <row r="22" spans="1:42" ht="11.25" customHeight="1" x14ac:dyDescent="0.25">
      <c r="A22" s="166"/>
      <c r="B22" s="166"/>
      <c r="C22" s="166"/>
      <c r="D22" s="58" t="s">
        <v>29</v>
      </c>
      <c r="E22" s="58" t="s">
        <v>25</v>
      </c>
      <c r="F22" s="58" t="s">
        <v>25</v>
      </c>
      <c r="G22" s="57" t="s">
        <v>82</v>
      </c>
      <c r="H22" s="57" t="s">
        <v>78</v>
      </c>
      <c r="I22" s="57">
        <f>'MERCADO TUSD'!$U$19</f>
        <v>546.98300000000006</v>
      </c>
      <c r="J22" s="16"/>
      <c r="L22" s="17">
        <f>'TR TUSD'!$L$22*'TR TUSD'!$L$60</f>
        <v>0</v>
      </c>
      <c r="M22" s="17">
        <f>'TR TUSD'!$M$22*'TR TUSD'!$M$60</f>
        <v>0.88690239679001703</v>
      </c>
      <c r="N22" s="17">
        <f ca="1">'TR TUSD'!$N$22*'TR TUSD'!$N$60</f>
        <v>2.2385667893281678</v>
      </c>
      <c r="O22" s="17">
        <f>'TR TUSD'!$O$22*'TR TUSD'!$O$60</f>
        <v>0</v>
      </c>
      <c r="P22" s="17">
        <f>'TR TUSD'!$P$22*'TR TUSD'!$P$60</f>
        <v>0</v>
      </c>
      <c r="Q22" s="17">
        <f>'TR TUSD'!$Q$22*'TR TUSD'!$Q$60</f>
        <v>0</v>
      </c>
      <c r="R22" s="17">
        <f>'TR TUSD'!$R$22*'TR TUSD'!$R$60</f>
        <v>0</v>
      </c>
      <c r="S22" s="17">
        <f>'TR TUSD'!$S$22*'TR TUSD'!$S$60</f>
        <v>0</v>
      </c>
      <c r="T22" s="17">
        <f ca="1">SUM($L$22:$S$22)</f>
        <v>3.1254691861181847</v>
      </c>
      <c r="U22" s="17">
        <f>'TR TUSD'!$U$22*'TR TUSD'!$U$60</f>
        <v>29.990087098595613</v>
      </c>
      <c r="V22" s="17">
        <f>'TR TUSD'!$V$22*'TR TUSD'!$V$60</f>
        <v>25.135695323737799</v>
      </c>
      <c r="W22" s="17">
        <f>'TR TUSD'!$W$22*'TR TUSD'!$W$60</f>
        <v>4.6337348781380188</v>
      </c>
      <c r="X22" s="17">
        <f>'TR TUSD'!$X$22*'TR TUSD'!$X$60</f>
        <v>0</v>
      </c>
      <c r="Y22" s="17">
        <f>'TR TUSD'!$Y$22*'TR TUSD'!$Y$60</f>
        <v>0</v>
      </c>
      <c r="Z22" s="17">
        <f>'TR TUSD'!$Z$22</f>
        <v>0</v>
      </c>
      <c r="AA22" s="17">
        <f>'TR TUSD'!$AA$22</f>
        <v>0</v>
      </c>
      <c r="AB22" s="17">
        <f>SUM($U$22:$AA$22)</f>
        <v>59.759517300471437</v>
      </c>
      <c r="AC22" s="17">
        <f>'TR TUSD'!$AC$22*'TR TUSD'!$AC$60</f>
        <v>172.21289057197896</v>
      </c>
      <c r="AD22" s="17">
        <f>SUM($AC$22:$AC$22)</f>
        <v>172.21289057197896</v>
      </c>
      <c r="AE22" s="17">
        <v>0</v>
      </c>
      <c r="AF22" s="17">
        <v>0</v>
      </c>
      <c r="AG22" s="17">
        <f>SUM($AE$22:$AF$22)</f>
        <v>0</v>
      </c>
      <c r="AH22" s="17">
        <f>'TR TUSD'!$AH$22*'TR TUSD'!$AH$60</f>
        <v>20.148487199074868</v>
      </c>
      <c r="AI22" s="17">
        <f>'TR TUSD'!$AI$22*'TR TUSD'!$AI$60</f>
        <v>0</v>
      </c>
      <c r="AJ22" s="17">
        <f ca="1">'TR TUSD'!$AJ$22*'TR TUSD'!$AJ$60</f>
        <v>0.72505862168323876</v>
      </c>
      <c r="AK22" s="17">
        <f ca="1">'TR TUSD'!$AK$22*'TR TUSD'!$AK$60</f>
        <v>0.30089576846341609</v>
      </c>
      <c r="AL22" s="17">
        <f ca="1">SUM($AH$22:$AK$22)</f>
        <v>21.174441589221523</v>
      </c>
      <c r="AM22" s="17">
        <f ca="1">SUMIF($L$4:$AL$4,"SUBTOTAL",$L$22:$AL$22)</f>
        <v>256.27231864779014</v>
      </c>
      <c r="AP22" s="17">
        <f>IF((1 - CUSTOS!$M$25)&lt;&gt;0,1/(1 - CUSTOS!$M$25),1)</f>
        <v>1</v>
      </c>
    </row>
    <row r="23" spans="1:42" ht="11.25" customHeight="1" x14ac:dyDescent="0.25">
      <c r="A23" s="166"/>
      <c r="B23" s="166"/>
      <c r="C23" s="166"/>
      <c r="D23" s="58" t="s">
        <v>30</v>
      </c>
      <c r="E23" s="58" t="s">
        <v>25</v>
      </c>
      <c r="F23" s="58" t="s">
        <v>25</v>
      </c>
      <c r="G23" s="57" t="s">
        <v>82</v>
      </c>
      <c r="H23" s="57" t="s">
        <v>78</v>
      </c>
      <c r="I23" s="57">
        <f>'MERCADO TUSD'!$U$20</f>
        <v>480.18299999999999</v>
      </c>
      <c r="J23" s="16"/>
      <c r="L23" s="17">
        <f>'TR TUSD'!$L$23*'TR TUSD'!$L$60</f>
        <v>0</v>
      </c>
      <c r="M23" s="17">
        <f>'TR TUSD'!$M$23*'TR TUSD'!$M$60</f>
        <v>0.88690239679001703</v>
      </c>
      <c r="N23" s="17">
        <f ca="1">'TR TUSD'!$N$23*'TR TUSD'!$N$60</f>
        <v>2.2385667893281678</v>
      </c>
      <c r="O23" s="17">
        <f>'TR TUSD'!$O$23*'TR TUSD'!$O$60</f>
        <v>0</v>
      </c>
      <c r="P23" s="17">
        <f>'TR TUSD'!$P$23*'TR TUSD'!$P$60</f>
        <v>0</v>
      </c>
      <c r="Q23" s="17">
        <f>'TR TUSD'!$Q$23*'TR TUSD'!$Q$60</f>
        <v>0</v>
      </c>
      <c r="R23" s="17">
        <f>'TR TUSD'!$R$23*'TR TUSD'!$R$60</f>
        <v>0</v>
      </c>
      <c r="S23" s="17">
        <f>'TR TUSD'!$S$23*'TR TUSD'!$S$60</f>
        <v>0</v>
      </c>
      <c r="T23" s="17">
        <f ca="1">SUM($L$23:$S$23)</f>
        <v>3.1254691861181847</v>
      </c>
      <c r="U23" s="17">
        <f>'TR TUSD'!$U$23*'TR TUSD'!$U$60</f>
        <v>29.990087098595613</v>
      </c>
      <c r="V23" s="17">
        <f>'TR TUSD'!$V$23*'TR TUSD'!$V$60</f>
        <v>25.135695323737799</v>
      </c>
      <c r="W23" s="17">
        <f>'TR TUSD'!$W$23*'TR TUSD'!$W$60</f>
        <v>4.6337348781380188</v>
      </c>
      <c r="X23" s="17">
        <f>'TR TUSD'!$X$23*'TR TUSD'!$X$60</f>
        <v>0</v>
      </c>
      <c r="Y23" s="17">
        <f>'TR TUSD'!$Y$23*'TR TUSD'!$Y$60</f>
        <v>0</v>
      </c>
      <c r="Z23" s="17">
        <f>'TR TUSD'!$Z$23</f>
        <v>0</v>
      </c>
      <c r="AA23" s="17">
        <f>'TR TUSD'!$AA$23</f>
        <v>0</v>
      </c>
      <c r="AB23" s="17">
        <f>SUM($U$23:$AA$23)</f>
        <v>59.759517300471437</v>
      </c>
      <c r="AC23" s="17">
        <f>'TR TUSD'!$AC$23*'TR TUSD'!$AC$60</f>
        <v>172.21289057197896</v>
      </c>
      <c r="AD23" s="17">
        <f>SUM($AC$23:$AC$23)</f>
        <v>172.21289057197896</v>
      </c>
      <c r="AE23" s="17">
        <v>0</v>
      </c>
      <c r="AF23" s="17">
        <v>0</v>
      </c>
      <c r="AG23" s="17">
        <f>SUM($AE$23:$AF$23)</f>
        <v>0</v>
      </c>
      <c r="AH23" s="17">
        <f>'TR TUSD'!$AH$23*'TR TUSD'!$AH$60</f>
        <v>20.148487199074868</v>
      </c>
      <c r="AI23" s="17">
        <f>'TR TUSD'!$AI$23*'TR TUSD'!$AI$60</f>
        <v>0</v>
      </c>
      <c r="AJ23" s="17">
        <f ca="1">'TR TUSD'!$AJ$23*'TR TUSD'!$AJ$60</f>
        <v>0.72505862168323876</v>
      </c>
      <c r="AK23" s="17">
        <f ca="1">'TR TUSD'!$AK$23*'TR TUSD'!$AK$60</f>
        <v>0.30089576846341609</v>
      </c>
      <c r="AL23" s="17">
        <f ca="1">SUM($AH$23:$AK$23)</f>
        <v>21.174441589221523</v>
      </c>
      <c r="AM23" s="17">
        <f ca="1">SUMIF($L$4:$AL$4,"SUBTOTAL",$L$23:$AL$23)</f>
        <v>256.27231864779014</v>
      </c>
      <c r="AP23" s="17">
        <f>IF((1 - CUSTOS!$M$26)&lt;&gt;0,1/(1 - CUSTOS!$M$26),1)</f>
        <v>1</v>
      </c>
    </row>
    <row r="24" spans="1:42" ht="11.25" customHeight="1" x14ac:dyDescent="0.25">
      <c r="A24" s="166"/>
      <c r="B24" s="166"/>
      <c r="C24" s="166"/>
      <c r="D24" s="58" t="s">
        <v>31</v>
      </c>
      <c r="E24" s="58" t="s">
        <v>25</v>
      </c>
      <c r="F24" s="58" t="s">
        <v>25</v>
      </c>
      <c r="G24" s="57" t="s">
        <v>82</v>
      </c>
      <c r="H24" s="57" t="s">
        <v>78</v>
      </c>
      <c r="I24" s="57">
        <f>'MERCADO TUSD'!$U$21</f>
        <v>145.91099999999997</v>
      </c>
      <c r="J24" s="16"/>
      <c r="L24" s="17">
        <f>'TR TUSD'!$L$24*'TR TUSD'!$L$60</f>
        <v>0</v>
      </c>
      <c r="M24" s="17">
        <f>'TR TUSD'!$M$24*'TR TUSD'!$M$60</f>
        <v>0.88690239679001703</v>
      </c>
      <c r="N24" s="17">
        <f ca="1">'TR TUSD'!$N$24*'TR TUSD'!$N$60</f>
        <v>2.2385667893281678</v>
      </c>
      <c r="O24" s="17">
        <f>'TR TUSD'!$O$24*'TR TUSD'!$O$60</f>
        <v>0</v>
      </c>
      <c r="P24" s="17">
        <f>'TR TUSD'!$P$24*'TR TUSD'!$P$60</f>
        <v>0</v>
      </c>
      <c r="Q24" s="17">
        <f>'TR TUSD'!$Q$24*'TR TUSD'!$Q$60</f>
        <v>0</v>
      </c>
      <c r="R24" s="17">
        <f>'TR TUSD'!$R$24*'TR TUSD'!$R$60</f>
        <v>0</v>
      </c>
      <c r="S24" s="17">
        <f>'TR TUSD'!$S$24*'TR TUSD'!$S$60</f>
        <v>0</v>
      </c>
      <c r="T24" s="17">
        <f ca="1">SUM($L$24:$S$24)</f>
        <v>3.1254691861181847</v>
      </c>
      <c r="U24" s="17">
        <f>'TR TUSD'!$U$24*'TR TUSD'!$U$60</f>
        <v>29.990087098595613</v>
      </c>
      <c r="V24" s="17">
        <f>'TR TUSD'!$V$24*'TR TUSD'!$V$60</f>
        <v>25.135695323737799</v>
      </c>
      <c r="W24" s="17">
        <f>'TR TUSD'!$W$24*'TR TUSD'!$W$60</f>
        <v>4.6337348781380188</v>
      </c>
      <c r="X24" s="17">
        <f>'TR TUSD'!$X$24*'TR TUSD'!$X$60</f>
        <v>0</v>
      </c>
      <c r="Y24" s="17">
        <f>'TR TUSD'!$Y$24*'TR TUSD'!$Y$60</f>
        <v>0</v>
      </c>
      <c r="Z24" s="17">
        <f>'TR TUSD'!$Z$24</f>
        <v>0</v>
      </c>
      <c r="AA24" s="17">
        <f>'TR TUSD'!$AA$24</f>
        <v>0</v>
      </c>
      <c r="AB24" s="17">
        <f>SUM($U$24:$AA$24)</f>
        <v>59.759517300471437</v>
      </c>
      <c r="AC24" s="17">
        <f>'TR TUSD'!$AC$24*'TR TUSD'!$AC$60</f>
        <v>172.21289057197896</v>
      </c>
      <c r="AD24" s="17">
        <f>SUM($AC$24:$AC$24)</f>
        <v>172.21289057197896</v>
      </c>
      <c r="AE24" s="17">
        <v>0</v>
      </c>
      <c r="AF24" s="17">
        <v>0</v>
      </c>
      <c r="AG24" s="17">
        <f>SUM($AE$24:$AF$24)</f>
        <v>0</v>
      </c>
      <c r="AH24" s="17">
        <f>'TR TUSD'!$AH$24*'TR TUSD'!$AH$60</f>
        <v>20.148487199074868</v>
      </c>
      <c r="AI24" s="17">
        <f>'TR TUSD'!$AI$24*'TR TUSD'!$AI$60</f>
        <v>0</v>
      </c>
      <c r="AJ24" s="17">
        <f ca="1">'TR TUSD'!$AJ$24*'TR TUSD'!$AJ$60</f>
        <v>0.72505862168323876</v>
      </c>
      <c r="AK24" s="17">
        <f ca="1">'TR TUSD'!$AK$24*'TR TUSD'!$AK$60</f>
        <v>0.30089576846341609</v>
      </c>
      <c r="AL24" s="17">
        <f ca="1">SUM($AH$24:$AK$24)</f>
        <v>21.174441589221523</v>
      </c>
      <c r="AM24" s="17">
        <f ca="1">SUMIF($L$4:$AL$4,"SUBTOTAL",$L$24:$AL$24)</f>
        <v>256.27231864779014</v>
      </c>
      <c r="AP24" s="17">
        <f>IF((1 - CUSTOS!$M$27)&lt;&gt;0,1/(1 - CUSTOS!$M$27),1)</f>
        <v>1</v>
      </c>
    </row>
    <row r="25" spans="1:42" ht="11.25" customHeight="1" x14ac:dyDescent="0.25">
      <c r="A25" s="166"/>
      <c r="B25" s="166" t="s">
        <v>94</v>
      </c>
      <c r="C25" s="166" t="s">
        <v>24</v>
      </c>
      <c r="D25" s="58" t="s">
        <v>24</v>
      </c>
      <c r="E25" s="58" t="s">
        <v>25</v>
      </c>
      <c r="F25" s="58" t="s">
        <v>25</v>
      </c>
      <c r="G25" s="57" t="s">
        <v>82</v>
      </c>
      <c r="H25" s="57" t="s">
        <v>78</v>
      </c>
      <c r="I25" s="57">
        <f>'MERCADO TUSD'!$U$22</f>
        <v>0</v>
      </c>
      <c r="J25" s="16"/>
      <c r="L25" s="17">
        <f>'TR TUSD'!$L$25*'TR TUSD'!$L$60</f>
        <v>7.075083473207509</v>
      </c>
      <c r="M25" s="17">
        <f>'TR TUSD'!$M$25*'TR TUSD'!$M$60</f>
        <v>0.88690239679001703</v>
      </c>
      <c r="N25" s="17">
        <f ca="1">'TR TUSD'!$N$25*'TR TUSD'!$N$60</f>
        <v>2.2474490941096086</v>
      </c>
      <c r="O25" s="17">
        <f>'TR TUSD'!$O$25*'TR TUSD'!$O$60</f>
        <v>0</v>
      </c>
      <c r="P25" s="17">
        <f>'TR TUSD'!$P$25*'TR TUSD'!$P$60</f>
        <v>0</v>
      </c>
      <c r="Q25" s="17">
        <f>'TR TUSD'!$Q$25*'TR TUSD'!$Q$60</f>
        <v>87.901432598989146</v>
      </c>
      <c r="R25" s="17">
        <f>'TR TUSD'!$R$25*'TR TUSD'!$R$60</f>
        <v>13.895914916158693</v>
      </c>
      <c r="S25" s="17">
        <f>'TR TUSD'!$S$25*'TR TUSD'!$S$60</f>
        <v>0</v>
      </c>
      <c r="T25" s="17">
        <f ca="1">SUM($L$25:$S$25)</f>
        <v>112.00678247925497</v>
      </c>
      <c r="U25" s="17">
        <f>'TR TUSD'!$U$25*'TR TUSD'!$U$60</f>
        <v>29.990087098595613</v>
      </c>
      <c r="V25" s="17">
        <f>'TR TUSD'!$V$25*'TR TUSD'!$V$60</f>
        <v>25.135695323737799</v>
      </c>
      <c r="W25" s="17">
        <f>'TR TUSD'!$W$25*'TR TUSD'!$W$60</f>
        <v>4.6337348781380188</v>
      </c>
      <c r="X25" s="17">
        <f>'TR TUSD'!$X$25*'TR TUSD'!$X$60</f>
        <v>0</v>
      </c>
      <c r="Y25" s="17">
        <f>'TR TUSD'!$Y$25*'TR TUSD'!$Y$60</f>
        <v>0</v>
      </c>
      <c r="Z25" s="17">
        <f>'TR TUSD'!$Z$25</f>
        <v>0</v>
      </c>
      <c r="AA25" s="17">
        <f>'TR TUSD'!$AA$25</f>
        <v>0</v>
      </c>
      <c r="AB25" s="17">
        <f>SUM($U$25:$AA$25)</f>
        <v>59.759517300471437</v>
      </c>
      <c r="AC25" s="17">
        <f>'TR TUSD'!$AC$25*'TR TUSD'!$AC$60</f>
        <v>172.21289057197896</v>
      </c>
      <c r="AD25" s="17">
        <f>SUM($AC$25:$AC$25)</f>
        <v>172.21289057197896</v>
      </c>
      <c r="AE25" s="17">
        <v>0</v>
      </c>
      <c r="AF25" s="17">
        <v>0</v>
      </c>
      <c r="AG25" s="17">
        <f>SUM($AE$25:$AF$25)</f>
        <v>0</v>
      </c>
      <c r="AH25" s="17">
        <f>'TR TUSD'!$AH$25*'TR TUSD'!$AH$60</f>
        <v>20.148487199074868</v>
      </c>
      <c r="AI25" s="17">
        <f>'TR TUSD'!$AI$25*'TR TUSD'!$AI$60</f>
        <v>0</v>
      </c>
      <c r="AJ25" s="17">
        <f ca="1">'TR TUSD'!$AJ$25*'TR TUSD'!$AJ$60</f>
        <v>0.72505862168323876</v>
      </c>
      <c r="AK25" s="17">
        <f ca="1">'TR TUSD'!$AK$25*'TR TUSD'!$AK$60</f>
        <v>0.30089576846341609</v>
      </c>
      <c r="AL25" s="17">
        <f ca="1">SUM($AH$25:$AK$25)</f>
        <v>21.174441589221523</v>
      </c>
      <c r="AM25" s="17">
        <f ca="1">SUMIF($L$4:$AL$4,"SUBTOTAL",$L$25:$AL$25)</f>
        <v>365.15363194092691</v>
      </c>
      <c r="AP25" s="17">
        <v>1</v>
      </c>
    </row>
    <row r="26" spans="1:42" ht="11.25" customHeight="1" x14ac:dyDescent="0.25">
      <c r="A26" s="166"/>
      <c r="B26" s="166"/>
      <c r="C26" s="166"/>
      <c r="D26" s="58" t="s">
        <v>28</v>
      </c>
      <c r="E26" s="58" t="s">
        <v>25</v>
      </c>
      <c r="F26" s="58" t="s">
        <v>25</v>
      </c>
      <c r="G26" s="57" t="s">
        <v>82</v>
      </c>
      <c r="H26" s="57" t="s">
        <v>78</v>
      </c>
      <c r="I26" s="57">
        <f>'MERCADO TUSD'!$U$23</f>
        <v>0</v>
      </c>
      <c r="J26" s="16"/>
      <c r="L26" s="17">
        <f>'TR TUSD'!$L$26*'TR TUSD'!$L$60</f>
        <v>0</v>
      </c>
      <c r="M26" s="17">
        <f>'TR TUSD'!$M$26*'TR TUSD'!$M$60</f>
        <v>0.88690239679001703</v>
      </c>
      <c r="N26" s="17">
        <f ca="1">'TR TUSD'!$N$26*'TR TUSD'!$N$60</f>
        <v>2.2385667893281678</v>
      </c>
      <c r="O26" s="17">
        <f>'TR TUSD'!$O$26*'TR TUSD'!$O$60</f>
        <v>0</v>
      </c>
      <c r="P26" s="17">
        <f>'TR TUSD'!$P$26*'TR TUSD'!$P$60</f>
        <v>0</v>
      </c>
      <c r="Q26" s="17">
        <f>'TR TUSD'!$Q$26*'TR TUSD'!$Q$60</f>
        <v>0</v>
      </c>
      <c r="R26" s="17">
        <f>'TR TUSD'!$R$26*'TR TUSD'!$R$60</f>
        <v>0</v>
      </c>
      <c r="S26" s="17">
        <f>'TR TUSD'!$S$26*'TR TUSD'!$S$60</f>
        <v>0</v>
      </c>
      <c r="T26" s="17">
        <f ca="1">SUM($L$26:$S$26)</f>
        <v>3.1254691861181847</v>
      </c>
      <c r="U26" s="17">
        <f>'TR TUSD'!$U$26*'TR TUSD'!$U$60</f>
        <v>29.990087098595613</v>
      </c>
      <c r="V26" s="17">
        <f>'TR TUSD'!$V$26*'TR TUSD'!$V$60</f>
        <v>25.135695323737799</v>
      </c>
      <c r="W26" s="17">
        <f>'TR TUSD'!$W$26*'TR TUSD'!$W$60</f>
        <v>4.6337348781380188</v>
      </c>
      <c r="X26" s="17">
        <f>'TR TUSD'!$X$26*'TR TUSD'!$X$60</f>
        <v>0</v>
      </c>
      <c r="Y26" s="17">
        <f>'TR TUSD'!$Y$26*'TR TUSD'!$Y$60</f>
        <v>0</v>
      </c>
      <c r="Z26" s="17">
        <f>'TR TUSD'!$Z$26</f>
        <v>0</v>
      </c>
      <c r="AA26" s="17">
        <f>'TR TUSD'!$AA$26</f>
        <v>0</v>
      </c>
      <c r="AB26" s="17">
        <f>SUM($U$26:$AA$26)</f>
        <v>59.759517300471437</v>
      </c>
      <c r="AC26" s="17">
        <f>'TR TUSD'!$AC$26*'TR TUSD'!$AC$60</f>
        <v>172.21289057197896</v>
      </c>
      <c r="AD26" s="17">
        <f>SUM($AC$26:$AC$26)</f>
        <v>172.21289057197896</v>
      </c>
      <c r="AE26" s="17">
        <v>0</v>
      </c>
      <c r="AF26" s="17">
        <v>0</v>
      </c>
      <c r="AG26" s="17">
        <f>SUM($AE$26:$AF$26)</f>
        <v>0</v>
      </c>
      <c r="AH26" s="17">
        <f>'TR TUSD'!$AH$26*'TR TUSD'!$AH$60</f>
        <v>20.148487199074868</v>
      </c>
      <c r="AI26" s="17">
        <f>'TR TUSD'!$AI$26*'TR TUSD'!$AI$60</f>
        <v>0</v>
      </c>
      <c r="AJ26" s="17">
        <f ca="1">'TR TUSD'!$AJ$26*'TR TUSD'!$AJ$60</f>
        <v>0.72505862168323876</v>
      </c>
      <c r="AK26" s="17">
        <f ca="1">'TR TUSD'!$AK$26*'TR TUSD'!$AK$60</f>
        <v>0.30089576846341609</v>
      </c>
      <c r="AL26" s="17">
        <f ca="1">SUM($AH$26:$AK$26)</f>
        <v>21.174441589221523</v>
      </c>
      <c r="AM26" s="17">
        <f ca="1">SUMIF($L$4:$AL$4,"SUBTOTAL",$L$26:$AL$26)</f>
        <v>256.27231864779014</v>
      </c>
      <c r="AP26" s="17">
        <f>IF((1 - CUSTOS!$M$24)&lt;&gt;0,1/(1 - CUSTOS!$M$24),1)</f>
        <v>1</v>
      </c>
    </row>
    <row r="27" spans="1:42" ht="11.25" customHeight="1" x14ac:dyDescent="0.25">
      <c r="A27" s="166"/>
      <c r="B27" s="166"/>
      <c r="C27" s="166"/>
      <c r="D27" s="58" t="s">
        <v>29</v>
      </c>
      <c r="E27" s="58" t="s">
        <v>25</v>
      </c>
      <c r="F27" s="58" t="s">
        <v>25</v>
      </c>
      <c r="G27" s="57" t="s">
        <v>82</v>
      </c>
      <c r="H27" s="57" t="s">
        <v>78</v>
      </c>
      <c r="I27" s="57">
        <f>'MERCADO TUSD'!$U$24</f>
        <v>0</v>
      </c>
      <c r="J27" s="16"/>
      <c r="L27" s="17">
        <f>'TR TUSD'!$L$27*'TR TUSD'!$L$60</f>
        <v>0</v>
      </c>
      <c r="M27" s="17">
        <f>'TR TUSD'!$M$27*'TR TUSD'!$M$60</f>
        <v>0.88690239679001703</v>
      </c>
      <c r="N27" s="17">
        <f ca="1">'TR TUSD'!$N$27*'TR TUSD'!$N$60</f>
        <v>2.2385667893281678</v>
      </c>
      <c r="O27" s="17">
        <f>'TR TUSD'!$O$27*'TR TUSD'!$O$60</f>
        <v>0</v>
      </c>
      <c r="P27" s="17">
        <f>'TR TUSD'!$P$27*'TR TUSD'!$P$60</f>
        <v>0</v>
      </c>
      <c r="Q27" s="17">
        <f>'TR TUSD'!$Q$27*'TR TUSD'!$Q$60</f>
        <v>0</v>
      </c>
      <c r="R27" s="17">
        <f>'TR TUSD'!$R$27*'TR TUSD'!$R$60</f>
        <v>0</v>
      </c>
      <c r="S27" s="17">
        <f>'TR TUSD'!$S$27*'TR TUSD'!$S$60</f>
        <v>0</v>
      </c>
      <c r="T27" s="17">
        <f ca="1">SUM($L$27:$S$27)</f>
        <v>3.1254691861181847</v>
      </c>
      <c r="U27" s="17">
        <f>'TR TUSD'!$U$27*'TR TUSD'!$U$60</f>
        <v>29.990087098595613</v>
      </c>
      <c r="V27" s="17">
        <f>'TR TUSD'!$V$27*'TR TUSD'!$V$60</f>
        <v>25.135695323737799</v>
      </c>
      <c r="W27" s="17">
        <f>'TR TUSD'!$W$27*'TR TUSD'!$W$60</f>
        <v>4.6337348781380188</v>
      </c>
      <c r="X27" s="17">
        <f>'TR TUSD'!$X$27*'TR TUSD'!$X$60</f>
        <v>0</v>
      </c>
      <c r="Y27" s="17">
        <f>'TR TUSD'!$Y$27*'TR TUSD'!$Y$60</f>
        <v>0</v>
      </c>
      <c r="Z27" s="17">
        <f>'TR TUSD'!$Z$27</f>
        <v>0</v>
      </c>
      <c r="AA27" s="17">
        <f>'TR TUSD'!$AA$27</f>
        <v>0</v>
      </c>
      <c r="AB27" s="17">
        <f>SUM($U$27:$AA$27)</f>
        <v>59.759517300471437</v>
      </c>
      <c r="AC27" s="17">
        <f>'TR TUSD'!$AC$27*'TR TUSD'!$AC$60</f>
        <v>172.21289057197896</v>
      </c>
      <c r="AD27" s="17">
        <f>SUM($AC$27:$AC$27)</f>
        <v>172.21289057197896</v>
      </c>
      <c r="AE27" s="17">
        <v>0</v>
      </c>
      <c r="AF27" s="17">
        <v>0</v>
      </c>
      <c r="AG27" s="17">
        <f>SUM($AE$27:$AF$27)</f>
        <v>0</v>
      </c>
      <c r="AH27" s="17">
        <f>'TR TUSD'!$AH$27*'TR TUSD'!$AH$60</f>
        <v>20.148487199074868</v>
      </c>
      <c r="AI27" s="17">
        <f>'TR TUSD'!$AI$27*'TR TUSD'!$AI$60</f>
        <v>0</v>
      </c>
      <c r="AJ27" s="17">
        <f ca="1">'TR TUSD'!$AJ$27*'TR TUSD'!$AJ$60</f>
        <v>0.72505862168323876</v>
      </c>
      <c r="AK27" s="17">
        <f ca="1">'TR TUSD'!$AK$27*'TR TUSD'!$AK$60</f>
        <v>0.30089576846341609</v>
      </c>
      <c r="AL27" s="17">
        <f ca="1">SUM($AH$27:$AK$27)</f>
        <v>21.174441589221523</v>
      </c>
      <c r="AM27" s="17">
        <f ca="1">SUMIF($L$4:$AL$4,"SUBTOTAL",$L$27:$AL$27)</f>
        <v>256.27231864779014</v>
      </c>
      <c r="AP27" s="17">
        <f>IF((1 - CUSTOS!$M$25)&lt;&gt;0,1/(1 - CUSTOS!$M$25),1)</f>
        <v>1</v>
      </c>
    </row>
    <row r="28" spans="1:42" ht="11.25" customHeight="1" x14ac:dyDescent="0.25">
      <c r="A28" s="166"/>
      <c r="B28" s="166"/>
      <c r="C28" s="166"/>
      <c r="D28" s="58" t="s">
        <v>30</v>
      </c>
      <c r="E28" s="58" t="s">
        <v>25</v>
      </c>
      <c r="F28" s="58" t="s">
        <v>25</v>
      </c>
      <c r="G28" s="57" t="s">
        <v>82</v>
      </c>
      <c r="H28" s="57" t="s">
        <v>78</v>
      </c>
      <c r="I28" s="57">
        <f>'MERCADO TUSD'!$U$25</f>
        <v>0</v>
      </c>
      <c r="J28" s="16"/>
      <c r="L28" s="17">
        <f>'TR TUSD'!$L$28*'TR TUSD'!$L$60</f>
        <v>0</v>
      </c>
      <c r="M28" s="17">
        <f>'TR TUSD'!$M$28*'TR TUSD'!$M$60</f>
        <v>0.88690239679001703</v>
      </c>
      <c r="N28" s="17">
        <f ca="1">'TR TUSD'!$N$28*'TR TUSD'!$N$60</f>
        <v>2.2385667893281678</v>
      </c>
      <c r="O28" s="17">
        <f>'TR TUSD'!$O$28*'TR TUSD'!$O$60</f>
        <v>0</v>
      </c>
      <c r="P28" s="17">
        <f>'TR TUSD'!$P$28*'TR TUSD'!$P$60</f>
        <v>0</v>
      </c>
      <c r="Q28" s="17">
        <f>'TR TUSD'!$Q$28*'TR TUSD'!$Q$60</f>
        <v>0</v>
      </c>
      <c r="R28" s="17">
        <f>'TR TUSD'!$R$28*'TR TUSD'!$R$60</f>
        <v>0</v>
      </c>
      <c r="S28" s="17">
        <f>'TR TUSD'!$S$28*'TR TUSD'!$S$60</f>
        <v>0</v>
      </c>
      <c r="T28" s="17">
        <f ca="1">SUM($L$28:$S$28)</f>
        <v>3.1254691861181847</v>
      </c>
      <c r="U28" s="17">
        <f>'TR TUSD'!$U$28*'TR TUSD'!$U$60</f>
        <v>29.990087098595613</v>
      </c>
      <c r="V28" s="17">
        <f>'TR TUSD'!$V$28*'TR TUSD'!$V$60</f>
        <v>25.135695323737799</v>
      </c>
      <c r="W28" s="17">
        <f>'TR TUSD'!$W$28*'TR TUSD'!$W$60</f>
        <v>4.6337348781380188</v>
      </c>
      <c r="X28" s="17">
        <f>'TR TUSD'!$X$28*'TR TUSD'!$X$60</f>
        <v>0</v>
      </c>
      <c r="Y28" s="17">
        <f>'TR TUSD'!$Y$28*'TR TUSD'!$Y$60</f>
        <v>0</v>
      </c>
      <c r="Z28" s="17">
        <f>'TR TUSD'!$Z$28</f>
        <v>0</v>
      </c>
      <c r="AA28" s="17">
        <f>'TR TUSD'!$AA$28</f>
        <v>0</v>
      </c>
      <c r="AB28" s="17">
        <f>SUM($U$28:$AA$28)</f>
        <v>59.759517300471437</v>
      </c>
      <c r="AC28" s="17">
        <f>'TR TUSD'!$AC$28*'TR TUSD'!$AC$60</f>
        <v>172.21289057197896</v>
      </c>
      <c r="AD28" s="17">
        <f>SUM($AC$28:$AC$28)</f>
        <v>172.21289057197896</v>
      </c>
      <c r="AE28" s="17">
        <v>0</v>
      </c>
      <c r="AF28" s="17">
        <v>0</v>
      </c>
      <c r="AG28" s="17">
        <f>SUM($AE$28:$AF$28)</f>
        <v>0</v>
      </c>
      <c r="AH28" s="17">
        <f>'TR TUSD'!$AH$28*'TR TUSD'!$AH$60</f>
        <v>20.148487199074868</v>
      </c>
      <c r="AI28" s="17">
        <f>'TR TUSD'!$AI$28*'TR TUSD'!$AI$60</f>
        <v>0</v>
      </c>
      <c r="AJ28" s="17">
        <f ca="1">'TR TUSD'!$AJ$28*'TR TUSD'!$AJ$60</f>
        <v>0.72505862168323876</v>
      </c>
      <c r="AK28" s="17">
        <f ca="1">'TR TUSD'!$AK$28*'TR TUSD'!$AK$60</f>
        <v>0.30089576846341609</v>
      </c>
      <c r="AL28" s="17">
        <f ca="1">SUM($AH$28:$AK$28)</f>
        <v>21.174441589221523</v>
      </c>
      <c r="AM28" s="17">
        <f ca="1">SUMIF($L$4:$AL$4,"SUBTOTAL",$L$28:$AL$28)</f>
        <v>256.27231864779014</v>
      </c>
      <c r="AP28" s="17">
        <f>IF((1 - CUSTOS!$M$26)&lt;&gt;0,1/(1 - CUSTOS!$M$26),1)</f>
        <v>1</v>
      </c>
    </row>
    <row r="29" spans="1:42" ht="11.25" customHeight="1" x14ac:dyDescent="0.25">
      <c r="A29" s="166"/>
      <c r="B29" s="166"/>
      <c r="C29" s="166"/>
      <c r="D29" s="58" t="s">
        <v>31</v>
      </c>
      <c r="E29" s="58" t="s">
        <v>25</v>
      </c>
      <c r="F29" s="58" t="s">
        <v>25</v>
      </c>
      <c r="G29" s="57" t="s">
        <v>82</v>
      </c>
      <c r="H29" s="57" t="s">
        <v>78</v>
      </c>
      <c r="I29" s="57">
        <f>'MERCADO TUSD'!$U$26</f>
        <v>0</v>
      </c>
      <c r="J29" s="16"/>
      <c r="L29" s="17">
        <f>'TR TUSD'!$L$29*'TR TUSD'!$L$60</f>
        <v>0</v>
      </c>
      <c r="M29" s="17">
        <f>'TR TUSD'!$M$29*'TR TUSD'!$M$60</f>
        <v>0.88690239679001703</v>
      </c>
      <c r="N29" s="17">
        <f ca="1">'TR TUSD'!$N$29*'TR TUSD'!$N$60</f>
        <v>2.2385667893281678</v>
      </c>
      <c r="O29" s="17">
        <f>'TR TUSD'!$O$29*'TR TUSD'!$O$60</f>
        <v>0</v>
      </c>
      <c r="P29" s="17">
        <f>'TR TUSD'!$P$29*'TR TUSD'!$P$60</f>
        <v>0</v>
      </c>
      <c r="Q29" s="17">
        <f>'TR TUSD'!$Q$29*'TR TUSD'!$Q$60</f>
        <v>0</v>
      </c>
      <c r="R29" s="17">
        <f>'TR TUSD'!$R$29*'TR TUSD'!$R$60</f>
        <v>0</v>
      </c>
      <c r="S29" s="17">
        <f>'TR TUSD'!$S$29*'TR TUSD'!$S$60</f>
        <v>0</v>
      </c>
      <c r="T29" s="17">
        <f ca="1">SUM($L$29:$S$29)</f>
        <v>3.1254691861181847</v>
      </c>
      <c r="U29" s="17">
        <f>'TR TUSD'!$U$29*'TR TUSD'!$U$60</f>
        <v>29.990087098595613</v>
      </c>
      <c r="V29" s="17">
        <f>'TR TUSD'!$V$29*'TR TUSD'!$V$60</f>
        <v>25.135695323737799</v>
      </c>
      <c r="W29" s="17">
        <f>'TR TUSD'!$W$29*'TR TUSD'!$W$60</f>
        <v>4.6337348781380188</v>
      </c>
      <c r="X29" s="17">
        <f>'TR TUSD'!$X$29*'TR TUSD'!$X$60</f>
        <v>0</v>
      </c>
      <c r="Y29" s="17">
        <f>'TR TUSD'!$Y$29*'TR TUSD'!$Y$60</f>
        <v>0</v>
      </c>
      <c r="Z29" s="17">
        <f>'TR TUSD'!$Z$29</f>
        <v>0</v>
      </c>
      <c r="AA29" s="17">
        <f>'TR TUSD'!$AA$29</f>
        <v>0</v>
      </c>
      <c r="AB29" s="17">
        <f>SUM($U$29:$AA$29)</f>
        <v>59.759517300471437</v>
      </c>
      <c r="AC29" s="17">
        <f>'TR TUSD'!$AC$29*'TR TUSD'!$AC$60</f>
        <v>172.21289057197896</v>
      </c>
      <c r="AD29" s="17">
        <f>SUM($AC$29:$AC$29)</f>
        <v>172.21289057197896</v>
      </c>
      <c r="AE29" s="17">
        <v>0</v>
      </c>
      <c r="AF29" s="17">
        <v>0</v>
      </c>
      <c r="AG29" s="17">
        <f>SUM($AE$29:$AF$29)</f>
        <v>0</v>
      </c>
      <c r="AH29" s="17">
        <f>'TR TUSD'!$AH$29*'TR TUSD'!$AH$60</f>
        <v>20.148487199074868</v>
      </c>
      <c r="AI29" s="17">
        <f>'TR TUSD'!$AI$29*'TR TUSD'!$AI$60</f>
        <v>0</v>
      </c>
      <c r="AJ29" s="17">
        <f ca="1">'TR TUSD'!$AJ$29*'TR TUSD'!$AJ$60</f>
        <v>0.72505862168323876</v>
      </c>
      <c r="AK29" s="17">
        <f ca="1">'TR TUSD'!$AK$29*'TR TUSD'!$AK$60</f>
        <v>0.30089576846341609</v>
      </c>
      <c r="AL29" s="17">
        <f ca="1">SUM($AH$29:$AK$29)</f>
        <v>21.174441589221523</v>
      </c>
      <c r="AM29" s="17">
        <f ca="1">SUMIF($L$4:$AL$4,"SUBTOTAL",$L$29:$AL$29)</f>
        <v>256.27231864779014</v>
      </c>
      <c r="AP29" s="17">
        <f>IF((1 - CUSTOS!$M$27)&lt;&gt;0,1/(1 - CUSTOS!$M$27),1)</f>
        <v>1</v>
      </c>
    </row>
    <row r="30" spans="1:42" ht="11.25" customHeight="1" x14ac:dyDescent="0.25">
      <c r="A30" s="166" t="s">
        <v>42</v>
      </c>
      <c r="B30" s="166" t="s">
        <v>32</v>
      </c>
      <c r="C30" s="166" t="s">
        <v>43</v>
      </c>
      <c r="D30" s="166" t="s">
        <v>25</v>
      </c>
      <c r="E30" s="166" t="s">
        <v>25</v>
      </c>
      <c r="F30" s="166" t="s">
        <v>25</v>
      </c>
      <c r="G30" s="57" t="s">
        <v>79</v>
      </c>
      <c r="H30" s="57" t="s">
        <v>78</v>
      </c>
      <c r="I30" s="57">
        <f>'MERCADO TUSD'!$U$27</f>
        <v>0</v>
      </c>
      <c r="J30" s="16"/>
      <c r="L30" s="17">
        <f>'TR TUSD'!$L$30*'TR TUSD'!$L$60</f>
        <v>7.075083473207509</v>
      </c>
      <c r="M30" s="17">
        <f>'TR TUSD'!$M$30*'TR TUSD'!$M$60</f>
        <v>0.88690239679001703</v>
      </c>
      <c r="N30" s="17">
        <f ca="1">'TR TUSD'!$N$30*'TR TUSD'!$N$60</f>
        <v>6.5313900195810914</v>
      </c>
      <c r="O30" s="17">
        <f>'TR TUSD'!$O$30*'TR TUSD'!$O$60</f>
        <v>0</v>
      </c>
      <c r="P30" s="17">
        <f>'TR TUSD'!$P$30*'TR TUSD'!$P$60</f>
        <v>0</v>
      </c>
      <c r="Q30" s="17">
        <f>'TR TUSD'!$Q$30*'TR TUSD'!$Q$60</f>
        <v>87.901432598989146</v>
      </c>
      <c r="R30" s="17">
        <f>'TR TUSD'!$R$30*'TR TUSD'!$R$60</f>
        <v>13.895914916158693</v>
      </c>
      <c r="S30" s="17">
        <f>'TR TUSD'!$S$30*'TR TUSD'!$S$60</f>
        <v>0</v>
      </c>
      <c r="T30" s="17">
        <f ca="1">SUM($L$30:$S$30)</f>
        <v>116.29072340472645</v>
      </c>
      <c r="U30" s="17">
        <f>'TR TUSD'!$U$30*'TR TUSD'!$U$60</f>
        <v>98.967522597928266</v>
      </c>
      <c r="V30" s="17">
        <f>'TR TUSD'!$V$30*'TR TUSD'!$V$60</f>
        <v>82.947844283249765</v>
      </c>
      <c r="W30" s="17">
        <f>'TR TUSD'!$W$30*'TR TUSD'!$W$60</f>
        <v>15.291264197107916</v>
      </c>
      <c r="X30" s="17">
        <f>'TR TUSD'!$X$30*'TR TUSD'!$X$60</f>
        <v>0</v>
      </c>
      <c r="Y30" s="17">
        <f>'TR TUSD'!$Y$30*'TR TUSD'!$Y$60</f>
        <v>0</v>
      </c>
      <c r="Z30" s="17">
        <f>'TR TUSD'!$Z$30</f>
        <v>0</v>
      </c>
      <c r="AA30" s="17">
        <f>'TR TUSD'!$AA$30</f>
        <v>0</v>
      </c>
      <c r="AB30" s="17">
        <f>SUM($U$30:$AA$30)</f>
        <v>197.20663107828597</v>
      </c>
      <c r="AC30" s="17">
        <f>'TR TUSD'!$AC$30*'TR TUSD'!$AC$60</f>
        <v>568.30243732235817</v>
      </c>
      <c r="AD30" s="17">
        <f>SUM($AC$30:$AC$30)</f>
        <v>568.30243732235817</v>
      </c>
      <c r="AE30" s="17">
        <v>0</v>
      </c>
      <c r="AF30" s="17">
        <v>0</v>
      </c>
      <c r="AG30" s="17">
        <f>SUM($AE$30:$AF$30)</f>
        <v>0</v>
      </c>
      <c r="AH30" s="17">
        <f>'TR TUSD'!$AH$30*'TR TUSD'!$AH$60</f>
        <v>20.148487199074868</v>
      </c>
      <c r="AI30" s="17">
        <f>'TR TUSD'!$AI$30*'TR TUSD'!$AI$60</f>
        <v>0</v>
      </c>
      <c r="AJ30" s="17">
        <f ca="1">'TR TUSD'!$AJ$30*'TR TUSD'!$AJ$60</f>
        <v>0.72505862168323876</v>
      </c>
      <c r="AK30" s="17">
        <f ca="1">'TR TUSD'!$AK$30*'TR TUSD'!$AK$60</f>
        <v>0.30089576846341609</v>
      </c>
      <c r="AL30" s="17">
        <f ca="1">SUM($AH$30:$AK$30)</f>
        <v>21.174441589221523</v>
      </c>
      <c r="AM30" s="17">
        <f ca="1">SUMIF($L$4:$AL$4,"SUBTOTAL",$L$30:$AL$30)</f>
        <v>902.97423339459215</v>
      </c>
      <c r="AP30" s="17">
        <f>IF((1 - CUSTOS!$M$28)&lt;&gt;0,1/(1 - CUSTOS!$M$28),1)</f>
        <v>1</v>
      </c>
    </row>
    <row r="31" spans="1:42" ht="11.25" customHeight="1" x14ac:dyDescent="0.25">
      <c r="A31" s="166"/>
      <c r="B31" s="166"/>
      <c r="C31" s="166"/>
      <c r="D31" s="166"/>
      <c r="E31" s="166"/>
      <c r="F31" s="166"/>
      <c r="G31" s="57" t="s">
        <v>92</v>
      </c>
      <c r="H31" s="57" t="s">
        <v>78</v>
      </c>
      <c r="I31" s="57">
        <f>'MERCADO TUSD'!$U$28</f>
        <v>0</v>
      </c>
      <c r="J31" s="16"/>
      <c r="L31" s="17">
        <f>'TR TUSD'!$L$31*'TR TUSD'!$L$60</f>
        <v>7.075083473207509</v>
      </c>
      <c r="M31" s="17">
        <f>'TR TUSD'!$M$31*'TR TUSD'!$M$60</f>
        <v>0.88690239679001703</v>
      </c>
      <c r="N31" s="17">
        <f ca="1">'TR TUSD'!$N$31*'TR TUSD'!$N$60</f>
        <v>2.8434757271671565</v>
      </c>
      <c r="O31" s="17">
        <f>'TR TUSD'!$O$31*'TR TUSD'!$O$60</f>
        <v>0</v>
      </c>
      <c r="P31" s="17">
        <f>'TR TUSD'!$P$31*'TR TUSD'!$P$60</f>
        <v>0</v>
      </c>
      <c r="Q31" s="17">
        <f>'TR TUSD'!$Q$31*'TR TUSD'!$Q$60</f>
        <v>87.901432598989146</v>
      </c>
      <c r="R31" s="17">
        <f>'TR TUSD'!$R$31*'TR TUSD'!$R$60</f>
        <v>13.895914916158693</v>
      </c>
      <c r="S31" s="17">
        <f>'TR TUSD'!$S$31*'TR TUSD'!$S$60</f>
        <v>0</v>
      </c>
      <c r="T31" s="17">
        <f ca="1">SUM($L$31:$S$31)</f>
        <v>112.60280911231251</v>
      </c>
      <c r="U31" s="17">
        <f>'TR TUSD'!$U$31*'TR TUSD'!$U$60</f>
        <v>39.587038435741647</v>
      </c>
      <c r="V31" s="17">
        <f>'TR TUSD'!$V$31*'TR TUSD'!$V$60</f>
        <v>33.179071426746532</v>
      </c>
      <c r="W31" s="17">
        <f>'TR TUSD'!$W$31*'TR TUSD'!$W$60</f>
        <v>6.1165665795907103</v>
      </c>
      <c r="X31" s="17">
        <f>'TR TUSD'!$X$31*'TR TUSD'!$X$60</f>
        <v>0</v>
      </c>
      <c r="Y31" s="17">
        <f>'TR TUSD'!$Y$31*'TR TUSD'!$Y$60</f>
        <v>0</v>
      </c>
      <c r="Z31" s="17">
        <f>'TR TUSD'!$Z$31</f>
        <v>0</v>
      </c>
      <c r="AA31" s="17">
        <f>'TR TUSD'!$AA$31</f>
        <v>0</v>
      </c>
      <c r="AB31" s="17">
        <f>SUM($U$31:$AA$31)</f>
        <v>78.882676442078889</v>
      </c>
      <c r="AC31" s="17">
        <f>'TR TUSD'!$AC$31*'TR TUSD'!$AC$60</f>
        <v>227.32093430287435</v>
      </c>
      <c r="AD31" s="17">
        <f>SUM($AC$31:$AC$31)</f>
        <v>227.32093430287435</v>
      </c>
      <c r="AE31" s="17">
        <v>0</v>
      </c>
      <c r="AF31" s="17">
        <v>0</v>
      </c>
      <c r="AG31" s="17">
        <f>SUM($AE$31:$AF$31)</f>
        <v>0</v>
      </c>
      <c r="AH31" s="17">
        <f>'TR TUSD'!$AH$31*'TR TUSD'!$AH$60</f>
        <v>20.148487199074868</v>
      </c>
      <c r="AI31" s="17">
        <f>'TR TUSD'!$AI$31*'TR TUSD'!$AI$60</f>
        <v>0</v>
      </c>
      <c r="AJ31" s="17">
        <f ca="1">'TR TUSD'!$AJ$31*'TR TUSD'!$AJ$60</f>
        <v>0.72505862168323876</v>
      </c>
      <c r="AK31" s="17">
        <f ca="1">'TR TUSD'!$AK$31*'TR TUSD'!$AK$60</f>
        <v>0.30089576846341609</v>
      </c>
      <c r="AL31" s="17">
        <f ca="1">SUM($AH$31:$AK$31)</f>
        <v>21.174441589221523</v>
      </c>
      <c r="AM31" s="17">
        <f ca="1">SUMIF($L$4:$AL$4,"SUBTOTAL",$L$31:$AL$31)</f>
        <v>439.98086144648727</v>
      </c>
      <c r="AP31" s="17">
        <f>IF((1 - CUSTOS!$M$28)&lt;&gt;0,1/(1 - CUSTOS!$M$28),1)</f>
        <v>1</v>
      </c>
    </row>
    <row r="32" spans="1:42" ht="11.25" customHeight="1" x14ac:dyDescent="0.25">
      <c r="A32" s="166"/>
      <c r="B32" s="166"/>
      <c r="C32" s="166"/>
      <c r="D32" s="166"/>
      <c r="E32" s="166"/>
      <c r="F32" s="166"/>
      <c r="G32" s="57" t="s">
        <v>80</v>
      </c>
      <c r="H32" s="57" t="s">
        <v>78</v>
      </c>
      <c r="I32" s="57">
        <f>'MERCADO TUSD'!$U$29</f>
        <v>0</v>
      </c>
      <c r="J32" s="16"/>
      <c r="L32" s="17">
        <f>'TR TUSD'!$L$32*'TR TUSD'!$L$60</f>
        <v>7.075083473207509</v>
      </c>
      <c r="M32" s="17">
        <f>'TR TUSD'!$M$32*'TR TUSD'!$M$60</f>
        <v>0.88690239679001703</v>
      </c>
      <c r="N32" s="17">
        <f ca="1">'TR TUSD'!$N$32*'TR TUSD'!$N$60</f>
        <v>1.6141700747987</v>
      </c>
      <c r="O32" s="17">
        <f>'TR TUSD'!$O$32*'TR TUSD'!$O$60</f>
        <v>0</v>
      </c>
      <c r="P32" s="17">
        <f>'TR TUSD'!$P$32*'TR TUSD'!$P$60</f>
        <v>0</v>
      </c>
      <c r="Q32" s="17">
        <f>'TR TUSD'!$Q$32*'TR TUSD'!$Q$60</f>
        <v>87.901432598989146</v>
      </c>
      <c r="R32" s="17">
        <f>'TR TUSD'!$R$32*'TR TUSD'!$R$60</f>
        <v>13.895914916158693</v>
      </c>
      <c r="S32" s="17">
        <f>'TR TUSD'!$S$32*'TR TUSD'!$S$60</f>
        <v>0</v>
      </c>
      <c r="T32" s="17">
        <f ca="1">SUM($L$32:$S$32)</f>
        <v>111.37350345994406</v>
      </c>
      <c r="U32" s="17">
        <f>'TR TUSD'!$U$32*'TR TUSD'!$U$60</f>
        <v>19.793445726444965</v>
      </c>
      <c r="V32" s="17">
        <f>'TR TUSD'!$V$32*'TR TUSD'!$V$60</f>
        <v>16.589535713373266</v>
      </c>
      <c r="W32" s="17">
        <f>'TR TUSD'!$W$32*'TR TUSD'!$W$60</f>
        <v>3.0582325391724021</v>
      </c>
      <c r="X32" s="17">
        <f>'TR TUSD'!$X$32*'TR TUSD'!$X$60</f>
        <v>0</v>
      </c>
      <c r="Y32" s="17">
        <f>'TR TUSD'!$Y$32*'TR TUSD'!$Y$60</f>
        <v>0</v>
      </c>
      <c r="Z32" s="17">
        <f>'TR TUSD'!$Z$32</f>
        <v>0</v>
      </c>
      <c r="AA32" s="17">
        <f>'TR TUSD'!$AA$32</f>
        <v>0</v>
      </c>
      <c r="AB32" s="17">
        <f>SUM($U$32:$AA$32)</f>
        <v>39.441213978990632</v>
      </c>
      <c r="AC32" s="17">
        <f>'TR TUSD'!$AC$32*'TR TUSD'!$AC$60</f>
        <v>113.66046715143717</v>
      </c>
      <c r="AD32" s="17">
        <f>SUM($AC$32:$AC$32)</f>
        <v>113.66046715143717</v>
      </c>
      <c r="AE32" s="17">
        <v>0</v>
      </c>
      <c r="AF32" s="17">
        <v>0</v>
      </c>
      <c r="AG32" s="17">
        <f>SUM($AE$32:$AF$32)</f>
        <v>0</v>
      </c>
      <c r="AH32" s="17">
        <f>'TR TUSD'!$AH$32*'TR TUSD'!$AH$60</f>
        <v>20.148487199074868</v>
      </c>
      <c r="AI32" s="17">
        <f>'TR TUSD'!$AI$32*'TR TUSD'!$AI$60</f>
        <v>0</v>
      </c>
      <c r="AJ32" s="17">
        <f ca="1">'TR TUSD'!$AJ$32*'TR TUSD'!$AJ$60</f>
        <v>0.72505862168323876</v>
      </c>
      <c r="AK32" s="17">
        <f ca="1">'TR TUSD'!$AK$32*'TR TUSD'!$AK$60</f>
        <v>0.30089576846341609</v>
      </c>
      <c r="AL32" s="17">
        <f ca="1">SUM($AH$32:$AK$32)</f>
        <v>21.174441589221523</v>
      </c>
      <c r="AM32" s="17">
        <f ca="1">SUMIF($L$4:$AL$4,"SUBTOTAL",$L$32:$AL$32)</f>
        <v>285.64962617959338</v>
      </c>
      <c r="AP32" s="17">
        <f>IF((1 - CUSTOS!$M$28)&lt;&gt;0,1/(1 - CUSTOS!$M$28),1)</f>
        <v>1</v>
      </c>
    </row>
    <row r="33" spans="1:42" ht="11.25" customHeight="1" x14ac:dyDescent="0.25">
      <c r="A33" s="166"/>
      <c r="B33" s="58" t="s">
        <v>23</v>
      </c>
      <c r="C33" s="58" t="s">
        <v>43</v>
      </c>
      <c r="D33" s="58" t="s">
        <v>25</v>
      </c>
      <c r="E33" s="58" t="s">
        <v>25</v>
      </c>
      <c r="F33" s="58" t="s">
        <v>25</v>
      </c>
      <c r="G33" s="57" t="s">
        <v>82</v>
      </c>
      <c r="H33" s="57" t="s">
        <v>78</v>
      </c>
      <c r="I33" s="57">
        <f>'MERCADO TUSD'!$U$30</f>
        <v>1694.7730000000001</v>
      </c>
      <c r="J33" s="16"/>
      <c r="L33" s="17">
        <f>'TR TUSD'!$L$33*'TR TUSD'!$L$60</f>
        <v>7.075083473207509</v>
      </c>
      <c r="M33" s="17">
        <f>'TR TUSD'!$M$33*'TR TUSD'!$M$60</f>
        <v>0.88690239679001703</v>
      </c>
      <c r="N33" s="17">
        <f ca="1">'TR TUSD'!$N$33*'TR TUSD'!$N$60</f>
        <v>2.2474490941096086</v>
      </c>
      <c r="O33" s="17">
        <f>'TR TUSD'!$O$33*'TR TUSD'!$O$60</f>
        <v>0</v>
      </c>
      <c r="P33" s="17">
        <f>'TR TUSD'!$P$33*'TR TUSD'!$P$60</f>
        <v>0</v>
      </c>
      <c r="Q33" s="17">
        <f>'TR TUSD'!$Q$33*'TR TUSD'!$Q$60</f>
        <v>87.901432598989146</v>
      </c>
      <c r="R33" s="17">
        <f>'TR TUSD'!$R$33*'TR TUSD'!$R$60</f>
        <v>13.895914916158693</v>
      </c>
      <c r="S33" s="17">
        <f>'TR TUSD'!$S$33*'TR TUSD'!$S$60</f>
        <v>0</v>
      </c>
      <c r="T33" s="17">
        <f ca="1">SUM($L$33:$S$33)</f>
        <v>112.00678247925497</v>
      </c>
      <c r="U33" s="17">
        <f>'TR TUSD'!$U$33*'TR TUSD'!$U$60</f>
        <v>29.990087098595613</v>
      </c>
      <c r="V33" s="17">
        <f>'TR TUSD'!$V$33*'TR TUSD'!$V$60</f>
        <v>25.135695323737799</v>
      </c>
      <c r="W33" s="17">
        <f>'TR TUSD'!$W$33*'TR TUSD'!$W$60</f>
        <v>4.6337348781380188</v>
      </c>
      <c r="X33" s="17">
        <f>'TR TUSD'!$X$33*'TR TUSD'!$X$60</f>
        <v>0</v>
      </c>
      <c r="Y33" s="17">
        <f>'TR TUSD'!$Y$33*'TR TUSD'!$Y$60</f>
        <v>0</v>
      </c>
      <c r="Z33" s="17">
        <f>'TR TUSD'!$Z$33</f>
        <v>0</v>
      </c>
      <c r="AA33" s="17">
        <f>'TR TUSD'!$AA$33</f>
        <v>0</v>
      </c>
      <c r="AB33" s="17">
        <f>SUM($U$33:$AA$33)</f>
        <v>59.759517300471437</v>
      </c>
      <c r="AC33" s="17">
        <f>'TR TUSD'!$AC$33*'TR TUSD'!$AC$60</f>
        <v>172.21289057197896</v>
      </c>
      <c r="AD33" s="17">
        <f>SUM($AC$33:$AC$33)</f>
        <v>172.21289057197896</v>
      </c>
      <c r="AE33" s="17">
        <v>0</v>
      </c>
      <c r="AF33" s="17">
        <v>0</v>
      </c>
      <c r="AG33" s="17">
        <f>SUM($AE$33:$AF$33)</f>
        <v>0</v>
      </c>
      <c r="AH33" s="17">
        <f>'TR TUSD'!$AH$33*'TR TUSD'!$AH$60</f>
        <v>20.148487199074868</v>
      </c>
      <c r="AI33" s="17">
        <f>'TR TUSD'!$AI$33*'TR TUSD'!$AI$60</f>
        <v>0</v>
      </c>
      <c r="AJ33" s="17">
        <f ca="1">'TR TUSD'!$AJ$33*'TR TUSD'!$AJ$60</f>
        <v>0.72505862168323876</v>
      </c>
      <c r="AK33" s="17">
        <f ca="1">'TR TUSD'!$AK$33*'TR TUSD'!$AK$60</f>
        <v>0.30089576846341609</v>
      </c>
      <c r="AL33" s="17">
        <f ca="1">SUM($AH$33:$AK$33)</f>
        <v>21.174441589221523</v>
      </c>
      <c r="AM33" s="17">
        <f ca="1">SUMIF($L$4:$AL$4,"SUBTOTAL",$L$33:$AL$33)</f>
        <v>365.15363194092691</v>
      </c>
      <c r="AP33" s="17">
        <f>IF((1 - CUSTOS!$M$28)&lt;&gt;0,1/(1 - CUSTOS!$M$28),1)</f>
        <v>1</v>
      </c>
    </row>
    <row r="34" spans="1:42" ht="11.25" customHeight="1" x14ac:dyDescent="0.25">
      <c r="A34" s="166"/>
      <c r="B34" s="166" t="s">
        <v>32</v>
      </c>
      <c r="C34" s="166" t="s">
        <v>43</v>
      </c>
      <c r="D34" s="166" t="s">
        <v>95</v>
      </c>
      <c r="E34" s="166" t="s">
        <v>25</v>
      </c>
      <c r="F34" s="166" t="s">
        <v>25</v>
      </c>
      <c r="G34" s="57" t="s">
        <v>79</v>
      </c>
      <c r="H34" s="57" t="s">
        <v>78</v>
      </c>
      <c r="I34" s="57">
        <f>'MERCADO TUSD'!$U$31</f>
        <v>0</v>
      </c>
      <c r="J34" s="16"/>
      <c r="L34" s="17">
        <f>'TR TUSD'!$L$34*'TR TUSD'!$L$60</f>
        <v>7.075083473207509</v>
      </c>
      <c r="M34" s="17">
        <f>'TR TUSD'!$M$34*'TR TUSD'!$M$60</f>
        <v>0.88690239679001703</v>
      </c>
      <c r="N34" s="17">
        <f ca="1">'TR TUSD'!$N$34*'TR TUSD'!$N$60</f>
        <v>6.5313900195810914</v>
      </c>
      <c r="O34" s="17">
        <f>'TR TUSD'!$O$34*'TR TUSD'!$O$60</f>
        <v>0</v>
      </c>
      <c r="P34" s="17">
        <f>'TR TUSD'!$P$34*'TR TUSD'!$P$60</f>
        <v>0</v>
      </c>
      <c r="Q34" s="17">
        <f>'TR TUSD'!$Q$34*'TR TUSD'!$Q$60</f>
        <v>87.901432598989146</v>
      </c>
      <c r="R34" s="17">
        <f>'TR TUSD'!$R$34*'TR TUSD'!$R$60</f>
        <v>13.895914916158693</v>
      </c>
      <c r="S34" s="17">
        <f>'TR TUSD'!$S$34*'TR TUSD'!$S$60</f>
        <v>0</v>
      </c>
      <c r="T34" s="17">
        <f ca="1">SUM($L$34:$S$34)</f>
        <v>116.29072340472645</v>
      </c>
      <c r="U34" s="17">
        <f>'TR TUSD'!$U$34*'TR TUSD'!$U$60</f>
        <v>98.967522597928266</v>
      </c>
      <c r="V34" s="17">
        <f>'TR TUSD'!$V$34*'TR TUSD'!$V$60</f>
        <v>82.947844283249765</v>
      </c>
      <c r="W34" s="17">
        <f>'TR TUSD'!$W$34*'TR TUSD'!$W$60</f>
        <v>15.291264197107916</v>
      </c>
      <c r="X34" s="17">
        <f>'TR TUSD'!$X$34*'TR TUSD'!$X$60</f>
        <v>0</v>
      </c>
      <c r="Y34" s="17">
        <f>'TR TUSD'!$Y$34*'TR TUSD'!$Y$60</f>
        <v>0</v>
      </c>
      <c r="Z34" s="17">
        <f>'TR TUSD'!$Z$34</f>
        <v>0</v>
      </c>
      <c r="AA34" s="17">
        <f>'TR TUSD'!$AA$34</f>
        <v>0</v>
      </c>
      <c r="AB34" s="17">
        <f>SUM($U$34:$AA$34)</f>
        <v>197.20663107828597</v>
      </c>
      <c r="AC34" s="17">
        <f>'TR TUSD'!$AC$34*'TR TUSD'!$AC$60</f>
        <v>568.30243732235817</v>
      </c>
      <c r="AD34" s="17">
        <f>SUM($AC$34:$AC$34)</f>
        <v>568.30243732235817</v>
      </c>
      <c r="AE34" s="17">
        <v>0</v>
      </c>
      <c r="AF34" s="17">
        <v>0</v>
      </c>
      <c r="AG34" s="17">
        <f>SUM($AE$34:$AF$34)</f>
        <v>0</v>
      </c>
      <c r="AH34" s="17">
        <f>'TR TUSD'!$AH$34*'TR TUSD'!$AH$60</f>
        <v>20.148487199074868</v>
      </c>
      <c r="AI34" s="17">
        <f>'TR TUSD'!$AI$34*'TR TUSD'!$AI$60</f>
        <v>0</v>
      </c>
      <c r="AJ34" s="17">
        <f ca="1">'TR TUSD'!$AJ$34*'TR TUSD'!$AJ$60</f>
        <v>0.72505862168323876</v>
      </c>
      <c r="AK34" s="17">
        <f ca="1">'TR TUSD'!$AK$34*'TR TUSD'!$AK$60</f>
        <v>0.30089576846341609</v>
      </c>
      <c r="AL34" s="17">
        <f ca="1">SUM($AH$34:$AK$34)</f>
        <v>21.174441589221523</v>
      </c>
      <c r="AM34" s="17">
        <f ca="1">SUMIF($L$4:$AL$4,"SUBTOTAL",$L$34:$AL$34)</f>
        <v>902.97423339459215</v>
      </c>
      <c r="AP34" s="17">
        <f>IF((1 - CUSTOS!$M$29)&lt;&gt;0,1/(1 - CUSTOS!$M$29),1)</f>
        <v>1</v>
      </c>
    </row>
    <row r="35" spans="1:42" ht="11.25" customHeight="1" x14ac:dyDescent="0.25">
      <c r="A35" s="166"/>
      <c r="B35" s="166"/>
      <c r="C35" s="166"/>
      <c r="D35" s="166"/>
      <c r="E35" s="166"/>
      <c r="F35" s="166"/>
      <c r="G35" s="57" t="s">
        <v>92</v>
      </c>
      <c r="H35" s="57" t="s">
        <v>78</v>
      </c>
      <c r="I35" s="57">
        <f>'MERCADO TUSD'!$U$32</f>
        <v>0</v>
      </c>
      <c r="J35" s="16"/>
      <c r="L35" s="17">
        <f>'TR TUSD'!$L$35*'TR TUSD'!$L$60</f>
        <v>7.075083473207509</v>
      </c>
      <c r="M35" s="17">
        <f>'TR TUSD'!$M$35*'TR TUSD'!$M$60</f>
        <v>0.88690239679001703</v>
      </c>
      <c r="N35" s="17">
        <f ca="1">'TR TUSD'!$N$35*'TR TUSD'!$N$60</f>
        <v>2.8434757271671565</v>
      </c>
      <c r="O35" s="17">
        <f>'TR TUSD'!$O$35*'TR TUSD'!$O$60</f>
        <v>0</v>
      </c>
      <c r="P35" s="17">
        <f>'TR TUSD'!$P$35*'TR TUSD'!$P$60</f>
        <v>0</v>
      </c>
      <c r="Q35" s="17">
        <f>'TR TUSD'!$Q$35*'TR TUSD'!$Q$60</f>
        <v>87.901432598989146</v>
      </c>
      <c r="R35" s="17">
        <f>'TR TUSD'!$R$35*'TR TUSD'!$R$60</f>
        <v>13.895914916158693</v>
      </c>
      <c r="S35" s="17">
        <f>'TR TUSD'!$S$35*'TR TUSD'!$S$60</f>
        <v>0</v>
      </c>
      <c r="T35" s="17">
        <f ca="1">SUM($L$35:$S$35)</f>
        <v>112.60280911231251</v>
      </c>
      <c r="U35" s="17">
        <f>'TR TUSD'!$U$35*'TR TUSD'!$U$60</f>
        <v>39.587038435741647</v>
      </c>
      <c r="V35" s="17">
        <f>'TR TUSD'!$V$35*'TR TUSD'!$V$60</f>
        <v>33.179071426746532</v>
      </c>
      <c r="W35" s="17">
        <f>'TR TUSD'!$W$35*'TR TUSD'!$W$60</f>
        <v>6.1165665795907103</v>
      </c>
      <c r="X35" s="17">
        <f>'TR TUSD'!$X$35*'TR TUSD'!$X$60</f>
        <v>0</v>
      </c>
      <c r="Y35" s="17">
        <f>'TR TUSD'!$Y$35*'TR TUSD'!$Y$60</f>
        <v>0</v>
      </c>
      <c r="Z35" s="17">
        <f>'TR TUSD'!$Z$35</f>
        <v>0</v>
      </c>
      <c r="AA35" s="17">
        <f>'TR TUSD'!$AA$35</f>
        <v>0</v>
      </c>
      <c r="AB35" s="17">
        <f>SUM($U$35:$AA$35)</f>
        <v>78.882676442078889</v>
      </c>
      <c r="AC35" s="17">
        <f>'TR TUSD'!$AC$35*'TR TUSD'!$AC$60</f>
        <v>227.32093430287435</v>
      </c>
      <c r="AD35" s="17">
        <f>SUM($AC$35:$AC$35)</f>
        <v>227.32093430287435</v>
      </c>
      <c r="AE35" s="17">
        <v>0</v>
      </c>
      <c r="AF35" s="17">
        <v>0</v>
      </c>
      <c r="AG35" s="17">
        <f>SUM($AE$35:$AF$35)</f>
        <v>0</v>
      </c>
      <c r="AH35" s="17">
        <f>'TR TUSD'!$AH$35*'TR TUSD'!$AH$60</f>
        <v>20.148487199074868</v>
      </c>
      <c r="AI35" s="17">
        <f>'TR TUSD'!$AI$35*'TR TUSD'!$AI$60</f>
        <v>0</v>
      </c>
      <c r="AJ35" s="17">
        <f ca="1">'TR TUSD'!$AJ$35*'TR TUSD'!$AJ$60</f>
        <v>0.72505862168323876</v>
      </c>
      <c r="AK35" s="17">
        <f ca="1">'TR TUSD'!$AK$35*'TR TUSD'!$AK$60</f>
        <v>0.30089576846341609</v>
      </c>
      <c r="AL35" s="17">
        <f ca="1">SUM($AH$35:$AK$35)</f>
        <v>21.174441589221523</v>
      </c>
      <c r="AM35" s="17">
        <f ca="1">SUMIF($L$4:$AL$4,"SUBTOTAL",$L$35:$AL$35)</f>
        <v>439.98086144648727</v>
      </c>
      <c r="AP35" s="17">
        <f>IF((1 - CUSTOS!$M$29)&lt;&gt;0,1/(1 - CUSTOS!$M$29),1)</f>
        <v>1</v>
      </c>
    </row>
    <row r="36" spans="1:42" ht="11.25" customHeight="1" x14ac:dyDescent="0.25">
      <c r="A36" s="166"/>
      <c r="B36" s="166"/>
      <c r="C36" s="166"/>
      <c r="D36" s="166"/>
      <c r="E36" s="166"/>
      <c r="F36" s="166"/>
      <c r="G36" s="57" t="s">
        <v>80</v>
      </c>
      <c r="H36" s="57" t="s">
        <v>78</v>
      </c>
      <c r="I36" s="57">
        <f>'MERCADO TUSD'!$U$33</f>
        <v>0</v>
      </c>
      <c r="J36" s="16"/>
      <c r="L36" s="17">
        <f>'TR TUSD'!$L$36*'TR TUSD'!$L$60</f>
        <v>7.075083473207509</v>
      </c>
      <c r="M36" s="17">
        <f>'TR TUSD'!$M$36*'TR TUSD'!$M$60</f>
        <v>0.88690239679001703</v>
      </c>
      <c r="N36" s="17">
        <f ca="1">'TR TUSD'!$N$36*'TR TUSD'!$N$60</f>
        <v>1.6141700747987</v>
      </c>
      <c r="O36" s="17">
        <f>'TR TUSD'!$O$36*'TR TUSD'!$O$60</f>
        <v>0</v>
      </c>
      <c r="P36" s="17">
        <f>'TR TUSD'!$P$36*'TR TUSD'!$P$60</f>
        <v>0</v>
      </c>
      <c r="Q36" s="17">
        <f>'TR TUSD'!$Q$36*'TR TUSD'!$Q$60</f>
        <v>87.901432598989146</v>
      </c>
      <c r="R36" s="17">
        <f>'TR TUSD'!$R$36*'TR TUSD'!$R$60</f>
        <v>13.895914916158693</v>
      </c>
      <c r="S36" s="17">
        <f>'TR TUSD'!$S$36*'TR TUSD'!$S$60</f>
        <v>0</v>
      </c>
      <c r="T36" s="17">
        <f ca="1">SUM($L$36:$S$36)</f>
        <v>111.37350345994406</v>
      </c>
      <c r="U36" s="17">
        <f>'TR TUSD'!$U$36*'TR TUSD'!$U$60</f>
        <v>19.793445726444965</v>
      </c>
      <c r="V36" s="17">
        <f>'TR TUSD'!$V$36*'TR TUSD'!$V$60</f>
        <v>16.589535713373266</v>
      </c>
      <c r="W36" s="17">
        <f>'TR TUSD'!$W$36*'TR TUSD'!$W$60</f>
        <v>3.0582325391724021</v>
      </c>
      <c r="X36" s="17">
        <f>'TR TUSD'!$X$36*'TR TUSD'!$X$60</f>
        <v>0</v>
      </c>
      <c r="Y36" s="17">
        <f>'TR TUSD'!$Y$36*'TR TUSD'!$Y$60</f>
        <v>0</v>
      </c>
      <c r="Z36" s="17">
        <f>'TR TUSD'!$Z$36</f>
        <v>0</v>
      </c>
      <c r="AA36" s="17">
        <f>'TR TUSD'!$AA$36</f>
        <v>0</v>
      </c>
      <c r="AB36" s="17">
        <f>SUM($U$36:$AA$36)</f>
        <v>39.441213978990632</v>
      </c>
      <c r="AC36" s="17">
        <f>'TR TUSD'!$AC$36*'TR TUSD'!$AC$60</f>
        <v>113.66046715143717</v>
      </c>
      <c r="AD36" s="17">
        <f>SUM($AC$36:$AC$36)</f>
        <v>113.66046715143717</v>
      </c>
      <c r="AE36" s="17">
        <v>0</v>
      </c>
      <c r="AF36" s="17">
        <v>0</v>
      </c>
      <c r="AG36" s="17">
        <f>SUM($AE$36:$AF$36)</f>
        <v>0</v>
      </c>
      <c r="AH36" s="17">
        <f>'TR TUSD'!$AH$36*'TR TUSD'!$AH$60</f>
        <v>20.148487199074868</v>
      </c>
      <c r="AI36" s="17">
        <f>'TR TUSD'!$AI$36*'TR TUSD'!$AI$60</f>
        <v>0</v>
      </c>
      <c r="AJ36" s="17">
        <f ca="1">'TR TUSD'!$AJ$36*'TR TUSD'!$AJ$60</f>
        <v>0.72505862168323876</v>
      </c>
      <c r="AK36" s="17">
        <f ca="1">'TR TUSD'!$AK$36*'TR TUSD'!$AK$60</f>
        <v>0.30089576846341609</v>
      </c>
      <c r="AL36" s="17">
        <f ca="1">SUM($AH$36:$AK$36)</f>
        <v>21.174441589221523</v>
      </c>
      <c r="AM36" s="17">
        <f ca="1">SUMIF($L$4:$AL$4,"SUBTOTAL",$L$36:$AL$36)</f>
        <v>285.64962617959338</v>
      </c>
      <c r="AP36" s="17">
        <f>IF((1 - CUSTOS!$M$29)&lt;&gt;0,1/(1 - CUSTOS!$M$29),1)</f>
        <v>1</v>
      </c>
    </row>
    <row r="37" spans="1:42" ht="11.25" customHeight="1" x14ac:dyDescent="0.25">
      <c r="A37" s="166"/>
      <c r="B37" s="58" t="s">
        <v>23</v>
      </c>
      <c r="C37" s="58" t="s">
        <v>43</v>
      </c>
      <c r="D37" s="58" t="s">
        <v>95</v>
      </c>
      <c r="E37" s="58" t="s">
        <v>25</v>
      </c>
      <c r="F37" s="58" t="s">
        <v>25</v>
      </c>
      <c r="G37" s="57" t="s">
        <v>82</v>
      </c>
      <c r="H37" s="57" t="s">
        <v>78</v>
      </c>
      <c r="I37" s="57">
        <f>'MERCADO TUSD'!$U$34</f>
        <v>0</v>
      </c>
      <c r="J37" s="16"/>
      <c r="L37" s="17">
        <f>'TR TUSD'!$L$37*'TR TUSD'!$L$60</f>
        <v>7.075083473207509</v>
      </c>
      <c r="M37" s="17">
        <f>'TR TUSD'!$M$37*'TR TUSD'!$M$60</f>
        <v>0.88690239679001703</v>
      </c>
      <c r="N37" s="17">
        <f ca="1">'TR TUSD'!$N$37*'TR TUSD'!$N$60</f>
        <v>2.2474490941096086</v>
      </c>
      <c r="O37" s="17">
        <f>'TR TUSD'!$O$37*'TR TUSD'!$O$60</f>
        <v>0</v>
      </c>
      <c r="P37" s="17">
        <f>'TR TUSD'!$P$37*'TR TUSD'!$P$60</f>
        <v>0</v>
      </c>
      <c r="Q37" s="17">
        <f>'TR TUSD'!$Q$37*'TR TUSD'!$Q$60</f>
        <v>87.901432598989146</v>
      </c>
      <c r="R37" s="17">
        <f>'TR TUSD'!$R$37*'TR TUSD'!$R$60</f>
        <v>13.895914916158693</v>
      </c>
      <c r="S37" s="17">
        <f>'TR TUSD'!$S$37*'TR TUSD'!$S$60</f>
        <v>0</v>
      </c>
      <c r="T37" s="17">
        <f ca="1">SUM($L$37:$S$37)</f>
        <v>112.00678247925497</v>
      </c>
      <c r="U37" s="17">
        <f>'TR TUSD'!$U$37*'TR TUSD'!$U$60</f>
        <v>29.990087098595613</v>
      </c>
      <c r="V37" s="17">
        <f>'TR TUSD'!$V$37*'TR TUSD'!$V$60</f>
        <v>25.135695323737799</v>
      </c>
      <c r="W37" s="17">
        <f>'TR TUSD'!$W$37*'TR TUSD'!$W$60</f>
        <v>4.6337348781380188</v>
      </c>
      <c r="X37" s="17">
        <f>'TR TUSD'!$X$37*'TR TUSD'!$X$60</f>
        <v>0</v>
      </c>
      <c r="Y37" s="17">
        <f>'TR TUSD'!$Y$37*'TR TUSD'!$Y$60</f>
        <v>0</v>
      </c>
      <c r="Z37" s="17">
        <f>'TR TUSD'!$Z$37</f>
        <v>0</v>
      </c>
      <c r="AA37" s="17">
        <f>'TR TUSD'!$AA$37</f>
        <v>0</v>
      </c>
      <c r="AB37" s="17">
        <f>SUM($U$37:$AA$37)</f>
        <v>59.759517300471437</v>
      </c>
      <c r="AC37" s="17">
        <f>'TR TUSD'!$AC$37*'TR TUSD'!$AC$60</f>
        <v>172.21289057197896</v>
      </c>
      <c r="AD37" s="17">
        <f>SUM($AC$37:$AC$37)</f>
        <v>172.21289057197896</v>
      </c>
      <c r="AE37" s="17">
        <v>0</v>
      </c>
      <c r="AF37" s="17">
        <v>0</v>
      </c>
      <c r="AG37" s="17">
        <f>SUM($AE$37:$AF$37)</f>
        <v>0</v>
      </c>
      <c r="AH37" s="17">
        <f>'TR TUSD'!$AH$37*'TR TUSD'!$AH$60</f>
        <v>20.148487199074868</v>
      </c>
      <c r="AI37" s="17">
        <f>'TR TUSD'!$AI$37*'TR TUSD'!$AI$60</f>
        <v>0</v>
      </c>
      <c r="AJ37" s="17">
        <f ca="1">'TR TUSD'!$AJ$37*'TR TUSD'!$AJ$60</f>
        <v>0.72505862168323876</v>
      </c>
      <c r="AK37" s="17">
        <f ca="1">'TR TUSD'!$AK$37*'TR TUSD'!$AK$60</f>
        <v>0.30089576846341609</v>
      </c>
      <c r="AL37" s="17">
        <f ca="1">SUM($AH$37:$AK$37)</f>
        <v>21.174441589221523</v>
      </c>
      <c r="AM37" s="17">
        <f ca="1">SUMIF($L$4:$AL$4,"SUBTOTAL",$L$37:$AL$37)</f>
        <v>365.15363194092691</v>
      </c>
      <c r="AP37" s="17">
        <f>IF((1 - CUSTOS!$M$29)&lt;&gt;0,1/(1 - CUSTOS!$M$29),1)</f>
        <v>1</v>
      </c>
    </row>
    <row r="38" spans="1:42" ht="11.25" customHeight="1" x14ac:dyDescent="0.25">
      <c r="A38" s="166"/>
      <c r="B38" s="166" t="s">
        <v>32</v>
      </c>
      <c r="C38" s="166" t="s">
        <v>43</v>
      </c>
      <c r="D38" s="166" t="s">
        <v>96</v>
      </c>
      <c r="E38" s="166" t="s">
        <v>25</v>
      </c>
      <c r="F38" s="166" t="s">
        <v>25</v>
      </c>
      <c r="G38" s="57" t="s">
        <v>79</v>
      </c>
      <c r="H38" s="57" t="s">
        <v>78</v>
      </c>
      <c r="I38" s="57">
        <f>'MERCADO TUSD'!$U$35</f>
        <v>0</v>
      </c>
      <c r="J38" s="16"/>
      <c r="L38" s="17">
        <f>'TR TUSD'!$L$38*'TR TUSD'!$L$60</f>
        <v>7.075083473207509</v>
      </c>
      <c r="M38" s="17">
        <f>'TR TUSD'!$M$38*'TR TUSD'!$M$60</f>
        <v>0.88690239679001703</v>
      </c>
      <c r="N38" s="17">
        <f ca="1">'TR TUSD'!$N$38*'TR TUSD'!$N$60</f>
        <v>6.5313900195810914</v>
      </c>
      <c r="O38" s="17">
        <f>'TR TUSD'!$O$38*'TR TUSD'!$O$60</f>
        <v>0</v>
      </c>
      <c r="P38" s="17">
        <f>'TR TUSD'!$P$38*'TR TUSD'!$P$60</f>
        <v>0</v>
      </c>
      <c r="Q38" s="17">
        <f>'TR TUSD'!$Q$38*'TR TUSD'!$Q$60</f>
        <v>87.901432598989146</v>
      </c>
      <c r="R38" s="17">
        <f>'TR TUSD'!$R$38*'TR TUSD'!$R$60</f>
        <v>13.895914916158693</v>
      </c>
      <c r="S38" s="17">
        <f>'TR TUSD'!$S$38*'TR TUSD'!$S$60</f>
        <v>0</v>
      </c>
      <c r="T38" s="17">
        <f ca="1">SUM($L$38:$S$38)</f>
        <v>116.29072340472645</v>
      </c>
      <c r="U38" s="17">
        <f>'TR TUSD'!$U$38*'TR TUSD'!$U$60</f>
        <v>98.967522597928266</v>
      </c>
      <c r="V38" s="17">
        <f>'TR TUSD'!$V$38*'TR TUSD'!$V$60</f>
        <v>82.947844283249765</v>
      </c>
      <c r="W38" s="17">
        <f>'TR TUSD'!$W$38*'TR TUSD'!$W$60</f>
        <v>15.291264197107916</v>
      </c>
      <c r="X38" s="17">
        <f>'TR TUSD'!$X$38*'TR TUSD'!$X$60</f>
        <v>0</v>
      </c>
      <c r="Y38" s="17">
        <f>'TR TUSD'!$Y$38*'TR TUSD'!$Y$60</f>
        <v>0</v>
      </c>
      <c r="Z38" s="17">
        <f>'TR TUSD'!$Z$38</f>
        <v>0</v>
      </c>
      <c r="AA38" s="17">
        <f>'TR TUSD'!$AA$38</f>
        <v>0</v>
      </c>
      <c r="AB38" s="17">
        <f>SUM($U$38:$AA$38)</f>
        <v>197.20663107828597</v>
      </c>
      <c r="AC38" s="17">
        <f>'TR TUSD'!$AC$38*'TR TUSD'!$AC$60</f>
        <v>568.30243732235817</v>
      </c>
      <c r="AD38" s="17">
        <f>SUM($AC$38:$AC$38)</f>
        <v>568.30243732235817</v>
      </c>
      <c r="AE38" s="17">
        <v>0</v>
      </c>
      <c r="AF38" s="17">
        <v>0</v>
      </c>
      <c r="AG38" s="17">
        <f>SUM($AE$38:$AF$38)</f>
        <v>0</v>
      </c>
      <c r="AH38" s="17">
        <f>'TR TUSD'!$AH$38*'TR TUSD'!$AH$60</f>
        <v>20.148487199074868</v>
      </c>
      <c r="AI38" s="17">
        <f>'TR TUSD'!$AI$38*'TR TUSD'!$AI$60</f>
        <v>0</v>
      </c>
      <c r="AJ38" s="17">
        <f ca="1">'TR TUSD'!$AJ$38*'TR TUSD'!$AJ$60</f>
        <v>0.72505862168323876</v>
      </c>
      <c r="AK38" s="17">
        <f ca="1">'TR TUSD'!$AK$38*'TR TUSD'!$AK$60</f>
        <v>0.30089576846341609</v>
      </c>
      <c r="AL38" s="17">
        <f ca="1">SUM($AH$38:$AK$38)</f>
        <v>21.174441589221523</v>
      </c>
      <c r="AM38" s="17">
        <f ca="1">SUMIF($L$4:$AL$4,"SUBTOTAL",$L$38:$AL$38)</f>
        <v>902.97423339459215</v>
      </c>
      <c r="AP38" s="17">
        <f>IF((1 - CUSTOS!$M$30)&lt;&gt;0,1/(1 - CUSTOS!$M$30),1)</f>
        <v>1</v>
      </c>
    </row>
    <row r="39" spans="1:42" ht="11.25" customHeight="1" x14ac:dyDescent="0.25">
      <c r="A39" s="166"/>
      <c r="B39" s="166"/>
      <c r="C39" s="166"/>
      <c r="D39" s="166"/>
      <c r="E39" s="166"/>
      <c r="F39" s="166"/>
      <c r="G39" s="57" t="s">
        <v>92</v>
      </c>
      <c r="H39" s="57" t="s">
        <v>78</v>
      </c>
      <c r="I39" s="57">
        <f>'MERCADO TUSD'!$U$36</f>
        <v>0</v>
      </c>
      <c r="J39" s="16"/>
      <c r="L39" s="17">
        <f>'TR TUSD'!$L$39*'TR TUSD'!$L$60</f>
        <v>7.075083473207509</v>
      </c>
      <c r="M39" s="17">
        <f>'TR TUSD'!$M$39*'TR TUSD'!$M$60</f>
        <v>0.88690239679001703</v>
      </c>
      <c r="N39" s="17">
        <f ca="1">'TR TUSD'!$N$39*'TR TUSD'!$N$60</f>
        <v>2.8434757271671565</v>
      </c>
      <c r="O39" s="17">
        <f>'TR TUSD'!$O$39*'TR TUSD'!$O$60</f>
        <v>0</v>
      </c>
      <c r="P39" s="17">
        <f>'TR TUSD'!$P$39*'TR TUSD'!$P$60</f>
        <v>0</v>
      </c>
      <c r="Q39" s="17">
        <f>'TR TUSD'!$Q$39*'TR TUSD'!$Q$60</f>
        <v>87.901432598989146</v>
      </c>
      <c r="R39" s="17">
        <f>'TR TUSD'!$R$39*'TR TUSD'!$R$60</f>
        <v>13.895914916158693</v>
      </c>
      <c r="S39" s="17">
        <f>'TR TUSD'!$S$39*'TR TUSD'!$S$60</f>
        <v>0</v>
      </c>
      <c r="T39" s="17">
        <f ca="1">SUM($L$39:$S$39)</f>
        <v>112.60280911231251</v>
      </c>
      <c r="U39" s="17">
        <f>'TR TUSD'!$U$39*'TR TUSD'!$U$60</f>
        <v>39.587038435741647</v>
      </c>
      <c r="V39" s="17">
        <f>'TR TUSD'!$V$39*'TR TUSD'!$V$60</f>
        <v>33.179071426746532</v>
      </c>
      <c r="W39" s="17">
        <f>'TR TUSD'!$W$39*'TR TUSD'!$W$60</f>
        <v>6.1165665795907103</v>
      </c>
      <c r="X39" s="17">
        <f>'TR TUSD'!$X$39*'TR TUSD'!$X$60</f>
        <v>0</v>
      </c>
      <c r="Y39" s="17">
        <f>'TR TUSD'!$Y$39*'TR TUSD'!$Y$60</f>
        <v>0</v>
      </c>
      <c r="Z39" s="17">
        <f>'TR TUSD'!$Z$39</f>
        <v>0</v>
      </c>
      <c r="AA39" s="17">
        <f>'TR TUSD'!$AA$39</f>
        <v>0</v>
      </c>
      <c r="AB39" s="17">
        <f>SUM($U$39:$AA$39)</f>
        <v>78.882676442078889</v>
      </c>
      <c r="AC39" s="17">
        <f>'TR TUSD'!$AC$39*'TR TUSD'!$AC$60</f>
        <v>227.32093430287435</v>
      </c>
      <c r="AD39" s="17">
        <f>SUM($AC$39:$AC$39)</f>
        <v>227.32093430287435</v>
      </c>
      <c r="AE39" s="17">
        <v>0</v>
      </c>
      <c r="AF39" s="17">
        <v>0</v>
      </c>
      <c r="AG39" s="17">
        <f>SUM($AE$39:$AF$39)</f>
        <v>0</v>
      </c>
      <c r="AH39" s="17">
        <f>'TR TUSD'!$AH$39*'TR TUSD'!$AH$60</f>
        <v>20.148487199074868</v>
      </c>
      <c r="AI39" s="17">
        <f>'TR TUSD'!$AI$39*'TR TUSD'!$AI$60</f>
        <v>0</v>
      </c>
      <c r="AJ39" s="17">
        <f ca="1">'TR TUSD'!$AJ$39*'TR TUSD'!$AJ$60</f>
        <v>0.72505862168323876</v>
      </c>
      <c r="AK39" s="17">
        <f ca="1">'TR TUSD'!$AK$39*'TR TUSD'!$AK$60</f>
        <v>0.30089576846341609</v>
      </c>
      <c r="AL39" s="17">
        <f ca="1">SUM($AH$39:$AK$39)</f>
        <v>21.174441589221523</v>
      </c>
      <c r="AM39" s="17">
        <f ca="1">SUMIF($L$4:$AL$4,"SUBTOTAL",$L$39:$AL$39)</f>
        <v>439.98086144648727</v>
      </c>
      <c r="AP39" s="17">
        <f>IF((1 - CUSTOS!$M$30)&lt;&gt;0,1/(1 - CUSTOS!$M$30),1)</f>
        <v>1</v>
      </c>
    </row>
    <row r="40" spans="1:42" ht="11.25" customHeight="1" x14ac:dyDescent="0.25">
      <c r="A40" s="166"/>
      <c r="B40" s="166"/>
      <c r="C40" s="166"/>
      <c r="D40" s="166"/>
      <c r="E40" s="166"/>
      <c r="F40" s="166"/>
      <c r="G40" s="57" t="s">
        <v>80</v>
      </c>
      <c r="H40" s="57" t="s">
        <v>78</v>
      </c>
      <c r="I40" s="57">
        <f>'MERCADO TUSD'!$U$37</f>
        <v>0</v>
      </c>
      <c r="J40" s="16"/>
      <c r="L40" s="17">
        <f>'TR TUSD'!$L$40*'TR TUSD'!$L$60</f>
        <v>7.075083473207509</v>
      </c>
      <c r="M40" s="17">
        <f>'TR TUSD'!$M$40*'TR TUSD'!$M$60</f>
        <v>0.88690239679001703</v>
      </c>
      <c r="N40" s="17">
        <f ca="1">'TR TUSD'!$N$40*'TR TUSD'!$N$60</f>
        <v>1.6141700747987</v>
      </c>
      <c r="O40" s="17">
        <f>'TR TUSD'!$O$40*'TR TUSD'!$O$60</f>
        <v>0</v>
      </c>
      <c r="P40" s="17">
        <f>'TR TUSD'!$P$40*'TR TUSD'!$P$60</f>
        <v>0</v>
      </c>
      <c r="Q40" s="17">
        <f>'TR TUSD'!$Q$40*'TR TUSD'!$Q$60</f>
        <v>87.901432598989146</v>
      </c>
      <c r="R40" s="17">
        <f>'TR TUSD'!$R$40*'TR TUSD'!$R$60</f>
        <v>13.895914916158693</v>
      </c>
      <c r="S40" s="17">
        <f>'TR TUSD'!$S$40*'TR TUSD'!$S$60</f>
        <v>0</v>
      </c>
      <c r="T40" s="17">
        <f ca="1">SUM($L$40:$S$40)</f>
        <v>111.37350345994406</v>
      </c>
      <c r="U40" s="17">
        <f>'TR TUSD'!$U$40*'TR TUSD'!$U$60</f>
        <v>19.793445726444965</v>
      </c>
      <c r="V40" s="17">
        <f>'TR TUSD'!$V$40*'TR TUSD'!$V$60</f>
        <v>16.589535713373266</v>
      </c>
      <c r="W40" s="17">
        <f>'TR TUSD'!$W$40*'TR TUSD'!$W$60</f>
        <v>3.0582325391724021</v>
      </c>
      <c r="X40" s="17">
        <f>'TR TUSD'!$X$40*'TR TUSD'!$X$60</f>
        <v>0</v>
      </c>
      <c r="Y40" s="17">
        <f>'TR TUSD'!$Y$40*'TR TUSD'!$Y$60</f>
        <v>0</v>
      </c>
      <c r="Z40" s="17">
        <f>'TR TUSD'!$Z$40</f>
        <v>0</v>
      </c>
      <c r="AA40" s="17">
        <f>'TR TUSD'!$AA$40</f>
        <v>0</v>
      </c>
      <c r="AB40" s="17">
        <f>SUM($U$40:$AA$40)</f>
        <v>39.441213978990632</v>
      </c>
      <c r="AC40" s="17">
        <f>'TR TUSD'!$AC$40*'TR TUSD'!$AC$60</f>
        <v>113.66046715143717</v>
      </c>
      <c r="AD40" s="17">
        <f>SUM($AC$40:$AC$40)</f>
        <v>113.66046715143717</v>
      </c>
      <c r="AE40" s="17">
        <v>0</v>
      </c>
      <c r="AF40" s="17">
        <v>0</v>
      </c>
      <c r="AG40" s="17">
        <f>SUM($AE$40:$AF$40)</f>
        <v>0</v>
      </c>
      <c r="AH40" s="17">
        <f>'TR TUSD'!$AH$40*'TR TUSD'!$AH$60</f>
        <v>20.148487199074868</v>
      </c>
      <c r="AI40" s="17">
        <f>'TR TUSD'!$AI$40*'TR TUSD'!$AI$60</f>
        <v>0</v>
      </c>
      <c r="AJ40" s="17">
        <f ca="1">'TR TUSD'!$AJ$40*'TR TUSD'!$AJ$60</f>
        <v>0.72505862168323876</v>
      </c>
      <c r="AK40" s="17">
        <f ca="1">'TR TUSD'!$AK$40*'TR TUSD'!$AK$60</f>
        <v>0.30089576846341609</v>
      </c>
      <c r="AL40" s="17">
        <f ca="1">SUM($AH$40:$AK$40)</f>
        <v>21.174441589221523</v>
      </c>
      <c r="AM40" s="17">
        <f ca="1">SUMIF($L$4:$AL$4,"SUBTOTAL",$L$40:$AL$40)</f>
        <v>285.64962617959338</v>
      </c>
      <c r="AP40" s="17">
        <f>IF((1 - CUSTOS!$M$30)&lt;&gt;0,1/(1 - CUSTOS!$M$30),1)</f>
        <v>1</v>
      </c>
    </row>
    <row r="41" spans="1:42" ht="11.25" customHeight="1" x14ac:dyDescent="0.25">
      <c r="A41" s="166"/>
      <c r="B41" s="58" t="s">
        <v>23</v>
      </c>
      <c r="C41" s="58" t="s">
        <v>43</v>
      </c>
      <c r="D41" s="58" t="s">
        <v>96</v>
      </c>
      <c r="E41" s="58" t="s">
        <v>25</v>
      </c>
      <c r="F41" s="58" t="s">
        <v>25</v>
      </c>
      <c r="G41" s="57" t="s">
        <v>82</v>
      </c>
      <c r="H41" s="57" t="s">
        <v>78</v>
      </c>
      <c r="I41" s="57">
        <f>'MERCADO TUSD'!$U$38</f>
        <v>0</v>
      </c>
      <c r="J41" s="16"/>
      <c r="L41" s="17">
        <f>'TR TUSD'!$L$41*'TR TUSD'!$L$60</f>
        <v>7.075083473207509</v>
      </c>
      <c r="M41" s="17">
        <f>'TR TUSD'!$M$41*'TR TUSD'!$M$60</f>
        <v>0.88690239679001703</v>
      </c>
      <c r="N41" s="17">
        <f ca="1">'TR TUSD'!$N$41*'TR TUSD'!$N$60</f>
        <v>2.2474490941096086</v>
      </c>
      <c r="O41" s="17">
        <f>'TR TUSD'!$O$41*'TR TUSD'!$O$60</f>
        <v>0</v>
      </c>
      <c r="P41" s="17">
        <f>'TR TUSD'!$P$41*'TR TUSD'!$P$60</f>
        <v>0</v>
      </c>
      <c r="Q41" s="17">
        <f>'TR TUSD'!$Q$41*'TR TUSD'!$Q$60</f>
        <v>87.901432598989146</v>
      </c>
      <c r="R41" s="17">
        <f>'TR TUSD'!$R$41*'TR TUSD'!$R$60</f>
        <v>13.895914916158693</v>
      </c>
      <c r="S41" s="17">
        <f>'TR TUSD'!$S$41*'TR TUSD'!$S$60</f>
        <v>0</v>
      </c>
      <c r="T41" s="17">
        <f ca="1">SUM($L$41:$S$41)</f>
        <v>112.00678247925497</v>
      </c>
      <c r="U41" s="17">
        <f>'TR TUSD'!$U$41*'TR TUSD'!$U$60</f>
        <v>29.990087098595613</v>
      </c>
      <c r="V41" s="17">
        <f>'TR TUSD'!$V$41*'TR TUSD'!$V$60</f>
        <v>25.135695323737799</v>
      </c>
      <c r="W41" s="17">
        <f>'TR TUSD'!$W$41*'TR TUSD'!$W$60</f>
        <v>4.6337348781380188</v>
      </c>
      <c r="X41" s="17">
        <f>'TR TUSD'!$X$41*'TR TUSD'!$X$60</f>
        <v>0</v>
      </c>
      <c r="Y41" s="17">
        <f>'TR TUSD'!$Y$41*'TR TUSD'!$Y$60</f>
        <v>0</v>
      </c>
      <c r="Z41" s="17">
        <f>'TR TUSD'!$Z$41</f>
        <v>0</v>
      </c>
      <c r="AA41" s="17">
        <f>'TR TUSD'!$AA$41</f>
        <v>0</v>
      </c>
      <c r="AB41" s="17">
        <f>SUM($U$41:$AA$41)</f>
        <v>59.759517300471437</v>
      </c>
      <c r="AC41" s="17">
        <f>'TR TUSD'!$AC$41*'TR TUSD'!$AC$60</f>
        <v>172.21289057197896</v>
      </c>
      <c r="AD41" s="17">
        <f>SUM($AC$41:$AC$41)</f>
        <v>172.21289057197896</v>
      </c>
      <c r="AE41" s="17">
        <v>0</v>
      </c>
      <c r="AF41" s="17">
        <v>0</v>
      </c>
      <c r="AG41" s="17">
        <f>SUM($AE$41:$AF$41)</f>
        <v>0</v>
      </c>
      <c r="AH41" s="17">
        <f>'TR TUSD'!$AH$41*'TR TUSD'!$AH$60</f>
        <v>20.148487199074868</v>
      </c>
      <c r="AI41" s="17">
        <f>'TR TUSD'!$AI$41*'TR TUSD'!$AI$60</f>
        <v>0</v>
      </c>
      <c r="AJ41" s="17">
        <f ca="1">'TR TUSD'!$AJ$41*'TR TUSD'!$AJ$60</f>
        <v>0.72505862168323876</v>
      </c>
      <c r="AK41" s="17">
        <f ca="1">'TR TUSD'!$AK$41*'TR TUSD'!$AK$60</f>
        <v>0.30089576846341609</v>
      </c>
      <c r="AL41" s="17">
        <f ca="1">SUM($AH$41:$AK$41)</f>
        <v>21.174441589221523</v>
      </c>
      <c r="AM41" s="17">
        <f ca="1">SUMIF($L$4:$AL$4,"SUBTOTAL",$L$41:$AL$41)</f>
        <v>365.15363194092691</v>
      </c>
      <c r="AP41" s="17">
        <f>IF((1 - CUSTOS!$M$30)&lt;&gt;0,1/(1 - CUSTOS!$M$30),1)</f>
        <v>1</v>
      </c>
    </row>
    <row r="42" spans="1:42" ht="11.25" customHeight="1" x14ac:dyDescent="0.25">
      <c r="A42" s="166"/>
      <c r="B42" s="166" t="s">
        <v>94</v>
      </c>
      <c r="C42" s="166" t="s">
        <v>43</v>
      </c>
      <c r="D42" s="58" t="s">
        <v>25</v>
      </c>
      <c r="E42" s="58" t="s">
        <v>25</v>
      </c>
      <c r="F42" s="58" t="s">
        <v>25</v>
      </c>
      <c r="G42" s="57" t="s">
        <v>82</v>
      </c>
      <c r="H42" s="57" t="s">
        <v>78</v>
      </c>
      <c r="I42" s="57">
        <f>'MERCADO TUSD'!$U$39</f>
        <v>0</v>
      </c>
      <c r="J42" s="16"/>
      <c r="L42" s="17">
        <f>'TR TUSD'!$L$42*'TR TUSD'!$L$60</f>
        <v>7.075083473207509</v>
      </c>
      <c r="M42" s="17">
        <f>'TR TUSD'!$M$42*'TR TUSD'!$M$60</f>
        <v>0.88690239679001703</v>
      </c>
      <c r="N42" s="17">
        <f ca="1">'TR TUSD'!$N$42*'TR TUSD'!$N$60</f>
        <v>2.2474490941096086</v>
      </c>
      <c r="O42" s="17">
        <f>'TR TUSD'!$O$42*'TR TUSD'!$O$60</f>
        <v>0</v>
      </c>
      <c r="P42" s="17">
        <f>'TR TUSD'!$P$42*'TR TUSD'!$P$60</f>
        <v>0</v>
      </c>
      <c r="Q42" s="17">
        <f>'TR TUSD'!$Q$42*'TR TUSD'!$Q$60</f>
        <v>87.901432598989146</v>
      </c>
      <c r="R42" s="17">
        <f>'TR TUSD'!$R$42*'TR TUSD'!$R$60</f>
        <v>13.895914916158693</v>
      </c>
      <c r="S42" s="17">
        <f>'TR TUSD'!$S$42*'TR TUSD'!$S$60</f>
        <v>0</v>
      </c>
      <c r="T42" s="17">
        <f ca="1">SUM($L$42:$S$42)</f>
        <v>112.00678247925497</v>
      </c>
      <c r="U42" s="17">
        <f>'TR TUSD'!$U$42*'TR TUSD'!$U$60</f>
        <v>29.990087098595613</v>
      </c>
      <c r="V42" s="17">
        <f>'TR TUSD'!$V$42*'TR TUSD'!$V$60</f>
        <v>25.135695323737799</v>
      </c>
      <c r="W42" s="17">
        <f>'TR TUSD'!$W$42*'TR TUSD'!$W$60</f>
        <v>4.6337348781380188</v>
      </c>
      <c r="X42" s="17">
        <f>'TR TUSD'!$X$42*'TR TUSD'!$X$60</f>
        <v>0</v>
      </c>
      <c r="Y42" s="17">
        <f>'TR TUSD'!$Y$42*'TR TUSD'!$Y$60</f>
        <v>0</v>
      </c>
      <c r="Z42" s="17">
        <f>'TR TUSD'!$Z$42</f>
        <v>0</v>
      </c>
      <c r="AA42" s="17">
        <f>'TR TUSD'!$AA$42</f>
        <v>0</v>
      </c>
      <c r="AB42" s="17">
        <f>SUM($U$42:$AA$42)</f>
        <v>59.759517300471437</v>
      </c>
      <c r="AC42" s="17">
        <f>'TR TUSD'!$AC$42*'TR TUSD'!$AC$60</f>
        <v>172.21289057197896</v>
      </c>
      <c r="AD42" s="17">
        <f>SUM($AC$42:$AC$42)</f>
        <v>172.21289057197896</v>
      </c>
      <c r="AE42" s="17">
        <v>0</v>
      </c>
      <c r="AF42" s="17">
        <v>0</v>
      </c>
      <c r="AG42" s="17">
        <f>SUM($AE$42:$AF$42)</f>
        <v>0</v>
      </c>
      <c r="AH42" s="17">
        <f>'TR TUSD'!$AH$42*'TR TUSD'!$AH$60</f>
        <v>20.148487199074868</v>
      </c>
      <c r="AI42" s="17">
        <f>'TR TUSD'!$AI$42*'TR TUSD'!$AI$60</f>
        <v>0</v>
      </c>
      <c r="AJ42" s="17">
        <f ca="1">'TR TUSD'!$AJ$42*'TR TUSD'!$AJ$60</f>
        <v>0.72505862168323876</v>
      </c>
      <c r="AK42" s="17">
        <f ca="1">'TR TUSD'!$AK$42*'TR TUSD'!$AK$60</f>
        <v>0.30089576846341609</v>
      </c>
      <c r="AL42" s="17">
        <f ca="1">SUM($AH$42:$AK$42)</f>
        <v>21.174441589221523</v>
      </c>
      <c r="AM42" s="17">
        <f ca="1">SUMIF($L$4:$AL$4,"SUBTOTAL",$L$42:$AL$42)</f>
        <v>365.15363194092691</v>
      </c>
      <c r="AP42" s="17">
        <f>IF((1 - CUSTOS!$M$28)&lt;&gt;0,1/(1 - CUSTOS!$M$28),1)</f>
        <v>1</v>
      </c>
    </row>
    <row r="43" spans="1:42" ht="11.25" customHeight="1" x14ac:dyDescent="0.25">
      <c r="A43" s="166"/>
      <c r="B43" s="166"/>
      <c r="C43" s="166"/>
      <c r="D43" s="58" t="s">
        <v>95</v>
      </c>
      <c r="E43" s="58" t="s">
        <v>25</v>
      </c>
      <c r="F43" s="58" t="s">
        <v>25</v>
      </c>
      <c r="G43" s="57" t="s">
        <v>82</v>
      </c>
      <c r="H43" s="57" t="s">
        <v>78</v>
      </c>
      <c r="I43" s="57">
        <f>'MERCADO TUSD'!$U$40</f>
        <v>0</v>
      </c>
      <c r="J43" s="16"/>
      <c r="L43" s="17">
        <f>'TR TUSD'!$L$43*'TR TUSD'!$L$60</f>
        <v>7.075083473207509</v>
      </c>
      <c r="M43" s="17">
        <f>'TR TUSD'!$M$43*'TR TUSD'!$M$60</f>
        <v>0.88690239679001703</v>
      </c>
      <c r="N43" s="17">
        <f ca="1">'TR TUSD'!$N$43*'TR TUSD'!$N$60</f>
        <v>2.2474490941096086</v>
      </c>
      <c r="O43" s="17">
        <f>'TR TUSD'!$O$43*'TR TUSD'!$O$60</f>
        <v>0</v>
      </c>
      <c r="P43" s="17">
        <f>'TR TUSD'!$P$43*'TR TUSD'!$P$60</f>
        <v>0</v>
      </c>
      <c r="Q43" s="17">
        <f>'TR TUSD'!$Q$43*'TR TUSD'!$Q$60</f>
        <v>87.901432598989146</v>
      </c>
      <c r="R43" s="17">
        <f>'TR TUSD'!$R$43*'TR TUSD'!$R$60</f>
        <v>13.895914916158693</v>
      </c>
      <c r="S43" s="17">
        <f>'TR TUSD'!$S$43*'TR TUSD'!$S$60</f>
        <v>0</v>
      </c>
      <c r="T43" s="17">
        <f ca="1">SUM($L$43:$S$43)</f>
        <v>112.00678247925497</v>
      </c>
      <c r="U43" s="17">
        <f>'TR TUSD'!$U$43*'TR TUSD'!$U$60</f>
        <v>29.990087098595613</v>
      </c>
      <c r="V43" s="17">
        <f>'TR TUSD'!$V$43*'TR TUSD'!$V$60</f>
        <v>25.135695323737799</v>
      </c>
      <c r="W43" s="17">
        <f>'TR TUSD'!$W$43*'TR TUSD'!$W$60</f>
        <v>4.6337348781380188</v>
      </c>
      <c r="X43" s="17">
        <f>'TR TUSD'!$X$43*'TR TUSD'!$X$60</f>
        <v>0</v>
      </c>
      <c r="Y43" s="17">
        <f>'TR TUSD'!$Y$43*'TR TUSD'!$Y$60</f>
        <v>0</v>
      </c>
      <c r="Z43" s="17">
        <f>'TR TUSD'!$Z$43</f>
        <v>0</v>
      </c>
      <c r="AA43" s="17">
        <f>'TR TUSD'!$AA$43</f>
        <v>0</v>
      </c>
      <c r="AB43" s="17">
        <f>SUM($U$43:$AA$43)</f>
        <v>59.759517300471437</v>
      </c>
      <c r="AC43" s="17">
        <f>'TR TUSD'!$AC$43*'TR TUSD'!$AC$60</f>
        <v>172.21289057197896</v>
      </c>
      <c r="AD43" s="17">
        <f>SUM($AC$43:$AC$43)</f>
        <v>172.21289057197896</v>
      </c>
      <c r="AE43" s="17">
        <v>0</v>
      </c>
      <c r="AF43" s="17">
        <v>0</v>
      </c>
      <c r="AG43" s="17">
        <f>SUM($AE$43:$AF$43)</f>
        <v>0</v>
      </c>
      <c r="AH43" s="17">
        <f>'TR TUSD'!$AH$43*'TR TUSD'!$AH$60</f>
        <v>20.148487199074868</v>
      </c>
      <c r="AI43" s="17">
        <f>'TR TUSD'!$AI$43*'TR TUSD'!$AI$60</f>
        <v>0</v>
      </c>
      <c r="AJ43" s="17">
        <f ca="1">'TR TUSD'!$AJ$43*'TR TUSD'!$AJ$60</f>
        <v>0.72505862168323876</v>
      </c>
      <c r="AK43" s="17">
        <f ca="1">'TR TUSD'!$AK$43*'TR TUSD'!$AK$60</f>
        <v>0.30089576846341609</v>
      </c>
      <c r="AL43" s="17">
        <f ca="1">SUM($AH$43:$AK$43)</f>
        <v>21.174441589221523</v>
      </c>
      <c r="AM43" s="17">
        <f ca="1">SUMIF($L$4:$AL$4,"SUBTOTAL",$L$43:$AL$43)</f>
        <v>365.15363194092691</v>
      </c>
      <c r="AP43" s="17">
        <f>IF((1 - CUSTOS!$M$29)&lt;&gt;0,1/(1 - CUSTOS!$M$29),1)</f>
        <v>1</v>
      </c>
    </row>
    <row r="44" spans="1:42" ht="11.25" customHeight="1" x14ac:dyDescent="0.25">
      <c r="A44" s="166"/>
      <c r="B44" s="166"/>
      <c r="C44" s="166"/>
      <c r="D44" s="58" t="s">
        <v>96</v>
      </c>
      <c r="E44" s="58" t="s">
        <v>25</v>
      </c>
      <c r="F44" s="58" t="s">
        <v>25</v>
      </c>
      <c r="G44" s="57" t="s">
        <v>82</v>
      </c>
      <c r="H44" s="57" t="s">
        <v>78</v>
      </c>
      <c r="I44" s="57">
        <f>'MERCADO TUSD'!$U$41</f>
        <v>0</v>
      </c>
      <c r="J44" s="16"/>
      <c r="L44" s="17">
        <f>'TR TUSD'!$L$44*'TR TUSD'!$L$60</f>
        <v>7.075083473207509</v>
      </c>
      <c r="M44" s="17">
        <f>'TR TUSD'!$M$44*'TR TUSD'!$M$60</f>
        <v>0.88690239679001703</v>
      </c>
      <c r="N44" s="17">
        <f ca="1">'TR TUSD'!$N$44*'TR TUSD'!$N$60</f>
        <v>2.2474490941096086</v>
      </c>
      <c r="O44" s="17">
        <f>'TR TUSD'!$O$44*'TR TUSD'!$O$60</f>
        <v>0</v>
      </c>
      <c r="P44" s="17">
        <f>'TR TUSD'!$P$44*'TR TUSD'!$P$60</f>
        <v>0</v>
      </c>
      <c r="Q44" s="17">
        <f>'TR TUSD'!$Q$44*'TR TUSD'!$Q$60</f>
        <v>87.901432598989146</v>
      </c>
      <c r="R44" s="17">
        <f>'TR TUSD'!$R$44*'TR TUSD'!$R$60</f>
        <v>13.895914916158693</v>
      </c>
      <c r="S44" s="17">
        <f>'TR TUSD'!$S$44*'TR TUSD'!$S$60</f>
        <v>0</v>
      </c>
      <c r="T44" s="17">
        <f ca="1">SUM($L$44:$S$44)</f>
        <v>112.00678247925497</v>
      </c>
      <c r="U44" s="17">
        <f>'TR TUSD'!$U$44*'TR TUSD'!$U$60</f>
        <v>29.990087098595613</v>
      </c>
      <c r="V44" s="17">
        <f>'TR TUSD'!$V$44*'TR TUSD'!$V$60</f>
        <v>25.135695323737799</v>
      </c>
      <c r="W44" s="17">
        <f>'TR TUSD'!$W$44*'TR TUSD'!$W$60</f>
        <v>4.6337348781380188</v>
      </c>
      <c r="X44" s="17">
        <f>'TR TUSD'!$X$44*'TR TUSD'!$X$60</f>
        <v>0</v>
      </c>
      <c r="Y44" s="17">
        <f>'TR TUSD'!$Y$44*'TR TUSD'!$Y$60</f>
        <v>0</v>
      </c>
      <c r="Z44" s="17">
        <f>'TR TUSD'!$Z$44</f>
        <v>0</v>
      </c>
      <c r="AA44" s="17">
        <f>'TR TUSD'!$AA$44</f>
        <v>0</v>
      </c>
      <c r="AB44" s="17">
        <f>SUM($U$44:$AA$44)</f>
        <v>59.759517300471437</v>
      </c>
      <c r="AC44" s="17">
        <f>'TR TUSD'!$AC$44*'TR TUSD'!$AC$60</f>
        <v>172.21289057197896</v>
      </c>
      <c r="AD44" s="17">
        <f>SUM($AC$44:$AC$44)</f>
        <v>172.21289057197896</v>
      </c>
      <c r="AE44" s="17">
        <v>0</v>
      </c>
      <c r="AF44" s="17">
        <v>0</v>
      </c>
      <c r="AG44" s="17">
        <f>SUM($AE$44:$AF$44)</f>
        <v>0</v>
      </c>
      <c r="AH44" s="17">
        <f>'TR TUSD'!$AH$44*'TR TUSD'!$AH$60</f>
        <v>20.148487199074868</v>
      </c>
      <c r="AI44" s="17">
        <f>'TR TUSD'!$AI$44*'TR TUSD'!$AI$60</f>
        <v>0</v>
      </c>
      <c r="AJ44" s="17">
        <f ca="1">'TR TUSD'!$AJ$44*'TR TUSD'!$AJ$60</f>
        <v>0.72505862168323876</v>
      </c>
      <c r="AK44" s="17">
        <f ca="1">'TR TUSD'!$AK$44*'TR TUSD'!$AK$60</f>
        <v>0.30089576846341609</v>
      </c>
      <c r="AL44" s="17">
        <f ca="1">SUM($AH$44:$AK$44)</f>
        <v>21.174441589221523</v>
      </c>
      <c r="AM44" s="17">
        <f ca="1">SUMIF($L$4:$AL$4,"SUBTOTAL",$L$44:$AL$44)</f>
        <v>365.15363194092691</v>
      </c>
      <c r="AP44" s="17">
        <f>IF((1 - CUSTOS!$M$30)&lt;&gt;0,1/(1 - CUSTOS!$M$30),1)</f>
        <v>1</v>
      </c>
    </row>
    <row r="45" spans="1:42" ht="11.25" customHeight="1" x14ac:dyDescent="0.25">
      <c r="A45" s="166" t="s">
        <v>36</v>
      </c>
      <c r="B45" s="166" t="s">
        <v>32</v>
      </c>
      <c r="C45" s="166" t="s">
        <v>25</v>
      </c>
      <c r="D45" s="166" t="s">
        <v>25</v>
      </c>
      <c r="E45" s="166" t="s">
        <v>25</v>
      </c>
      <c r="F45" s="166" t="s">
        <v>25</v>
      </c>
      <c r="G45" s="57" t="s">
        <v>79</v>
      </c>
      <c r="H45" s="57" t="s">
        <v>78</v>
      </c>
      <c r="I45" s="57">
        <f>'MERCADO TUSD'!$U$42</f>
        <v>1.1140000000000001</v>
      </c>
      <c r="J45" s="16"/>
      <c r="L45" s="17">
        <f>'TR TUSD'!$L$45*'TR TUSD'!$L$60</f>
        <v>7.075083473207509</v>
      </c>
      <c r="M45" s="17">
        <f>'TR TUSD'!$M$45*'TR TUSD'!$M$60</f>
        <v>0.88690239679001703</v>
      </c>
      <c r="N45" s="17">
        <f ca="1">'TR TUSD'!$N$45*'TR TUSD'!$N$60</f>
        <v>7.2764226447301681</v>
      </c>
      <c r="O45" s="17">
        <f>'TR TUSD'!$O$45*'TR TUSD'!$O$60</f>
        <v>0</v>
      </c>
      <c r="P45" s="17">
        <f>'TR TUSD'!$P$45*'TR TUSD'!$P$60</f>
        <v>0</v>
      </c>
      <c r="Q45" s="17">
        <f>'TR TUSD'!$Q$45*'TR TUSD'!$Q$60</f>
        <v>87.901432598989146</v>
      </c>
      <c r="R45" s="17">
        <f>'TR TUSD'!$R$45*'TR TUSD'!$R$60</f>
        <v>13.895914916158693</v>
      </c>
      <c r="S45" s="17">
        <f>'TR TUSD'!$S$45*'TR TUSD'!$S$60</f>
        <v>0</v>
      </c>
      <c r="T45" s="17">
        <f ca="1">SUM($L$45:$S$45)</f>
        <v>117.03575602987553</v>
      </c>
      <c r="U45" s="17">
        <f>'TR TUSD'!$U$45*'TR TUSD'!$U$60</f>
        <v>110.96352804079618</v>
      </c>
      <c r="V45" s="17">
        <f>'TR TUSD'!$V$45*'TR TUSD'!$V$60</f>
        <v>93.002022982914824</v>
      </c>
      <c r="W45" s="17">
        <f>'TR TUSD'!$W$45*'TR TUSD'!$W$60</f>
        <v>17.144778448612307</v>
      </c>
      <c r="X45" s="17">
        <f>'TR TUSD'!$X$45*'TR TUSD'!$X$60</f>
        <v>0</v>
      </c>
      <c r="Y45" s="17">
        <f>'TR TUSD'!$Y$45*'TR TUSD'!$Y$60</f>
        <v>0</v>
      </c>
      <c r="Z45" s="17">
        <f>'TR TUSD'!$Z$45</f>
        <v>0</v>
      </c>
      <c r="AA45" s="17">
        <f>'TR TUSD'!$AA$45</f>
        <v>0</v>
      </c>
      <c r="AB45" s="17">
        <f>SUM($U$45:$AA$45)</f>
        <v>221.11032947232329</v>
      </c>
      <c r="AC45" s="17">
        <f>'TR TUSD'!$AC$45*'TR TUSD'!$AC$60</f>
        <v>637.1875935511498</v>
      </c>
      <c r="AD45" s="17">
        <f>SUM($AC$45:$AC$45)</f>
        <v>637.1875935511498</v>
      </c>
      <c r="AE45" s="17">
        <v>0</v>
      </c>
      <c r="AF45" s="17">
        <v>0</v>
      </c>
      <c r="AG45" s="17">
        <f>SUM($AE$45:$AF$45)</f>
        <v>0</v>
      </c>
      <c r="AH45" s="17">
        <f>'TR TUSD'!$AH$45*'TR TUSD'!$AH$60</f>
        <v>20.148487199074868</v>
      </c>
      <c r="AI45" s="17">
        <f>'TR TUSD'!$AI$45*'TR TUSD'!$AI$60</f>
        <v>0</v>
      </c>
      <c r="AJ45" s="17">
        <f ca="1">'TR TUSD'!$AJ$45*'TR TUSD'!$AJ$60</f>
        <v>0.72505862168323876</v>
      </c>
      <c r="AK45" s="17">
        <f ca="1">'TR TUSD'!$AK$45*'TR TUSD'!$AK$60</f>
        <v>0.30089576846341609</v>
      </c>
      <c r="AL45" s="17">
        <f ca="1">SUM($AH$45:$AK$45)</f>
        <v>21.174441589221523</v>
      </c>
      <c r="AM45" s="17">
        <f ca="1">SUMIF($L$4:$AL$4,"SUBTOTAL",$L$45:$AL$45)</f>
        <v>996.50812064257013</v>
      </c>
      <c r="AP45" s="17">
        <f>IF((1 - CUSTOS!$M$31)&lt;&gt;0,1/(1 - CUSTOS!$M$31),1)</f>
        <v>1</v>
      </c>
    </row>
    <row r="46" spans="1:42" ht="11.25" customHeight="1" x14ac:dyDescent="0.25">
      <c r="A46" s="166"/>
      <c r="B46" s="166"/>
      <c r="C46" s="166"/>
      <c r="D46" s="166"/>
      <c r="E46" s="166"/>
      <c r="F46" s="166"/>
      <c r="G46" s="57" t="s">
        <v>92</v>
      </c>
      <c r="H46" s="57" t="s">
        <v>78</v>
      </c>
      <c r="I46" s="57">
        <f>'MERCADO TUSD'!$U$43</f>
        <v>0.48499999999999999</v>
      </c>
      <c r="J46" s="16"/>
      <c r="L46" s="17">
        <f>'TR TUSD'!$L$46*'TR TUSD'!$L$60</f>
        <v>7.075083473207509</v>
      </c>
      <c r="M46" s="17">
        <f>'TR TUSD'!$M$46*'TR TUSD'!$M$60</f>
        <v>0.88690239679001703</v>
      </c>
      <c r="N46" s="17">
        <f ca="1">'TR TUSD'!$N$46*'TR TUSD'!$N$60</f>
        <v>1.7631760668902283</v>
      </c>
      <c r="O46" s="17">
        <f>'TR TUSD'!$O$46*'TR TUSD'!$O$60</f>
        <v>0</v>
      </c>
      <c r="P46" s="17">
        <f>'TR TUSD'!$P$46*'TR TUSD'!$P$60</f>
        <v>0</v>
      </c>
      <c r="Q46" s="17">
        <f>'TR TUSD'!$Q$46*'TR TUSD'!$Q$60</f>
        <v>87.901432598989146</v>
      </c>
      <c r="R46" s="17">
        <f>'TR TUSD'!$R$46*'TR TUSD'!$R$60</f>
        <v>13.895914916158693</v>
      </c>
      <c r="S46" s="17">
        <f>'TR TUSD'!$S$46*'TR TUSD'!$S$60</f>
        <v>0</v>
      </c>
      <c r="T46" s="17">
        <f ca="1">SUM($L$46:$S$46)</f>
        <v>111.52250945203559</v>
      </c>
      <c r="U46" s="17">
        <f>'TR TUSD'!$U$46*'TR TUSD'!$U$60</f>
        <v>22.192646815018549</v>
      </c>
      <c r="V46" s="17">
        <f>'TR TUSD'!$V$46*'TR TUSD'!$V$60</f>
        <v>18.600338310029588</v>
      </c>
      <c r="W46" s="17">
        <f>'TR TUSD'!$W$46*'TR TUSD'!$W$60</f>
        <v>3.4289150892240987</v>
      </c>
      <c r="X46" s="17">
        <f>'TR TUSD'!$X$46*'TR TUSD'!$X$60</f>
        <v>0</v>
      </c>
      <c r="Y46" s="17">
        <f>'TR TUSD'!$Y$46*'TR TUSD'!$Y$60</f>
        <v>0</v>
      </c>
      <c r="Z46" s="17">
        <f>'TR TUSD'!$Z$46</f>
        <v>0</v>
      </c>
      <c r="AA46" s="17">
        <f>'TR TUSD'!$AA$46</f>
        <v>0</v>
      </c>
      <c r="AB46" s="17">
        <f>SUM($U$46:$AA$46)</f>
        <v>44.221900214272232</v>
      </c>
      <c r="AC46" s="17">
        <f>'TR TUSD'!$AC$46*'TR TUSD'!$AC$60</f>
        <v>127.43747808416103</v>
      </c>
      <c r="AD46" s="17">
        <f>SUM($AC$46:$AC$46)</f>
        <v>127.43747808416103</v>
      </c>
      <c r="AE46" s="17">
        <v>0</v>
      </c>
      <c r="AF46" s="17">
        <v>0</v>
      </c>
      <c r="AG46" s="17">
        <f>SUM($AE$46:$AF$46)</f>
        <v>0</v>
      </c>
      <c r="AH46" s="17">
        <f>'TR TUSD'!$AH$46*'TR TUSD'!$AH$60</f>
        <v>20.148487199074868</v>
      </c>
      <c r="AI46" s="17">
        <f>'TR TUSD'!$AI$46*'TR TUSD'!$AI$60</f>
        <v>0</v>
      </c>
      <c r="AJ46" s="17">
        <f ca="1">'TR TUSD'!$AJ$46*'TR TUSD'!$AJ$60</f>
        <v>0.72505862168323876</v>
      </c>
      <c r="AK46" s="17">
        <f ca="1">'TR TUSD'!$AK$46*'TR TUSD'!$AK$60</f>
        <v>0.30089576846341609</v>
      </c>
      <c r="AL46" s="17">
        <f ca="1">SUM($AH$46:$AK$46)</f>
        <v>21.174441589221523</v>
      </c>
      <c r="AM46" s="17">
        <f ca="1">SUMIF($L$4:$AL$4,"SUBTOTAL",$L$46:$AL$46)</f>
        <v>304.35632933969038</v>
      </c>
      <c r="AP46" s="17">
        <f>IF((1 - CUSTOS!$M$31)&lt;&gt;0,1/(1 - CUSTOS!$M$31),1)</f>
        <v>1</v>
      </c>
    </row>
    <row r="47" spans="1:42" ht="11.25" customHeight="1" x14ac:dyDescent="0.25">
      <c r="A47" s="166"/>
      <c r="B47" s="166"/>
      <c r="C47" s="166"/>
      <c r="D47" s="166"/>
      <c r="E47" s="166"/>
      <c r="F47" s="166"/>
      <c r="G47" s="57" t="s">
        <v>80</v>
      </c>
      <c r="H47" s="57" t="s">
        <v>78</v>
      </c>
      <c r="I47" s="57">
        <f>'MERCADO TUSD'!$U$44</f>
        <v>6.2670000000000003</v>
      </c>
      <c r="J47" s="16"/>
      <c r="L47" s="17">
        <f>'TR TUSD'!$L$47*'TR TUSD'!$L$60</f>
        <v>7.075083473207509</v>
      </c>
      <c r="M47" s="17">
        <f>'TR TUSD'!$M$47*'TR TUSD'!$M$60</f>
        <v>0.88690239679001703</v>
      </c>
      <c r="N47" s="17">
        <f ca="1">'TR TUSD'!$N$47*'TR TUSD'!$N$60</f>
        <v>1.7631760668902283</v>
      </c>
      <c r="O47" s="17">
        <f>'TR TUSD'!$O$47*'TR TUSD'!$O$60</f>
        <v>0</v>
      </c>
      <c r="P47" s="17">
        <f>'TR TUSD'!$P$47*'TR TUSD'!$P$60</f>
        <v>0</v>
      </c>
      <c r="Q47" s="17">
        <f>'TR TUSD'!$Q$47*'TR TUSD'!$Q$60</f>
        <v>87.901432598989146</v>
      </c>
      <c r="R47" s="17">
        <f>'TR TUSD'!$R$47*'TR TUSD'!$R$60</f>
        <v>13.895914916158693</v>
      </c>
      <c r="S47" s="17">
        <f>'TR TUSD'!$S$47*'TR TUSD'!$S$60</f>
        <v>0</v>
      </c>
      <c r="T47" s="17">
        <f ca="1">SUM($L$47:$S$47)</f>
        <v>111.52250945203559</v>
      </c>
      <c r="U47" s="17">
        <f>'TR TUSD'!$U$47*'TR TUSD'!$U$60</f>
        <v>22.192646815018549</v>
      </c>
      <c r="V47" s="17">
        <f>'TR TUSD'!$V$47*'TR TUSD'!$V$60</f>
        <v>18.600338310029588</v>
      </c>
      <c r="W47" s="17">
        <f>'TR TUSD'!$W$47*'TR TUSD'!$W$60</f>
        <v>3.4289150892240987</v>
      </c>
      <c r="X47" s="17">
        <f>'TR TUSD'!$X$47*'TR TUSD'!$X$60</f>
        <v>0</v>
      </c>
      <c r="Y47" s="17">
        <f>'TR TUSD'!$Y$47*'TR TUSD'!$Y$60</f>
        <v>0</v>
      </c>
      <c r="Z47" s="17">
        <f>'TR TUSD'!$Z$47</f>
        <v>0</v>
      </c>
      <c r="AA47" s="17">
        <f>'TR TUSD'!$AA$47</f>
        <v>0</v>
      </c>
      <c r="AB47" s="17">
        <f>SUM($U$47:$AA$47)</f>
        <v>44.221900214272232</v>
      </c>
      <c r="AC47" s="17">
        <f>'TR TUSD'!$AC$47*'TR TUSD'!$AC$60</f>
        <v>127.43747808416103</v>
      </c>
      <c r="AD47" s="17">
        <f>SUM($AC$47:$AC$47)</f>
        <v>127.43747808416103</v>
      </c>
      <c r="AE47" s="17">
        <v>0</v>
      </c>
      <c r="AF47" s="17">
        <v>0</v>
      </c>
      <c r="AG47" s="17">
        <f>SUM($AE$47:$AF$47)</f>
        <v>0</v>
      </c>
      <c r="AH47" s="17">
        <f>'TR TUSD'!$AH$47*'TR TUSD'!$AH$60</f>
        <v>20.148487199074868</v>
      </c>
      <c r="AI47" s="17">
        <f>'TR TUSD'!$AI$47*'TR TUSD'!$AI$60</f>
        <v>0</v>
      </c>
      <c r="AJ47" s="17">
        <f ca="1">'TR TUSD'!$AJ$47*'TR TUSD'!$AJ$60</f>
        <v>0.72505862168323876</v>
      </c>
      <c r="AK47" s="17">
        <f ca="1">'TR TUSD'!$AK$47*'TR TUSD'!$AK$60</f>
        <v>0.30089576846341609</v>
      </c>
      <c r="AL47" s="17">
        <f ca="1">SUM($AH$47:$AK$47)</f>
        <v>21.174441589221523</v>
      </c>
      <c r="AM47" s="17">
        <f ca="1">SUMIF($L$4:$AL$4,"SUBTOTAL",$L$47:$AL$47)</f>
        <v>304.35632933969038</v>
      </c>
      <c r="AP47" s="17">
        <f>IF((1 - CUSTOS!$M$31)&lt;&gt;0,1/(1 - CUSTOS!$M$31),1)</f>
        <v>1</v>
      </c>
    </row>
    <row r="48" spans="1:42" ht="11.25" customHeight="1" x14ac:dyDescent="0.25">
      <c r="A48" s="166"/>
      <c r="B48" s="58" t="s">
        <v>23</v>
      </c>
      <c r="C48" s="58" t="s">
        <v>25</v>
      </c>
      <c r="D48" s="58" t="s">
        <v>25</v>
      </c>
      <c r="E48" s="58" t="s">
        <v>25</v>
      </c>
      <c r="F48" s="58" t="s">
        <v>25</v>
      </c>
      <c r="G48" s="57" t="s">
        <v>82</v>
      </c>
      <c r="H48" s="57" t="s">
        <v>78</v>
      </c>
      <c r="I48" s="57">
        <f>'MERCADO TUSD'!$U$45</f>
        <v>13646.102000000001</v>
      </c>
      <c r="J48" s="16"/>
      <c r="L48" s="17">
        <f>'TR TUSD'!$L$48*'TR TUSD'!$L$60</f>
        <v>7.075083473207509</v>
      </c>
      <c r="M48" s="17">
        <f>'TR TUSD'!$M$48*'TR TUSD'!$M$60</f>
        <v>0.88690239679001703</v>
      </c>
      <c r="N48" s="17">
        <f ca="1">'TR TUSD'!$N$48*'TR TUSD'!$N$60</f>
        <v>2.2474490941096086</v>
      </c>
      <c r="O48" s="17">
        <f>'TR TUSD'!$O$48*'TR TUSD'!$O$60</f>
        <v>0</v>
      </c>
      <c r="P48" s="17">
        <f>'TR TUSD'!$P$48*'TR TUSD'!$P$60</f>
        <v>0</v>
      </c>
      <c r="Q48" s="17">
        <f>'TR TUSD'!$Q$48*'TR TUSD'!$Q$60</f>
        <v>87.901432598989146</v>
      </c>
      <c r="R48" s="17">
        <f>'TR TUSD'!$R$48*'TR TUSD'!$R$60</f>
        <v>13.895914916158693</v>
      </c>
      <c r="S48" s="17">
        <f>'TR TUSD'!$S$48*'TR TUSD'!$S$60</f>
        <v>0</v>
      </c>
      <c r="T48" s="17">
        <f ca="1">SUM($L$48:$S$48)</f>
        <v>112.00678247925497</v>
      </c>
      <c r="U48" s="17">
        <f>'TR TUSD'!$U$48*'TR TUSD'!$U$60</f>
        <v>29.990087098595613</v>
      </c>
      <c r="V48" s="17">
        <f>'TR TUSD'!$V$48*'TR TUSD'!$V$60</f>
        <v>25.135695323737799</v>
      </c>
      <c r="W48" s="17">
        <f>'TR TUSD'!$W$48*'TR TUSD'!$W$60</f>
        <v>4.6337348781380188</v>
      </c>
      <c r="X48" s="17">
        <f>'TR TUSD'!$X$48*'TR TUSD'!$X$60</f>
        <v>0</v>
      </c>
      <c r="Y48" s="17">
        <f>'TR TUSD'!$Y$48*'TR TUSD'!$Y$60</f>
        <v>0</v>
      </c>
      <c r="Z48" s="17">
        <f>'TR TUSD'!$Z$48</f>
        <v>0</v>
      </c>
      <c r="AA48" s="17">
        <f>'TR TUSD'!$AA$48</f>
        <v>0</v>
      </c>
      <c r="AB48" s="17">
        <f>SUM($U$48:$AA$48)</f>
        <v>59.759517300471437</v>
      </c>
      <c r="AC48" s="17">
        <f>'TR TUSD'!$AC$48*'TR TUSD'!$AC$60</f>
        <v>172.21289057197896</v>
      </c>
      <c r="AD48" s="17">
        <f>SUM($AC$48:$AC$48)</f>
        <v>172.21289057197896</v>
      </c>
      <c r="AE48" s="17">
        <v>0</v>
      </c>
      <c r="AF48" s="17">
        <v>0</v>
      </c>
      <c r="AG48" s="17">
        <f>SUM($AE$48:$AF$48)</f>
        <v>0</v>
      </c>
      <c r="AH48" s="17">
        <f>'TR TUSD'!$AH$48*'TR TUSD'!$AH$60</f>
        <v>20.148487199074868</v>
      </c>
      <c r="AI48" s="17">
        <f>'TR TUSD'!$AI$48*'TR TUSD'!$AI$60</f>
        <v>0</v>
      </c>
      <c r="AJ48" s="17">
        <f ca="1">'TR TUSD'!$AJ$48*'TR TUSD'!$AJ$60</f>
        <v>0.72505862168323876</v>
      </c>
      <c r="AK48" s="17">
        <f ca="1">'TR TUSD'!$AK$48*'TR TUSD'!$AK$60</f>
        <v>0.30089576846341609</v>
      </c>
      <c r="AL48" s="17">
        <f ca="1">SUM($AH$48:$AK$48)</f>
        <v>21.174441589221523</v>
      </c>
      <c r="AM48" s="17">
        <f ca="1">SUMIF($L$4:$AL$4,"SUBTOTAL",$L$48:$AL$48)</f>
        <v>365.15363194092691</v>
      </c>
      <c r="AP48" s="17">
        <f>IF((1 - CUSTOS!$M$31)&lt;&gt;0,1/(1 - CUSTOS!$M$31),1)</f>
        <v>1</v>
      </c>
    </row>
    <row r="49" spans="1:42" ht="11.25" customHeight="1" x14ac:dyDescent="0.25">
      <c r="A49" s="166"/>
      <c r="B49" s="58" t="s">
        <v>94</v>
      </c>
      <c r="C49" s="58" t="s">
        <v>25</v>
      </c>
      <c r="D49" s="58" t="s">
        <v>25</v>
      </c>
      <c r="E49" s="58" t="s">
        <v>25</v>
      </c>
      <c r="F49" s="58" t="s">
        <v>25</v>
      </c>
      <c r="G49" s="57" t="s">
        <v>82</v>
      </c>
      <c r="H49" s="57" t="s">
        <v>78</v>
      </c>
      <c r="I49" s="57">
        <f>'MERCADO TUSD'!$U$46</f>
        <v>0</v>
      </c>
      <c r="J49" s="16"/>
      <c r="L49" s="17">
        <f>'TR TUSD'!$L$49*'TR TUSD'!$L$60</f>
        <v>7.075083473207509</v>
      </c>
      <c r="M49" s="17">
        <f>'TR TUSD'!$M$49*'TR TUSD'!$M$60</f>
        <v>0.88690239679001703</v>
      </c>
      <c r="N49" s="17">
        <f ca="1">'TR TUSD'!$N$49*'TR TUSD'!$N$60</f>
        <v>2.2474490941096086</v>
      </c>
      <c r="O49" s="17">
        <f>'TR TUSD'!$O$49*'TR TUSD'!$O$60</f>
        <v>0</v>
      </c>
      <c r="P49" s="17">
        <f>'TR TUSD'!$P$49*'TR TUSD'!$P$60</f>
        <v>0</v>
      </c>
      <c r="Q49" s="17">
        <f>'TR TUSD'!$Q$49*'TR TUSD'!$Q$60</f>
        <v>87.901432598989146</v>
      </c>
      <c r="R49" s="17">
        <f>'TR TUSD'!$R$49*'TR TUSD'!$R$60</f>
        <v>13.895914916158693</v>
      </c>
      <c r="S49" s="17">
        <f>'TR TUSD'!$S$49*'TR TUSD'!$S$60</f>
        <v>0</v>
      </c>
      <c r="T49" s="17">
        <f ca="1">SUM($L$49:$S$49)</f>
        <v>112.00678247925497</v>
      </c>
      <c r="U49" s="17">
        <f>'TR TUSD'!$U$49*'TR TUSD'!$U$60</f>
        <v>29.990087098595613</v>
      </c>
      <c r="V49" s="17">
        <f>'TR TUSD'!$V$49*'TR TUSD'!$V$60</f>
        <v>25.135695323737799</v>
      </c>
      <c r="W49" s="17">
        <f>'TR TUSD'!$W$49*'TR TUSD'!$W$60</f>
        <v>4.6337348781380188</v>
      </c>
      <c r="X49" s="17">
        <f>'TR TUSD'!$X$49*'TR TUSD'!$X$60</f>
        <v>0</v>
      </c>
      <c r="Y49" s="17">
        <f>'TR TUSD'!$Y$49*'TR TUSD'!$Y$60</f>
        <v>0</v>
      </c>
      <c r="Z49" s="17">
        <f>'TR TUSD'!$Z$49</f>
        <v>0</v>
      </c>
      <c r="AA49" s="17">
        <f>'TR TUSD'!$AA$49</f>
        <v>0</v>
      </c>
      <c r="AB49" s="17">
        <f>SUM($U$49:$AA$49)</f>
        <v>59.759517300471437</v>
      </c>
      <c r="AC49" s="17">
        <f>'TR TUSD'!$AC$49*'TR TUSD'!$AC$60</f>
        <v>172.21289057197896</v>
      </c>
      <c r="AD49" s="17">
        <f>SUM($AC$49:$AC$49)</f>
        <v>172.21289057197896</v>
      </c>
      <c r="AE49" s="17">
        <v>0</v>
      </c>
      <c r="AF49" s="17">
        <v>0</v>
      </c>
      <c r="AG49" s="17">
        <f>SUM($AE$49:$AF$49)</f>
        <v>0</v>
      </c>
      <c r="AH49" s="17">
        <f>'TR TUSD'!$AH$49*'TR TUSD'!$AH$60</f>
        <v>20.148487199074868</v>
      </c>
      <c r="AI49" s="17">
        <f>'TR TUSD'!$AI$49*'TR TUSD'!$AI$60</f>
        <v>0</v>
      </c>
      <c r="AJ49" s="17">
        <f ca="1">'TR TUSD'!$AJ$49*'TR TUSD'!$AJ$60</f>
        <v>0.72505862168323876</v>
      </c>
      <c r="AK49" s="17">
        <f ca="1">'TR TUSD'!$AK$49*'TR TUSD'!$AK$60</f>
        <v>0.30089576846341609</v>
      </c>
      <c r="AL49" s="17">
        <f ca="1">SUM($AH$49:$AK$49)</f>
        <v>21.174441589221523</v>
      </c>
      <c r="AM49" s="17">
        <f ca="1">SUMIF($L$4:$AL$4,"SUBTOTAL",$L$49:$AL$49)</f>
        <v>365.15363194092691</v>
      </c>
      <c r="AP49" s="17">
        <f>IF((1 - CUSTOS!$M$31)&lt;&gt;0,1/(1 - CUSTOS!$M$31),1)</f>
        <v>1</v>
      </c>
    </row>
    <row r="50" spans="1:42" ht="11.25" customHeight="1" x14ac:dyDescent="0.25">
      <c r="A50" s="166" t="s">
        <v>45</v>
      </c>
      <c r="B50" s="166" t="s">
        <v>23</v>
      </c>
      <c r="C50" s="166" t="s">
        <v>46</v>
      </c>
      <c r="D50" s="58" t="s">
        <v>47</v>
      </c>
      <c r="E50" s="58" t="s">
        <v>25</v>
      </c>
      <c r="F50" s="58" t="s">
        <v>25</v>
      </c>
      <c r="G50" s="57" t="s">
        <v>82</v>
      </c>
      <c r="H50" s="57" t="s">
        <v>78</v>
      </c>
      <c r="I50" s="57">
        <f>'MERCADO TUSD'!$U$47</f>
        <v>4914.0960000000005</v>
      </c>
      <c r="J50" s="16"/>
      <c r="L50" s="17">
        <f>'TR TUSD'!$L$50*'TR TUSD'!$L$60</f>
        <v>3.8912959102641302</v>
      </c>
      <c r="M50" s="17">
        <f>'TR TUSD'!$M$50*'TR TUSD'!$M$60</f>
        <v>0.48779631823450942</v>
      </c>
      <c r="N50" s="17">
        <f ca="1">'TR TUSD'!$N$50*'TR TUSD'!$N$60</f>
        <v>1.2360970017602848</v>
      </c>
      <c r="O50" s="17">
        <f>'TR TUSD'!$O$50*'TR TUSD'!$O$60</f>
        <v>0</v>
      </c>
      <c r="P50" s="17">
        <f>'TR TUSD'!$P$50*'TR TUSD'!$P$60</f>
        <v>0</v>
      </c>
      <c r="Q50" s="17">
        <f>'TR TUSD'!$Q$50*'TR TUSD'!$Q$60</f>
        <v>48.345787929444036</v>
      </c>
      <c r="R50" s="17">
        <f>'TR TUSD'!$R$50*'TR TUSD'!$R$60</f>
        <v>7.6427532038872821</v>
      </c>
      <c r="S50" s="17">
        <f>'TR TUSD'!$S$50*'TR TUSD'!$S$60</f>
        <v>0</v>
      </c>
      <c r="T50" s="17">
        <f ca="1">SUM($L$50:$S$50)</f>
        <v>61.603730363590245</v>
      </c>
      <c r="U50" s="17">
        <f>'TR TUSD'!$U$50*'TR TUSD'!$U$60</f>
        <v>16.494547904227588</v>
      </c>
      <c r="V50" s="17">
        <f>'TR TUSD'!$V$50*'TR TUSD'!$V$60</f>
        <v>13.824632428055789</v>
      </c>
      <c r="W50" s="17">
        <f>'TR TUSD'!$W$50*'TR TUSD'!$W$60</f>
        <v>2.5485541829759102</v>
      </c>
      <c r="X50" s="17">
        <f>'TR TUSD'!$X$50*'TR TUSD'!$X$60</f>
        <v>0</v>
      </c>
      <c r="Y50" s="17">
        <f>'TR TUSD'!$Y$50*'TR TUSD'!$Y$60</f>
        <v>0</v>
      </c>
      <c r="Z50" s="17">
        <f>'TR TUSD'!$Z$50</f>
        <v>0</v>
      </c>
      <c r="AA50" s="17">
        <f>'TR TUSD'!$AA$50</f>
        <v>0</v>
      </c>
      <c r="AB50" s="17">
        <f>SUM($U$50:$AA$50)</f>
        <v>32.867734515259286</v>
      </c>
      <c r="AC50" s="17">
        <f>'TR TUSD'!$AC$50*'TR TUSD'!$AC$60</f>
        <v>94.717089814588434</v>
      </c>
      <c r="AD50" s="17">
        <f>SUM($AC$50:$AC$50)</f>
        <v>94.717089814588434</v>
      </c>
      <c r="AE50" s="17">
        <v>0</v>
      </c>
      <c r="AF50" s="17">
        <v>0</v>
      </c>
      <c r="AG50" s="17">
        <f>SUM($AE$50:$AF$50)</f>
        <v>0</v>
      </c>
      <c r="AH50" s="17">
        <f>'TR TUSD'!$AH$50*'TR TUSD'!$AH$60</f>
        <v>11.081667959491178</v>
      </c>
      <c r="AI50" s="17">
        <f>'TR TUSD'!$AI$50*'TR TUSD'!$AI$60</f>
        <v>0</v>
      </c>
      <c r="AJ50" s="17">
        <f ca="1">'TR TUSD'!$AJ$50*'TR TUSD'!$AJ$60</f>
        <v>0.39878224192578138</v>
      </c>
      <c r="AK50" s="17">
        <f ca="1">'TR TUSD'!$AK$50*'TR TUSD'!$AK$60</f>
        <v>0.16549267265487885</v>
      </c>
      <c r="AL50" s="17">
        <f ca="1">SUM($AH$50:$AK$50)</f>
        <v>11.645942874071837</v>
      </c>
      <c r="AM50" s="17">
        <f ca="1">SUMIF($L$4:$AL$4,"SUBTOTAL",$L$50:$AL$50)</f>
        <v>200.8344975675098</v>
      </c>
      <c r="AP50" s="17">
        <f>IF((1 - CUSTOS!$M$32)&lt;&gt;0,1/(1 - CUSTOS!$M$32),1)</f>
        <v>1.8181818181818181</v>
      </c>
    </row>
    <row r="51" spans="1:42" ht="11.25" customHeight="1" x14ac:dyDescent="0.25">
      <c r="A51" s="166"/>
      <c r="B51" s="166"/>
      <c r="C51" s="166"/>
      <c r="D51" s="57" t="s">
        <v>97</v>
      </c>
      <c r="E51" s="57" t="s">
        <v>25</v>
      </c>
      <c r="F51" s="57" t="s">
        <v>25</v>
      </c>
      <c r="G51" s="57" t="s">
        <v>82</v>
      </c>
      <c r="H51" s="57" t="s">
        <v>78</v>
      </c>
      <c r="I51" s="57">
        <f>'MERCADO TUSD'!$U$48</f>
        <v>0</v>
      </c>
      <c r="J51" s="16"/>
      <c r="L51" s="17">
        <f>'TR TUSD'!$L$51*'TR TUSD'!$L$60</f>
        <v>4.2450500839245056</v>
      </c>
      <c r="M51" s="17">
        <f>'TR TUSD'!$M$51*'TR TUSD'!$M$60</f>
        <v>0.53214143807401015</v>
      </c>
      <c r="N51" s="17">
        <f ca="1">'TR TUSD'!$N$51*'TR TUSD'!$N$60</f>
        <v>1.3484694564657649</v>
      </c>
      <c r="O51" s="17">
        <f>'TR TUSD'!$O$51*'TR TUSD'!$O$60</f>
        <v>0</v>
      </c>
      <c r="P51" s="17">
        <f>'TR TUSD'!$P$51*'TR TUSD'!$P$60</f>
        <v>0</v>
      </c>
      <c r="Q51" s="17">
        <f>'TR TUSD'!$Q$51*'TR TUSD'!$Q$60</f>
        <v>52.740859559393485</v>
      </c>
      <c r="R51" s="17">
        <f>'TR TUSD'!$R$51*'TR TUSD'!$R$60</f>
        <v>8.3375489496952149</v>
      </c>
      <c r="S51" s="17">
        <f>'TR TUSD'!$S$51*'TR TUSD'!$S$60</f>
        <v>0</v>
      </c>
      <c r="T51" s="17">
        <f ca="1">SUM($L$51:$S$51)</f>
        <v>67.204069487552985</v>
      </c>
      <c r="U51" s="17">
        <f>'TR TUSD'!$U$51*'TR TUSD'!$U$60</f>
        <v>17.994052259157368</v>
      </c>
      <c r="V51" s="17">
        <f>'TR TUSD'!$V$51*'TR TUSD'!$V$60</f>
        <v>15.081417194242681</v>
      </c>
      <c r="W51" s="17">
        <f>'TR TUSD'!$W$51*'TR TUSD'!$W$60</f>
        <v>2.780240926882811</v>
      </c>
      <c r="X51" s="17">
        <f>'TR TUSD'!$X$51*'TR TUSD'!$X$60</f>
        <v>0</v>
      </c>
      <c r="Y51" s="17">
        <f>'TR TUSD'!$Y$51*'TR TUSD'!$Y$60</f>
        <v>0</v>
      </c>
      <c r="Z51" s="17">
        <f>'TR TUSD'!$Z$51</f>
        <v>0</v>
      </c>
      <c r="AA51" s="17">
        <f>'TR TUSD'!$AA$51</f>
        <v>0</v>
      </c>
      <c r="AB51" s="17">
        <f>SUM($U$51:$AA$51)</f>
        <v>35.855710380282858</v>
      </c>
      <c r="AC51" s="17">
        <f>'TR TUSD'!$AC$51*'TR TUSD'!$AC$60</f>
        <v>103.32773434318737</v>
      </c>
      <c r="AD51" s="17">
        <f>SUM($AC$51:$AC$51)</f>
        <v>103.32773434318737</v>
      </c>
      <c r="AE51" s="17">
        <v>0</v>
      </c>
      <c r="AF51" s="17">
        <v>0</v>
      </c>
      <c r="AG51" s="17">
        <f>SUM($AE$51:$AF$51)</f>
        <v>0</v>
      </c>
      <c r="AH51" s="17">
        <f>'TR TUSD'!$AH$51*'TR TUSD'!$AH$60</f>
        <v>12.089092319444921</v>
      </c>
      <c r="AI51" s="17">
        <f>'TR TUSD'!$AI$51*'TR TUSD'!$AI$60</f>
        <v>0</v>
      </c>
      <c r="AJ51" s="17">
        <f ca="1">'TR TUSD'!$AJ$51*'TR TUSD'!$AJ$60</f>
        <v>0.43503517300994327</v>
      </c>
      <c r="AK51" s="17">
        <f ca="1">'TR TUSD'!$AK$51*'TR TUSD'!$AK$60</f>
        <v>0.18053746107804963</v>
      </c>
      <c r="AL51" s="17">
        <f ca="1">SUM($AH$51:$AK$51)</f>
        <v>12.704664953532914</v>
      </c>
      <c r="AM51" s="17">
        <f ca="1">SUMIF($L$4:$AL$4,"SUBTOTAL",$L$51:$AL$51)</f>
        <v>219.09217916455614</v>
      </c>
      <c r="AP51" s="17">
        <f>IF((1 - CUSTOS!$M$33)&lt;&gt;0,1/(1 - CUSTOS!$M$33),1)</f>
        <v>1.6666666666666667</v>
      </c>
    </row>
    <row r="53" spans="1:42" ht="11.25" customHeight="1" x14ac:dyDescent="0.25">
      <c r="K53" s="59" t="s">
        <v>582</v>
      </c>
      <c r="L53" s="17">
        <f>SUMPRODUCT($I$5:$I51,$L$5:$L51)</f>
        <v>801843.46340475301</v>
      </c>
      <c r="M53" s="17">
        <f>SUMPRODUCT($I$5:$I51,$M$5:$M51)</f>
        <v>78461.746657470198</v>
      </c>
      <c r="N53" s="17">
        <f ca="1">SUMPRODUCT($I$5:$I51,$N$5:$N51)</f>
        <v>168067.03071432334</v>
      </c>
      <c r="O53" s="17">
        <f>SUMPRODUCT($I$5:$I51,$O$5:$O51)</f>
        <v>0</v>
      </c>
      <c r="P53" s="17">
        <f>SUMPRODUCT($I$5:$I51,$P$5:$P51)</f>
        <v>0</v>
      </c>
      <c r="Q53" s="17">
        <f>SUMPRODUCT($I$5:$I51,$Q$5:$Q51)</f>
        <v>9962170.6825543866</v>
      </c>
      <c r="R53" s="17">
        <f>SUMPRODUCT($I$5:$I51,$R$5:$R51)</f>
        <v>1726269.2331153487</v>
      </c>
      <c r="S53" s="17">
        <f>SUMPRODUCT($I$5:$I51,$S$5:$S51)</f>
        <v>0</v>
      </c>
      <c r="T53" s="17">
        <f ca="1">SUMPRODUCT($I$5:$I51,$T$5:$T51)</f>
        <v>12736812.156446287</v>
      </c>
      <c r="U53" s="17">
        <f>SUMPRODUCT($I$5:$I51,$U$5:$U51)</f>
        <v>4439052.0000000009</v>
      </c>
      <c r="V53" s="17">
        <f>SUMPRODUCT($I$5:$I51,$V$5:$V51)</f>
        <v>3663381.0000000009</v>
      </c>
      <c r="W53" s="17">
        <f>SUMPRODUCT($I$5:$I51,$W$5:$W51)</f>
        <v>682539.06547214324</v>
      </c>
      <c r="X53" s="17">
        <f>SUMPRODUCT($I$5:$I51,$X$5:$X51)</f>
        <v>0</v>
      </c>
      <c r="Y53" s="17">
        <f>SUMPRODUCT($I$5:$I51,$Y$5:$Y51)</f>
        <v>0</v>
      </c>
      <c r="Z53" s="17">
        <f>SUMPRODUCT($I$5:$I51,$Z$5:$Z51)</f>
        <v>0</v>
      </c>
      <c r="AA53" s="17">
        <f>SUMPRODUCT($I$5:$I51,$AA$5:$AA51)</f>
        <v>0</v>
      </c>
      <c r="AB53" s="17">
        <f>SUMPRODUCT($I$5:$I51,$AB$5:$AB51)</f>
        <v>8784972.0654721446</v>
      </c>
      <c r="AC53" s="17">
        <f>SUMPRODUCT($I$5:$I51,$AC$5:$AC51)</f>
        <v>15266236.414843004</v>
      </c>
      <c r="AD53" s="17">
        <f>SUMPRODUCT($I$5:$I51,$AD$5:$AD51)</f>
        <v>15266236.414843004</v>
      </c>
      <c r="AE53" s="17">
        <f>SUMPRODUCT($I$5:$I51,$AE$5:$AE51)</f>
        <v>0</v>
      </c>
      <c r="AF53" s="17">
        <f>SUMPRODUCT($I$5:$I51,$AF$5:$AF51)</f>
        <v>0</v>
      </c>
      <c r="AG53" s="17">
        <f>SUMPRODUCT($I$5:$I51,$AG$5:$AG51)</f>
        <v>0</v>
      </c>
      <c r="AH53" s="17">
        <f>SUMPRODUCT($I$5:$I51,$AH$5:$AH51)</f>
        <v>1547903.6532732842</v>
      </c>
      <c r="AI53" s="17">
        <f>SUMPRODUCT($I$5:$I51,$AI$5:$AI51)</f>
        <v>0</v>
      </c>
      <c r="AJ53" s="17">
        <f ca="1">SUMPRODUCT($I$5:$I51,$AJ$5:$AJ51)</f>
        <v>77962.387379271895</v>
      </c>
      <c r="AK53" s="17">
        <f ca="1">SUMPRODUCT($I$5:$I51,$AK$5:$AK51)</f>
        <v>32354.008021129408</v>
      </c>
      <c r="AL53" s="17">
        <f ca="1">SUMPRODUCT($I$5:$I51,$AL$5:$AL51)</f>
        <v>1658220.0486736856</v>
      </c>
      <c r="AM53" s="17">
        <f ca="1">SUMPRODUCT($I$5:$I51,$AM$5:$AM51)</f>
        <v>38446240.685435116</v>
      </c>
    </row>
    <row r="54" spans="1:42" ht="11.25" customHeight="1" x14ac:dyDescent="0.25">
      <c r="K54" s="59" t="s">
        <v>525</v>
      </c>
      <c r="L54" s="17">
        <f>'TR TUSD'!$L$56</f>
        <v>801843.46340475301</v>
      </c>
      <c r="M54" s="17">
        <f>'TR TUSD'!$M$56</f>
        <v>78461.746657470198</v>
      </c>
      <c r="N54" s="17">
        <f>'TR TUSD'!$N$56</f>
        <v>168067.03071432331</v>
      </c>
      <c r="O54" s="17">
        <f>'TR TUSD'!$O$56</f>
        <v>0</v>
      </c>
      <c r="P54" s="17">
        <f>'TR TUSD'!$P$56</f>
        <v>0</v>
      </c>
      <c r="Q54" s="17">
        <f>'TR TUSD'!$Q$56</f>
        <v>9962170.6825543884</v>
      </c>
      <c r="R54" s="17">
        <f>'TR TUSD'!$R$56</f>
        <v>1726269.2331153487</v>
      </c>
      <c r="S54" s="17">
        <f>'TR TUSD'!$S$56</f>
        <v>0</v>
      </c>
      <c r="T54" s="17">
        <f>'TR TUSD'!$T$56</f>
        <v>12736812.156446284</v>
      </c>
      <c r="U54" s="17">
        <f>'TR TUSD'!$U$56</f>
        <v>4439052</v>
      </c>
      <c r="V54" s="17">
        <f>'TR TUSD'!$V$56</f>
        <v>3663381</v>
      </c>
      <c r="W54" s="17">
        <f>'TR TUSD'!$W$56</f>
        <v>682539.065472143</v>
      </c>
      <c r="X54" s="17">
        <f>'TR TUSD'!$X$56</f>
        <v>0</v>
      </c>
      <c r="Y54" s="17">
        <f>'TR TUSD'!$Y$56</f>
        <v>0</v>
      </c>
      <c r="Z54" s="17">
        <f>'TR TUSD'!$Z$56</f>
        <v>0</v>
      </c>
      <c r="AA54" s="17">
        <f>'TR TUSD'!$AA$56</f>
        <v>0</v>
      </c>
      <c r="AB54" s="17">
        <f>'TR TUSD'!$AB$56</f>
        <v>8784972.0654721428</v>
      </c>
      <c r="AC54" s="17">
        <f>'TR TUSD'!$AC$56</f>
        <v>15266236.414843004</v>
      </c>
      <c r="AD54" s="17">
        <f>'TR TUSD'!$AD$56</f>
        <v>15266236.414843004</v>
      </c>
      <c r="AE54" s="17">
        <f>'TR TUSD'!$AE$56</f>
        <v>0</v>
      </c>
      <c r="AF54" s="17">
        <f>'TR TUSD'!$AF$56</f>
        <v>0</v>
      </c>
      <c r="AG54" s="17">
        <f>'TR TUSD'!$AG$56</f>
        <v>0</v>
      </c>
      <c r="AH54" s="17">
        <f>'TR TUSD'!$AH$56</f>
        <v>1547903.6532732847</v>
      </c>
      <c r="AI54" s="17">
        <f>'TR TUSD'!$AI$56</f>
        <v>0</v>
      </c>
      <c r="AJ54" s="17">
        <f>'TR TUSD'!$AJ$56</f>
        <v>77962.38737927188</v>
      </c>
      <c r="AK54" s="17">
        <f>'TR TUSD'!$AK$56</f>
        <v>32354.008021129412</v>
      </c>
      <c r="AL54" s="17">
        <f>'TR TUSD'!$AL$56</f>
        <v>1658220.0486736861</v>
      </c>
      <c r="AM54" s="17">
        <f>CUSTOS!$D$29</f>
        <v>38446240.685435116</v>
      </c>
    </row>
    <row r="55" spans="1:42" ht="11.25" customHeight="1" x14ac:dyDescent="0.25">
      <c r="K55" s="59" t="s">
        <v>526</v>
      </c>
      <c r="L55" s="17">
        <f>CUSTOS!$E$2</f>
        <v>-69547.320604305176</v>
      </c>
      <c r="M55" s="17">
        <f>CUSTOS!$E$3</f>
        <v>-3827.8660232869229</v>
      </c>
      <c r="N55" s="17">
        <f>CUSTOS!$E$4</f>
        <v>-6.8718722642662463E-3</v>
      </c>
      <c r="O55" s="17">
        <f>CUSTOS!$E$5</f>
        <v>0</v>
      </c>
      <c r="P55" s="17">
        <f>CUSTOS!$E$6</f>
        <v>0</v>
      </c>
      <c r="Q55" s="17">
        <f>CUSTOS!$E$7</f>
        <v>-375384.78610073053</v>
      </c>
      <c r="R55" s="17">
        <f>CUSTOS!$E$8</f>
        <v>-65727.578377463738</v>
      </c>
      <c r="S55" s="17">
        <f>CUSTOS!$E$9</f>
        <v>0</v>
      </c>
      <c r="T55" s="17">
        <f>CUSTOS!$E$10</f>
        <v>-514487.55797765864</v>
      </c>
      <c r="U55" s="17">
        <f>CUSTOS!$E$11</f>
        <v>-139159.46940852149</v>
      </c>
      <c r="V55" s="17">
        <f>CUSTOS!$E$12</f>
        <v>-95115.907805428113</v>
      </c>
      <c r="W55" s="17">
        <f>CUSTOS!$E$13</f>
        <v>-9712.1759204647551</v>
      </c>
      <c r="X55" s="17">
        <f>CUSTOS!$E$14</f>
        <v>0</v>
      </c>
      <c r="Y55" s="17">
        <f>CUSTOS!$E$15</f>
        <v>0</v>
      </c>
      <c r="Z55" s="17">
        <f>CUSTOS!$E$16</f>
        <v>0</v>
      </c>
      <c r="AA55" s="17">
        <f>CUSTOS!$E$17</f>
        <v>0</v>
      </c>
      <c r="AB55" s="17">
        <f>CUSTOS!$E$18</f>
        <v>-243987.55313441437</v>
      </c>
      <c r="AC55" s="17">
        <f>CUSTOS!$E$19</f>
        <v>-283442.02355059516</v>
      </c>
      <c r="AD55" s="17">
        <f>CUSTOS!$E$20</f>
        <v>-283442.02355059516</v>
      </c>
      <c r="AE55" s="17">
        <f>CUSTOS!$E$21</f>
        <v>-6880851.7402948737</v>
      </c>
      <c r="AF55" s="17">
        <f>CUSTOS!$E$22</f>
        <v>0</v>
      </c>
      <c r="AG55" s="17">
        <f>CUSTOS!$E$23</f>
        <v>-6880851.7402948737</v>
      </c>
      <c r="AH55" s="17">
        <f>CUSTOS!$E$24</f>
        <v>5681.6485744174561</v>
      </c>
      <c r="AI55" s="17">
        <f>CUSTOS!$E$25</f>
        <v>0</v>
      </c>
      <c r="AJ55" s="17">
        <f>CUSTOS!$E$26</f>
        <v>286.16437862584286</v>
      </c>
      <c r="AK55" s="17">
        <f>CUSTOS!$E$27</f>
        <v>15165.650568105193</v>
      </c>
      <c r="AL55" s="17">
        <f>CUSTOS!$E$28</f>
        <v>21133.463521148493</v>
      </c>
      <c r="AM55" s="17">
        <f>CUSTOS!$E$29</f>
        <v>-7901635.4114363939</v>
      </c>
    </row>
    <row r="56" spans="1:42" ht="11.25" customHeight="1" x14ac:dyDescent="0.25">
      <c r="K56" s="59" t="s">
        <v>527</v>
      </c>
      <c r="L56" s="17">
        <f>CUSTOS!$F$2</f>
        <v>52600.790343551183</v>
      </c>
      <c r="M56" s="17">
        <f>CUSTOS!$F$3</f>
        <v>0</v>
      </c>
      <c r="N56" s="17">
        <f>CUSTOS!$F$4</f>
        <v>0</v>
      </c>
      <c r="O56" s="17">
        <f>CUSTOS!$F$5</f>
        <v>0</v>
      </c>
      <c r="P56" s="17">
        <f>CUSTOS!$F$6</f>
        <v>0</v>
      </c>
      <c r="Q56" s="17">
        <f>CUSTOS!$F$7</f>
        <v>1737250.662</v>
      </c>
      <c r="R56" s="17">
        <f>CUSTOS!$F$8</f>
        <v>418561.50550000003</v>
      </c>
      <c r="S56" s="17">
        <f>CUSTOS!$F$9</f>
        <v>0</v>
      </c>
      <c r="T56" s="17">
        <f>CUSTOS!$F$10</f>
        <v>2208412.9578435514</v>
      </c>
      <c r="U56" s="17">
        <f>CUSTOS!$F$11</f>
        <v>257590.31433967402</v>
      </c>
      <c r="V56" s="17">
        <f>CUSTOS!$F$12</f>
        <v>212579.50196032607</v>
      </c>
      <c r="W56" s="17">
        <f>CUSTOS!$F$13</f>
        <v>0</v>
      </c>
      <c r="X56" s="17">
        <f>CUSTOS!$F$14</f>
        <v>0</v>
      </c>
      <c r="Y56" s="17">
        <f>CUSTOS!$F$15</f>
        <v>0</v>
      </c>
      <c r="Z56" s="17">
        <f>CUSTOS!$F$16</f>
        <v>0</v>
      </c>
      <c r="AA56" s="17">
        <f>CUSTOS!$F$17</f>
        <v>0</v>
      </c>
      <c r="AB56" s="17">
        <f>CUSTOS!$F$18</f>
        <v>470169.81630000006</v>
      </c>
      <c r="AC56" s="17">
        <f>CUSTOS!$F$19</f>
        <v>0</v>
      </c>
      <c r="AD56" s="17">
        <f>CUSTOS!$F$20</f>
        <v>0</v>
      </c>
      <c r="AE56" s="17">
        <f>CUSTOS!$F$21</f>
        <v>0</v>
      </c>
      <c r="AF56" s="17">
        <f>CUSTOS!$F$22</f>
        <v>0</v>
      </c>
      <c r="AG56" s="17">
        <f>CUSTOS!$F$23</f>
        <v>0</v>
      </c>
      <c r="AH56" s="17">
        <f>CUSTOS!$F$24</f>
        <v>65906.28863332489</v>
      </c>
      <c r="AI56" s="17">
        <f>CUSTOS!$F$25</f>
        <v>0</v>
      </c>
      <c r="AJ56" s="17">
        <f>CUSTOS!$F$26</f>
        <v>3319.4647446537288</v>
      </c>
      <c r="AK56" s="17">
        <f>CUSTOS!$F$27</f>
        <v>0</v>
      </c>
      <c r="AL56" s="17">
        <f>CUSTOS!$F$28</f>
        <v>69225.753377978617</v>
      </c>
      <c r="AM56" s="17">
        <f>CUSTOS!$F$29</f>
        <v>2747808.5275215302</v>
      </c>
    </row>
    <row r="57" spans="1:42" ht="11.25" customHeight="1" x14ac:dyDescent="0.25">
      <c r="K57" s="59" t="s">
        <v>579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f>SUM($L$57:$S$57)</f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f>SUM($U$57:$AA$57)</f>
        <v>0</v>
      </c>
      <c r="AC57" s="17">
        <v>0</v>
      </c>
      <c r="AD57" s="17">
        <f>SUM($AC$57:$AC$57)</f>
        <v>0</v>
      </c>
      <c r="AE57" s="17">
        <v>0</v>
      </c>
      <c r="AF57" s="17">
        <v>0</v>
      </c>
      <c r="AG57" s="17">
        <f>SUM($AE$57:$AF$57)</f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f>SUM($AH$57:$AK$57)</f>
        <v>0</v>
      </c>
      <c r="AM57" s="17">
        <f>SUMIF($L$4:$AL$4,"SUBTOTAL",$L$57:$AL$57)</f>
        <v>0</v>
      </c>
    </row>
    <row r="58" spans="1:42" ht="11.25" customHeight="1" x14ac:dyDescent="0.25">
      <c r="K58" s="59" t="s">
        <v>583</v>
      </c>
      <c r="L58" s="17">
        <f t="shared" ref="L58:R58" si="0">IF((L53-(0))&lt;&gt;0,(L55)/(L53-(0)),0)</f>
        <v>-8.6734286401732766E-2</v>
      </c>
      <c r="M58" s="17">
        <f t="shared" si="0"/>
        <v>-4.8786398294161336E-2</v>
      </c>
      <c r="N58" s="17">
        <f t="shared" ca="1" si="0"/>
        <v>-4.0887687698528475E-8</v>
      </c>
      <c r="O58" s="17">
        <f t="shared" si="0"/>
        <v>0</v>
      </c>
      <c r="P58" s="17">
        <f t="shared" si="0"/>
        <v>0</v>
      </c>
      <c r="Q58" s="17">
        <f t="shared" si="0"/>
        <v>-3.7681023349469316E-2</v>
      </c>
      <c r="R58" s="17">
        <f t="shared" si="0"/>
        <v>-3.8074928937270727E-2</v>
      </c>
      <c r="S58" s="17">
        <f>IF((R53-(0)&lt;&gt;0),(S55)/(R53-(0)),0)</f>
        <v>0</v>
      </c>
      <c r="T58" s="17"/>
      <c r="U58" s="17">
        <f t="shared" ref="U58:AA58" si="1">IF((U53-(0))&lt;&gt;0,(U55)/(U53-(0)),0)</f>
        <v>-3.1348916257011958E-2</v>
      </c>
      <c r="V58" s="17">
        <f t="shared" si="1"/>
        <v>-2.5963968204625206E-2</v>
      </c>
      <c r="W58" s="17">
        <f t="shared" si="1"/>
        <v>-1.4229479910789286E-2</v>
      </c>
      <c r="X58" s="17">
        <f t="shared" si="1"/>
        <v>0</v>
      </c>
      <c r="Y58" s="17">
        <f t="shared" si="1"/>
        <v>0</v>
      </c>
      <c r="Z58" s="17">
        <f t="shared" si="1"/>
        <v>0</v>
      </c>
      <c r="AA58" s="17">
        <f t="shared" si="1"/>
        <v>0</v>
      </c>
      <c r="AB58" s="17"/>
      <c r="AC58" s="17">
        <f>IF((AC53-(0))&lt;&gt;0,(AC55)/(AC53-(0)),0)</f>
        <v>-1.8566594663437224E-2</v>
      </c>
      <c r="AD58" s="17"/>
      <c r="AE58" s="17">
        <f ca="1">IF(($AM53-(0))&lt;&gt;0,(AE55)/($AM53-(0)),0)</f>
        <v>-0.1789733304900627</v>
      </c>
      <c r="AF58" s="17">
        <f ca="1">IF(($AM53-(0))&lt;&gt;0,(AF55)/($AM53-(0)),0)</f>
        <v>0</v>
      </c>
      <c r="AG58" s="17"/>
      <c r="AH58" s="17">
        <f>IF((AH53-(0))&lt;&gt;0,(AH55)/(AH53-(0)),0)</f>
        <v>3.6705440693306215E-3</v>
      </c>
      <c r="AI58" s="17">
        <f>IF((AI53-(0))&lt;&gt;0,(AI55)/(AI53-(0)),0)</f>
        <v>0</v>
      </c>
      <c r="AJ58" s="17">
        <f ca="1">IF((AJ53-(0))&lt;&gt;0,(AJ55)/(AJ53-(0)),0)</f>
        <v>3.6705440693306202E-3</v>
      </c>
      <c r="AK58" s="17">
        <f ca="1">IF((AK53-(0))&lt;&gt;0,(AK55)/(AK53-(0)),0)</f>
        <v>0.4687410152770245</v>
      </c>
      <c r="AL58" s="17"/>
      <c r="AM58" s="17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1154" priority="56" operator="notEqual">
      <formula>$L$54-$L$57</formula>
    </cfRule>
    <cfRule type="cellIs" dxfId="1153" priority="57" operator="equal">
      <formula>$L$54-$L$57</formula>
    </cfRule>
  </conditionalFormatting>
  <conditionalFormatting sqref="M53">
    <cfRule type="cellIs" dxfId="1152" priority="54" operator="notEqual">
      <formula>$M$54-$M$57</formula>
    </cfRule>
    <cfRule type="cellIs" dxfId="1151" priority="55" operator="equal">
      <formula>$M$54-$M$57</formula>
    </cfRule>
  </conditionalFormatting>
  <conditionalFormatting sqref="N53">
    <cfRule type="cellIs" dxfId="1150" priority="52" operator="notEqual">
      <formula>$N$54-$N$57</formula>
    </cfRule>
    <cfRule type="cellIs" dxfId="1149" priority="53" operator="equal">
      <formula>$N$54-$N$57</formula>
    </cfRule>
  </conditionalFormatting>
  <conditionalFormatting sqref="O53">
    <cfRule type="cellIs" dxfId="1148" priority="50" operator="notEqual">
      <formula>$O$54-$O$57</formula>
    </cfRule>
    <cfRule type="cellIs" dxfId="1147" priority="51" operator="equal">
      <formula>$O$54-$O$57</formula>
    </cfRule>
  </conditionalFormatting>
  <conditionalFormatting sqref="P53">
    <cfRule type="cellIs" dxfId="1146" priority="48" operator="notEqual">
      <formula>$P$54-$P$57</formula>
    </cfRule>
    <cfRule type="cellIs" dxfId="1145" priority="49" operator="equal">
      <formula>$P$54-$P$57</formula>
    </cfRule>
  </conditionalFormatting>
  <conditionalFormatting sqref="Q53">
    <cfRule type="cellIs" dxfId="1144" priority="46" operator="notEqual">
      <formula>$Q$54-$Q$57</formula>
    </cfRule>
    <cfRule type="cellIs" dxfId="1143" priority="47" operator="equal">
      <formula>$Q$54-$Q$57</formula>
    </cfRule>
  </conditionalFormatting>
  <conditionalFormatting sqref="R53">
    <cfRule type="cellIs" dxfId="1142" priority="44" operator="notEqual">
      <formula>$R$54-$R$57</formula>
    </cfRule>
    <cfRule type="cellIs" dxfId="1141" priority="45" operator="equal">
      <formula>$R$54-$R$57</formula>
    </cfRule>
  </conditionalFormatting>
  <conditionalFormatting sqref="S53">
    <cfRule type="cellIs" dxfId="1140" priority="42" operator="notEqual">
      <formula>$S$54-$S$57</formula>
    </cfRule>
    <cfRule type="cellIs" dxfId="1139" priority="43" operator="equal">
      <formula>$S$54-$S$57</formula>
    </cfRule>
  </conditionalFormatting>
  <conditionalFormatting sqref="T53">
    <cfRule type="cellIs" dxfId="1138" priority="40" operator="notEqual">
      <formula>$T$54-$T$57</formula>
    </cfRule>
    <cfRule type="cellIs" dxfId="1137" priority="41" operator="equal">
      <formula>$T$54-$T$57</formula>
    </cfRule>
  </conditionalFormatting>
  <conditionalFormatting sqref="U53">
    <cfRule type="cellIs" dxfId="1136" priority="38" operator="notEqual">
      <formula>$U$54-$U$57</formula>
    </cfRule>
    <cfRule type="cellIs" dxfId="1135" priority="39" operator="equal">
      <formula>$U$54-$U$57</formula>
    </cfRule>
  </conditionalFormatting>
  <conditionalFormatting sqref="V53">
    <cfRule type="cellIs" dxfId="1134" priority="36" operator="notEqual">
      <formula>$V$54-$V$57</formula>
    </cfRule>
    <cfRule type="cellIs" dxfId="1133" priority="37" operator="equal">
      <formula>$V$54-$V$57</formula>
    </cfRule>
  </conditionalFormatting>
  <conditionalFormatting sqref="W53">
    <cfRule type="cellIs" dxfId="1132" priority="34" operator="notEqual">
      <formula>$W$54-$W$57</formula>
    </cfRule>
    <cfRule type="cellIs" dxfId="1131" priority="35" operator="equal">
      <formula>$W$54-$W$57</formula>
    </cfRule>
  </conditionalFormatting>
  <conditionalFormatting sqref="X53">
    <cfRule type="cellIs" dxfId="1130" priority="32" operator="notEqual">
      <formula>$X$54-$X$57</formula>
    </cfRule>
    <cfRule type="cellIs" dxfId="1129" priority="33" operator="equal">
      <formula>$X$54-$X$57</formula>
    </cfRule>
  </conditionalFormatting>
  <conditionalFormatting sqref="Y53">
    <cfRule type="cellIs" dxfId="1128" priority="30" operator="notEqual">
      <formula>$Y$54-$Y$57</formula>
    </cfRule>
    <cfRule type="cellIs" dxfId="1127" priority="31" operator="equal">
      <formula>$Y$54-$Y$57</formula>
    </cfRule>
  </conditionalFormatting>
  <conditionalFormatting sqref="Z53">
    <cfRule type="cellIs" dxfId="1126" priority="28" operator="notEqual">
      <formula>$Z$54-$Z$57</formula>
    </cfRule>
    <cfRule type="cellIs" dxfId="1125" priority="29" operator="equal">
      <formula>$Z$54-$Z$57</formula>
    </cfRule>
  </conditionalFormatting>
  <conditionalFormatting sqref="AA53">
    <cfRule type="cellIs" dxfId="1124" priority="26" operator="notEqual">
      <formula>$AA$54-$AA$57</formula>
    </cfRule>
    <cfRule type="cellIs" dxfId="1123" priority="27" operator="equal">
      <formula>$AA$54-$AA$57</formula>
    </cfRule>
  </conditionalFormatting>
  <conditionalFormatting sqref="AB53">
    <cfRule type="cellIs" dxfId="1122" priority="24" operator="notEqual">
      <formula>$AB$54-$AB$57</formula>
    </cfRule>
    <cfRule type="cellIs" dxfId="1121" priority="25" operator="equal">
      <formula>$AB$54-$AB$57</formula>
    </cfRule>
  </conditionalFormatting>
  <conditionalFormatting sqref="AC53">
    <cfRule type="cellIs" dxfId="1120" priority="22" operator="notEqual">
      <formula>$AC$54-$AC$57</formula>
    </cfRule>
    <cfRule type="cellIs" dxfId="1119" priority="23" operator="equal">
      <formula>$AC$54-$AC$57</formula>
    </cfRule>
  </conditionalFormatting>
  <conditionalFormatting sqref="AD53">
    <cfRule type="cellIs" dxfId="1118" priority="20" operator="notEqual">
      <formula>$AD$54-$AD$57</formula>
    </cfRule>
    <cfRule type="cellIs" dxfId="1117" priority="21" operator="equal">
      <formula>$AD$54-$AD$57</formula>
    </cfRule>
  </conditionalFormatting>
  <conditionalFormatting sqref="AE53">
    <cfRule type="cellIs" dxfId="1116" priority="18" operator="notEqual">
      <formula>$AE$54-$AE$57</formula>
    </cfRule>
    <cfRule type="cellIs" dxfId="1115" priority="19" operator="equal">
      <formula>$AE$54-$AE$57</formula>
    </cfRule>
  </conditionalFormatting>
  <conditionalFormatting sqref="AF53">
    <cfRule type="cellIs" dxfId="1114" priority="17" operator="equal">
      <formula>$AF$54-$AF$57</formula>
    </cfRule>
  </conditionalFormatting>
  <conditionalFormatting sqref="AF53">
    <cfRule type="cellIs" dxfId="1113" priority="16" operator="notEqual">
      <formula>$AF$54-$AF$57</formula>
    </cfRule>
  </conditionalFormatting>
  <conditionalFormatting sqref="AG53">
    <cfRule type="cellIs" dxfId="1112" priority="15" operator="equal">
      <formula>$AG$54-$AG$57</formula>
    </cfRule>
  </conditionalFormatting>
  <conditionalFormatting sqref="AG53">
    <cfRule type="cellIs" dxfId="1111" priority="14" operator="notEqual">
      <formula>$AG$54-$AG$57</formula>
    </cfRule>
  </conditionalFormatting>
  <conditionalFormatting sqref="AH53">
    <cfRule type="cellIs" dxfId="1110" priority="13" operator="equal">
      <formula>$AH$54-$AH$57</formula>
    </cfRule>
  </conditionalFormatting>
  <conditionalFormatting sqref="AH53">
    <cfRule type="cellIs" dxfId="1109" priority="12" operator="notEqual">
      <formula>$AH$54-$AH$57</formula>
    </cfRule>
  </conditionalFormatting>
  <conditionalFormatting sqref="AI53">
    <cfRule type="cellIs" dxfId="1108" priority="11" operator="equal">
      <formula>$AI$54-$AI$57</formula>
    </cfRule>
  </conditionalFormatting>
  <conditionalFormatting sqref="AI53">
    <cfRule type="cellIs" dxfId="1107" priority="10" operator="notEqual">
      <formula>$AI$54-$AI$57</formula>
    </cfRule>
  </conditionalFormatting>
  <conditionalFormatting sqref="AJ53">
    <cfRule type="cellIs" dxfId="1106" priority="9" operator="equal">
      <formula>$AJ$54-$AJ$57</formula>
    </cfRule>
  </conditionalFormatting>
  <conditionalFormatting sqref="AJ53">
    <cfRule type="cellIs" dxfId="1105" priority="8" operator="notEqual">
      <formula>$AJ$54-$AJ$57</formula>
    </cfRule>
  </conditionalFormatting>
  <conditionalFormatting sqref="AK53">
    <cfRule type="cellIs" dxfId="1104" priority="7" operator="equal">
      <formula>$AK$54-$AK$57</formula>
    </cfRule>
  </conditionalFormatting>
  <conditionalFormatting sqref="AK53">
    <cfRule type="cellIs" dxfId="1103" priority="6" operator="notEqual">
      <formula>$AK$54-$AK$57</formula>
    </cfRule>
  </conditionalFormatting>
  <conditionalFormatting sqref="AL53">
    <cfRule type="cellIs" dxfId="1102" priority="5" operator="equal">
      <formula>$AL$54-$AL$57</formula>
    </cfRule>
  </conditionalFormatting>
  <conditionalFormatting sqref="AL53">
    <cfRule type="cellIs" dxfId="1101" priority="4" operator="notEqual">
      <formula>$AL$54-$AL$57</formula>
    </cfRule>
  </conditionalFormatting>
  <conditionalFormatting sqref="AM53">
    <cfRule type="cellIs" dxfId="1100" priority="3" operator="equal">
      <formula>$AM$54-$AM$57</formula>
    </cfRule>
  </conditionalFormatting>
  <conditionalFormatting sqref="AM53">
    <cfRule type="cellIs" dxfId="1099" priority="2" operator="notEqual">
      <formula>$AM$54-$AM$57</formula>
    </cfRule>
  </conditionalFormatting>
  <conditionalFormatting sqref="AM3:AM51">
    <cfRule type="cellIs" dxfId="1098" priority="1" operator="equal">
      <formula>0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7DE03-545D-4CEE-B446-C9D55FE4BB34}">
  <sheetPr codeName="Planilha10"/>
  <dimension ref="A1:AP58"/>
  <sheetViews>
    <sheetView showGridLines="0" topLeftCell="AH45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7.85546875" style="9" bestFit="1" customWidth="1"/>
    <col min="14" max="14" width="8.7109375" style="9" bestFit="1" customWidth="1"/>
    <col min="15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0" width="10.85546875" style="9" bestFit="1" customWidth="1"/>
    <col min="21" max="22" width="10" style="9" bestFit="1" customWidth="1"/>
    <col min="23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.85546875" style="9" bestFit="1" customWidth="1"/>
    <col min="31" max="31" width="10.5703125" style="9" bestFit="1" customWidth="1"/>
    <col min="32" max="32" width="7.28515625" style="9" bestFit="1" customWidth="1"/>
    <col min="33" max="33" width="10.5703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0" width="9.140625" style="9"/>
    <col min="41" max="41" width="11.140625" style="9" bestFit="1" customWidth="1"/>
    <col min="42" max="42" width="10.85546875" style="9" bestFit="1" customWidth="1"/>
    <col min="43" max="16384" width="9.140625" style="9"/>
  </cols>
  <sheetData>
    <row r="1" spans="1:42" ht="11.25" customHeight="1" x14ac:dyDescent="0.25">
      <c r="A1" s="167" t="s">
        <v>68</v>
      </c>
      <c r="B1" s="167" t="s">
        <v>69</v>
      </c>
      <c r="C1" s="167" t="s">
        <v>70</v>
      </c>
      <c r="D1" s="167" t="s">
        <v>71</v>
      </c>
      <c r="E1" s="167" t="s">
        <v>72</v>
      </c>
      <c r="F1" s="167" t="s">
        <v>15</v>
      </c>
      <c r="G1" s="167" t="s">
        <v>74</v>
      </c>
      <c r="H1" s="167" t="s">
        <v>75</v>
      </c>
      <c r="I1" s="167" t="s">
        <v>573</v>
      </c>
      <c r="J1" s="155"/>
      <c r="L1" s="168" t="s">
        <v>584</v>
      </c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  <c r="AC1" s="168"/>
      <c r="AD1" s="168"/>
      <c r="AE1" s="168"/>
      <c r="AF1" s="168"/>
      <c r="AG1" s="168"/>
      <c r="AH1" s="168"/>
      <c r="AI1" s="168"/>
      <c r="AJ1" s="168"/>
      <c r="AK1" s="168"/>
      <c r="AL1" s="168"/>
      <c r="AM1" s="168"/>
      <c r="AO1" s="64"/>
      <c r="AP1" s="171" t="s">
        <v>575</v>
      </c>
    </row>
    <row r="2" spans="1:42" ht="11.25" customHeight="1" x14ac:dyDescent="0.25">
      <c r="A2" s="167"/>
      <c r="B2" s="167"/>
      <c r="C2" s="167"/>
      <c r="D2" s="167"/>
      <c r="E2" s="167"/>
      <c r="F2" s="167"/>
      <c r="G2" s="167"/>
      <c r="H2" s="167"/>
      <c r="I2" s="167"/>
      <c r="J2" s="155"/>
      <c r="L2" s="168" t="s">
        <v>483</v>
      </c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H2" s="168"/>
      <c r="AI2" s="168"/>
      <c r="AJ2" s="168"/>
      <c r="AK2" s="168"/>
      <c r="AL2" s="168"/>
      <c r="AM2" s="168"/>
      <c r="AO2" s="64"/>
      <c r="AP2" s="172"/>
    </row>
    <row r="3" spans="1:42" ht="11.25" customHeight="1" x14ac:dyDescent="0.25">
      <c r="A3" s="167"/>
      <c r="B3" s="167"/>
      <c r="C3" s="167"/>
      <c r="D3" s="167"/>
      <c r="E3" s="167"/>
      <c r="F3" s="167"/>
      <c r="G3" s="167"/>
      <c r="H3" s="167"/>
      <c r="I3" s="167"/>
      <c r="J3" s="155"/>
      <c r="L3" s="168" t="s">
        <v>484</v>
      </c>
      <c r="M3" s="168"/>
      <c r="N3" s="168"/>
      <c r="O3" s="168"/>
      <c r="P3" s="168"/>
      <c r="Q3" s="168"/>
      <c r="R3" s="168"/>
      <c r="S3" s="168"/>
      <c r="T3" s="168"/>
      <c r="U3" s="168" t="s">
        <v>493</v>
      </c>
      <c r="V3" s="168"/>
      <c r="W3" s="168"/>
      <c r="X3" s="168"/>
      <c r="Y3" s="168"/>
      <c r="Z3" s="168"/>
      <c r="AA3" s="168"/>
      <c r="AB3" s="168"/>
      <c r="AC3" s="168" t="s">
        <v>501</v>
      </c>
      <c r="AD3" s="168"/>
      <c r="AE3" s="168" t="s">
        <v>503</v>
      </c>
      <c r="AF3" s="168"/>
      <c r="AG3" s="168"/>
      <c r="AH3" s="168" t="s">
        <v>506</v>
      </c>
      <c r="AI3" s="168"/>
      <c r="AJ3" s="168"/>
      <c r="AK3" s="168"/>
      <c r="AL3" s="168"/>
      <c r="AM3" s="168" t="s">
        <v>492</v>
      </c>
      <c r="AO3" s="64"/>
      <c r="AP3" s="172"/>
    </row>
    <row r="4" spans="1:42" ht="11.25" customHeight="1" x14ac:dyDescent="0.25">
      <c r="A4" s="167"/>
      <c r="B4" s="167"/>
      <c r="C4" s="167"/>
      <c r="D4" s="167"/>
      <c r="E4" s="167"/>
      <c r="F4" s="167"/>
      <c r="G4" s="167"/>
      <c r="H4" s="167"/>
      <c r="I4" s="167"/>
      <c r="J4" s="155"/>
      <c r="L4" s="60" t="s">
        <v>569</v>
      </c>
      <c r="M4" s="60" t="s">
        <v>485</v>
      </c>
      <c r="N4" s="60" t="s">
        <v>486</v>
      </c>
      <c r="O4" s="60" t="s">
        <v>487</v>
      </c>
      <c r="P4" s="60" t="s">
        <v>488</v>
      </c>
      <c r="Q4" s="60" t="s">
        <v>489</v>
      </c>
      <c r="R4" s="60" t="s">
        <v>490</v>
      </c>
      <c r="S4" s="60" t="s">
        <v>491</v>
      </c>
      <c r="T4" s="60" t="s">
        <v>492</v>
      </c>
      <c r="U4" s="60" t="s">
        <v>494</v>
      </c>
      <c r="V4" s="60" t="s">
        <v>495</v>
      </c>
      <c r="W4" s="60" t="s">
        <v>496</v>
      </c>
      <c r="X4" s="60" t="s">
        <v>497</v>
      </c>
      <c r="Y4" s="60" t="s">
        <v>498</v>
      </c>
      <c r="Z4" s="60" t="s">
        <v>499</v>
      </c>
      <c r="AA4" s="60" t="s">
        <v>500</v>
      </c>
      <c r="AB4" s="60" t="s">
        <v>492</v>
      </c>
      <c r="AC4" s="60" t="s">
        <v>502</v>
      </c>
      <c r="AD4" s="60" t="s">
        <v>492</v>
      </c>
      <c r="AE4" s="60" t="s">
        <v>504</v>
      </c>
      <c r="AF4" s="60" t="s">
        <v>505</v>
      </c>
      <c r="AG4" s="60" t="s">
        <v>492</v>
      </c>
      <c r="AH4" s="60" t="s">
        <v>507</v>
      </c>
      <c r="AI4" s="60" t="s">
        <v>508</v>
      </c>
      <c r="AJ4" s="60" t="s">
        <v>509</v>
      </c>
      <c r="AK4" s="60" t="s">
        <v>510</v>
      </c>
      <c r="AL4" s="60" t="s">
        <v>492</v>
      </c>
      <c r="AM4" s="170"/>
      <c r="AO4" s="65" t="s">
        <v>586</v>
      </c>
      <c r="AP4" s="173"/>
    </row>
    <row r="5" spans="1:42" ht="11.25" customHeight="1" x14ac:dyDescent="0.25">
      <c r="A5" s="166" t="s">
        <v>38</v>
      </c>
      <c r="B5" s="166" t="s">
        <v>50</v>
      </c>
      <c r="C5" s="166" t="s">
        <v>25</v>
      </c>
      <c r="D5" s="166" t="s">
        <v>25</v>
      </c>
      <c r="E5" s="166" t="s">
        <v>25</v>
      </c>
      <c r="F5" s="166" t="s">
        <v>25</v>
      </c>
      <c r="G5" s="57" t="s">
        <v>84</v>
      </c>
      <c r="H5" s="57" t="s">
        <v>83</v>
      </c>
      <c r="I5" s="57">
        <f>'MERCADO TUSD'!$U$2</f>
        <v>2940</v>
      </c>
      <c r="J5" s="16"/>
      <c r="L5" s="17">
        <f>'TUSD BE'!$L$5*'TUSD BE'!$L$58</f>
        <v>0</v>
      </c>
      <c r="M5" s="17">
        <f>'TUSD BE'!$M$5*'TUSD BE'!$M$58</f>
        <v>0</v>
      </c>
      <c r="N5" s="17">
        <f ca="1">'TUSD BE'!$N$5*'TUSD BE'!$N$58</f>
        <v>0</v>
      </c>
      <c r="O5" s="17">
        <f>'TUSD BE'!$O$5*'TUSD BE'!$O$58</f>
        <v>0</v>
      </c>
      <c r="P5" s="17">
        <f>'TUSD BE'!$P$5*'TUSD BE'!$P$58</f>
        <v>0</v>
      </c>
      <c r="Q5" s="17">
        <f>'TUSD BE'!$Q$5*'TUSD BE'!$Q$58</f>
        <v>0</v>
      </c>
      <c r="R5" s="17">
        <f>'TUSD BE'!$R$5*'TUSD BE'!$R$58</f>
        <v>0</v>
      </c>
      <c r="S5" s="17">
        <f>'TUSD BE'!$R$5*'TUSD BE'!$S$58</f>
        <v>0</v>
      </c>
      <c r="T5" s="17">
        <f ca="1">SUM($L$5:$S$5)</f>
        <v>0</v>
      </c>
      <c r="U5" s="17">
        <f>'TUSD BE'!$U$5*'TUSD BE'!$U$58</f>
        <v>-0.20911365937693677</v>
      </c>
      <c r="V5" s="17">
        <f>'TUSD BE'!$V$5*'TUSD BE'!$V$58</f>
        <v>-0.15482243164854143</v>
      </c>
      <c r="W5" s="17">
        <f>'TUSD BE'!$W$5*'TUSD BE'!$W$58</f>
        <v>-1.4976049763205754E-2</v>
      </c>
      <c r="X5" s="17">
        <f>'TUSD BE'!$X$5*'TUSD BE'!$X$58</f>
        <v>0</v>
      </c>
      <c r="Y5" s="17">
        <f>'TUSD BE'!$Y$5*'TUSD BE'!$Y$58</f>
        <v>0</v>
      </c>
      <c r="Z5" s="17">
        <f>'TUSD BE'!$Z$5*'TUSD BE'!$Z$58</f>
        <v>0</v>
      </c>
      <c r="AA5" s="17">
        <f>'TUSD BE'!$AA$5*'TUSD BE'!$AA$58</f>
        <v>0</v>
      </c>
      <c r="AB5" s="17">
        <f>SUM($U$5:$AA$5)</f>
        <v>-0.37891214078868396</v>
      </c>
      <c r="AC5" s="17">
        <f>'TUSD BE'!$AC$5*'TUSD BE'!$AC$58</f>
        <v>-0.23789104352270876</v>
      </c>
      <c r="AD5" s="17">
        <f>SUM($AC$5:$AC$5)</f>
        <v>-0.23789104352270876</v>
      </c>
      <c r="AE5" s="17">
        <f ca="1">$AO$5*$AO$55</f>
        <v>-4.7425810949930094</v>
      </c>
      <c r="AF5" s="17">
        <f ca="1">$AP$5*$AP$55</f>
        <v>0</v>
      </c>
      <c r="AG5" s="17">
        <f ca="1">SUM($AE$5:$AF$5)</f>
        <v>-4.7425810949930094</v>
      </c>
      <c r="AH5" s="17">
        <f>'TUSD BE'!$AH$5*'TUSD BE'!$AH$58</f>
        <v>0</v>
      </c>
      <c r="AI5" s="17">
        <f>'TUSD BE'!$AI$5*'TUSD BE'!$AI$58</f>
        <v>0</v>
      </c>
      <c r="AJ5" s="17">
        <f ca="1">'TUSD BE'!$AJ$5*'TUSD BE'!$AJ$58</f>
        <v>0</v>
      </c>
      <c r="AK5" s="17">
        <f ca="1">'TUSD BE'!$AK$5*'TUSD BE'!$AK$58</f>
        <v>0</v>
      </c>
      <c r="AL5" s="17">
        <f ca="1">SUM($AH$5:$AK$5)</f>
        <v>0</v>
      </c>
      <c r="AM5" s="17">
        <f ca="1">SUMIF($L$4:$AL$4,"SUBTOTAL",$L$5:$AL$5)</f>
        <v>-5.3593842793044022</v>
      </c>
      <c r="AO5" s="64">
        <f ca="1">+'TUSD BE'!$T$5+'TUSD BE'!$AB$5+'TUSD BE'!$AD$5+'TUSD BE'!$AL$5</f>
        <v>26.498814555257638</v>
      </c>
      <c r="AP5" s="64">
        <f ca="1">+'TUSD BE'!$T$5+'TUSD BE'!$AB$5+'TUSD BE'!$AD$5+'TUSD BE'!$AL$5</f>
        <v>26.498814555257638</v>
      </c>
    </row>
    <row r="6" spans="1:42" ht="11.25" customHeight="1" x14ac:dyDescent="0.25">
      <c r="A6" s="166"/>
      <c r="B6" s="166"/>
      <c r="C6" s="166"/>
      <c r="D6" s="166"/>
      <c r="E6" s="166"/>
      <c r="F6" s="166"/>
      <c r="G6" s="57" t="s">
        <v>85</v>
      </c>
      <c r="H6" s="57" t="s">
        <v>83</v>
      </c>
      <c r="I6" s="57">
        <f>'MERCADO TUSD'!$U$3</f>
        <v>2940</v>
      </c>
      <c r="J6" s="16"/>
      <c r="L6" s="17">
        <f>'TUSD BE'!$L$6*'TUSD BE'!$L$58</f>
        <v>0</v>
      </c>
      <c r="M6" s="17">
        <f>'TUSD BE'!$M$6*'TUSD BE'!$M$58</f>
        <v>0</v>
      </c>
      <c r="N6" s="17">
        <f ca="1">'TUSD BE'!$N$6*'TUSD BE'!$N$58</f>
        <v>0</v>
      </c>
      <c r="O6" s="17">
        <f>'TUSD BE'!$O$6*'TUSD BE'!$O$58</f>
        <v>0</v>
      </c>
      <c r="P6" s="17">
        <f>'TUSD BE'!$P$6*'TUSD BE'!$P$58</f>
        <v>0</v>
      </c>
      <c r="Q6" s="17">
        <f>'TUSD BE'!$Q$6*'TUSD BE'!$Q$58</f>
        <v>0</v>
      </c>
      <c r="R6" s="17">
        <f>'TUSD BE'!$R$6*'TUSD BE'!$R$58</f>
        <v>0</v>
      </c>
      <c r="S6" s="17">
        <f>'TUSD BE'!$R$6*'TUSD BE'!$S$58</f>
        <v>0</v>
      </c>
      <c r="T6" s="17">
        <f ca="1">SUM($L$6:$S$6)</f>
        <v>0</v>
      </c>
      <c r="U6" s="17">
        <f>'TUSD BE'!$U$6*'TUSD BE'!$U$58</f>
        <v>-0.20915052140181428</v>
      </c>
      <c r="V6" s="17">
        <f>'TUSD BE'!$V$6*'TUSD BE'!$V$58</f>
        <v>-0.13365336948833179</v>
      </c>
      <c r="W6" s="17">
        <f>'TUSD BE'!$W$6*'TUSD BE'!$W$58</f>
        <v>-1.4298668401556271E-2</v>
      </c>
      <c r="X6" s="17">
        <f>'TUSD BE'!$X$6*'TUSD BE'!$X$58</f>
        <v>0</v>
      </c>
      <c r="Y6" s="17">
        <f>'TUSD BE'!$Y$6*'TUSD BE'!$Y$58</f>
        <v>0</v>
      </c>
      <c r="Z6" s="17">
        <f>'TUSD BE'!$Z$6*'TUSD BE'!$Z$58</f>
        <v>0</v>
      </c>
      <c r="AA6" s="17">
        <f>'TUSD BE'!$AA$6*'TUSD BE'!$AA$58</f>
        <v>0</v>
      </c>
      <c r="AB6" s="17">
        <f>SUM($U$6:$AA$6)</f>
        <v>-0.35710255929170232</v>
      </c>
      <c r="AC6" s="17">
        <f>'TUSD BE'!$AC$6*'TUSD BE'!$AC$58</f>
        <v>-0.23789104352270876</v>
      </c>
      <c r="AD6" s="17">
        <f>SUM($AC$6:$AC$6)</f>
        <v>-0.23789104352270876</v>
      </c>
      <c r="AE6" s="17">
        <f ca="1">$AO$6*$AO$55</f>
        <v>-4.5883503212995524</v>
      </c>
      <c r="AF6" s="17">
        <f ca="1">$AP$6*$AP$55</f>
        <v>0</v>
      </c>
      <c r="AG6" s="17">
        <f ca="1">SUM($AE$6:$AF$6)</f>
        <v>-4.5883503212995524</v>
      </c>
      <c r="AH6" s="17">
        <f>'TUSD BE'!$AH$6*'TUSD BE'!$AH$58</f>
        <v>0</v>
      </c>
      <c r="AI6" s="17">
        <f>'TUSD BE'!$AI$6*'TUSD BE'!$AI$58</f>
        <v>0</v>
      </c>
      <c r="AJ6" s="17">
        <f ca="1">'TUSD BE'!$AJ$6*'TUSD BE'!$AJ$58</f>
        <v>0</v>
      </c>
      <c r="AK6" s="17">
        <f ca="1">'TUSD BE'!$AK$6*'TUSD BE'!$AK$58</f>
        <v>0</v>
      </c>
      <c r="AL6" s="17">
        <f ca="1">SUM($AH$6:$AK$6)</f>
        <v>0</v>
      </c>
      <c r="AM6" s="17">
        <f ca="1">SUMIF($L$4:$AL$4,"SUBTOTAL",$L$6:$AL$6)</f>
        <v>-5.1833439241139638</v>
      </c>
      <c r="AO6" s="64">
        <f ca="1">+'TUSD BE'!$T$6+'TUSD BE'!$AB$6+'TUSD BE'!$AD$6+'TUSD BE'!$AL$6</f>
        <v>25.637061727218157</v>
      </c>
      <c r="AP6" s="64">
        <f ca="1">+'TUSD BE'!$T$6+'TUSD BE'!$AB$6+'TUSD BE'!$AD$6+'TUSD BE'!$AL$6</f>
        <v>25.637061727218157</v>
      </c>
    </row>
    <row r="7" spans="1:42" ht="11.25" customHeight="1" x14ac:dyDescent="0.25">
      <c r="A7" s="166"/>
      <c r="B7" s="166"/>
      <c r="C7" s="166"/>
      <c r="D7" s="166"/>
      <c r="E7" s="166"/>
      <c r="F7" s="166"/>
      <c r="G7" s="57" t="s">
        <v>82</v>
      </c>
      <c r="H7" s="57" t="s">
        <v>78</v>
      </c>
      <c r="I7" s="57">
        <f>'MERCADO TUSD'!$U$4</f>
        <v>1433.7980000000002</v>
      </c>
      <c r="J7" s="16"/>
      <c r="L7" s="17">
        <f>'TUSD BE'!$L$7*'TUSD BE'!$L$58</f>
        <v>-0.51546794567633081</v>
      </c>
      <c r="M7" s="17">
        <f>'TUSD BE'!$M$7*'TUSD BE'!$M$58</f>
        <v>-1.9223303064930697E-2</v>
      </c>
      <c r="N7" s="17">
        <f ca="1">'TUSD BE'!$N$7*'TUSD BE'!$N$58</f>
        <v>-5.2539788556983754E-9</v>
      </c>
      <c r="O7" s="17">
        <f>'TUSD BE'!$O$7*'TUSD BE'!$O$58</f>
        <v>0</v>
      </c>
      <c r="P7" s="17">
        <f>'TUSD BE'!$P$7*'TUSD BE'!$P$58</f>
        <v>0</v>
      </c>
      <c r="Q7" s="17">
        <f>'TUSD BE'!$Q$7*'TUSD BE'!$Q$58</f>
        <v>-2.782261384740023</v>
      </c>
      <c r="R7" s="17">
        <f>'TUSD BE'!$R$7*'TUSD BE'!$R$58</f>
        <v>-0.5290859729511026</v>
      </c>
      <c r="S7" s="17">
        <f>'TUSD BE'!$R$7*'TUSD BE'!$S$58</f>
        <v>0</v>
      </c>
      <c r="T7" s="17">
        <f ca="1">SUM($L$7:$S$7)</f>
        <v>-3.8460386116863661</v>
      </c>
      <c r="U7" s="17">
        <f>'TUSD BE'!$U$7*'TUSD BE'!$U$58</f>
        <v>0</v>
      </c>
      <c r="V7" s="17">
        <f>'TUSD BE'!$V$7*'TUSD BE'!$V$58</f>
        <v>0</v>
      </c>
      <c r="W7" s="17">
        <f>'TUSD BE'!$W$7*'TUSD BE'!$W$58</f>
        <v>0</v>
      </c>
      <c r="X7" s="17">
        <f>'TUSD BE'!$X$7*'TUSD BE'!$X$58</f>
        <v>0</v>
      </c>
      <c r="Y7" s="17">
        <f>'TUSD BE'!$Y$7*'TUSD BE'!$Y$58</f>
        <v>0</v>
      </c>
      <c r="Z7" s="17">
        <f>'TUSD BE'!$Z$7*'TUSD BE'!$Z$58</f>
        <v>0</v>
      </c>
      <c r="AA7" s="17">
        <f>'TUSD BE'!$AA$7*'TUSD BE'!$AA$58</f>
        <v>0</v>
      </c>
      <c r="AB7" s="17">
        <f>SUM($U$7:$AA$7)</f>
        <v>0</v>
      </c>
      <c r="AC7" s="17">
        <f>'TUSD BE'!$AC$7*'TUSD BE'!$AC$58</f>
        <v>0</v>
      </c>
      <c r="AD7" s="17">
        <f>SUM($AC$7:$AC$7)</f>
        <v>0</v>
      </c>
      <c r="AE7" s="17">
        <f ca="1">$AO$7*$AO$55</f>
        <v>-18.013314834326135</v>
      </c>
      <c r="AF7" s="17">
        <f ca="1">$AP$7*$AP$55</f>
        <v>0</v>
      </c>
      <c r="AG7" s="17">
        <f ca="1">SUM($AE$7:$AF$7)</f>
        <v>-18.013314834326135</v>
      </c>
      <c r="AH7" s="17">
        <f>'TUSD BE'!$AH$7*'TUSD BE'!$AH$58</f>
        <v>2.0909956964107763E-2</v>
      </c>
      <c r="AI7" s="17">
        <f>'TUSD BE'!$AI$7*'TUSD BE'!$AI$58</f>
        <v>0</v>
      </c>
      <c r="AJ7" s="17">
        <f ca="1">'TUSD BE'!$AJ$7*'TUSD BE'!$AJ$58</f>
        <v>1.9523518920193234E-3</v>
      </c>
      <c r="AK7" s="17">
        <f ca="1">'TUSD BE'!$AK$7*'TUSD BE'!$AK$58</f>
        <v>0.10346740821665014</v>
      </c>
      <c r="AL7" s="17">
        <f ca="1">SUM($AH$7:$AK$7)</f>
        <v>0.12632971707277724</v>
      </c>
      <c r="AM7" s="17">
        <f ca="1">SUMIF($L$4:$AL$4,"SUBTOTAL",$L$7:$AL$7)</f>
        <v>-21.733023728939724</v>
      </c>
      <c r="AO7" s="64">
        <f ca="1">+'TUSD BE'!$T$7+'TUSD BE'!$AB$7+'TUSD BE'!$AD$7+'TUSD BE'!$AL$7</f>
        <v>100.64803948723693</v>
      </c>
      <c r="AP7" s="64">
        <f ca="1">+'TUSD BE'!$T$7+'TUSD BE'!$AB$7+'TUSD BE'!$AD$7+'TUSD BE'!$AL$7</f>
        <v>100.64803948723693</v>
      </c>
    </row>
    <row r="8" spans="1:42" ht="11.25" customHeight="1" x14ac:dyDescent="0.25">
      <c r="A8" s="166"/>
      <c r="B8" s="166"/>
      <c r="C8" s="166"/>
      <c r="D8" s="166"/>
      <c r="E8" s="62" t="s">
        <v>86</v>
      </c>
      <c r="F8" s="62" t="s">
        <v>25</v>
      </c>
      <c r="G8" s="57" t="s">
        <v>82</v>
      </c>
      <c r="H8" s="57" t="s">
        <v>78</v>
      </c>
      <c r="I8" s="57">
        <f>'MERCADO TUSD'!$U$5</f>
        <v>0</v>
      </c>
      <c r="J8" s="16"/>
      <c r="L8" s="17">
        <f>'TUSD BE'!$L$8*'TUSD BE'!$L$58</f>
        <v>0</v>
      </c>
      <c r="M8" s="17">
        <f>'TUSD BE'!$M$8*'TUSD BE'!$M$58</f>
        <v>-1.9223303064930697E-2</v>
      </c>
      <c r="N8" s="17">
        <f ca="1">'TUSD BE'!$N$8*'TUSD BE'!$N$58</f>
        <v>-4.8908019517517017E-9</v>
      </c>
      <c r="O8" s="17">
        <f>'TUSD BE'!$O$8*'TUSD BE'!$O$58</f>
        <v>0</v>
      </c>
      <c r="P8" s="17">
        <f>'TUSD BE'!$P$8*'TUSD BE'!$P$58</f>
        <v>0</v>
      </c>
      <c r="Q8" s="17">
        <f>'TUSD BE'!$Q$8*'TUSD BE'!$Q$58</f>
        <v>0</v>
      </c>
      <c r="R8" s="17">
        <f>'TUSD BE'!$R$8*'TUSD BE'!$R$58</f>
        <v>0</v>
      </c>
      <c r="S8" s="17">
        <f>'TUSD BE'!$R$8*'TUSD BE'!$S$58</f>
        <v>0</v>
      </c>
      <c r="T8" s="17">
        <f ca="1">SUM($L$8:$S$8)</f>
        <v>-1.9223307955732648E-2</v>
      </c>
      <c r="U8" s="17">
        <f>'TUSD BE'!$U$8*'TUSD BE'!$U$58</f>
        <v>0</v>
      </c>
      <c r="V8" s="17">
        <f>'TUSD BE'!$V$8*'TUSD BE'!$V$58</f>
        <v>0</v>
      </c>
      <c r="W8" s="17">
        <f>'TUSD BE'!$W$8*'TUSD BE'!$W$58</f>
        <v>0</v>
      </c>
      <c r="X8" s="17">
        <f>'TUSD BE'!$X$8*'TUSD BE'!$X$58</f>
        <v>0</v>
      </c>
      <c r="Y8" s="17">
        <f>'TUSD BE'!$Y$8*'TUSD BE'!$Y$58</f>
        <v>0</v>
      </c>
      <c r="Z8" s="17">
        <f>'TUSD BE'!$Z$8*'TUSD BE'!$Z$58</f>
        <v>0</v>
      </c>
      <c r="AA8" s="17">
        <f>'TUSD BE'!$AA$8*'TUSD BE'!$AA$58</f>
        <v>0</v>
      </c>
      <c r="AB8" s="17">
        <f>SUM($U$8:$AA$8)</f>
        <v>0</v>
      </c>
      <c r="AC8" s="17">
        <f>'TUSD BE'!$AC$8*'TUSD BE'!$AC$58</f>
        <v>0</v>
      </c>
      <c r="AD8" s="17">
        <f>SUM($AC$8:$AC$8)</f>
        <v>0</v>
      </c>
      <c r="AE8" s="17">
        <f ca="1">$AO$8*$AO$55</f>
        <v>-1.2461857100869504</v>
      </c>
      <c r="AF8" s="17">
        <f ca="1">$AP$8*$AP$55</f>
        <v>0</v>
      </c>
      <c r="AG8" s="17">
        <f ca="1">SUM($AE$8:$AF$8)</f>
        <v>-1.2461857100869504</v>
      </c>
      <c r="AH8" s="17">
        <f>'TUSD BE'!$AH$8*'TUSD BE'!$AH$58</f>
        <v>2.0909956964107763E-2</v>
      </c>
      <c r="AI8" s="17">
        <f>'TUSD BE'!$AI$8*'TUSD BE'!$AI$58</f>
        <v>0</v>
      </c>
      <c r="AJ8" s="17">
        <f ca="1">'TUSD BE'!$AJ$8*'TUSD BE'!$AJ$58</f>
        <v>1.9523518920193234E-3</v>
      </c>
      <c r="AK8" s="17">
        <f ca="1">'TUSD BE'!$AK$8*'TUSD BE'!$AK$58</f>
        <v>0.10346740821665014</v>
      </c>
      <c r="AL8" s="17">
        <f ca="1">SUM($AH$8:$AK$8)</f>
        <v>0.12632971707277724</v>
      </c>
      <c r="AM8" s="17">
        <f ca="1">SUMIF($L$4:$AL$4,"SUBTOTAL",$L$8:$AL$8)</f>
        <v>-1.1390793009699058</v>
      </c>
      <c r="AO8" s="64">
        <f ca="1">+'TUSD BE'!$T$8+'TUSD BE'!$AB$8+'TUSD BE'!$AD$8+'TUSD BE'!$AL$8</f>
        <v>6.962968765651615</v>
      </c>
      <c r="AP8" s="64">
        <f ca="1">+'TUSD BE'!$T$8+'TUSD BE'!$AB$8+'TUSD BE'!$AD$8+'TUSD BE'!$AL$8</f>
        <v>6.962968765651615</v>
      </c>
    </row>
    <row r="9" spans="1:42" ht="11.25" customHeight="1" x14ac:dyDescent="0.25">
      <c r="A9" s="166"/>
      <c r="B9" s="62" t="s">
        <v>58</v>
      </c>
      <c r="C9" s="62" t="s">
        <v>25</v>
      </c>
      <c r="D9" s="62" t="s">
        <v>25</v>
      </c>
      <c r="E9" s="62" t="s">
        <v>25</v>
      </c>
      <c r="F9" s="62" t="s">
        <v>25</v>
      </c>
      <c r="G9" s="57" t="s">
        <v>9</v>
      </c>
      <c r="H9" s="57" t="s">
        <v>83</v>
      </c>
      <c r="I9" s="57">
        <f>'MERCADO TUSD'!$U$6</f>
        <v>20731</v>
      </c>
      <c r="J9" s="16"/>
      <c r="L9" s="17">
        <f>'TUSD BE'!$L$9*'TUSD BE'!$L$58</f>
        <v>0</v>
      </c>
      <c r="M9" s="17">
        <f>'TUSD BE'!$M$9*'TUSD BE'!$M$58</f>
        <v>-1.3405949198572382E-3</v>
      </c>
      <c r="N9" s="17">
        <f ca="1">'TUSD BE'!$N$9*'TUSD BE'!$N$58</f>
        <v>-2.462339408758447E-9</v>
      </c>
      <c r="O9" s="17">
        <f>'TUSD BE'!$O$9*'TUSD BE'!$O$58</f>
        <v>0</v>
      </c>
      <c r="P9" s="17">
        <f>'TUSD BE'!$P$9*'TUSD BE'!$P$58</f>
        <v>0</v>
      </c>
      <c r="Q9" s="17">
        <f>'TUSD BE'!$Q$9*'TUSD BE'!$Q$58</f>
        <v>0</v>
      </c>
      <c r="R9" s="17">
        <f>'TUSD BE'!$R$9*'TUSD BE'!$R$58</f>
        <v>0</v>
      </c>
      <c r="S9" s="17">
        <f>'TUSD BE'!$R$9*'TUSD BE'!$S$58</f>
        <v>0</v>
      </c>
      <c r="T9" s="17">
        <f ca="1">SUM($L$9:$S$9)</f>
        <v>-1.340597382196647E-3</v>
      </c>
      <c r="U9" s="17">
        <f>'TUSD BE'!$U$9*'TUSD BE'!$U$58</f>
        <v>0</v>
      </c>
      <c r="V9" s="17">
        <f>'TUSD BE'!$V$9*'TUSD BE'!$V$58</f>
        <v>0</v>
      </c>
      <c r="W9" s="17">
        <f>'TUSD BE'!$W$9*'TUSD BE'!$W$58</f>
        <v>0</v>
      </c>
      <c r="X9" s="17">
        <f>'TUSD BE'!$X$9*'TUSD BE'!$X$58</f>
        <v>0</v>
      </c>
      <c r="Y9" s="17">
        <f>'TUSD BE'!$Y$9*'TUSD BE'!$Y$58</f>
        <v>0</v>
      </c>
      <c r="Z9" s="17">
        <f>'TUSD BE'!$Z$9*'TUSD BE'!$Z$58</f>
        <v>0</v>
      </c>
      <c r="AA9" s="17">
        <f>'TUSD BE'!$AA$9*'TUSD BE'!$AA$58</f>
        <v>0</v>
      </c>
      <c r="AB9" s="17">
        <f>SUM($U$9:$AA$9)</f>
        <v>0</v>
      </c>
      <c r="AC9" s="17">
        <f>'TUSD BE'!$AC$9*'TUSD BE'!$AC$58</f>
        <v>-0.12742183040503255</v>
      </c>
      <c r="AD9" s="17">
        <f>SUM($AC$9:$AC$9)</f>
        <v>-0.12742183040503255</v>
      </c>
      <c r="AE9" s="17">
        <f ca="1">$AO$9*$AO$55</f>
        <v>-1.2439832558100161</v>
      </c>
      <c r="AF9" s="17">
        <f ca="1">$AP$9*$AP$55</f>
        <v>0</v>
      </c>
      <c r="AG9" s="17">
        <f ca="1">SUM($AE$9:$AF$9)</f>
        <v>-1.2439832558100161</v>
      </c>
      <c r="AH9" s="17">
        <f>'TUSD BE'!$AH$9*'TUSD BE'!$AH$58</f>
        <v>0</v>
      </c>
      <c r="AI9" s="17">
        <f>'TUSD BE'!$AI$9*'TUSD BE'!$AI$58</f>
        <v>0</v>
      </c>
      <c r="AJ9" s="17">
        <f ca="1">'TUSD BE'!$AJ$9*'TUSD BE'!$AJ$58</f>
        <v>0</v>
      </c>
      <c r="AK9" s="17">
        <f ca="1">'TUSD BE'!$AK$9*'TUSD BE'!$AK$58</f>
        <v>0</v>
      </c>
      <c r="AL9" s="17">
        <f ca="1">SUM($AH$9:$AK$9)</f>
        <v>0</v>
      </c>
      <c r="AM9" s="17">
        <f ca="1">SUMIF($L$4:$AL$4,"SUBTOTAL",$L$9:$AL$9)</f>
        <v>-1.3727456835972454</v>
      </c>
      <c r="AO9" s="64">
        <f ca="1">+'TUSD BE'!$T$9+'TUSD BE'!$AB$9+'TUSD BE'!$AD$9+'TUSD BE'!$AL$9</f>
        <v>6.9506627183153809</v>
      </c>
      <c r="AP9" s="64">
        <f ca="1">+'TUSD BE'!$T$9+'TUSD BE'!$AB$9+'TUSD BE'!$AD$9+'TUSD BE'!$AL$9</f>
        <v>6.9506627183153809</v>
      </c>
    </row>
    <row r="10" spans="1:42" ht="11.25" customHeight="1" x14ac:dyDescent="0.25">
      <c r="A10" s="166"/>
      <c r="B10" s="166" t="s">
        <v>39</v>
      </c>
      <c r="C10" s="166" t="s">
        <v>25</v>
      </c>
      <c r="D10" s="166" t="s">
        <v>25</v>
      </c>
      <c r="E10" s="166" t="s">
        <v>25</v>
      </c>
      <c r="F10" s="166" t="s">
        <v>25</v>
      </c>
      <c r="G10" s="57" t="s">
        <v>9</v>
      </c>
      <c r="H10" s="57" t="s">
        <v>83</v>
      </c>
      <c r="I10" s="57">
        <f>'MERCADO TUSD'!$U$7</f>
        <v>252451</v>
      </c>
      <c r="J10" s="16"/>
      <c r="L10" s="17">
        <f>'TUSD BE'!$L$10*'TUSD BE'!$L$58</f>
        <v>0</v>
      </c>
      <c r="M10" s="17">
        <f>'TUSD BE'!$M$10*'TUSD BE'!$M$58</f>
        <v>0</v>
      </c>
      <c r="N10" s="17">
        <f ca="1">'TUSD BE'!$N$10*'TUSD BE'!$N$58</f>
        <v>0</v>
      </c>
      <c r="O10" s="17">
        <f>'TUSD BE'!$O$10*'TUSD BE'!$O$58</f>
        <v>0</v>
      </c>
      <c r="P10" s="17">
        <f>'TUSD BE'!$P$10*'TUSD BE'!$P$58</f>
        <v>0</v>
      </c>
      <c r="Q10" s="17">
        <f>'TUSD BE'!$Q$10*'TUSD BE'!$Q$58</f>
        <v>0</v>
      </c>
      <c r="R10" s="17">
        <f>'TUSD BE'!$R$10*'TUSD BE'!$R$58</f>
        <v>0</v>
      </c>
      <c r="S10" s="17">
        <f>'TUSD BE'!$R$10*'TUSD BE'!$S$58</f>
        <v>0</v>
      </c>
      <c r="T10" s="17">
        <f ca="1">SUM($L$10:$S$10)</f>
        <v>0</v>
      </c>
      <c r="U10" s="17">
        <f>'TUSD BE'!$U$10*'TUSD BE'!$U$58</f>
        <v>-0.20915052140181428</v>
      </c>
      <c r="V10" s="17">
        <f>'TUSD BE'!$V$10*'TUSD BE'!$V$58</f>
        <v>-0.13365336948833179</v>
      </c>
      <c r="W10" s="17">
        <f>'TUSD BE'!$W$10*'TUSD BE'!$W$58</f>
        <v>-1.4298668401556271E-2</v>
      </c>
      <c r="X10" s="17">
        <f>'TUSD BE'!$X$10*'TUSD BE'!$X$58</f>
        <v>0</v>
      </c>
      <c r="Y10" s="17">
        <f>'TUSD BE'!$Y$10*'TUSD BE'!$Y$58</f>
        <v>0</v>
      </c>
      <c r="Z10" s="17">
        <f>'TUSD BE'!$Z$10*'TUSD BE'!$Z$58</f>
        <v>0</v>
      </c>
      <c r="AA10" s="17">
        <f>'TUSD BE'!$AA$10*'TUSD BE'!$AA$58</f>
        <v>0</v>
      </c>
      <c r="AB10" s="17">
        <f>SUM($U$10:$AA$10)</f>
        <v>-0.35710255929170232</v>
      </c>
      <c r="AC10" s="17">
        <f>'TUSD BE'!$AC$10*'TUSD BE'!$AC$58</f>
        <v>-0.23789104352270876</v>
      </c>
      <c r="AD10" s="17">
        <f>SUM($AC$10:$AC$10)</f>
        <v>-0.23789104352270876</v>
      </c>
      <c r="AE10" s="17">
        <f ca="1">$AO$10*$AO$55</f>
        <v>-4.5883503212995524</v>
      </c>
      <c r="AF10" s="17">
        <f ca="1">$AP$10*$AP$55</f>
        <v>0</v>
      </c>
      <c r="AG10" s="17">
        <f ca="1">SUM($AE$10:$AF$10)</f>
        <v>-4.5883503212995524</v>
      </c>
      <c r="AH10" s="17">
        <f>'TUSD BE'!$AH$10*'TUSD BE'!$AH$58</f>
        <v>0</v>
      </c>
      <c r="AI10" s="17">
        <f>'TUSD BE'!$AI$10*'TUSD BE'!$AI$58</f>
        <v>0</v>
      </c>
      <c r="AJ10" s="17">
        <f ca="1">'TUSD BE'!$AJ$10*'TUSD BE'!$AJ$58</f>
        <v>0</v>
      </c>
      <c r="AK10" s="17">
        <f ca="1">'TUSD BE'!$AK$10*'TUSD BE'!$AK$58</f>
        <v>0</v>
      </c>
      <c r="AL10" s="17">
        <f ca="1">SUM($AH$10:$AK$10)</f>
        <v>0</v>
      </c>
      <c r="AM10" s="17">
        <f ca="1">SUMIF($L$4:$AL$4,"SUBTOTAL",$L$10:$AL$10)</f>
        <v>-5.1833439241139638</v>
      </c>
      <c r="AO10" s="64">
        <f ca="1">+'TUSD BE'!$T$10+'TUSD BE'!$AB$10+'TUSD BE'!$AD$10+'TUSD BE'!$AL$10</f>
        <v>25.637061727218157</v>
      </c>
      <c r="AP10" s="64">
        <f ca="1">+'TUSD BE'!$T$10+'TUSD BE'!$AB$10+'TUSD BE'!$AD$10+'TUSD BE'!$AL$10</f>
        <v>25.637061727218157</v>
      </c>
    </row>
    <row r="11" spans="1:42" ht="11.25" customHeight="1" x14ac:dyDescent="0.25">
      <c r="A11" s="166"/>
      <c r="B11" s="166"/>
      <c r="C11" s="166"/>
      <c r="D11" s="166"/>
      <c r="E11" s="166"/>
      <c r="F11" s="166"/>
      <c r="G11" s="57" t="s">
        <v>79</v>
      </c>
      <c r="H11" s="57" t="s">
        <v>78</v>
      </c>
      <c r="I11" s="57">
        <f>'MERCADO TUSD'!$U$8</f>
        <v>6165.058</v>
      </c>
      <c r="J11" s="16"/>
      <c r="L11" s="17">
        <f>'TUSD BE'!$L$11*'TUSD BE'!$L$58</f>
        <v>-0.51546794567633081</v>
      </c>
      <c r="M11" s="17">
        <f>'TUSD BE'!$M$11*'TUSD BE'!$M$58</f>
        <v>-1.9223303064930697E-2</v>
      </c>
      <c r="N11" s="17">
        <f ca="1">'TUSD BE'!$N$11*'TUSD BE'!$N$58</f>
        <v>-1.9556670273333259E-7</v>
      </c>
      <c r="O11" s="17">
        <f>'TUSD BE'!$O$11*'TUSD BE'!$O$58</f>
        <v>0</v>
      </c>
      <c r="P11" s="17">
        <f>'TUSD BE'!$P$11*'TUSD BE'!$P$58</f>
        <v>0</v>
      </c>
      <c r="Q11" s="17">
        <f>'TUSD BE'!$Q$11*'TUSD BE'!$Q$58</f>
        <v>-2.782261384740023</v>
      </c>
      <c r="R11" s="17">
        <f>'TUSD BE'!$R$11*'TUSD BE'!$R$58</f>
        <v>-0.5290859729511026</v>
      </c>
      <c r="S11" s="17">
        <f>'TUSD BE'!$R$11*'TUSD BE'!$S$58</f>
        <v>0</v>
      </c>
      <c r="T11" s="17">
        <f ca="1">SUM($L$11:$S$11)</f>
        <v>-3.8460388019990899</v>
      </c>
      <c r="U11" s="17">
        <f>'TUSD BE'!$U$11*'TUSD BE'!$U$58</f>
        <v>-5.0291413470743764</v>
      </c>
      <c r="V11" s="17">
        <f>'TUSD BE'!$V$11*'TUSD BE'!$V$58</f>
        <v>-3.7234960463688274</v>
      </c>
      <c r="W11" s="17">
        <f>'TUSD BE'!$W$11*'TUSD BE'!$W$58</f>
        <v>-0.36017479117556517</v>
      </c>
      <c r="X11" s="17">
        <f>'TUSD BE'!$X$11*'TUSD BE'!$X$58</f>
        <v>0</v>
      </c>
      <c r="Y11" s="17">
        <f>'TUSD BE'!$Y$11*'TUSD BE'!$Y$58</f>
        <v>0</v>
      </c>
      <c r="Z11" s="17">
        <f>'TUSD BE'!$Z$11*'TUSD BE'!$Z$58</f>
        <v>0</v>
      </c>
      <c r="AA11" s="17">
        <f>'TUSD BE'!$AA$11*'TUSD BE'!$AA$58</f>
        <v>0</v>
      </c>
      <c r="AB11" s="17">
        <f>SUM($U$11:$AA$11)</f>
        <v>-9.1128121846187682</v>
      </c>
      <c r="AC11" s="17">
        <f>'TUSD BE'!$AC$11*'TUSD BE'!$AC$58</f>
        <v>-5.7212707338400284</v>
      </c>
      <c r="AD11" s="17">
        <f>SUM($AC$11:$AC$11)</f>
        <v>-5.7212707338400284</v>
      </c>
      <c r="AE11" s="17">
        <f ca="1">$AO$11*$AO$55</f>
        <v>-132.90522387551769</v>
      </c>
      <c r="AF11" s="17">
        <f ca="1">$AP$11*$AP$55</f>
        <v>0</v>
      </c>
      <c r="AG11" s="17">
        <f ca="1">SUM($AE$11:$AF$11)</f>
        <v>-132.90522387551769</v>
      </c>
      <c r="AH11" s="17">
        <f>'TUSD BE'!$AH$11*'TUSD BE'!$AH$58</f>
        <v>2.0909956964107763E-2</v>
      </c>
      <c r="AI11" s="17">
        <f>'TUSD BE'!$AI$11*'TUSD BE'!$AI$58</f>
        <v>0</v>
      </c>
      <c r="AJ11" s="17">
        <f ca="1">'TUSD BE'!$AJ$11*'TUSD BE'!$AJ$58</f>
        <v>1.9523518920193234E-3</v>
      </c>
      <c r="AK11" s="17">
        <f ca="1">'TUSD BE'!$AK$11*'TUSD BE'!$AK$58</f>
        <v>0.10346740821665014</v>
      </c>
      <c r="AL11" s="17">
        <f ca="1">SUM($AH$11:$AK$11)</f>
        <v>0.12632971707277724</v>
      </c>
      <c r="AM11" s="17">
        <f ca="1">SUMIF($L$4:$AL$4,"SUBTOTAL",$L$11:$AL$11)</f>
        <v>-151.45901587890282</v>
      </c>
      <c r="AO11" s="64">
        <f ca="1">+'TUSD BE'!$T$11+'TUSD BE'!$AB$11+'TUSD BE'!$AD$11+'TUSD BE'!$AL$11</f>
        <v>742.59792512995182</v>
      </c>
      <c r="AP11" s="64">
        <f ca="1">+'TUSD BE'!$T$11+'TUSD BE'!$AB$11+'TUSD BE'!$AD$11+'TUSD BE'!$AL$11</f>
        <v>742.59792512995182</v>
      </c>
    </row>
    <row r="12" spans="1:42" ht="11.25" customHeight="1" x14ac:dyDescent="0.25">
      <c r="A12" s="166"/>
      <c r="B12" s="166"/>
      <c r="C12" s="166"/>
      <c r="D12" s="166"/>
      <c r="E12" s="166"/>
      <c r="F12" s="166"/>
      <c r="G12" s="57" t="s">
        <v>80</v>
      </c>
      <c r="H12" s="57" t="s">
        <v>78</v>
      </c>
      <c r="I12" s="57">
        <f>'MERCADO TUSD'!$U$9</f>
        <v>60495.598999999995</v>
      </c>
      <c r="J12" s="16"/>
      <c r="L12" s="17">
        <f>'TUSD BE'!$L$12*'TUSD BE'!$L$58</f>
        <v>-0.51546794567633081</v>
      </c>
      <c r="M12" s="17">
        <f>'TUSD BE'!$M$12*'TUSD BE'!$M$58</f>
        <v>-1.9223303064930697E-2</v>
      </c>
      <c r="N12" s="17">
        <f ca="1">'TUSD BE'!$N$12*'TUSD BE'!$N$58</f>
        <v>-5.2539788556983754E-9</v>
      </c>
      <c r="O12" s="17">
        <f>'TUSD BE'!$O$12*'TUSD BE'!$O$58</f>
        <v>0</v>
      </c>
      <c r="P12" s="17">
        <f>'TUSD BE'!$P$12*'TUSD BE'!$P$58</f>
        <v>0</v>
      </c>
      <c r="Q12" s="17">
        <f>'TUSD BE'!$Q$12*'TUSD BE'!$Q$58</f>
        <v>-2.782261384740023</v>
      </c>
      <c r="R12" s="17">
        <f>'TUSD BE'!$R$12*'TUSD BE'!$R$58</f>
        <v>-0.5290859729511026</v>
      </c>
      <c r="S12" s="17">
        <f>'TUSD BE'!$R$12*'TUSD BE'!$S$58</f>
        <v>0</v>
      </c>
      <c r="T12" s="17">
        <f ca="1">SUM($L$12:$S$12)</f>
        <v>-3.8460386116863661</v>
      </c>
      <c r="U12" s="17">
        <f>'TUSD BE'!$U$12*'TUSD BE'!$U$58</f>
        <v>0</v>
      </c>
      <c r="V12" s="17">
        <f>'TUSD BE'!$V$12*'TUSD BE'!$V$58</f>
        <v>0</v>
      </c>
      <c r="W12" s="17">
        <f>'TUSD BE'!$W$12*'TUSD BE'!$W$58</f>
        <v>0</v>
      </c>
      <c r="X12" s="17">
        <f>'TUSD BE'!$X$12*'TUSD BE'!$X$58</f>
        <v>0</v>
      </c>
      <c r="Y12" s="17">
        <f>'TUSD BE'!$Y$12*'TUSD BE'!$Y$58</f>
        <v>0</v>
      </c>
      <c r="Z12" s="17">
        <f>'TUSD BE'!$Z$12*'TUSD BE'!$Z$58</f>
        <v>0</v>
      </c>
      <c r="AA12" s="17">
        <f>'TUSD BE'!$AA$12*'TUSD BE'!$AA$58</f>
        <v>0</v>
      </c>
      <c r="AB12" s="17">
        <f>SUM($U$12:$AA$12)</f>
        <v>0</v>
      </c>
      <c r="AC12" s="17">
        <f>'TUSD BE'!$AC$12*'TUSD BE'!$AC$58</f>
        <v>0</v>
      </c>
      <c r="AD12" s="17">
        <f>SUM($AC$12:$AC$12)</f>
        <v>0</v>
      </c>
      <c r="AE12" s="17">
        <f ca="1">$AO$12*$AO$55</f>
        <v>-18.013314834326135</v>
      </c>
      <c r="AF12" s="17">
        <f ca="1">$AP$12*$AP$55</f>
        <v>0</v>
      </c>
      <c r="AG12" s="17">
        <f ca="1">SUM($AE$12:$AF$12)</f>
        <v>-18.013314834326135</v>
      </c>
      <c r="AH12" s="17">
        <f>'TUSD BE'!$AH$12*'TUSD BE'!$AH$58</f>
        <v>2.0909956964107763E-2</v>
      </c>
      <c r="AI12" s="17">
        <f>'TUSD BE'!$AI$12*'TUSD BE'!$AI$58</f>
        <v>0</v>
      </c>
      <c r="AJ12" s="17">
        <f ca="1">'TUSD BE'!$AJ$12*'TUSD BE'!$AJ$58</f>
        <v>1.9523518920193234E-3</v>
      </c>
      <c r="AK12" s="17">
        <f ca="1">'TUSD BE'!$AK$12*'TUSD BE'!$AK$58</f>
        <v>0.10346740821665014</v>
      </c>
      <c r="AL12" s="17">
        <f ca="1">SUM($AH$12:$AK$12)</f>
        <v>0.12632971707277724</v>
      </c>
      <c r="AM12" s="17">
        <f ca="1">SUMIF($L$4:$AL$4,"SUBTOTAL",$L$12:$AL$12)</f>
        <v>-21.733023728939724</v>
      </c>
      <c r="AO12" s="64">
        <f ca="1">+'TUSD BE'!$T$12+'TUSD BE'!$AB$12+'TUSD BE'!$AD$12+'TUSD BE'!$AL$12</f>
        <v>100.64803948723693</v>
      </c>
      <c r="AP12" s="64">
        <f ca="1">+'TUSD BE'!$T$12+'TUSD BE'!$AB$12+'TUSD BE'!$AD$12+'TUSD BE'!$AL$12</f>
        <v>100.64803948723693</v>
      </c>
    </row>
    <row r="13" spans="1:42" ht="11.25" customHeight="1" x14ac:dyDescent="0.25">
      <c r="A13" s="166"/>
      <c r="B13" s="166"/>
      <c r="C13" s="166"/>
      <c r="D13" s="166"/>
      <c r="E13" s="166" t="s">
        <v>86</v>
      </c>
      <c r="F13" s="166" t="s">
        <v>25</v>
      </c>
      <c r="G13" s="57" t="s">
        <v>79</v>
      </c>
      <c r="H13" s="57" t="s">
        <v>78</v>
      </c>
      <c r="I13" s="57">
        <f>'MERCADO TUSD'!$U$10</f>
        <v>0</v>
      </c>
      <c r="J13" s="16"/>
      <c r="L13" s="17">
        <f>'TUSD BE'!$L$13*'TUSD BE'!$L$58</f>
        <v>0</v>
      </c>
      <c r="M13" s="17">
        <f>'TUSD BE'!$M$13*'TUSD BE'!$M$58</f>
        <v>-1.9223303064930697E-2</v>
      </c>
      <c r="N13" s="17">
        <f ca="1">'TUSD BE'!$N$13*'TUSD BE'!$N$58</f>
        <v>-1.9520352582938592E-7</v>
      </c>
      <c r="O13" s="17">
        <f>'TUSD BE'!$O$13*'TUSD BE'!$O$58</f>
        <v>0</v>
      </c>
      <c r="P13" s="17">
        <f>'TUSD BE'!$P$13*'TUSD BE'!$P$58</f>
        <v>0</v>
      </c>
      <c r="Q13" s="17">
        <f>'TUSD BE'!$Q$13*'TUSD BE'!$Q$58</f>
        <v>0</v>
      </c>
      <c r="R13" s="17">
        <f>'TUSD BE'!$R$13*'TUSD BE'!$R$58</f>
        <v>0</v>
      </c>
      <c r="S13" s="17">
        <f>'TUSD BE'!$R$13*'TUSD BE'!$S$58</f>
        <v>0</v>
      </c>
      <c r="T13" s="17">
        <f ca="1">SUM($L$13:$S$13)</f>
        <v>-1.9223498268456526E-2</v>
      </c>
      <c r="U13" s="17">
        <f>'TUSD BE'!$U$13*'TUSD BE'!$U$58</f>
        <v>-5.0291413470743764</v>
      </c>
      <c r="V13" s="17">
        <f>'TUSD BE'!$V$13*'TUSD BE'!$V$58</f>
        <v>-3.7234960463688274</v>
      </c>
      <c r="W13" s="17">
        <f>'TUSD BE'!$W$13*'TUSD BE'!$W$58</f>
        <v>-0.36017479117556517</v>
      </c>
      <c r="X13" s="17">
        <f>'TUSD BE'!$X$13*'TUSD BE'!$X$58</f>
        <v>0</v>
      </c>
      <c r="Y13" s="17">
        <f>'TUSD BE'!$Y$13*'TUSD BE'!$Y$58</f>
        <v>0</v>
      </c>
      <c r="Z13" s="17">
        <f>'TUSD BE'!$Z$13*'TUSD BE'!$Z$58</f>
        <v>0</v>
      </c>
      <c r="AA13" s="17">
        <f>'TUSD BE'!$AA$13*'TUSD BE'!$AA$58</f>
        <v>0</v>
      </c>
      <c r="AB13" s="17">
        <f>SUM($U$13:$AA$13)</f>
        <v>-9.1128121846187682</v>
      </c>
      <c r="AC13" s="17">
        <f>'TUSD BE'!$AC$13*'TUSD BE'!$AC$58</f>
        <v>-5.7212707338400284</v>
      </c>
      <c r="AD13" s="17">
        <f>SUM($AC$13:$AC$13)</f>
        <v>-5.7212707338400284</v>
      </c>
      <c r="AE13" s="17">
        <f ca="1">$AO$13*$AO$55</f>
        <v>-116.13809475127852</v>
      </c>
      <c r="AF13" s="17">
        <f ca="1">$AP$13*$AP$55</f>
        <v>0</v>
      </c>
      <c r="AG13" s="17">
        <f ca="1">SUM($AE$13:$AF$13)</f>
        <v>-116.13809475127852</v>
      </c>
      <c r="AH13" s="17">
        <f>'TUSD BE'!$AH$13*'TUSD BE'!$AH$58</f>
        <v>2.0909956964107763E-2</v>
      </c>
      <c r="AI13" s="17">
        <f>'TUSD BE'!$AI$13*'TUSD BE'!$AI$58</f>
        <v>0</v>
      </c>
      <c r="AJ13" s="17">
        <f ca="1">'TUSD BE'!$AJ$13*'TUSD BE'!$AJ$58</f>
        <v>1.9523518920193234E-3</v>
      </c>
      <c r="AK13" s="17">
        <f ca="1">'TUSD BE'!$AK$13*'TUSD BE'!$AK$58</f>
        <v>0.10346740821665014</v>
      </c>
      <c r="AL13" s="17">
        <f ca="1">SUM($AH$13:$AK$13)</f>
        <v>0.12632971707277724</v>
      </c>
      <c r="AM13" s="17">
        <f ca="1">SUMIF($L$4:$AL$4,"SUBTOTAL",$L$13:$AL$13)</f>
        <v>-130.86507145093302</v>
      </c>
      <c r="AO13" s="64">
        <f ca="1">+'TUSD BE'!$T$13+'TUSD BE'!$AB$13+'TUSD BE'!$AD$13+'TUSD BE'!$AL$13</f>
        <v>648.91285440836646</v>
      </c>
      <c r="AP13" s="64">
        <f ca="1">+'TUSD BE'!$T$13+'TUSD BE'!$AB$13+'TUSD BE'!$AD$13+'TUSD BE'!$AL$13</f>
        <v>648.91285440836646</v>
      </c>
    </row>
    <row r="14" spans="1:42" ht="11.25" customHeight="1" x14ac:dyDescent="0.25">
      <c r="A14" s="166"/>
      <c r="B14" s="166"/>
      <c r="C14" s="166"/>
      <c r="D14" s="166"/>
      <c r="E14" s="166"/>
      <c r="F14" s="166"/>
      <c r="G14" s="57" t="s">
        <v>80</v>
      </c>
      <c r="H14" s="57" t="s">
        <v>78</v>
      </c>
      <c r="I14" s="57">
        <f>'MERCADO TUSD'!$U$11</f>
        <v>0</v>
      </c>
      <c r="J14" s="16"/>
      <c r="L14" s="17">
        <f>'TUSD BE'!$L$14*'TUSD BE'!$L$58</f>
        <v>0</v>
      </c>
      <c r="M14" s="17">
        <f>'TUSD BE'!$M$14*'TUSD BE'!$M$58</f>
        <v>-1.9223303064930697E-2</v>
      </c>
      <c r="N14" s="17">
        <f ca="1">'TUSD BE'!$N$14*'TUSD BE'!$N$58</f>
        <v>-4.8908019517517017E-9</v>
      </c>
      <c r="O14" s="17">
        <f>'TUSD BE'!$O$14*'TUSD BE'!$O$58</f>
        <v>0</v>
      </c>
      <c r="P14" s="17">
        <f>'TUSD BE'!$P$14*'TUSD BE'!$P$58</f>
        <v>0</v>
      </c>
      <c r="Q14" s="17">
        <f>'TUSD BE'!$Q$14*'TUSD BE'!$Q$58</f>
        <v>0</v>
      </c>
      <c r="R14" s="17">
        <f>'TUSD BE'!$R$14*'TUSD BE'!$R$58</f>
        <v>0</v>
      </c>
      <c r="S14" s="17">
        <f>'TUSD BE'!$R$14*'TUSD BE'!$S$58</f>
        <v>0</v>
      </c>
      <c r="T14" s="17">
        <f ca="1">SUM($L$14:$S$14)</f>
        <v>-1.9223307955732648E-2</v>
      </c>
      <c r="U14" s="17">
        <f>'TUSD BE'!$U$14*'TUSD BE'!$U$58</f>
        <v>0</v>
      </c>
      <c r="V14" s="17">
        <f>'TUSD BE'!$V$14*'TUSD BE'!$V$58</f>
        <v>0</v>
      </c>
      <c r="W14" s="17">
        <f>'TUSD BE'!$W$14*'TUSD BE'!$W$58</f>
        <v>0</v>
      </c>
      <c r="X14" s="17">
        <f>'TUSD BE'!$X$14*'TUSD BE'!$X$58</f>
        <v>0</v>
      </c>
      <c r="Y14" s="17">
        <f>'TUSD BE'!$Y$14*'TUSD BE'!$Y$58</f>
        <v>0</v>
      </c>
      <c r="Z14" s="17">
        <f>'TUSD BE'!$Z$14*'TUSD BE'!$Z$58</f>
        <v>0</v>
      </c>
      <c r="AA14" s="17">
        <f>'TUSD BE'!$AA$14*'TUSD BE'!$AA$58</f>
        <v>0</v>
      </c>
      <c r="AB14" s="17">
        <f>SUM($U$14:$AA$14)</f>
        <v>0</v>
      </c>
      <c r="AC14" s="17">
        <f>'TUSD BE'!$AC$14*'TUSD BE'!$AC$58</f>
        <v>0</v>
      </c>
      <c r="AD14" s="17">
        <f>SUM($AC$14:$AC$14)</f>
        <v>0</v>
      </c>
      <c r="AE14" s="17">
        <f ca="1">$AO$14*$AO$55</f>
        <v>-1.2461857100869504</v>
      </c>
      <c r="AF14" s="17">
        <f ca="1">$AP$14*$AP$55</f>
        <v>0</v>
      </c>
      <c r="AG14" s="17">
        <f ca="1">SUM($AE$14:$AF$14)</f>
        <v>-1.2461857100869504</v>
      </c>
      <c r="AH14" s="17">
        <f>'TUSD BE'!$AH$14*'TUSD BE'!$AH$58</f>
        <v>2.0909956964107763E-2</v>
      </c>
      <c r="AI14" s="17">
        <f>'TUSD BE'!$AI$14*'TUSD BE'!$AI$58</f>
        <v>0</v>
      </c>
      <c r="AJ14" s="17">
        <f ca="1">'TUSD BE'!$AJ$14*'TUSD BE'!$AJ$58</f>
        <v>1.9523518920193234E-3</v>
      </c>
      <c r="AK14" s="17">
        <f ca="1">'TUSD BE'!$AK$14*'TUSD BE'!$AK$58</f>
        <v>0.10346740821665014</v>
      </c>
      <c r="AL14" s="17">
        <f ca="1">SUM($AH$14:$AK$14)</f>
        <v>0.12632971707277724</v>
      </c>
      <c r="AM14" s="17">
        <f ca="1">SUMIF($L$4:$AL$4,"SUBTOTAL",$L$14:$AL$14)</f>
        <v>-1.1390793009699058</v>
      </c>
      <c r="AO14" s="64">
        <f ca="1">+'TUSD BE'!$T$14+'TUSD BE'!$AB$14+'TUSD BE'!$AD$14+'TUSD BE'!$AL$14</f>
        <v>6.962968765651615</v>
      </c>
      <c r="AP14" s="64">
        <f ca="1">+'TUSD BE'!$T$14+'TUSD BE'!$AB$14+'TUSD BE'!$AD$14+'TUSD BE'!$AL$14</f>
        <v>6.962968765651615</v>
      </c>
    </row>
    <row r="15" spans="1:42" ht="11.25" customHeight="1" x14ac:dyDescent="0.25">
      <c r="A15" s="166" t="s">
        <v>89</v>
      </c>
      <c r="B15" s="166" t="s">
        <v>58</v>
      </c>
      <c r="C15" s="166" t="s">
        <v>25</v>
      </c>
      <c r="D15" s="166" t="s">
        <v>25</v>
      </c>
      <c r="E15" s="62" t="s">
        <v>90</v>
      </c>
      <c r="F15" s="62" t="s">
        <v>25</v>
      </c>
      <c r="G15" s="57" t="s">
        <v>9</v>
      </c>
      <c r="H15" s="57" t="s">
        <v>83</v>
      </c>
      <c r="I15" s="57">
        <f>'MERCADO TUSD'!$U$12+0.00000001</f>
        <v>1E-8</v>
      </c>
      <c r="J15" s="16"/>
      <c r="L15" s="17">
        <f>'TUSD BE'!$L$15*'TUSD BE'!$L$58</f>
        <v>0</v>
      </c>
      <c r="M15" s="17">
        <f>'TUSD BE'!$M$15*'TUSD BE'!$M$58</f>
        <v>-1.1320579323238901E-3</v>
      </c>
      <c r="N15" s="17">
        <f ca="1">'TUSD BE'!$N$15*'TUSD BE'!$N$58</f>
        <v>-2.0810036596144399E-9</v>
      </c>
      <c r="O15" s="17">
        <f>'TUSD BE'!$O$15*'TUSD BE'!$O$58</f>
        <v>0</v>
      </c>
      <c r="P15" s="17">
        <f>'TUSD BE'!$P$15*'TUSD BE'!$P$58</f>
        <v>0</v>
      </c>
      <c r="Q15" s="17">
        <f>'TUSD BE'!$Q$15*'TUSD BE'!$Q$58</f>
        <v>0</v>
      </c>
      <c r="R15" s="17">
        <f>'TUSD BE'!$R$15*'TUSD BE'!$R$58</f>
        <v>0</v>
      </c>
      <c r="S15" s="17">
        <f>'TUSD BE'!$R$15*'TUSD BE'!$S$58</f>
        <v>0</v>
      </c>
      <c r="T15" s="17">
        <f ca="1">SUM($L$15:$S$15)</f>
        <v>-1.1320600133275496E-3</v>
      </c>
      <c r="U15" s="17">
        <f>'TUSD BE'!$U$15*'TUSD BE'!$U$58</f>
        <v>0</v>
      </c>
      <c r="V15" s="17">
        <f>'TUSD BE'!$V$15*'TUSD BE'!$V$58</f>
        <v>0</v>
      </c>
      <c r="W15" s="17">
        <f>'TUSD BE'!$W$15*'TUSD BE'!$W$58</f>
        <v>0</v>
      </c>
      <c r="X15" s="17">
        <f>'TUSD BE'!$X$15*'TUSD BE'!$X$58</f>
        <v>0</v>
      </c>
      <c r="Y15" s="17">
        <f>'TUSD BE'!$Y$15*'TUSD BE'!$Y$58</f>
        <v>0</v>
      </c>
      <c r="Z15" s="17">
        <f>'TUSD BE'!$Z$15*'TUSD BE'!$Z$58</f>
        <v>0</v>
      </c>
      <c r="AA15" s="17">
        <f>'TUSD BE'!$AA$15*'TUSD BE'!$AA$58</f>
        <v>0</v>
      </c>
      <c r="AB15" s="17">
        <f>SUM($U$15:$AA$15)</f>
        <v>0</v>
      </c>
      <c r="AC15" s="17">
        <f>'TUSD BE'!$AC$15*'TUSD BE'!$AC$58</f>
        <v>-0.1076010339303493</v>
      </c>
      <c r="AD15" s="17">
        <f>SUM($AC$15:$AC$15)</f>
        <v>-0.1076010339303493</v>
      </c>
      <c r="AE15" s="17">
        <f ca="1">$AO$15*$AO$55</f>
        <v>-1.0504858034219009</v>
      </c>
      <c r="AF15" s="17">
        <f ca="1">$AP$15*$AP$55</f>
        <v>0</v>
      </c>
      <c r="AG15" s="17">
        <f ca="1">SUM($AE$15:$AF$15)</f>
        <v>-1.0504858034219009</v>
      </c>
      <c r="AH15" s="17">
        <f>'TUSD BE'!$AH$15*'TUSD BE'!$AH$58</f>
        <v>0</v>
      </c>
      <c r="AI15" s="17">
        <f>'TUSD BE'!$AI$15*'TUSD BE'!$AI$58</f>
        <v>0</v>
      </c>
      <c r="AJ15" s="17">
        <f ca="1">'TUSD BE'!$AJ$15*'TUSD BE'!$AJ$58</f>
        <v>0</v>
      </c>
      <c r="AK15" s="17">
        <f ca="1">'TUSD BE'!$AK$15*'TUSD BE'!$AK$58</f>
        <v>0</v>
      </c>
      <c r="AL15" s="17">
        <f ca="1">SUM($AH$15:$AK$15)</f>
        <v>0</v>
      </c>
      <c r="AM15" s="17">
        <f ca="1">SUMIF($L$4:$AL$4,"SUBTOTAL",$L$15:$AL$15)</f>
        <v>-1.1592188973655777</v>
      </c>
      <c r="AO15" s="64">
        <f ca="1">+'TUSD BE'!$T$15+'TUSD BE'!$AB$15+'TUSD BE'!$AD$15+'TUSD BE'!$AL$15</f>
        <v>5.8695102814786591</v>
      </c>
      <c r="AP15" s="64">
        <f ca="1">+'TUSD BE'!$T$15+'TUSD BE'!$AB$15+'TUSD BE'!$AD$15+'TUSD BE'!$AL$15</f>
        <v>5.8695102814786591</v>
      </c>
    </row>
    <row r="16" spans="1:42" ht="11.25" customHeight="1" x14ac:dyDescent="0.25">
      <c r="A16" s="166"/>
      <c r="B16" s="166"/>
      <c r="C16" s="166"/>
      <c r="D16" s="166"/>
      <c r="E16" s="62" t="s">
        <v>91</v>
      </c>
      <c r="F16" s="62" t="s">
        <v>25</v>
      </c>
      <c r="G16" s="57" t="s">
        <v>9</v>
      </c>
      <c r="H16" s="57" t="s">
        <v>83</v>
      </c>
      <c r="I16" s="57">
        <f>'MERCADO TUSD'!$U$13+0.00000001</f>
        <v>1E-8</v>
      </c>
      <c r="J16" s="16"/>
      <c r="L16" s="17">
        <f>'TUSD BE'!$L$16*'TUSD BE'!$L$58</f>
        <v>0</v>
      </c>
      <c r="M16" s="17">
        <f>'TUSD BE'!$M$16*'TUSD BE'!$M$58</f>
        <v>-1.1320579323238901E-3</v>
      </c>
      <c r="N16" s="17">
        <f ca="1">'TUSD BE'!$N$16*'TUSD BE'!$N$58</f>
        <v>-2.0810036596144399E-9</v>
      </c>
      <c r="O16" s="17">
        <f>'TUSD BE'!$O$16*'TUSD BE'!$O$58</f>
        <v>0</v>
      </c>
      <c r="P16" s="17">
        <f>'TUSD BE'!$P$16*'TUSD BE'!$P$58</f>
        <v>0</v>
      </c>
      <c r="Q16" s="17">
        <f>'TUSD BE'!$Q$16*'TUSD BE'!$Q$58</f>
        <v>0</v>
      </c>
      <c r="R16" s="17">
        <f>'TUSD BE'!$R$16*'TUSD BE'!$R$58</f>
        <v>0</v>
      </c>
      <c r="S16" s="17">
        <f>'TUSD BE'!$R$16*'TUSD BE'!$S$58</f>
        <v>0</v>
      </c>
      <c r="T16" s="17">
        <f ca="1">SUM($L$16:$S$16)</f>
        <v>-1.1320600133275496E-3</v>
      </c>
      <c r="U16" s="17">
        <f>'TUSD BE'!$U$16*'TUSD BE'!$U$58</f>
        <v>0</v>
      </c>
      <c r="V16" s="17">
        <f>'TUSD BE'!$V$16*'TUSD BE'!$V$58</f>
        <v>0</v>
      </c>
      <c r="W16" s="17">
        <f>'TUSD BE'!$W$16*'TUSD BE'!$W$58</f>
        <v>0</v>
      </c>
      <c r="X16" s="17">
        <f>'TUSD BE'!$X$16*'TUSD BE'!$X$58</f>
        <v>0</v>
      </c>
      <c r="Y16" s="17">
        <f>'TUSD BE'!$Y$16*'TUSD BE'!$Y$58</f>
        <v>0</v>
      </c>
      <c r="Z16" s="17">
        <f>'TUSD BE'!$Z$16*'TUSD BE'!$Z$58</f>
        <v>0</v>
      </c>
      <c r="AA16" s="17">
        <f>'TUSD BE'!$AA$16*'TUSD BE'!$AA$58</f>
        <v>0</v>
      </c>
      <c r="AB16" s="17">
        <f>SUM($U$16:$AA$16)</f>
        <v>0</v>
      </c>
      <c r="AC16" s="17">
        <f>'TUSD BE'!$AC$16*'TUSD BE'!$AC$58</f>
        <v>-0.17991648669484633</v>
      </c>
      <c r="AD16" s="17">
        <f>SUM($AC$16:$AC$16)</f>
        <v>-0.17991648669484633</v>
      </c>
      <c r="AE16" s="17">
        <f ca="1">$AO$16*$AO$55</f>
        <v>-1.7475731078938566</v>
      </c>
      <c r="AF16" s="17">
        <f ca="1">$AP$16*$AP$55</f>
        <v>0</v>
      </c>
      <c r="AG16" s="17">
        <f ca="1">SUM($AE$16:$AF$16)</f>
        <v>-1.7475731078938566</v>
      </c>
      <c r="AH16" s="17">
        <f>'TUSD BE'!$AH$16*'TUSD BE'!$AH$58</f>
        <v>0</v>
      </c>
      <c r="AI16" s="17">
        <f>'TUSD BE'!$AI$16*'TUSD BE'!$AI$58</f>
        <v>0</v>
      </c>
      <c r="AJ16" s="17">
        <f ca="1">'TUSD BE'!$AJ$16*'TUSD BE'!$AJ$58</f>
        <v>0</v>
      </c>
      <c r="AK16" s="17">
        <f ca="1">'TUSD BE'!$AK$16*'TUSD BE'!$AK$58</f>
        <v>0</v>
      </c>
      <c r="AL16" s="17">
        <f ca="1">SUM($AH$16:$AK$16)</f>
        <v>0</v>
      </c>
      <c r="AM16" s="17">
        <f ca="1">SUMIF($L$4:$AL$4,"SUBTOTAL",$L$16:$AL$16)</f>
        <v>-1.9286216546020305</v>
      </c>
      <c r="AO16" s="64">
        <f ca="1">+'TUSD BE'!$T$16+'TUSD BE'!$AB$16+'TUSD BE'!$AD$16+'TUSD BE'!$AL$16</f>
        <v>9.7644330756357505</v>
      </c>
      <c r="AP16" s="64">
        <f ca="1">+'TUSD BE'!$T$16+'TUSD BE'!$AB$16+'TUSD BE'!$AD$16+'TUSD BE'!$AL$16</f>
        <v>9.7644330756357505</v>
      </c>
    </row>
    <row r="17" spans="1:42" ht="11.25" customHeight="1" x14ac:dyDescent="0.25">
      <c r="A17" s="166" t="s">
        <v>22</v>
      </c>
      <c r="B17" s="166" t="s">
        <v>32</v>
      </c>
      <c r="C17" s="166" t="s">
        <v>24</v>
      </c>
      <c r="D17" s="166" t="s">
        <v>24</v>
      </c>
      <c r="E17" s="166" t="s">
        <v>25</v>
      </c>
      <c r="F17" s="166" t="s">
        <v>25</v>
      </c>
      <c r="G17" s="57" t="s">
        <v>79</v>
      </c>
      <c r="H17" s="57" t="s">
        <v>78</v>
      </c>
      <c r="I17" s="57">
        <f>'MERCADO TUSD'!$U$14</f>
        <v>2.7580000000000005</v>
      </c>
      <c r="J17" s="16"/>
      <c r="L17" s="17">
        <f>'TUSD BE'!$L$17*'TUSD BE'!$L$58</f>
        <v>-0.61365231628134631</v>
      </c>
      <c r="M17" s="17">
        <f>'TUSD BE'!$M$17*'TUSD BE'!$M$58</f>
        <v>-4.3268773577844089E-2</v>
      </c>
      <c r="N17" s="17">
        <f ca="1">'TUSD BE'!$N$17*'TUSD BE'!$N$58</f>
        <v>-2.6705343535791744E-7</v>
      </c>
      <c r="O17" s="17">
        <f>'TUSD BE'!$O$17*'TUSD BE'!$O$58</f>
        <v>0</v>
      </c>
      <c r="P17" s="17">
        <f>'TUSD BE'!$P$17*'TUSD BE'!$P$58</f>
        <v>0</v>
      </c>
      <c r="Q17" s="17">
        <f>'TUSD BE'!$Q$17*'TUSD BE'!$Q$58</f>
        <v>-3.3122159342143132</v>
      </c>
      <c r="R17" s="17">
        <f>'TUSD BE'!$R$17*'TUSD BE'!$R$58</f>
        <v>-0.5290859729511026</v>
      </c>
      <c r="S17" s="17">
        <f>'TUSD BE'!$R$17*'TUSD BE'!$S$58</f>
        <v>0</v>
      </c>
      <c r="T17" s="17">
        <f ca="1">SUM($L$17:$S$17)</f>
        <v>-4.4982232640780415</v>
      </c>
      <c r="U17" s="17">
        <f>'TUSD BE'!$U$17*'TUSD BE'!$U$58</f>
        <v>-3.1025245780863919</v>
      </c>
      <c r="V17" s="17">
        <f>'TUSD BE'!$V$17*'TUSD BE'!$V$58</f>
        <v>-2.1536551916124997</v>
      </c>
      <c r="W17" s="17">
        <f>'TUSD BE'!$W$17*'TUSD BE'!$W$58</f>
        <v>-0.21758673670331855</v>
      </c>
      <c r="X17" s="17">
        <f>'TUSD BE'!$X$17*'TUSD BE'!$X$58</f>
        <v>0</v>
      </c>
      <c r="Y17" s="17">
        <f>'TUSD BE'!$Y$17*'TUSD BE'!$Y$58</f>
        <v>0</v>
      </c>
      <c r="Z17" s="17">
        <f>'TUSD BE'!$Z$17*'TUSD BE'!$Z$58</f>
        <v>0</v>
      </c>
      <c r="AA17" s="17">
        <f>'TUSD BE'!$AA$17*'TUSD BE'!$AA$58</f>
        <v>0</v>
      </c>
      <c r="AB17" s="17">
        <f>SUM($U$17:$AA$17)</f>
        <v>-5.4737665064022103</v>
      </c>
      <c r="AC17" s="17">
        <f>'TUSD BE'!$AC$17*'TUSD BE'!$AC$58</f>
        <v>-10.551441000007662</v>
      </c>
      <c r="AD17" s="17">
        <f>SUM($AC$17:$AC$17)</f>
        <v>-10.551441000007662</v>
      </c>
      <c r="AE17" s="17">
        <f ca="1">$AO$17*$AO$55</f>
        <v>-161.60830589734135</v>
      </c>
      <c r="AF17" s="17">
        <f ca="1">$AP$17*$AP$55</f>
        <v>0</v>
      </c>
      <c r="AG17" s="17">
        <f ca="1">SUM($AE$17:$AF$17)</f>
        <v>-161.60830589734135</v>
      </c>
      <c r="AH17" s="17">
        <f>'TUSD BE'!$AH$17*'TUSD BE'!$AH$58</f>
        <v>7.3955910194548197E-2</v>
      </c>
      <c r="AI17" s="17">
        <f>'TUSD BE'!$AI$17*'TUSD BE'!$AI$58</f>
        <v>0</v>
      </c>
      <c r="AJ17" s="17">
        <f ca="1">'TUSD BE'!$AJ$17*'TUSD BE'!$AJ$58</f>
        <v>2.661359623736446E-3</v>
      </c>
      <c r="AK17" s="17">
        <f ca="1">'TUSD BE'!$AK$17*'TUSD BE'!$AK$58</f>
        <v>0.14104218800210214</v>
      </c>
      <c r="AL17" s="17">
        <f ca="1">SUM($AH$17:$AK$17)</f>
        <v>0.21765945782038676</v>
      </c>
      <c r="AM17" s="17">
        <f ca="1">SUMIF($L$4:$AL$4,"SUBTOTAL",$L$17:$AL$17)</f>
        <v>-181.91407721000888</v>
      </c>
      <c r="AO17" s="64">
        <f ca="1">+'TUSD BE'!$T$17+'TUSD BE'!$AB$17+'TUSD BE'!$AD$17+'TUSD BE'!$AL$17</f>
        <v>902.97423339459215</v>
      </c>
      <c r="AP17" s="64">
        <f ca="1">+'TUSD BE'!$T$17+'TUSD BE'!$AB$17+'TUSD BE'!$AD$17+'TUSD BE'!$AL$17</f>
        <v>902.97423339459215</v>
      </c>
    </row>
    <row r="18" spans="1:42" ht="11.25" customHeight="1" x14ac:dyDescent="0.25">
      <c r="A18" s="166"/>
      <c r="B18" s="166"/>
      <c r="C18" s="166"/>
      <c r="D18" s="166"/>
      <c r="E18" s="166"/>
      <c r="F18" s="166"/>
      <c r="G18" s="57" t="s">
        <v>92</v>
      </c>
      <c r="H18" s="57" t="s">
        <v>78</v>
      </c>
      <c r="I18" s="57">
        <f>'MERCADO TUSD'!$U$15</f>
        <v>1.9870000000000001</v>
      </c>
      <c r="J18" s="16"/>
      <c r="L18" s="17">
        <f>'TUSD BE'!$L$18*'TUSD BE'!$L$58</f>
        <v>-0.61365231628134631</v>
      </c>
      <c r="M18" s="17">
        <f>'TUSD BE'!$M$18*'TUSD BE'!$M$58</f>
        <v>-4.3268773577844089E-2</v>
      </c>
      <c r="N18" s="17">
        <f ca="1">'TUSD BE'!$N$18*'TUSD BE'!$N$58</f>
        <v>-1.4139488031079549E-7</v>
      </c>
      <c r="O18" s="17">
        <f>'TUSD BE'!$O$18*'TUSD BE'!$O$58</f>
        <v>0</v>
      </c>
      <c r="P18" s="17">
        <f>'TUSD BE'!$P$18*'TUSD BE'!$P$58</f>
        <v>0</v>
      </c>
      <c r="Q18" s="17">
        <f>'TUSD BE'!$Q$18*'TUSD BE'!$Q$58</f>
        <v>-3.3122159342143132</v>
      </c>
      <c r="R18" s="17">
        <f>'TUSD BE'!$R$18*'TUSD BE'!$R$58</f>
        <v>-0.5290859729511026</v>
      </c>
      <c r="S18" s="17">
        <f>'TUSD BE'!$R$18*'TUSD BE'!$S$58</f>
        <v>0</v>
      </c>
      <c r="T18" s="17">
        <f ca="1">SUM($L$18:$S$18)</f>
        <v>-4.4982231384194868</v>
      </c>
      <c r="U18" s="17">
        <f>'TUSD BE'!$U$18*'TUSD BE'!$U$58</f>
        <v>-1.5512645929197508</v>
      </c>
      <c r="V18" s="17">
        <f>'TUSD BE'!$V$18*'TUSD BE'!$V$58</f>
        <v>-1.0768254444787946</v>
      </c>
      <c r="W18" s="17">
        <f>'TUSD BE'!$W$18*'TUSD BE'!$W$58</f>
        <v>-0.10879409050662907</v>
      </c>
      <c r="X18" s="17">
        <f>'TUSD BE'!$X$18*'TUSD BE'!$X$58</f>
        <v>0</v>
      </c>
      <c r="Y18" s="17">
        <f>'TUSD BE'!$Y$18*'TUSD BE'!$Y$58</f>
        <v>0</v>
      </c>
      <c r="Z18" s="17">
        <f>'TUSD BE'!$Z$18*'TUSD BE'!$Z$58</f>
        <v>0</v>
      </c>
      <c r="AA18" s="17">
        <f>'TUSD BE'!$AA$18*'TUSD BE'!$AA$58</f>
        <v>0</v>
      </c>
      <c r="AB18" s="17">
        <f>SUM($U$18:$AA$18)</f>
        <v>-2.7368841279051743</v>
      </c>
      <c r="AC18" s="17">
        <f>'TUSD BE'!$AC$18*'TUSD BE'!$AC$58</f>
        <v>-5.275720500003831</v>
      </c>
      <c r="AD18" s="17">
        <f>SUM($AC$18:$AC$18)</f>
        <v>-5.275720500003831</v>
      </c>
      <c r="AE18" s="17">
        <f ca="1">$AO$18*$AO$55</f>
        <v>-92.555427717865925</v>
      </c>
      <c r="AF18" s="17">
        <f ca="1">$AP$18*$AP$55</f>
        <v>0</v>
      </c>
      <c r="AG18" s="17">
        <f ca="1">SUM($AE$18:$AF$18)</f>
        <v>-92.555427717865925</v>
      </c>
      <c r="AH18" s="17">
        <f>'TUSD BE'!$AH$18*'TUSD BE'!$AH$58</f>
        <v>7.3955910194548197E-2</v>
      </c>
      <c r="AI18" s="17">
        <f>'TUSD BE'!$AI$18*'TUSD BE'!$AI$58</f>
        <v>0</v>
      </c>
      <c r="AJ18" s="17">
        <f ca="1">'TUSD BE'!$AJ$18*'TUSD BE'!$AJ$58</f>
        <v>2.661359623736446E-3</v>
      </c>
      <c r="AK18" s="17">
        <f ca="1">'TUSD BE'!$AK$18*'TUSD BE'!$AK$58</f>
        <v>0.14104218800210214</v>
      </c>
      <c r="AL18" s="17">
        <f ca="1">SUM($AH$18:$AK$18)</f>
        <v>0.21765945782038676</v>
      </c>
      <c r="AM18" s="17">
        <f ca="1">SUMIF($L$4:$AL$4,"SUBTOTAL",$L$18:$AL$18)</f>
        <v>-104.84859602637403</v>
      </c>
      <c r="AO18" s="64">
        <f ca="1">+'TUSD BE'!$T$18+'TUSD BE'!$AB$18+'TUSD BE'!$AD$18+'TUSD BE'!$AL$18</f>
        <v>517.14647911189741</v>
      </c>
      <c r="AP18" s="64">
        <f ca="1">+'TUSD BE'!$T$18+'TUSD BE'!$AB$18+'TUSD BE'!$AD$18+'TUSD BE'!$AL$18</f>
        <v>517.14647911189741</v>
      </c>
    </row>
    <row r="19" spans="1:42" ht="11.25" customHeight="1" x14ac:dyDescent="0.25">
      <c r="A19" s="166"/>
      <c r="B19" s="166"/>
      <c r="C19" s="166"/>
      <c r="D19" s="166"/>
      <c r="E19" s="166"/>
      <c r="F19" s="166"/>
      <c r="G19" s="57" t="s">
        <v>80</v>
      </c>
      <c r="H19" s="57" t="s">
        <v>78</v>
      </c>
      <c r="I19" s="57">
        <f>'MERCADO TUSD'!$U$16</f>
        <v>16.794</v>
      </c>
      <c r="J19" s="16"/>
      <c r="L19" s="17">
        <f>'TUSD BE'!$L$19*'TUSD BE'!$L$58</f>
        <v>-0.61365231628134631</v>
      </c>
      <c r="M19" s="17">
        <f>'TUSD BE'!$M$19*'TUSD BE'!$M$58</f>
        <v>-4.3268773577844089E-2</v>
      </c>
      <c r="N19" s="17">
        <f ca="1">'TUSD BE'!$N$19*'TUSD BE'!$N$58</f>
        <v>-4.0868021746021743E-8</v>
      </c>
      <c r="O19" s="17">
        <f>'TUSD BE'!$O$19*'TUSD BE'!$O$58</f>
        <v>0</v>
      </c>
      <c r="P19" s="17">
        <f>'TUSD BE'!$P$19*'TUSD BE'!$P$58</f>
        <v>0</v>
      </c>
      <c r="Q19" s="17">
        <f>'TUSD BE'!$Q$19*'TUSD BE'!$Q$58</f>
        <v>-3.3122159342143132</v>
      </c>
      <c r="R19" s="17">
        <f>'TUSD BE'!$R$19*'TUSD BE'!$R$58</f>
        <v>-0.5290859729511026</v>
      </c>
      <c r="S19" s="17">
        <f>'TUSD BE'!$R$19*'TUSD BE'!$S$58</f>
        <v>0</v>
      </c>
      <c r="T19" s="17">
        <f ca="1">SUM($L$19:$S$19)</f>
        <v>-4.498223037892628</v>
      </c>
      <c r="U19" s="17">
        <f>'TUSD BE'!$U$19*'TUSD BE'!$U$58</f>
        <v>-0.31025384013457208</v>
      </c>
      <c r="V19" s="17">
        <f>'TUSD BE'!$V$19*'TUSD BE'!$V$58</f>
        <v>-0.21536508889575889</v>
      </c>
      <c r="W19" s="17">
        <f>'TUSD BE'!$W$19*'TUSD BE'!$W$58</f>
        <v>-2.1758529239337902E-2</v>
      </c>
      <c r="X19" s="17">
        <f>'TUSD BE'!$X$19*'TUSD BE'!$X$58</f>
        <v>0</v>
      </c>
      <c r="Y19" s="17">
        <f>'TUSD BE'!$Y$19*'TUSD BE'!$Y$58</f>
        <v>0</v>
      </c>
      <c r="Z19" s="17">
        <f>'TUSD BE'!$Z$19*'TUSD BE'!$Z$58</f>
        <v>0</v>
      </c>
      <c r="AA19" s="17">
        <f>'TUSD BE'!$AA$19*'TUSD BE'!$AA$58</f>
        <v>0</v>
      </c>
      <c r="AB19" s="17">
        <f>SUM($U$19:$AA$19)</f>
        <v>-0.54737745826966888</v>
      </c>
      <c r="AC19" s="17">
        <f>'TUSD BE'!$AC$19*'TUSD BE'!$AC$58</f>
        <v>-1.0551448542885211</v>
      </c>
      <c r="AD19" s="17">
        <f>SUM($AC$19:$AC$19)</f>
        <v>-1.0551448542885211</v>
      </c>
      <c r="AE19" s="17">
        <f ca="1">$AO$19*$AO$55</f>
        <v>-37.313122159108744</v>
      </c>
      <c r="AF19" s="17">
        <f ca="1">$AP$19*$AP$55</f>
        <v>0</v>
      </c>
      <c r="AG19" s="17">
        <f ca="1">SUM($AE$19:$AF$19)</f>
        <v>-37.313122159108744</v>
      </c>
      <c r="AH19" s="17">
        <f>'TUSD BE'!$AH$19*'TUSD BE'!$AH$58</f>
        <v>7.3955910194548197E-2</v>
      </c>
      <c r="AI19" s="17">
        <f>'TUSD BE'!$AI$19*'TUSD BE'!$AI$58</f>
        <v>0</v>
      </c>
      <c r="AJ19" s="17">
        <f ca="1">'TUSD BE'!$AJ$19*'TUSD BE'!$AJ$58</f>
        <v>2.661359623736446E-3</v>
      </c>
      <c r="AK19" s="17">
        <f ca="1">'TUSD BE'!$AK$19*'TUSD BE'!$AK$58</f>
        <v>0.14104218800210214</v>
      </c>
      <c r="AL19" s="17">
        <f ca="1">SUM($AH$19:$AK$19)</f>
        <v>0.21765945782038676</v>
      </c>
      <c r="AM19" s="17">
        <f ca="1">SUMIF($L$4:$AL$4,"SUBTOTAL",$L$19:$AL$19)</f>
        <v>-43.196208051739177</v>
      </c>
      <c r="AO19" s="64">
        <f ca="1">+'TUSD BE'!$T$19+'TUSD BE'!$AB$19+'TUSD BE'!$AD$19+'TUSD BE'!$AL$19</f>
        <v>208.48425883866824</v>
      </c>
      <c r="AP19" s="64">
        <f ca="1">+'TUSD BE'!$T$19+'TUSD BE'!$AB$19+'TUSD BE'!$AD$19+'TUSD BE'!$AL$19</f>
        <v>208.48425883866824</v>
      </c>
    </row>
    <row r="20" spans="1:42" ht="11.25" customHeight="1" x14ac:dyDescent="0.25">
      <c r="A20" s="166"/>
      <c r="B20" s="166" t="s">
        <v>23</v>
      </c>
      <c r="C20" s="166" t="s">
        <v>24</v>
      </c>
      <c r="D20" s="62" t="s">
        <v>24</v>
      </c>
      <c r="E20" s="62" t="s">
        <v>25</v>
      </c>
      <c r="F20" s="62" t="s">
        <v>25</v>
      </c>
      <c r="G20" s="57" t="s">
        <v>82</v>
      </c>
      <c r="H20" s="57" t="s">
        <v>78</v>
      </c>
      <c r="I20" s="57">
        <f>'MERCADO TUSD'!$U$17</f>
        <v>38061.052999999993</v>
      </c>
      <c r="J20" s="16"/>
      <c r="L20" s="17">
        <f>'TUSD BE'!$L$20*'TUSD BE'!$L$58</f>
        <v>-0.61365231628134631</v>
      </c>
      <c r="M20" s="17">
        <f>'TUSD BE'!$M$20*'TUSD BE'!$M$58</f>
        <v>-4.3268773577844089E-2</v>
      </c>
      <c r="N20" s="17">
        <f ca="1">'TUSD BE'!$N$20*'TUSD BE'!$N$58</f>
        <v>-9.1892996678294415E-8</v>
      </c>
      <c r="O20" s="17">
        <f>'TUSD BE'!$O$20*'TUSD BE'!$O$58</f>
        <v>0</v>
      </c>
      <c r="P20" s="17">
        <f>'TUSD BE'!$P$20*'TUSD BE'!$P$58</f>
        <v>0</v>
      </c>
      <c r="Q20" s="17">
        <f>'TUSD BE'!$Q$20*'TUSD BE'!$Q$58</f>
        <v>-3.3122159342143132</v>
      </c>
      <c r="R20" s="17">
        <f>'TUSD BE'!$R$20*'TUSD BE'!$R$58</f>
        <v>-0.5290859729511026</v>
      </c>
      <c r="S20" s="17">
        <f>'TUSD BE'!$R$20*'TUSD BE'!$S$58</f>
        <v>0</v>
      </c>
      <c r="T20" s="17">
        <f ca="1">SUM($L$20:$S$20)</f>
        <v>-4.4982230889176034</v>
      </c>
      <c r="U20" s="17">
        <f>'TUSD BE'!$U$20*'TUSD BE'!$U$58</f>
        <v>-0.94015672899436853</v>
      </c>
      <c r="V20" s="17">
        <f>'TUSD BE'!$V$20*'TUSD BE'!$V$58</f>
        <v>-0.65262239418667467</v>
      </c>
      <c r="W20" s="17">
        <f>'TUSD BE'!$W$20*'TUSD BE'!$W$58</f>
        <v>-6.5935637360388571E-2</v>
      </c>
      <c r="X20" s="17">
        <f>'TUSD BE'!$X$20*'TUSD BE'!$X$58</f>
        <v>0</v>
      </c>
      <c r="Y20" s="17">
        <f>'TUSD BE'!$Y$20*'TUSD BE'!$Y$58</f>
        <v>0</v>
      </c>
      <c r="Z20" s="17">
        <f>'TUSD BE'!$Z$20*'TUSD BE'!$Z$58</f>
        <v>0</v>
      </c>
      <c r="AA20" s="17">
        <f>'TUSD BE'!$AA$20*'TUSD BE'!$AA$58</f>
        <v>0</v>
      </c>
      <c r="AB20" s="17">
        <f>SUM($U$20:$AA$20)</f>
        <v>-1.6587147605414319</v>
      </c>
      <c r="AC20" s="17">
        <f>'TUSD BE'!$AC$20*'TUSD BE'!$AC$58</f>
        <v>-3.1974069350688032</v>
      </c>
      <c r="AD20" s="17">
        <f>SUM($AC$20:$AC$20)</f>
        <v>-3.1974069350688032</v>
      </c>
      <c r="AE20" s="17">
        <f ca="1">$AO$20*$AO$55</f>
        <v>-65.352761649010233</v>
      </c>
      <c r="AF20" s="17">
        <f ca="1">$AP$20*$AP$55</f>
        <v>0</v>
      </c>
      <c r="AG20" s="17">
        <f ca="1">SUM($AE$20:$AF$20)</f>
        <v>-65.352761649010233</v>
      </c>
      <c r="AH20" s="17">
        <f>'TUSD BE'!$AH$20*'TUSD BE'!$AH$58</f>
        <v>7.3955910194548197E-2</v>
      </c>
      <c r="AI20" s="17">
        <f>'TUSD BE'!$AI$20*'TUSD BE'!$AI$58</f>
        <v>0</v>
      </c>
      <c r="AJ20" s="17">
        <f ca="1">'TUSD BE'!$AJ$20*'TUSD BE'!$AJ$58</f>
        <v>2.661359623736446E-3</v>
      </c>
      <c r="AK20" s="17">
        <f ca="1">'TUSD BE'!$AK$20*'TUSD BE'!$AK$58</f>
        <v>0.14104218800210214</v>
      </c>
      <c r="AL20" s="17">
        <f ca="1">SUM($AH$20:$AK$20)</f>
        <v>0.21765945782038676</v>
      </c>
      <c r="AM20" s="17">
        <f ca="1">SUMIF($L$4:$AL$4,"SUBTOTAL",$L$20:$AL$20)</f>
        <v>-74.489446975717684</v>
      </c>
      <c r="AO20" s="64">
        <f ca="1">+'TUSD BE'!$T$20+'TUSD BE'!$AB$20+'TUSD BE'!$AD$20+'TUSD BE'!$AL$20</f>
        <v>365.15363194092691</v>
      </c>
      <c r="AP20" s="64">
        <f ca="1">+'TUSD BE'!$T$20+'TUSD BE'!$AB$20+'TUSD BE'!$AD$20+'TUSD BE'!$AL$20</f>
        <v>365.15363194092691</v>
      </c>
    </row>
    <row r="21" spans="1:42" ht="11.25" customHeight="1" x14ac:dyDescent="0.25">
      <c r="A21" s="166"/>
      <c r="B21" s="166"/>
      <c r="C21" s="166"/>
      <c r="D21" s="62" t="s">
        <v>28</v>
      </c>
      <c r="E21" s="62" t="s">
        <v>25</v>
      </c>
      <c r="F21" s="62" t="s">
        <v>25</v>
      </c>
      <c r="G21" s="57" t="s">
        <v>82</v>
      </c>
      <c r="H21" s="57" t="s">
        <v>78</v>
      </c>
      <c r="I21" s="57">
        <f>'MERCADO TUSD'!$U$18</f>
        <v>264.92899999999997</v>
      </c>
      <c r="J21" s="16"/>
      <c r="L21" s="17">
        <f>'TUSD BE'!$L$21*'TUSD BE'!$L$58</f>
        <v>0</v>
      </c>
      <c r="M21" s="17">
        <f>'TUSD BE'!$M$21*'TUSD BE'!$M$58</f>
        <v>-4.3268773577844089E-2</v>
      </c>
      <c r="N21" s="17">
        <f ca="1">'TUSD BE'!$N$21*'TUSD BE'!$N$58</f>
        <v>-9.1529819774347705E-8</v>
      </c>
      <c r="O21" s="17">
        <f>'TUSD BE'!$O$21*'TUSD BE'!$O$58</f>
        <v>0</v>
      </c>
      <c r="P21" s="17">
        <f>'TUSD BE'!$P$21*'TUSD BE'!$P$58</f>
        <v>0</v>
      </c>
      <c r="Q21" s="17">
        <f>'TUSD BE'!$Q$21*'TUSD BE'!$Q$58</f>
        <v>0</v>
      </c>
      <c r="R21" s="17">
        <f>'TUSD BE'!$R$21*'TUSD BE'!$R$58</f>
        <v>0</v>
      </c>
      <c r="S21" s="17">
        <f>'TUSD BE'!$R$21*'TUSD BE'!$S$58</f>
        <v>0</v>
      </c>
      <c r="T21" s="17">
        <f ca="1">SUM($L$21:$S$21)</f>
        <v>-4.3268865107663861E-2</v>
      </c>
      <c r="U21" s="17">
        <f>'TUSD BE'!$U$21*'TUSD BE'!$U$58</f>
        <v>-0.94015672899436853</v>
      </c>
      <c r="V21" s="17">
        <f>'TUSD BE'!$V$21*'TUSD BE'!$V$58</f>
        <v>-0.65262239418667467</v>
      </c>
      <c r="W21" s="17">
        <f>'TUSD BE'!$W$21*'TUSD BE'!$W$58</f>
        <v>-6.5935637360388571E-2</v>
      </c>
      <c r="X21" s="17">
        <f>'TUSD BE'!$X$21*'TUSD BE'!$X$58</f>
        <v>0</v>
      </c>
      <c r="Y21" s="17">
        <f>'TUSD BE'!$Y$21*'TUSD BE'!$Y$58</f>
        <v>0</v>
      </c>
      <c r="Z21" s="17">
        <f>'TUSD BE'!$Z$21*'TUSD BE'!$Z$58</f>
        <v>0</v>
      </c>
      <c r="AA21" s="17">
        <f>'TUSD BE'!$AA$21*'TUSD BE'!$AA$58</f>
        <v>0</v>
      </c>
      <c r="AB21" s="17">
        <f>SUM($U$21:$AA$21)</f>
        <v>-1.6587147605414319</v>
      </c>
      <c r="AC21" s="17">
        <f>'TUSD BE'!$AC$21*'TUSD BE'!$AC$58</f>
        <v>-3.1974069350688032</v>
      </c>
      <c r="AD21" s="17">
        <f>SUM($AC$21:$AC$21)</f>
        <v>-3.1974069350688032</v>
      </c>
      <c r="AE21" s="17">
        <f ca="1">$AO$21*$AO$55</f>
        <v>-45.865910380805602</v>
      </c>
      <c r="AF21" s="17">
        <f ca="1">$AP$21*$AP$55</f>
        <v>0</v>
      </c>
      <c r="AG21" s="17">
        <f ca="1">SUM($AE$21:$AF$21)</f>
        <v>-45.865910380805602</v>
      </c>
      <c r="AH21" s="17">
        <f>'TUSD BE'!$AH$21*'TUSD BE'!$AH$58</f>
        <v>7.3955910194548197E-2</v>
      </c>
      <c r="AI21" s="17">
        <f>'TUSD BE'!$AI$21*'TUSD BE'!$AI$58</f>
        <v>0</v>
      </c>
      <c r="AJ21" s="17">
        <f ca="1">'TUSD BE'!$AJ$21*'TUSD BE'!$AJ$58</f>
        <v>2.661359623736446E-3</v>
      </c>
      <c r="AK21" s="17">
        <f ca="1">'TUSD BE'!$AK$21*'TUSD BE'!$AK$58</f>
        <v>0.14104218800210214</v>
      </c>
      <c r="AL21" s="17">
        <f ca="1">SUM($AH$21:$AK$21)</f>
        <v>0.21765945782038676</v>
      </c>
      <c r="AM21" s="17">
        <f ca="1">SUMIF($L$4:$AL$4,"SUBTOTAL",$L$21:$AL$21)</f>
        <v>-50.54764148370311</v>
      </c>
      <c r="AO21" s="64">
        <f ca="1">+'TUSD BE'!$T$21+'TUSD BE'!$AB$21+'TUSD BE'!$AD$21+'TUSD BE'!$AL$21</f>
        <v>256.27231864779014</v>
      </c>
      <c r="AP21" s="64">
        <f ca="1">+'TUSD BE'!$T$21+'TUSD BE'!$AB$21+'TUSD BE'!$AD$21+'TUSD BE'!$AL$21</f>
        <v>256.27231864779014</v>
      </c>
    </row>
    <row r="22" spans="1:42" ht="11.25" customHeight="1" x14ac:dyDescent="0.25">
      <c r="A22" s="166"/>
      <c r="B22" s="166"/>
      <c r="C22" s="166"/>
      <c r="D22" s="62" t="s">
        <v>29</v>
      </c>
      <c r="E22" s="62" t="s">
        <v>25</v>
      </c>
      <c r="F22" s="62" t="s">
        <v>25</v>
      </c>
      <c r="G22" s="57" t="s">
        <v>82</v>
      </c>
      <c r="H22" s="57" t="s">
        <v>78</v>
      </c>
      <c r="I22" s="57">
        <f>'MERCADO TUSD'!$U$19</f>
        <v>546.98300000000006</v>
      </c>
      <c r="J22" s="16"/>
      <c r="L22" s="17">
        <f>'TUSD BE'!$L$22*'TUSD BE'!$L$58</f>
        <v>0</v>
      </c>
      <c r="M22" s="17">
        <f>'TUSD BE'!$M$22*'TUSD BE'!$M$58</f>
        <v>-4.3268773577844089E-2</v>
      </c>
      <c r="N22" s="17">
        <f ca="1">'TUSD BE'!$N$22*'TUSD BE'!$N$58</f>
        <v>-9.1529819774347705E-8</v>
      </c>
      <c r="O22" s="17">
        <f>'TUSD BE'!$O$22*'TUSD BE'!$O$58</f>
        <v>0</v>
      </c>
      <c r="P22" s="17">
        <f>'TUSD BE'!$P$22*'TUSD BE'!$P$58</f>
        <v>0</v>
      </c>
      <c r="Q22" s="17">
        <f>'TUSD BE'!$Q$22*'TUSD BE'!$Q$58</f>
        <v>0</v>
      </c>
      <c r="R22" s="17">
        <f>'TUSD BE'!$R$22*'TUSD BE'!$R$58</f>
        <v>0</v>
      </c>
      <c r="S22" s="17">
        <f>'TUSD BE'!$R$22*'TUSD BE'!$S$58</f>
        <v>0</v>
      </c>
      <c r="T22" s="17">
        <f ca="1">SUM($L$22:$S$22)</f>
        <v>-4.3268865107663861E-2</v>
      </c>
      <c r="U22" s="17">
        <f>'TUSD BE'!$U$22*'TUSD BE'!$U$58</f>
        <v>-0.94015672899436853</v>
      </c>
      <c r="V22" s="17">
        <f>'TUSD BE'!$V$22*'TUSD BE'!$V$58</f>
        <v>-0.65262239418667467</v>
      </c>
      <c r="W22" s="17">
        <f>'TUSD BE'!$W$22*'TUSD BE'!$W$58</f>
        <v>-6.5935637360388571E-2</v>
      </c>
      <c r="X22" s="17">
        <f>'TUSD BE'!$X$22*'TUSD BE'!$X$58</f>
        <v>0</v>
      </c>
      <c r="Y22" s="17">
        <f>'TUSD BE'!$Y$22*'TUSD BE'!$Y$58</f>
        <v>0</v>
      </c>
      <c r="Z22" s="17">
        <f>'TUSD BE'!$Z$22*'TUSD BE'!$Z$58</f>
        <v>0</v>
      </c>
      <c r="AA22" s="17">
        <f>'TUSD BE'!$AA$22*'TUSD BE'!$AA$58</f>
        <v>0</v>
      </c>
      <c r="AB22" s="17">
        <f>SUM($U$22:$AA$22)</f>
        <v>-1.6587147605414319</v>
      </c>
      <c r="AC22" s="17">
        <f>'TUSD BE'!$AC$22*'TUSD BE'!$AC$58</f>
        <v>-3.1974069350688032</v>
      </c>
      <c r="AD22" s="17">
        <f>SUM($AC$22:$AC$22)</f>
        <v>-3.1974069350688032</v>
      </c>
      <c r="AE22" s="17">
        <f ca="1">$AO$22*$AO$55</f>
        <v>-45.865910380805602</v>
      </c>
      <c r="AF22" s="17">
        <f ca="1">$AP$22*$AP$55</f>
        <v>0</v>
      </c>
      <c r="AG22" s="17">
        <f ca="1">SUM($AE$22:$AF$22)</f>
        <v>-45.865910380805602</v>
      </c>
      <c r="AH22" s="17">
        <f>'TUSD BE'!$AH$22*'TUSD BE'!$AH$58</f>
        <v>7.3955910194548197E-2</v>
      </c>
      <c r="AI22" s="17">
        <f>'TUSD BE'!$AI$22*'TUSD BE'!$AI$58</f>
        <v>0</v>
      </c>
      <c r="AJ22" s="17">
        <f ca="1">'TUSD BE'!$AJ$22*'TUSD BE'!$AJ$58</f>
        <v>2.661359623736446E-3</v>
      </c>
      <c r="AK22" s="17">
        <f ca="1">'TUSD BE'!$AK$22*'TUSD BE'!$AK$58</f>
        <v>0.14104218800210214</v>
      </c>
      <c r="AL22" s="17">
        <f ca="1">SUM($AH$22:$AK$22)</f>
        <v>0.21765945782038676</v>
      </c>
      <c r="AM22" s="17">
        <f ca="1">SUMIF($L$4:$AL$4,"SUBTOTAL",$L$22:$AL$22)</f>
        <v>-50.54764148370311</v>
      </c>
      <c r="AO22" s="64">
        <f ca="1">+'TUSD BE'!$T$22+'TUSD BE'!$AB$22+'TUSD BE'!$AD$22+'TUSD BE'!$AL$22</f>
        <v>256.27231864779014</v>
      </c>
      <c r="AP22" s="64">
        <f ca="1">+'TUSD BE'!$T$22+'TUSD BE'!$AB$22+'TUSD BE'!$AD$22+'TUSD BE'!$AL$22</f>
        <v>256.27231864779014</v>
      </c>
    </row>
    <row r="23" spans="1:42" ht="11.25" customHeight="1" x14ac:dyDescent="0.25">
      <c r="A23" s="166"/>
      <c r="B23" s="166"/>
      <c r="C23" s="166"/>
      <c r="D23" s="62" t="s">
        <v>30</v>
      </c>
      <c r="E23" s="62" t="s">
        <v>25</v>
      </c>
      <c r="F23" s="62" t="s">
        <v>25</v>
      </c>
      <c r="G23" s="57" t="s">
        <v>82</v>
      </c>
      <c r="H23" s="57" t="s">
        <v>78</v>
      </c>
      <c r="I23" s="57">
        <f>'MERCADO TUSD'!$U$20</f>
        <v>480.18299999999999</v>
      </c>
      <c r="J23" s="16"/>
      <c r="L23" s="17">
        <f>'TUSD BE'!$L$23*'TUSD BE'!$L$58</f>
        <v>0</v>
      </c>
      <c r="M23" s="17">
        <f>'TUSD BE'!$M$23*'TUSD BE'!$M$58</f>
        <v>-4.3268773577844089E-2</v>
      </c>
      <c r="N23" s="17">
        <f ca="1">'TUSD BE'!$N$23*'TUSD BE'!$N$58</f>
        <v>-9.1529819774347705E-8</v>
      </c>
      <c r="O23" s="17">
        <f>'TUSD BE'!$O$23*'TUSD BE'!$O$58</f>
        <v>0</v>
      </c>
      <c r="P23" s="17">
        <f>'TUSD BE'!$P$23*'TUSD BE'!$P$58</f>
        <v>0</v>
      </c>
      <c r="Q23" s="17">
        <f>'TUSD BE'!$Q$23*'TUSD BE'!$Q$58</f>
        <v>0</v>
      </c>
      <c r="R23" s="17">
        <f>'TUSD BE'!$R$23*'TUSD BE'!$R$58</f>
        <v>0</v>
      </c>
      <c r="S23" s="17">
        <f>'TUSD BE'!$R$23*'TUSD BE'!$S$58</f>
        <v>0</v>
      </c>
      <c r="T23" s="17">
        <f ca="1">SUM($L$23:$S$23)</f>
        <v>-4.3268865107663861E-2</v>
      </c>
      <c r="U23" s="17">
        <f>'TUSD BE'!$U$23*'TUSD BE'!$U$58</f>
        <v>-0.94015672899436853</v>
      </c>
      <c r="V23" s="17">
        <f>'TUSD BE'!$V$23*'TUSD BE'!$V$58</f>
        <v>-0.65262239418667467</v>
      </c>
      <c r="W23" s="17">
        <f>'TUSD BE'!$W$23*'TUSD BE'!$W$58</f>
        <v>-6.5935637360388571E-2</v>
      </c>
      <c r="X23" s="17">
        <f>'TUSD BE'!$X$23*'TUSD BE'!$X$58</f>
        <v>0</v>
      </c>
      <c r="Y23" s="17">
        <f>'TUSD BE'!$Y$23*'TUSD BE'!$Y$58</f>
        <v>0</v>
      </c>
      <c r="Z23" s="17">
        <f>'TUSD BE'!$Z$23*'TUSD BE'!$Z$58</f>
        <v>0</v>
      </c>
      <c r="AA23" s="17">
        <f>'TUSD BE'!$AA$23*'TUSD BE'!$AA$58</f>
        <v>0</v>
      </c>
      <c r="AB23" s="17">
        <f>SUM($U$23:$AA$23)</f>
        <v>-1.6587147605414319</v>
      </c>
      <c r="AC23" s="17">
        <f>'TUSD BE'!$AC$23*'TUSD BE'!$AC$58</f>
        <v>-3.1974069350688032</v>
      </c>
      <c r="AD23" s="17">
        <f>SUM($AC$23:$AC$23)</f>
        <v>-3.1974069350688032</v>
      </c>
      <c r="AE23" s="17">
        <f ca="1">$AO$23*$AO$55</f>
        <v>-45.865910380805602</v>
      </c>
      <c r="AF23" s="17">
        <f ca="1">$AP$23*$AP$55</f>
        <v>0</v>
      </c>
      <c r="AG23" s="17">
        <f ca="1">SUM($AE$23:$AF$23)</f>
        <v>-45.865910380805602</v>
      </c>
      <c r="AH23" s="17">
        <f>'TUSD BE'!$AH$23*'TUSD BE'!$AH$58</f>
        <v>7.3955910194548197E-2</v>
      </c>
      <c r="AI23" s="17">
        <f>'TUSD BE'!$AI$23*'TUSD BE'!$AI$58</f>
        <v>0</v>
      </c>
      <c r="AJ23" s="17">
        <f ca="1">'TUSD BE'!$AJ$23*'TUSD BE'!$AJ$58</f>
        <v>2.661359623736446E-3</v>
      </c>
      <c r="AK23" s="17">
        <f ca="1">'TUSD BE'!$AK$23*'TUSD BE'!$AK$58</f>
        <v>0.14104218800210214</v>
      </c>
      <c r="AL23" s="17">
        <f ca="1">SUM($AH$23:$AK$23)</f>
        <v>0.21765945782038676</v>
      </c>
      <c r="AM23" s="17">
        <f ca="1">SUMIF($L$4:$AL$4,"SUBTOTAL",$L$23:$AL$23)</f>
        <v>-50.54764148370311</v>
      </c>
      <c r="AO23" s="64">
        <f ca="1">+'TUSD BE'!$T$23+'TUSD BE'!$AB$23+'TUSD BE'!$AD$23+'TUSD BE'!$AL$23</f>
        <v>256.27231864779014</v>
      </c>
      <c r="AP23" s="64">
        <f ca="1">+'TUSD BE'!$T$23+'TUSD BE'!$AB$23+'TUSD BE'!$AD$23+'TUSD BE'!$AL$23</f>
        <v>256.27231864779014</v>
      </c>
    </row>
    <row r="24" spans="1:42" ht="11.25" customHeight="1" x14ac:dyDescent="0.25">
      <c r="A24" s="166"/>
      <c r="B24" s="166"/>
      <c r="C24" s="166"/>
      <c r="D24" s="62" t="s">
        <v>31</v>
      </c>
      <c r="E24" s="62" t="s">
        <v>25</v>
      </c>
      <c r="F24" s="62" t="s">
        <v>25</v>
      </c>
      <c r="G24" s="57" t="s">
        <v>82</v>
      </c>
      <c r="H24" s="57" t="s">
        <v>78</v>
      </c>
      <c r="I24" s="57">
        <f>'MERCADO TUSD'!$U$21</f>
        <v>145.91099999999997</v>
      </c>
      <c r="J24" s="16"/>
      <c r="L24" s="17">
        <f>'TUSD BE'!$L$24*'TUSD BE'!$L$58</f>
        <v>0</v>
      </c>
      <c r="M24" s="17">
        <f>'TUSD BE'!$M$24*'TUSD BE'!$M$58</f>
        <v>-4.3268773577844089E-2</v>
      </c>
      <c r="N24" s="17">
        <f ca="1">'TUSD BE'!$N$24*'TUSD BE'!$N$58</f>
        <v>-9.1529819774347705E-8</v>
      </c>
      <c r="O24" s="17">
        <f>'TUSD BE'!$O$24*'TUSD BE'!$O$58</f>
        <v>0</v>
      </c>
      <c r="P24" s="17">
        <f>'TUSD BE'!$P$24*'TUSD BE'!$P$58</f>
        <v>0</v>
      </c>
      <c r="Q24" s="17">
        <f>'TUSD BE'!$Q$24*'TUSD BE'!$Q$58</f>
        <v>0</v>
      </c>
      <c r="R24" s="17">
        <f>'TUSD BE'!$R$24*'TUSD BE'!$R$58</f>
        <v>0</v>
      </c>
      <c r="S24" s="17">
        <f>'TUSD BE'!$R$24*'TUSD BE'!$S$58</f>
        <v>0</v>
      </c>
      <c r="T24" s="17">
        <f ca="1">SUM($L$24:$S$24)</f>
        <v>-4.3268865107663861E-2</v>
      </c>
      <c r="U24" s="17">
        <f>'TUSD BE'!$U$24*'TUSD BE'!$U$58</f>
        <v>-0.94015672899436853</v>
      </c>
      <c r="V24" s="17">
        <f>'TUSD BE'!$V$24*'TUSD BE'!$V$58</f>
        <v>-0.65262239418667467</v>
      </c>
      <c r="W24" s="17">
        <f>'TUSD BE'!$W$24*'TUSD BE'!$W$58</f>
        <v>-6.5935637360388571E-2</v>
      </c>
      <c r="X24" s="17">
        <f>'TUSD BE'!$X$24*'TUSD BE'!$X$58</f>
        <v>0</v>
      </c>
      <c r="Y24" s="17">
        <f>'TUSD BE'!$Y$24*'TUSD BE'!$Y$58</f>
        <v>0</v>
      </c>
      <c r="Z24" s="17">
        <f>'TUSD BE'!$Z$24*'TUSD BE'!$Z$58</f>
        <v>0</v>
      </c>
      <c r="AA24" s="17">
        <f>'TUSD BE'!$AA$24*'TUSD BE'!$AA$58</f>
        <v>0</v>
      </c>
      <c r="AB24" s="17">
        <f>SUM($U$24:$AA$24)</f>
        <v>-1.6587147605414319</v>
      </c>
      <c r="AC24" s="17">
        <f>'TUSD BE'!$AC$24*'TUSD BE'!$AC$58</f>
        <v>-3.1974069350688032</v>
      </c>
      <c r="AD24" s="17">
        <f>SUM($AC$24:$AC$24)</f>
        <v>-3.1974069350688032</v>
      </c>
      <c r="AE24" s="17">
        <f ca="1">$AO$24*$AO$55</f>
        <v>-45.865910380805602</v>
      </c>
      <c r="AF24" s="17">
        <f ca="1">$AP$24*$AP$55</f>
        <v>0</v>
      </c>
      <c r="AG24" s="17">
        <f ca="1">SUM($AE$24:$AF$24)</f>
        <v>-45.865910380805602</v>
      </c>
      <c r="AH24" s="17">
        <f>'TUSD BE'!$AH$24*'TUSD BE'!$AH$58</f>
        <v>7.3955910194548197E-2</v>
      </c>
      <c r="AI24" s="17">
        <f>'TUSD BE'!$AI$24*'TUSD BE'!$AI$58</f>
        <v>0</v>
      </c>
      <c r="AJ24" s="17">
        <f ca="1">'TUSD BE'!$AJ$24*'TUSD BE'!$AJ$58</f>
        <v>2.661359623736446E-3</v>
      </c>
      <c r="AK24" s="17">
        <f ca="1">'TUSD BE'!$AK$24*'TUSD BE'!$AK$58</f>
        <v>0.14104218800210214</v>
      </c>
      <c r="AL24" s="17">
        <f ca="1">SUM($AH$24:$AK$24)</f>
        <v>0.21765945782038676</v>
      </c>
      <c r="AM24" s="17">
        <f ca="1">SUMIF($L$4:$AL$4,"SUBTOTAL",$L$24:$AL$24)</f>
        <v>-50.54764148370311</v>
      </c>
      <c r="AO24" s="64">
        <f ca="1">+'TUSD BE'!$T$24+'TUSD BE'!$AB$24+'TUSD BE'!$AD$24+'TUSD BE'!$AL$24</f>
        <v>256.27231864779014</v>
      </c>
      <c r="AP24" s="64">
        <f ca="1">+'TUSD BE'!$T$24+'TUSD BE'!$AB$24+'TUSD BE'!$AD$24+'TUSD BE'!$AL$24</f>
        <v>256.27231864779014</v>
      </c>
    </row>
    <row r="25" spans="1:42" ht="11.25" customHeight="1" x14ac:dyDescent="0.25">
      <c r="A25" s="166"/>
      <c r="B25" s="166" t="s">
        <v>94</v>
      </c>
      <c r="C25" s="166" t="s">
        <v>24</v>
      </c>
      <c r="D25" s="62" t="s">
        <v>24</v>
      </c>
      <c r="E25" s="62" t="s">
        <v>25</v>
      </c>
      <c r="F25" s="62" t="s">
        <v>25</v>
      </c>
      <c r="G25" s="57" t="s">
        <v>82</v>
      </c>
      <c r="H25" s="57" t="s">
        <v>78</v>
      </c>
      <c r="I25" s="57">
        <f>'MERCADO TUSD'!$U$22</f>
        <v>0</v>
      </c>
      <c r="J25" s="16"/>
      <c r="L25" s="17">
        <f>'TUSD BE'!$L$25*'TUSD BE'!$L$58</f>
        <v>-0.61365231628134631</v>
      </c>
      <c r="M25" s="17">
        <f>'TUSD BE'!$M$25*'TUSD BE'!$M$58</f>
        <v>-4.3268773577844089E-2</v>
      </c>
      <c r="N25" s="17">
        <f ca="1">'TUSD BE'!$N$25*'TUSD BE'!$N$58</f>
        <v>-9.1892996678294415E-8</v>
      </c>
      <c r="O25" s="17">
        <f>'TUSD BE'!$O$25*'TUSD BE'!$O$58</f>
        <v>0</v>
      </c>
      <c r="P25" s="17">
        <f>'TUSD BE'!$P$25*'TUSD BE'!$P$58</f>
        <v>0</v>
      </c>
      <c r="Q25" s="17">
        <f>'TUSD BE'!$Q$25*'TUSD BE'!$Q$58</f>
        <v>-3.3122159342143132</v>
      </c>
      <c r="R25" s="17">
        <f>'TUSD BE'!$R$25*'TUSD BE'!$R$58</f>
        <v>-0.5290859729511026</v>
      </c>
      <c r="S25" s="17">
        <f>'TUSD BE'!$R$25*'TUSD BE'!$S$58</f>
        <v>0</v>
      </c>
      <c r="T25" s="17">
        <f ca="1">SUM($L$25:$S$25)</f>
        <v>-4.4982230889176034</v>
      </c>
      <c r="U25" s="17">
        <f>'TUSD BE'!$U$25*'TUSD BE'!$U$58</f>
        <v>-0.94015672899436853</v>
      </c>
      <c r="V25" s="17">
        <f>'TUSD BE'!$V$25*'TUSD BE'!$V$58</f>
        <v>-0.65262239418667467</v>
      </c>
      <c r="W25" s="17">
        <f>'TUSD BE'!$W$25*'TUSD BE'!$W$58</f>
        <v>-6.5935637360388571E-2</v>
      </c>
      <c r="X25" s="17">
        <f>'TUSD BE'!$X$25*'TUSD BE'!$X$58</f>
        <v>0</v>
      </c>
      <c r="Y25" s="17">
        <f>'TUSD BE'!$Y$25*'TUSD BE'!$Y$58</f>
        <v>0</v>
      </c>
      <c r="Z25" s="17">
        <f>'TUSD BE'!$Z$25*'TUSD BE'!$Z$58</f>
        <v>0</v>
      </c>
      <c r="AA25" s="17">
        <f>'TUSD BE'!$AA$25*'TUSD BE'!$AA$58</f>
        <v>0</v>
      </c>
      <c r="AB25" s="17">
        <f>SUM($U$25:$AA$25)</f>
        <v>-1.6587147605414319</v>
      </c>
      <c r="AC25" s="17">
        <f>'TUSD BE'!$AC$25*'TUSD BE'!$AC$58</f>
        <v>-3.1974069350688032</v>
      </c>
      <c r="AD25" s="17">
        <f>SUM($AC$25:$AC$25)</f>
        <v>-3.1974069350688032</v>
      </c>
      <c r="AE25" s="17">
        <f ca="1">$AO$25*$AO$55</f>
        <v>-65.352761649010233</v>
      </c>
      <c r="AF25" s="17">
        <f ca="1">$AP$25*$AP$55</f>
        <v>0</v>
      </c>
      <c r="AG25" s="17">
        <f ca="1">SUM($AE$25:$AF$25)</f>
        <v>-65.352761649010233</v>
      </c>
      <c r="AH25" s="17">
        <f>'TUSD BE'!$AH$25*'TUSD BE'!$AH$58</f>
        <v>7.3955910194548197E-2</v>
      </c>
      <c r="AI25" s="17">
        <f>'TUSD BE'!$AI$25*'TUSD BE'!$AI$58</f>
        <v>0</v>
      </c>
      <c r="AJ25" s="17">
        <f ca="1">'TUSD BE'!$AJ$25*'TUSD BE'!$AJ$58</f>
        <v>2.661359623736446E-3</v>
      </c>
      <c r="AK25" s="17">
        <f ca="1">'TUSD BE'!$AK$25*'TUSD BE'!$AK$58</f>
        <v>0.14104218800210214</v>
      </c>
      <c r="AL25" s="17">
        <f ca="1">SUM($AH$25:$AK$25)</f>
        <v>0.21765945782038676</v>
      </c>
      <c r="AM25" s="17">
        <f ca="1">SUMIF($L$4:$AL$4,"SUBTOTAL",$L$25:$AL$25)</f>
        <v>-74.489446975717684</v>
      </c>
      <c r="AO25" s="64">
        <f ca="1">+'TUSD BE'!$T$25+'TUSD BE'!$AB$25+'TUSD BE'!$AD$25+'TUSD BE'!$AL$25</f>
        <v>365.15363194092691</v>
      </c>
      <c r="AP25" s="64">
        <f ca="1">+'TUSD BE'!$T$25+'TUSD BE'!$AB$25+'TUSD BE'!$AD$25+'TUSD BE'!$AL$25</f>
        <v>365.15363194092691</v>
      </c>
    </row>
    <row r="26" spans="1:42" ht="11.25" customHeight="1" x14ac:dyDescent="0.25">
      <c r="A26" s="166"/>
      <c r="B26" s="166"/>
      <c r="C26" s="166"/>
      <c r="D26" s="62" t="s">
        <v>28</v>
      </c>
      <c r="E26" s="62" t="s">
        <v>25</v>
      </c>
      <c r="F26" s="62" t="s">
        <v>25</v>
      </c>
      <c r="G26" s="57" t="s">
        <v>82</v>
      </c>
      <c r="H26" s="57" t="s">
        <v>78</v>
      </c>
      <c r="I26" s="57">
        <f>'MERCADO TUSD'!$U$23</f>
        <v>0</v>
      </c>
      <c r="J26" s="16"/>
      <c r="L26" s="17">
        <f>'TUSD BE'!$L$26*'TUSD BE'!$L$58</f>
        <v>0</v>
      </c>
      <c r="M26" s="17">
        <f>'TUSD BE'!$M$26*'TUSD BE'!$M$58</f>
        <v>-4.3268773577844089E-2</v>
      </c>
      <c r="N26" s="17">
        <f ca="1">'TUSD BE'!$N$26*'TUSD BE'!$N$58</f>
        <v>-9.1529819774347705E-8</v>
      </c>
      <c r="O26" s="17">
        <f>'TUSD BE'!$O$26*'TUSD BE'!$O$58</f>
        <v>0</v>
      </c>
      <c r="P26" s="17">
        <f>'TUSD BE'!$P$26*'TUSD BE'!$P$58</f>
        <v>0</v>
      </c>
      <c r="Q26" s="17">
        <f>'TUSD BE'!$Q$26*'TUSD BE'!$Q$58</f>
        <v>0</v>
      </c>
      <c r="R26" s="17">
        <f>'TUSD BE'!$R$26*'TUSD BE'!$R$58</f>
        <v>0</v>
      </c>
      <c r="S26" s="17">
        <f>'TUSD BE'!$R$26*'TUSD BE'!$S$58</f>
        <v>0</v>
      </c>
      <c r="T26" s="17">
        <f ca="1">SUM($L$26:$S$26)</f>
        <v>-4.3268865107663861E-2</v>
      </c>
      <c r="U26" s="17">
        <f>'TUSD BE'!$U$26*'TUSD BE'!$U$58</f>
        <v>-0.94015672899436853</v>
      </c>
      <c r="V26" s="17">
        <f>'TUSD BE'!$V$26*'TUSD BE'!$V$58</f>
        <v>-0.65262239418667467</v>
      </c>
      <c r="W26" s="17">
        <f>'TUSD BE'!$W$26*'TUSD BE'!$W$58</f>
        <v>-6.5935637360388571E-2</v>
      </c>
      <c r="X26" s="17">
        <f>'TUSD BE'!$X$26*'TUSD BE'!$X$58</f>
        <v>0</v>
      </c>
      <c r="Y26" s="17">
        <f>'TUSD BE'!$Y$26*'TUSD BE'!$Y$58</f>
        <v>0</v>
      </c>
      <c r="Z26" s="17">
        <f>'TUSD BE'!$Z$26*'TUSD BE'!$Z$58</f>
        <v>0</v>
      </c>
      <c r="AA26" s="17">
        <f>'TUSD BE'!$AA$26*'TUSD BE'!$AA$58</f>
        <v>0</v>
      </c>
      <c r="AB26" s="17">
        <f>SUM($U$26:$AA$26)</f>
        <v>-1.6587147605414319</v>
      </c>
      <c r="AC26" s="17">
        <f>'TUSD BE'!$AC$26*'TUSD BE'!$AC$58</f>
        <v>-3.1974069350688032</v>
      </c>
      <c r="AD26" s="17">
        <f>SUM($AC$26:$AC$26)</f>
        <v>-3.1974069350688032</v>
      </c>
      <c r="AE26" s="17">
        <f ca="1">$AO$26*$AO$55</f>
        <v>-45.865910380805602</v>
      </c>
      <c r="AF26" s="17">
        <f ca="1">$AP$26*$AP$55</f>
        <v>0</v>
      </c>
      <c r="AG26" s="17">
        <f ca="1">SUM($AE$26:$AF$26)</f>
        <v>-45.865910380805602</v>
      </c>
      <c r="AH26" s="17">
        <f>'TUSD BE'!$AH$26*'TUSD BE'!$AH$58</f>
        <v>7.3955910194548197E-2</v>
      </c>
      <c r="AI26" s="17">
        <f>'TUSD BE'!$AI$26*'TUSD BE'!$AI$58</f>
        <v>0</v>
      </c>
      <c r="AJ26" s="17">
        <f ca="1">'TUSD BE'!$AJ$26*'TUSD BE'!$AJ$58</f>
        <v>2.661359623736446E-3</v>
      </c>
      <c r="AK26" s="17">
        <f ca="1">'TUSD BE'!$AK$26*'TUSD BE'!$AK$58</f>
        <v>0.14104218800210214</v>
      </c>
      <c r="AL26" s="17">
        <f ca="1">SUM($AH$26:$AK$26)</f>
        <v>0.21765945782038676</v>
      </c>
      <c r="AM26" s="17">
        <f ca="1">SUMIF($L$4:$AL$4,"SUBTOTAL",$L$26:$AL$26)</f>
        <v>-50.54764148370311</v>
      </c>
      <c r="AO26" s="64">
        <f ca="1">+'TUSD BE'!$T$26+'TUSD BE'!$AB$26+'TUSD BE'!$AD$26+'TUSD BE'!$AL$26</f>
        <v>256.27231864779014</v>
      </c>
      <c r="AP26" s="64">
        <f ca="1">+'TUSD BE'!$T$26+'TUSD BE'!$AB$26+'TUSD BE'!$AD$26+'TUSD BE'!$AL$26</f>
        <v>256.27231864779014</v>
      </c>
    </row>
    <row r="27" spans="1:42" ht="11.25" customHeight="1" x14ac:dyDescent="0.25">
      <c r="A27" s="166"/>
      <c r="B27" s="166"/>
      <c r="C27" s="166"/>
      <c r="D27" s="62" t="s">
        <v>29</v>
      </c>
      <c r="E27" s="62" t="s">
        <v>25</v>
      </c>
      <c r="F27" s="62" t="s">
        <v>25</v>
      </c>
      <c r="G27" s="57" t="s">
        <v>82</v>
      </c>
      <c r="H27" s="57" t="s">
        <v>78</v>
      </c>
      <c r="I27" s="57">
        <f>'MERCADO TUSD'!$U$24</f>
        <v>0</v>
      </c>
      <c r="J27" s="16"/>
      <c r="L27" s="17">
        <f>'TUSD BE'!$L$27*'TUSD BE'!$L$58</f>
        <v>0</v>
      </c>
      <c r="M27" s="17">
        <f>'TUSD BE'!$M$27*'TUSD BE'!$M$58</f>
        <v>-4.3268773577844089E-2</v>
      </c>
      <c r="N27" s="17">
        <f ca="1">'TUSD BE'!$N$27*'TUSD BE'!$N$58</f>
        <v>-9.1529819774347705E-8</v>
      </c>
      <c r="O27" s="17">
        <f>'TUSD BE'!$O$27*'TUSD BE'!$O$58</f>
        <v>0</v>
      </c>
      <c r="P27" s="17">
        <f>'TUSD BE'!$P$27*'TUSD BE'!$P$58</f>
        <v>0</v>
      </c>
      <c r="Q27" s="17">
        <f>'TUSD BE'!$Q$27*'TUSD BE'!$Q$58</f>
        <v>0</v>
      </c>
      <c r="R27" s="17">
        <f>'TUSD BE'!$R$27*'TUSD BE'!$R$58</f>
        <v>0</v>
      </c>
      <c r="S27" s="17">
        <f>'TUSD BE'!$R$27*'TUSD BE'!$S$58</f>
        <v>0</v>
      </c>
      <c r="T27" s="17">
        <f ca="1">SUM($L$27:$S$27)</f>
        <v>-4.3268865107663861E-2</v>
      </c>
      <c r="U27" s="17">
        <f>'TUSD BE'!$U$27*'TUSD BE'!$U$58</f>
        <v>-0.94015672899436853</v>
      </c>
      <c r="V27" s="17">
        <f>'TUSD BE'!$V$27*'TUSD BE'!$V$58</f>
        <v>-0.65262239418667467</v>
      </c>
      <c r="W27" s="17">
        <f>'TUSD BE'!$W$27*'TUSD BE'!$W$58</f>
        <v>-6.5935637360388571E-2</v>
      </c>
      <c r="X27" s="17">
        <f>'TUSD BE'!$X$27*'TUSD BE'!$X$58</f>
        <v>0</v>
      </c>
      <c r="Y27" s="17">
        <f>'TUSD BE'!$Y$27*'TUSD BE'!$Y$58</f>
        <v>0</v>
      </c>
      <c r="Z27" s="17">
        <f>'TUSD BE'!$Z$27*'TUSD BE'!$Z$58</f>
        <v>0</v>
      </c>
      <c r="AA27" s="17">
        <f>'TUSD BE'!$AA$27*'TUSD BE'!$AA$58</f>
        <v>0</v>
      </c>
      <c r="AB27" s="17">
        <f>SUM($U$27:$AA$27)</f>
        <v>-1.6587147605414319</v>
      </c>
      <c r="AC27" s="17">
        <f>'TUSD BE'!$AC$27*'TUSD BE'!$AC$58</f>
        <v>-3.1974069350688032</v>
      </c>
      <c r="AD27" s="17">
        <f>SUM($AC$27:$AC$27)</f>
        <v>-3.1974069350688032</v>
      </c>
      <c r="AE27" s="17">
        <f ca="1">$AO$27*$AO$55</f>
        <v>-45.865910380805602</v>
      </c>
      <c r="AF27" s="17">
        <f ca="1">$AP$27*$AP$55</f>
        <v>0</v>
      </c>
      <c r="AG27" s="17">
        <f ca="1">SUM($AE$27:$AF$27)</f>
        <v>-45.865910380805602</v>
      </c>
      <c r="AH27" s="17">
        <f>'TUSD BE'!$AH$27*'TUSD BE'!$AH$58</f>
        <v>7.3955910194548197E-2</v>
      </c>
      <c r="AI27" s="17">
        <f>'TUSD BE'!$AI$27*'TUSD BE'!$AI$58</f>
        <v>0</v>
      </c>
      <c r="AJ27" s="17">
        <f ca="1">'TUSD BE'!$AJ$27*'TUSD BE'!$AJ$58</f>
        <v>2.661359623736446E-3</v>
      </c>
      <c r="AK27" s="17">
        <f ca="1">'TUSD BE'!$AK$27*'TUSD BE'!$AK$58</f>
        <v>0.14104218800210214</v>
      </c>
      <c r="AL27" s="17">
        <f ca="1">SUM($AH$27:$AK$27)</f>
        <v>0.21765945782038676</v>
      </c>
      <c r="AM27" s="17">
        <f ca="1">SUMIF($L$4:$AL$4,"SUBTOTAL",$L$27:$AL$27)</f>
        <v>-50.54764148370311</v>
      </c>
      <c r="AO27" s="64">
        <f ca="1">+'TUSD BE'!$T$27+'TUSD BE'!$AB$27+'TUSD BE'!$AD$27+'TUSD BE'!$AL$27</f>
        <v>256.27231864779014</v>
      </c>
      <c r="AP27" s="64">
        <f ca="1">+'TUSD BE'!$T$27+'TUSD BE'!$AB$27+'TUSD BE'!$AD$27+'TUSD BE'!$AL$27</f>
        <v>256.27231864779014</v>
      </c>
    </row>
    <row r="28" spans="1:42" ht="11.25" customHeight="1" x14ac:dyDescent="0.25">
      <c r="A28" s="166"/>
      <c r="B28" s="166"/>
      <c r="C28" s="166"/>
      <c r="D28" s="62" t="s">
        <v>30</v>
      </c>
      <c r="E28" s="62" t="s">
        <v>25</v>
      </c>
      <c r="F28" s="62" t="s">
        <v>25</v>
      </c>
      <c r="G28" s="57" t="s">
        <v>82</v>
      </c>
      <c r="H28" s="57" t="s">
        <v>78</v>
      </c>
      <c r="I28" s="57">
        <f>'MERCADO TUSD'!$U$25</f>
        <v>0</v>
      </c>
      <c r="J28" s="16"/>
      <c r="L28" s="17">
        <f>'TUSD BE'!$L$28*'TUSD BE'!$L$58</f>
        <v>0</v>
      </c>
      <c r="M28" s="17">
        <f>'TUSD BE'!$M$28*'TUSD BE'!$M$58</f>
        <v>-4.3268773577844089E-2</v>
      </c>
      <c r="N28" s="17">
        <f ca="1">'TUSD BE'!$N$28*'TUSD BE'!$N$58</f>
        <v>-9.1529819774347705E-8</v>
      </c>
      <c r="O28" s="17">
        <f>'TUSD BE'!$O$28*'TUSD BE'!$O$58</f>
        <v>0</v>
      </c>
      <c r="P28" s="17">
        <f>'TUSD BE'!$P$28*'TUSD BE'!$P$58</f>
        <v>0</v>
      </c>
      <c r="Q28" s="17">
        <f>'TUSD BE'!$Q$28*'TUSD BE'!$Q$58</f>
        <v>0</v>
      </c>
      <c r="R28" s="17">
        <f>'TUSD BE'!$R$28*'TUSD BE'!$R$58</f>
        <v>0</v>
      </c>
      <c r="S28" s="17">
        <f>'TUSD BE'!$R$28*'TUSD BE'!$S$58</f>
        <v>0</v>
      </c>
      <c r="T28" s="17">
        <f ca="1">SUM($L$28:$S$28)</f>
        <v>-4.3268865107663861E-2</v>
      </c>
      <c r="U28" s="17">
        <f>'TUSD BE'!$U$28*'TUSD BE'!$U$58</f>
        <v>-0.94015672899436853</v>
      </c>
      <c r="V28" s="17">
        <f>'TUSD BE'!$V$28*'TUSD BE'!$V$58</f>
        <v>-0.65262239418667467</v>
      </c>
      <c r="W28" s="17">
        <f>'TUSD BE'!$W$28*'TUSD BE'!$W$58</f>
        <v>-6.5935637360388571E-2</v>
      </c>
      <c r="X28" s="17">
        <f>'TUSD BE'!$X$28*'TUSD BE'!$X$58</f>
        <v>0</v>
      </c>
      <c r="Y28" s="17">
        <f>'TUSD BE'!$Y$28*'TUSD BE'!$Y$58</f>
        <v>0</v>
      </c>
      <c r="Z28" s="17">
        <f>'TUSD BE'!$Z$28*'TUSD BE'!$Z$58</f>
        <v>0</v>
      </c>
      <c r="AA28" s="17">
        <f>'TUSD BE'!$AA$28*'TUSD BE'!$AA$58</f>
        <v>0</v>
      </c>
      <c r="AB28" s="17">
        <f>SUM($U$28:$AA$28)</f>
        <v>-1.6587147605414319</v>
      </c>
      <c r="AC28" s="17">
        <f>'TUSD BE'!$AC$28*'TUSD BE'!$AC$58</f>
        <v>-3.1974069350688032</v>
      </c>
      <c r="AD28" s="17">
        <f>SUM($AC$28:$AC$28)</f>
        <v>-3.1974069350688032</v>
      </c>
      <c r="AE28" s="17">
        <f ca="1">$AO$28*$AO$55</f>
        <v>-45.865910380805602</v>
      </c>
      <c r="AF28" s="17">
        <f ca="1">$AP$28*$AP$55</f>
        <v>0</v>
      </c>
      <c r="AG28" s="17">
        <f ca="1">SUM($AE$28:$AF$28)</f>
        <v>-45.865910380805602</v>
      </c>
      <c r="AH28" s="17">
        <f>'TUSD BE'!$AH$28*'TUSD BE'!$AH$58</f>
        <v>7.3955910194548197E-2</v>
      </c>
      <c r="AI28" s="17">
        <f>'TUSD BE'!$AI$28*'TUSD BE'!$AI$58</f>
        <v>0</v>
      </c>
      <c r="AJ28" s="17">
        <f ca="1">'TUSD BE'!$AJ$28*'TUSD BE'!$AJ$58</f>
        <v>2.661359623736446E-3</v>
      </c>
      <c r="AK28" s="17">
        <f ca="1">'TUSD BE'!$AK$28*'TUSD BE'!$AK$58</f>
        <v>0.14104218800210214</v>
      </c>
      <c r="AL28" s="17">
        <f ca="1">SUM($AH$28:$AK$28)</f>
        <v>0.21765945782038676</v>
      </c>
      <c r="AM28" s="17">
        <f ca="1">SUMIF($L$4:$AL$4,"SUBTOTAL",$L$28:$AL$28)</f>
        <v>-50.54764148370311</v>
      </c>
      <c r="AO28" s="64">
        <f ca="1">+'TUSD BE'!$T$28+'TUSD BE'!$AB$28+'TUSD BE'!$AD$28+'TUSD BE'!$AL$28</f>
        <v>256.27231864779014</v>
      </c>
      <c r="AP28" s="64">
        <f ca="1">+'TUSD BE'!$T$28+'TUSD BE'!$AB$28+'TUSD BE'!$AD$28+'TUSD BE'!$AL$28</f>
        <v>256.27231864779014</v>
      </c>
    </row>
    <row r="29" spans="1:42" ht="11.25" customHeight="1" x14ac:dyDescent="0.25">
      <c r="A29" s="166"/>
      <c r="B29" s="166"/>
      <c r="C29" s="166"/>
      <c r="D29" s="62" t="s">
        <v>31</v>
      </c>
      <c r="E29" s="62" t="s">
        <v>25</v>
      </c>
      <c r="F29" s="62" t="s">
        <v>25</v>
      </c>
      <c r="G29" s="57" t="s">
        <v>82</v>
      </c>
      <c r="H29" s="57" t="s">
        <v>78</v>
      </c>
      <c r="I29" s="57">
        <f>'MERCADO TUSD'!$U$26</f>
        <v>0</v>
      </c>
      <c r="J29" s="16"/>
      <c r="L29" s="17">
        <f>'TUSD BE'!$L$29*'TUSD BE'!$L$58</f>
        <v>0</v>
      </c>
      <c r="M29" s="17">
        <f>'TUSD BE'!$M$29*'TUSD BE'!$M$58</f>
        <v>-4.3268773577844089E-2</v>
      </c>
      <c r="N29" s="17">
        <f ca="1">'TUSD BE'!$N$29*'TUSD BE'!$N$58</f>
        <v>-9.1529819774347705E-8</v>
      </c>
      <c r="O29" s="17">
        <f>'TUSD BE'!$O$29*'TUSD BE'!$O$58</f>
        <v>0</v>
      </c>
      <c r="P29" s="17">
        <f>'TUSD BE'!$P$29*'TUSD BE'!$P$58</f>
        <v>0</v>
      </c>
      <c r="Q29" s="17">
        <f>'TUSD BE'!$Q$29*'TUSD BE'!$Q$58</f>
        <v>0</v>
      </c>
      <c r="R29" s="17">
        <f>'TUSD BE'!$R$29*'TUSD BE'!$R$58</f>
        <v>0</v>
      </c>
      <c r="S29" s="17">
        <f>'TUSD BE'!$R$29*'TUSD BE'!$S$58</f>
        <v>0</v>
      </c>
      <c r="T29" s="17">
        <f ca="1">SUM($L$29:$S$29)</f>
        <v>-4.3268865107663861E-2</v>
      </c>
      <c r="U29" s="17">
        <f>'TUSD BE'!$U$29*'TUSD BE'!$U$58</f>
        <v>-0.94015672899436853</v>
      </c>
      <c r="V29" s="17">
        <f>'TUSD BE'!$V$29*'TUSD BE'!$V$58</f>
        <v>-0.65262239418667467</v>
      </c>
      <c r="W29" s="17">
        <f>'TUSD BE'!$W$29*'TUSD BE'!$W$58</f>
        <v>-6.5935637360388571E-2</v>
      </c>
      <c r="X29" s="17">
        <f>'TUSD BE'!$X$29*'TUSD BE'!$X$58</f>
        <v>0</v>
      </c>
      <c r="Y29" s="17">
        <f>'TUSD BE'!$Y$29*'TUSD BE'!$Y$58</f>
        <v>0</v>
      </c>
      <c r="Z29" s="17">
        <f>'TUSD BE'!$Z$29*'TUSD BE'!$Z$58</f>
        <v>0</v>
      </c>
      <c r="AA29" s="17">
        <f>'TUSD BE'!$AA$29*'TUSD BE'!$AA$58</f>
        <v>0</v>
      </c>
      <c r="AB29" s="17">
        <f>SUM($U$29:$AA$29)</f>
        <v>-1.6587147605414319</v>
      </c>
      <c r="AC29" s="17">
        <f>'TUSD BE'!$AC$29*'TUSD BE'!$AC$58</f>
        <v>-3.1974069350688032</v>
      </c>
      <c r="AD29" s="17">
        <f>SUM($AC$29:$AC$29)</f>
        <v>-3.1974069350688032</v>
      </c>
      <c r="AE29" s="17">
        <f ca="1">$AO$29*$AO$55</f>
        <v>-45.865910380805602</v>
      </c>
      <c r="AF29" s="17">
        <f ca="1">$AP$29*$AP$55</f>
        <v>0</v>
      </c>
      <c r="AG29" s="17">
        <f ca="1">SUM($AE$29:$AF$29)</f>
        <v>-45.865910380805602</v>
      </c>
      <c r="AH29" s="17">
        <f>'TUSD BE'!$AH$29*'TUSD BE'!$AH$58</f>
        <v>7.3955910194548197E-2</v>
      </c>
      <c r="AI29" s="17">
        <f>'TUSD BE'!$AI$29*'TUSD BE'!$AI$58</f>
        <v>0</v>
      </c>
      <c r="AJ29" s="17">
        <f ca="1">'TUSD BE'!$AJ$29*'TUSD BE'!$AJ$58</f>
        <v>2.661359623736446E-3</v>
      </c>
      <c r="AK29" s="17">
        <f ca="1">'TUSD BE'!$AK$29*'TUSD BE'!$AK$58</f>
        <v>0.14104218800210214</v>
      </c>
      <c r="AL29" s="17">
        <f ca="1">SUM($AH$29:$AK$29)</f>
        <v>0.21765945782038676</v>
      </c>
      <c r="AM29" s="17">
        <f ca="1">SUMIF($L$4:$AL$4,"SUBTOTAL",$L$29:$AL$29)</f>
        <v>-50.54764148370311</v>
      </c>
      <c r="AO29" s="64">
        <f ca="1">+'TUSD BE'!$T$29+'TUSD BE'!$AB$29+'TUSD BE'!$AD$29+'TUSD BE'!$AL$29</f>
        <v>256.27231864779014</v>
      </c>
      <c r="AP29" s="64">
        <f ca="1">+'TUSD BE'!$T$29+'TUSD BE'!$AB$29+'TUSD BE'!$AD$29+'TUSD BE'!$AL$29</f>
        <v>256.27231864779014</v>
      </c>
    </row>
    <row r="30" spans="1:42" ht="11.25" customHeight="1" x14ac:dyDescent="0.25">
      <c r="A30" s="166" t="s">
        <v>42</v>
      </c>
      <c r="B30" s="166" t="s">
        <v>32</v>
      </c>
      <c r="C30" s="166" t="s">
        <v>43</v>
      </c>
      <c r="D30" s="166" t="s">
        <v>25</v>
      </c>
      <c r="E30" s="166" t="s">
        <v>25</v>
      </c>
      <c r="F30" s="166" t="s">
        <v>25</v>
      </c>
      <c r="G30" s="57" t="s">
        <v>79</v>
      </c>
      <c r="H30" s="57" t="s">
        <v>78</v>
      </c>
      <c r="I30" s="57">
        <f>'MERCADO TUSD'!$U$27</f>
        <v>0</v>
      </c>
      <c r="J30" s="16"/>
      <c r="L30" s="17">
        <f>'TUSD BE'!$L$30*'TUSD BE'!$L$58</f>
        <v>-0.61365231628134631</v>
      </c>
      <c r="M30" s="17">
        <f>'TUSD BE'!$M$30*'TUSD BE'!$M$58</f>
        <v>-4.3268773577844089E-2</v>
      </c>
      <c r="N30" s="17">
        <f ca="1">'TUSD BE'!$N$30*'TUSD BE'!$N$58</f>
        <v>-2.6705343535791744E-7</v>
      </c>
      <c r="O30" s="17">
        <f>'TUSD BE'!$O$30*'TUSD BE'!$O$58</f>
        <v>0</v>
      </c>
      <c r="P30" s="17">
        <f>'TUSD BE'!$P$30*'TUSD BE'!$P$58</f>
        <v>0</v>
      </c>
      <c r="Q30" s="17">
        <f>'TUSD BE'!$Q$30*'TUSD BE'!$Q$58</f>
        <v>-3.3122159342143132</v>
      </c>
      <c r="R30" s="17">
        <f>'TUSD BE'!$R$30*'TUSD BE'!$R$58</f>
        <v>-0.5290859729511026</v>
      </c>
      <c r="S30" s="17">
        <f>'TUSD BE'!$R$30*'TUSD BE'!$S$58</f>
        <v>0</v>
      </c>
      <c r="T30" s="17">
        <f ca="1">SUM($L$30:$S$30)</f>
        <v>-4.4982232640780415</v>
      </c>
      <c r="U30" s="17">
        <f>'TUSD BE'!$U$30*'TUSD BE'!$U$58</f>
        <v>-3.1025245780863919</v>
      </c>
      <c r="V30" s="17">
        <f>'TUSD BE'!$V$30*'TUSD BE'!$V$58</f>
        <v>-2.1536551916124997</v>
      </c>
      <c r="W30" s="17">
        <f>'TUSD BE'!$W$30*'TUSD BE'!$W$58</f>
        <v>-0.21758673670331855</v>
      </c>
      <c r="X30" s="17">
        <f>'TUSD BE'!$X$30*'TUSD BE'!$X$58</f>
        <v>0</v>
      </c>
      <c r="Y30" s="17">
        <f>'TUSD BE'!$Y$30*'TUSD BE'!$Y$58</f>
        <v>0</v>
      </c>
      <c r="Z30" s="17">
        <f>'TUSD BE'!$Z$30*'TUSD BE'!$Z$58</f>
        <v>0</v>
      </c>
      <c r="AA30" s="17">
        <f>'TUSD BE'!$AA$30*'TUSD BE'!$AA$58</f>
        <v>0</v>
      </c>
      <c r="AB30" s="17">
        <f>SUM($U$30:$AA$30)</f>
        <v>-5.4737665064022103</v>
      </c>
      <c r="AC30" s="17">
        <f>'TUSD BE'!$AC$30*'TUSD BE'!$AC$58</f>
        <v>-10.551441000007662</v>
      </c>
      <c r="AD30" s="17">
        <f>SUM($AC$30:$AC$30)</f>
        <v>-10.551441000007662</v>
      </c>
      <c r="AE30" s="17">
        <f ca="1">$AO$30*$AO$55</f>
        <v>-161.60830589734135</v>
      </c>
      <c r="AF30" s="17">
        <f ca="1">$AP$30*$AP$55</f>
        <v>0</v>
      </c>
      <c r="AG30" s="17">
        <f ca="1">SUM($AE$30:$AF$30)</f>
        <v>-161.60830589734135</v>
      </c>
      <c r="AH30" s="17">
        <f>'TUSD BE'!$AH$30*'TUSD BE'!$AH$58</f>
        <v>7.3955910194548197E-2</v>
      </c>
      <c r="AI30" s="17">
        <f>'TUSD BE'!$AI$30*'TUSD BE'!$AI$58</f>
        <v>0</v>
      </c>
      <c r="AJ30" s="17">
        <f ca="1">'TUSD BE'!$AJ$30*'TUSD BE'!$AJ$58</f>
        <v>2.661359623736446E-3</v>
      </c>
      <c r="AK30" s="17">
        <f ca="1">'TUSD BE'!$AK$30*'TUSD BE'!$AK$58</f>
        <v>0.14104218800210214</v>
      </c>
      <c r="AL30" s="17">
        <f ca="1">SUM($AH$30:$AK$30)</f>
        <v>0.21765945782038676</v>
      </c>
      <c r="AM30" s="17">
        <f ca="1">SUMIF($L$4:$AL$4,"SUBTOTAL",$L$30:$AL$30)</f>
        <v>-181.91407721000888</v>
      </c>
      <c r="AO30" s="64">
        <f ca="1">+'TUSD BE'!$T$30+'TUSD BE'!$AB$30+'TUSD BE'!$AD$30+'TUSD BE'!$AL$30</f>
        <v>902.97423339459215</v>
      </c>
      <c r="AP30" s="64">
        <f ca="1">+'TUSD BE'!$T$30+'TUSD BE'!$AB$30+'TUSD BE'!$AD$30+'TUSD BE'!$AL$30</f>
        <v>902.97423339459215</v>
      </c>
    </row>
    <row r="31" spans="1:42" ht="11.25" customHeight="1" x14ac:dyDescent="0.25">
      <c r="A31" s="166"/>
      <c r="B31" s="166"/>
      <c r="C31" s="166"/>
      <c r="D31" s="166"/>
      <c r="E31" s="166"/>
      <c r="F31" s="166"/>
      <c r="G31" s="57" t="s">
        <v>92</v>
      </c>
      <c r="H31" s="57" t="s">
        <v>78</v>
      </c>
      <c r="I31" s="57">
        <f>'MERCADO TUSD'!$U$28</f>
        <v>0</v>
      </c>
      <c r="J31" s="16"/>
      <c r="L31" s="17">
        <f>'TUSD BE'!$L$31*'TUSD BE'!$L$58</f>
        <v>-0.61365231628134631</v>
      </c>
      <c r="M31" s="17">
        <f>'TUSD BE'!$M$31*'TUSD BE'!$M$58</f>
        <v>-4.3268773577844089E-2</v>
      </c>
      <c r="N31" s="17">
        <f ca="1">'TUSD BE'!$N$31*'TUSD BE'!$N$58</f>
        <v>-1.1626314751075686E-7</v>
      </c>
      <c r="O31" s="17">
        <f>'TUSD BE'!$O$31*'TUSD BE'!$O$58</f>
        <v>0</v>
      </c>
      <c r="P31" s="17">
        <f>'TUSD BE'!$P$31*'TUSD BE'!$P$58</f>
        <v>0</v>
      </c>
      <c r="Q31" s="17">
        <f>'TUSD BE'!$Q$31*'TUSD BE'!$Q$58</f>
        <v>-3.3122159342143132</v>
      </c>
      <c r="R31" s="17">
        <f>'TUSD BE'!$R$31*'TUSD BE'!$R$58</f>
        <v>-0.5290859729511026</v>
      </c>
      <c r="S31" s="17">
        <f>'TUSD BE'!$R$31*'TUSD BE'!$S$58</f>
        <v>0</v>
      </c>
      <c r="T31" s="17">
        <f ca="1">SUM($L$31:$S$31)</f>
        <v>-4.4982231132877537</v>
      </c>
      <c r="U31" s="17">
        <f>'TUSD BE'!$U$31*'TUSD BE'!$U$58</f>
        <v>-1.2410107527851786</v>
      </c>
      <c r="V31" s="17">
        <f>'TUSD BE'!$V$31*'TUSD BE'!$V$58</f>
        <v>-0.86146035558303558</v>
      </c>
      <c r="W31" s="17">
        <f>'TUSD BE'!$W$31*'TUSD BE'!$W$58</f>
        <v>-8.7035561267291145E-2</v>
      </c>
      <c r="X31" s="17">
        <f>'TUSD BE'!$X$31*'TUSD BE'!$X$58</f>
        <v>0</v>
      </c>
      <c r="Y31" s="17">
        <f>'TUSD BE'!$Y$31*'TUSD BE'!$Y$58</f>
        <v>0</v>
      </c>
      <c r="Z31" s="17">
        <f>'TUSD BE'!$Z$31*'TUSD BE'!$Z$58</f>
        <v>0</v>
      </c>
      <c r="AA31" s="17">
        <f>'TUSD BE'!$AA$31*'TUSD BE'!$AA$58</f>
        <v>0</v>
      </c>
      <c r="AB31" s="17">
        <f>SUM($U$31:$AA$31)</f>
        <v>-2.1895066696355054</v>
      </c>
      <c r="AC31" s="17">
        <f>'TUSD BE'!$AC$31*'TUSD BE'!$AC$58</f>
        <v>-4.2205756457153107</v>
      </c>
      <c r="AD31" s="17">
        <f>SUM($AC$31:$AC$31)</f>
        <v>-4.2205756457153107</v>
      </c>
      <c r="AE31" s="17">
        <f ca="1">$AO$31*$AO$55</f>
        <v>-78.744840124964654</v>
      </c>
      <c r="AF31" s="17">
        <f ca="1">$AP$31*$AP$55</f>
        <v>0</v>
      </c>
      <c r="AG31" s="17">
        <f ca="1">SUM($AE$31:$AF$31)</f>
        <v>-78.744840124964654</v>
      </c>
      <c r="AH31" s="17">
        <f>'TUSD BE'!$AH$31*'TUSD BE'!$AH$58</f>
        <v>7.3955910194548197E-2</v>
      </c>
      <c r="AI31" s="17">
        <f>'TUSD BE'!$AI$31*'TUSD BE'!$AI$58</f>
        <v>0</v>
      </c>
      <c r="AJ31" s="17">
        <f ca="1">'TUSD BE'!$AJ$31*'TUSD BE'!$AJ$58</f>
        <v>2.661359623736446E-3</v>
      </c>
      <c r="AK31" s="17">
        <f ca="1">'TUSD BE'!$AK$31*'TUSD BE'!$AK$58</f>
        <v>0.14104218800210214</v>
      </c>
      <c r="AL31" s="17">
        <f ca="1">SUM($AH$31:$AK$31)</f>
        <v>0.21765945782038676</v>
      </c>
      <c r="AM31" s="17">
        <f ca="1">SUMIF($L$4:$AL$4,"SUBTOTAL",$L$31:$AL$31)</f>
        <v>-89.435486095782835</v>
      </c>
      <c r="AO31" s="64">
        <f ca="1">+'TUSD BE'!$T$31+'TUSD BE'!$AB$31+'TUSD BE'!$AD$31+'TUSD BE'!$AL$31</f>
        <v>439.98086144648727</v>
      </c>
      <c r="AP31" s="64">
        <f ca="1">+'TUSD BE'!$T$31+'TUSD BE'!$AB$31+'TUSD BE'!$AD$31+'TUSD BE'!$AL$31</f>
        <v>439.98086144648727</v>
      </c>
    </row>
    <row r="32" spans="1:42" ht="11.25" customHeight="1" x14ac:dyDescent="0.25">
      <c r="A32" s="166"/>
      <c r="B32" s="166"/>
      <c r="C32" s="166"/>
      <c r="D32" s="166"/>
      <c r="E32" s="166"/>
      <c r="F32" s="166"/>
      <c r="G32" s="57" t="s">
        <v>80</v>
      </c>
      <c r="H32" s="57" t="s">
        <v>78</v>
      </c>
      <c r="I32" s="57">
        <f>'MERCADO TUSD'!$U$29</f>
        <v>0</v>
      </c>
      <c r="J32" s="16"/>
      <c r="L32" s="17">
        <f>'TUSD BE'!$L$32*'TUSD BE'!$L$58</f>
        <v>-0.61365231628134631</v>
      </c>
      <c r="M32" s="17">
        <f>'TUSD BE'!$M$32*'TUSD BE'!$M$58</f>
        <v>-4.3268773577844089E-2</v>
      </c>
      <c r="N32" s="17">
        <f ca="1">'TUSD BE'!$N$32*'TUSD BE'!$N$58</f>
        <v>-6.5999681910679601E-8</v>
      </c>
      <c r="O32" s="17">
        <f>'TUSD BE'!$O$32*'TUSD BE'!$O$58</f>
        <v>0</v>
      </c>
      <c r="P32" s="17">
        <f>'TUSD BE'!$P$32*'TUSD BE'!$P$58</f>
        <v>0</v>
      </c>
      <c r="Q32" s="17">
        <f>'TUSD BE'!$Q$32*'TUSD BE'!$Q$58</f>
        <v>-3.3122159342143132</v>
      </c>
      <c r="R32" s="17">
        <f>'TUSD BE'!$R$32*'TUSD BE'!$R$58</f>
        <v>-0.5290859729511026</v>
      </c>
      <c r="S32" s="17">
        <f>'TUSD BE'!$R$32*'TUSD BE'!$S$58</f>
        <v>0</v>
      </c>
      <c r="T32" s="17">
        <f ca="1">SUM($L$32:$S$32)</f>
        <v>-4.4982230630242874</v>
      </c>
      <c r="U32" s="17">
        <f>'TUSD BE'!$U$32*'TUSD BE'!$U$58</f>
        <v>-0.62050307251603443</v>
      </c>
      <c r="V32" s="17">
        <f>'TUSD BE'!$V$32*'TUSD BE'!$V$58</f>
        <v>-0.43073017779151779</v>
      </c>
      <c r="W32" s="17">
        <f>'TUSD BE'!$W$32*'TUSD BE'!$W$58</f>
        <v>-4.3517058478675805E-2</v>
      </c>
      <c r="X32" s="17">
        <f>'TUSD BE'!$X$32*'TUSD BE'!$X$58</f>
        <v>0</v>
      </c>
      <c r="Y32" s="17">
        <f>'TUSD BE'!$Y$32*'TUSD BE'!$Y$58</f>
        <v>0</v>
      </c>
      <c r="Z32" s="17">
        <f>'TUSD BE'!$Z$32*'TUSD BE'!$Z$58</f>
        <v>0</v>
      </c>
      <c r="AA32" s="17">
        <f>'TUSD BE'!$AA$32*'TUSD BE'!$AA$58</f>
        <v>0</v>
      </c>
      <c r="AB32" s="17">
        <f>SUM($U$32:$AA$32)</f>
        <v>-1.094750308786228</v>
      </c>
      <c r="AC32" s="17">
        <f>'TUSD BE'!$AC$32*'TUSD BE'!$AC$58</f>
        <v>-2.1102878228576554</v>
      </c>
      <c r="AD32" s="17">
        <f>SUM($AC$32:$AC$32)</f>
        <v>-2.1102878228576554</v>
      </c>
      <c r="AE32" s="17">
        <f ca="1">$AO$32*$AO$55</f>
        <v>-51.123664950603235</v>
      </c>
      <c r="AF32" s="17">
        <f ca="1">$AP$32*$AP$55</f>
        <v>0</v>
      </c>
      <c r="AG32" s="17">
        <f ca="1">SUM($AE$32:$AF$32)</f>
        <v>-51.123664950603235</v>
      </c>
      <c r="AH32" s="17">
        <f>'TUSD BE'!$AH$32*'TUSD BE'!$AH$58</f>
        <v>7.3955910194548197E-2</v>
      </c>
      <c r="AI32" s="17">
        <f>'TUSD BE'!$AI$32*'TUSD BE'!$AI$58</f>
        <v>0</v>
      </c>
      <c r="AJ32" s="17">
        <f ca="1">'TUSD BE'!$AJ$32*'TUSD BE'!$AJ$58</f>
        <v>2.661359623736446E-3</v>
      </c>
      <c r="AK32" s="17">
        <f ca="1">'TUSD BE'!$AK$32*'TUSD BE'!$AK$58</f>
        <v>0.14104218800210214</v>
      </c>
      <c r="AL32" s="17">
        <f ca="1">SUM($AH$32:$AK$32)</f>
        <v>0.21765945782038676</v>
      </c>
      <c r="AM32" s="17">
        <f ca="1">SUMIF($L$4:$AL$4,"SUBTOTAL",$L$32:$AL$32)</f>
        <v>-58.609266687451019</v>
      </c>
      <c r="AO32" s="64">
        <f ca="1">+'TUSD BE'!$T$32+'TUSD BE'!$AB$32+'TUSD BE'!$AD$32+'TUSD BE'!$AL$32</f>
        <v>285.64962617959338</v>
      </c>
      <c r="AP32" s="64">
        <f ca="1">+'TUSD BE'!$T$32+'TUSD BE'!$AB$32+'TUSD BE'!$AD$32+'TUSD BE'!$AL$32</f>
        <v>285.64962617959338</v>
      </c>
    </row>
    <row r="33" spans="1:42" ht="11.25" customHeight="1" x14ac:dyDescent="0.25">
      <c r="A33" s="166"/>
      <c r="B33" s="62" t="s">
        <v>23</v>
      </c>
      <c r="C33" s="62" t="s">
        <v>43</v>
      </c>
      <c r="D33" s="62" t="s">
        <v>25</v>
      </c>
      <c r="E33" s="62" t="s">
        <v>25</v>
      </c>
      <c r="F33" s="62" t="s">
        <v>25</v>
      </c>
      <c r="G33" s="57" t="s">
        <v>82</v>
      </c>
      <c r="H33" s="57" t="s">
        <v>78</v>
      </c>
      <c r="I33" s="57">
        <f>'MERCADO TUSD'!$U$30</f>
        <v>1694.7730000000001</v>
      </c>
      <c r="J33" s="16"/>
      <c r="L33" s="17">
        <f>'TUSD BE'!$L$33*'TUSD BE'!$L$58</f>
        <v>-0.61365231628134631</v>
      </c>
      <c r="M33" s="17">
        <f>'TUSD BE'!$M$33*'TUSD BE'!$M$58</f>
        <v>-4.3268773577844089E-2</v>
      </c>
      <c r="N33" s="17">
        <f ca="1">'TUSD BE'!$N$33*'TUSD BE'!$N$58</f>
        <v>-9.1892996678294415E-8</v>
      </c>
      <c r="O33" s="17">
        <f>'TUSD BE'!$O$33*'TUSD BE'!$O$58</f>
        <v>0</v>
      </c>
      <c r="P33" s="17">
        <f>'TUSD BE'!$P$33*'TUSD BE'!$P$58</f>
        <v>0</v>
      </c>
      <c r="Q33" s="17">
        <f>'TUSD BE'!$Q$33*'TUSD BE'!$Q$58</f>
        <v>-3.3122159342143132</v>
      </c>
      <c r="R33" s="17">
        <f>'TUSD BE'!$R$33*'TUSD BE'!$R$58</f>
        <v>-0.5290859729511026</v>
      </c>
      <c r="S33" s="17">
        <f>'TUSD BE'!$R$33*'TUSD BE'!$S$58</f>
        <v>0</v>
      </c>
      <c r="T33" s="17">
        <f ca="1">SUM($L$33:$S$33)</f>
        <v>-4.4982230889176034</v>
      </c>
      <c r="U33" s="17">
        <f>'TUSD BE'!$U$33*'TUSD BE'!$U$58</f>
        <v>-0.94015672899436853</v>
      </c>
      <c r="V33" s="17">
        <f>'TUSD BE'!$V$33*'TUSD BE'!$V$58</f>
        <v>-0.65262239418667467</v>
      </c>
      <c r="W33" s="17">
        <f>'TUSD BE'!$W$33*'TUSD BE'!$W$58</f>
        <v>-6.5935637360388571E-2</v>
      </c>
      <c r="X33" s="17">
        <f>'TUSD BE'!$X$33*'TUSD BE'!$X$58</f>
        <v>0</v>
      </c>
      <c r="Y33" s="17">
        <f>'TUSD BE'!$Y$33*'TUSD BE'!$Y$58</f>
        <v>0</v>
      </c>
      <c r="Z33" s="17">
        <f>'TUSD BE'!$Z$33*'TUSD BE'!$Z$58</f>
        <v>0</v>
      </c>
      <c r="AA33" s="17">
        <f>'TUSD BE'!$AA$33*'TUSD BE'!$AA$58</f>
        <v>0</v>
      </c>
      <c r="AB33" s="17">
        <f>SUM($U$33:$AA$33)</f>
        <v>-1.6587147605414319</v>
      </c>
      <c r="AC33" s="17">
        <f>'TUSD BE'!$AC$33*'TUSD BE'!$AC$58</f>
        <v>-3.1974069350688032</v>
      </c>
      <c r="AD33" s="17">
        <f>SUM($AC$33:$AC$33)</f>
        <v>-3.1974069350688032</v>
      </c>
      <c r="AE33" s="17">
        <f ca="1">$AO$33*$AO$55</f>
        <v>-65.352761649010233</v>
      </c>
      <c r="AF33" s="17">
        <f ca="1">$AP$33*$AP$55</f>
        <v>0</v>
      </c>
      <c r="AG33" s="17">
        <f ca="1">SUM($AE$33:$AF$33)</f>
        <v>-65.352761649010233</v>
      </c>
      <c r="AH33" s="17">
        <f>'TUSD BE'!$AH$33*'TUSD BE'!$AH$58</f>
        <v>7.3955910194548197E-2</v>
      </c>
      <c r="AI33" s="17">
        <f>'TUSD BE'!$AI$33*'TUSD BE'!$AI$58</f>
        <v>0</v>
      </c>
      <c r="AJ33" s="17">
        <f ca="1">'TUSD BE'!$AJ$33*'TUSD BE'!$AJ$58</f>
        <v>2.661359623736446E-3</v>
      </c>
      <c r="AK33" s="17">
        <f ca="1">'TUSD BE'!$AK$33*'TUSD BE'!$AK$58</f>
        <v>0.14104218800210214</v>
      </c>
      <c r="AL33" s="17">
        <f ca="1">SUM($AH$33:$AK$33)</f>
        <v>0.21765945782038676</v>
      </c>
      <c r="AM33" s="17">
        <f ca="1">SUMIF($L$4:$AL$4,"SUBTOTAL",$L$33:$AL$33)</f>
        <v>-74.489446975717684</v>
      </c>
      <c r="AO33" s="64">
        <f ca="1">+'TUSD BE'!$T$33+'TUSD BE'!$AB$33+'TUSD BE'!$AD$33+'TUSD BE'!$AL$33</f>
        <v>365.15363194092691</v>
      </c>
      <c r="AP33" s="64">
        <f ca="1">+'TUSD BE'!$T$33+'TUSD BE'!$AB$33+'TUSD BE'!$AD$33+'TUSD BE'!$AL$33</f>
        <v>365.15363194092691</v>
      </c>
    </row>
    <row r="34" spans="1:42" ht="11.25" customHeight="1" x14ac:dyDescent="0.25">
      <c r="A34" s="166"/>
      <c r="B34" s="166" t="s">
        <v>32</v>
      </c>
      <c r="C34" s="166" t="s">
        <v>43</v>
      </c>
      <c r="D34" s="166" t="s">
        <v>95</v>
      </c>
      <c r="E34" s="166" t="s">
        <v>25</v>
      </c>
      <c r="F34" s="166" t="s">
        <v>25</v>
      </c>
      <c r="G34" s="57" t="s">
        <v>79</v>
      </c>
      <c r="H34" s="57" t="s">
        <v>78</v>
      </c>
      <c r="I34" s="57">
        <f>'MERCADO TUSD'!$U$31</f>
        <v>0</v>
      </c>
      <c r="J34" s="16"/>
      <c r="L34" s="17">
        <f>'TUSD BE'!$L$34*'TUSD BE'!$L$58</f>
        <v>-0.61365231628134631</v>
      </c>
      <c r="M34" s="17">
        <f>'TUSD BE'!$M$34*'TUSD BE'!$M$58</f>
        <v>-4.3268773577844089E-2</v>
      </c>
      <c r="N34" s="17">
        <f ca="1">'TUSD BE'!$N$34*'TUSD BE'!$N$58</f>
        <v>-2.6705343535791744E-7</v>
      </c>
      <c r="O34" s="17">
        <f>'TUSD BE'!$O$34*'TUSD BE'!$O$58</f>
        <v>0</v>
      </c>
      <c r="P34" s="17">
        <f>'TUSD BE'!$P$34*'TUSD BE'!$P$58</f>
        <v>0</v>
      </c>
      <c r="Q34" s="17">
        <f>'TUSD BE'!$Q$34*'TUSD BE'!$Q$58</f>
        <v>-3.3122159342143132</v>
      </c>
      <c r="R34" s="17">
        <f>'TUSD BE'!$R$34*'TUSD BE'!$R$58</f>
        <v>-0.5290859729511026</v>
      </c>
      <c r="S34" s="17">
        <f>'TUSD BE'!$R$34*'TUSD BE'!$S$58</f>
        <v>0</v>
      </c>
      <c r="T34" s="17">
        <f ca="1">SUM($L$34:$S$34)</f>
        <v>-4.4982232640780415</v>
      </c>
      <c r="U34" s="17">
        <f>'TUSD BE'!$U$34*'TUSD BE'!$U$58</f>
        <v>-3.1025245780863919</v>
      </c>
      <c r="V34" s="17">
        <f>'TUSD BE'!$V$34*'TUSD BE'!$V$58</f>
        <v>-2.1536551916124997</v>
      </c>
      <c r="W34" s="17">
        <f>'TUSD BE'!$W$34*'TUSD BE'!$W$58</f>
        <v>-0.21758673670331855</v>
      </c>
      <c r="X34" s="17">
        <f>'TUSD BE'!$X$34*'TUSD BE'!$X$58</f>
        <v>0</v>
      </c>
      <c r="Y34" s="17">
        <f>'TUSD BE'!$Y$34*'TUSD BE'!$Y$58</f>
        <v>0</v>
      </c>
      <c r="Z34" s="17">
        <f>'TUSD BE'!$Z$34*'TUSD BE'!$Z$58</f>
        <v>0</v>
      </c>
      <c r="AA34" s="17">
        <f>'TUSD BE'!$AA$34*'TUSD BE'!$AA$58</f>
        <v>0</v>
      </c>
      <c r="AB34" s="17">
        <f>SUM($U$34:$AA$34)</f>
        <v>-5.4737665064022103</v>
      </c>
      <c r="AC34" s="17">
        <f>'TUSD BE'!$AC$34*'TUSD BE'!$AC$58</f>
        <v>-10.551441000007662</v>
      </c>
      <c r="AD34" s="17">
        <f>SUM($AC$34:$AC$34)</f>
        <v>-10.551441000007662</v>
      </c>
      <c r="AE34" s="17">
        <f ca="1">$AO$34*$AO$55</f>
        <v>-161.60830589734135</v>
      </c>
      <c r="AF34" s="17">
        <f ca="1">$AP$34*$AP$55</f>
        <v>0</v>
      </c>
      <c r="AG34" s="17">
        <f ca="1">SUM($AE$34:$AF$34)</f>
        <v>-161.60830589734135</v>
      </c>
      <c r="AH34" s="17">
        <f>'TUSD BE'!$AH$34*'TUSD BE'!$AH$58</f>
        <v>7.3955910194548197E-2</v>
      </c>
      <c r="AI34" s="17">
        <f>'TUSD BE'!$AI$34*'TUSD BE'!$AI$58</f>
        <v>0</v>
      </c>
      <c r="AJ34" s="17">
        <f ca="1">'TUSD BE'!$AJ$34*'TUSD BE'!$AJ$58</f>
        <v>2.661359623736446E-3</v>
      </c>
      <c r="AK34" s="17">
        <f ca="1">'TUSD BE'!$AK$34*'TUSD BE'!$AK$58</f>
        <v>0.14104218800210214</v>
      </c>
      <c r="AL34" s="17">
        <f ca="1">SUM($AH$34:$AK$34)</f>
        <v>0.21765945782038676</v>
      </c>
      <c r="AM34" s="17">
        <f ca="1">SUMIF($L$4:$AL$4,"SUBTOTAL",$L$34:$AL$34)</f>
        <v>-181.91407721000888</v>
      </c>
      <c r="AO34" s="64">
        <f ca="1">+'TUSD BE'!$T$34+'TUSD BE'!$AB$34+'TUSD BE'!$AD$34+'TUSD BE'!$AL$34</f>
        <v>902.97423339459215</v>
      </c>
      <c r="AP34" s="64">
        <f ca="1">+'TUSD BE'!$T$34+'TUSD BE'!$AB$34+'TUSD BE'!$AD$34+'TUSD BE'!$AL$34</f>
        <v>902.97423339459215</v>
      </c>
    </row>
    <row r="35" spans="1:42" ht="11.25" customHeight="1" x14ac:dyDescent="0.25">
      <c r="A35" s="166"/>
      <c r="B35" s="166"/>
      <c r="C35" s="166"/>
      <c r="D35" s="166"/>
      <c r="E35" s="166"/>
      <c r="F35" s="166"/>
      <c r="G35" s="57" t="s">
        <v>92</v>
      </c>
      <c r="H35" s="57" t="s">
        <v>78</v>
      </c>
      <c r="I35" s="57">
        <f>'MERCADO TUSD'!$U$32</f>
        <v>0</v>
      </c>
      <c r="J35" s="16"/>
      <c r="L35" s="17">
        <f>'TUSD BE'!$L$35*'TUSD BE'!$L$58</f>
        <v>-0.61365231628134631</v>
      </c>
      <c r="M35" s="17">
        <f>'TUSD BE'!$M$35*'TUSD BE'!$M$58</f>
        <v>-4.3268773577844089E-2</v>
      </c>
      <c r="N35" s="17">
        <f ca="1">'TUSD BE'!$N$35*'TUSD BE'!$N$58</f>
        <v>-1.1626314751075686E-7</v>
      </c>
      <c r="O35" s="17">
        <f>'TUSD BE'!$O$35*'TUSD BE'!$O$58</f>
        <v>0</v>
      </c>
      <c r="P35" s="17">
        <f>'TUSD BE'!$P$35*'TUSD BE'!$P$58</f>
        <v>0</v>
      </c>
      <c r="Q35" s="17">
        <f>'TUSD BE'!$Q$35*'TUSD BE'!$Q$58</f>
        <v>-3.3122159342143132</v>
      </c>
      <c r="R35" s="17">
        <f>'TUSD BE'!$R$35*'TUSD BE'!$R$58</f>
        <v>-0.5290859729511026</v>
      </c>
      <c r="S35" s="17">
        <f>'TUSD BE'!$R$35*'TUSD BE'!$S$58</f>
        <v>0</v>
      </c>
      <c r="T35" s="17">
        <f ca="1">SUM($L$35:$S$35)</f>
        <v>-4.4982231132877537</v>
      </c>
      <c r="U35" s="17">
        <f>'TUSD BE'!$U$35*'TUSD BE'!$U$58</f>
        <v>-1.2410107527851786</v>
      </c>
      <c r="V35" s="17">
        <f>'TUSD BE'!$V$35*'TUSD BE'!$V$58</f>
        <v>-0.86146035558303558</v>
      </c>
      <c r="W35" s="17">
        <f>'TUSD BE'!$W$35*'TUSD BE'!$W$58</f>
        <v>-8.7035561267291145E-2</v>
      </c>
      <c r="X35" s="17">
        <f>'TUSD BE'!$X$35*'TUSD BE'!$X$58</f>
        <v>0</v>
      </c>
      <c r="Y35" s="17">
        <f>'TUSD BE'!$Y$35*'TUSD BE'!$Y$58</f>
        <v>0</v>
      </c>
      <c r="Z35" s="17">
        <f>'TUSD BE'!$Z$35*'TUSD BE'!$Z$58</f>
        <v>0</v>
      </c>
      <c r="AA35" s="17">
        <f>'TUSD BE'!$AA$35*'TUSD BE'!$AA$58</f>
        <v>0</v>
      </c>
      <c r="AB35" s="17">
        <f>SUM($U$35:$AA$35)</f>
        <v>-2.1895066696355054</v>
      </c>
      <c r="AC35" s="17">
        <f>'TUSD BE'!$AC$35*'TUSD BE'!$AC$58</f>
        <v>-4.2205756457153107</v>
      </c>
      <c r="AD35" s="17">
        <f>SUM($AC$35:$AC$35)</f>
        <v>-4.2205756457153107</v>
      </c>
      <c r="AE35" s="17">
        <f ca="1">$AO$35*$AO$55</f>
        <v>-78.744840124964654</v>
      </c>
      <c r="AF35" s="17">
        <f ca="1">$AP$35*$AP$55</f>
        <v>0</v>
      </c>
      <c r="AG35" s="17">
        <f ca="1">SUM($AE$35:$AF$35)</f>
        <v>-78.744840124964654</v>
      </c>
      <c r="AH35" s="17">
        <f>'TUSD BE'!$AH$35*'TUSD BE'!$AH$58</f>
        <v>7.3955910194548197E-2</v>
      </c>
      <c r="AI35" s="17">
        <f>'TUSD BE'!$AI$35*'TUSD BE'!$AI$58</f>
        <v>0</v>
      </c>
      <c r="AJ35" s="17">
        <f ca="1">'TUSD BE'!$AJ$35*'TUSD BE'!$AJ$58</f>
        <v>2.661359623736446E-3</v>
      </c>
      <c r="AK35" s="17">
        <f ca="1">'TUSD BE'!$AK$35*'TUSD BE'!$AK$58</f>
        <v>0.14104218800210214</v>
      </c>
      <c r="AL35" s="17">
        <f ca="1">SUM($AH$35:$AK$35)</f>
        <v>0.21765945782038676</v>
      </c>
      <c r="AM35" s="17">
        <f ca="1">SUMIF($L$4:$AL$4,"SUBTOTAL",$L$35:$AL$35)</f>
        <v>-89.435486095782835</v>
      </c>
      <c r="AO35" s="64">
        <f ca="1">+'TUSD BE'!$T$35+'TUSD BE'!$AB$35+'TUSD BE'!$AD$35+'TUSD BE'!$AL$35</f>
        <v>439.98086144648727</v>
      </c>
      <c r="AP35" s="64">
        <f ca="1">+'TUSD BE'!$T$35+'TUSD BE'!$AB$35+'TUSD BE'!$AD$35+'TUSD BE'!$AL$35</f>
        <v>439.98086144648727</v>
      </c>
    </row>
    <row r="36" spans="1:42" ht="11.25" customHeight="1" x14ac:dyDescent="0.25">
      <c r="A36" s="166"/>
      <c r="B36" s="166"/>
      <c r="C36" s="166"/>
      <c r="D36" s="166"/>
      <c r="E36" s="166"/>
      <c r="F36" s="166"/>
      <c r="G36" s="57" t="s">
        <v>80</v>
      </c>
      <c r="H36" s="57" t="s">
        <v>78</v>
      </c>
      <c r="I36" s="57">
        <f>'MERCADO TUSD'!$U$33</f>
        <v>0</v>
      </c>
      <c r="J36" s="16"/>
      <c r="L36" s="17">
        <f>'TUSD BE'!$L$36*'TUSD BE'!$L$58</f>
        <v>-0.61365231628134631</v>
      </c>
      <c r="M36" s="17">
        <f>'TUSD BE'!$M$36*'TUSD BE'!$M$58</f>
        <v>-4.3268773577844089E-2</v>
      </c>
      <c r="N36" s="17">
        <f ca="1">'TUSD BE'!$N$36*'TUSD BE'!$N$58</f>
        <v>-6.5999681910679601E-8</v>
      </c>
      <c r="O36" s="17">
        <f>'TUSD BE'!$O$36*'TUSD BE'!$O$58</f>
        <v>0</v>
      </c>
      <c r="P36" s="17">
        <f>'TUSD BE'!$P$36*'TUSD BE'!$P$58</f>
        <v>0</v>
      </c>
      <c r="Q36" s="17">
        <f>'TUSD BE'!$Q$36*'TUSD BE'!$Q$58</f>
        <v>-3.3122159342143132</v>
      </c>
      <c r="R36" s="17">
        <f>'TUSD BE'!$R$36*'TUSD BE'!$R$58</f>
        <v>-0.5290859729511026</v>
      </c>
      <c r="S36" s="17">
        <f>'TUSD BE'!$R$36*'TUSD BE'!$S$58</f>
        <v>0</v>
      </c>
      <c r="T36" s="17">
        <f ca="1">SUM($L$36:$S$36)</f>
        <v>-4.4982230630242874</v>
      </c>
      <c r="U36" s="17">
        <f>'TUSD BE'!$U$36*'TUSD BE'!$U$58</f>
        <v>-0.62050307251603443</v>
      </c>
      <c r="V36" s="17">
        <f>'TUSD BE'!$V$36*'TUSD BE'!$V$58</f>
        <v>-0.43073017779151779</v>
      </c>
      <c r="W36" s="17">
        <f>'TUSD BE'!$W$36*'TUSD BE'!$W$58</f>
        <v>-4.3517058478675805E-2</v>
      </c>
      <c r="X36" s="17">
        <f>'TUSD BE'!$X$36*'TUSD BE'!$X$58</f>
        <v>0</v>
      </c>
      <c r="Y36" s="17">
        <f>'TUSD BE'!$Y$36*'TUSD BE'!$Y$58</f>
        <v>0</v>
      </c>
      <c r="Z36" s="17">
        <f>'TUSD BE'!$Z$36*'TUSD BE'!$Z$58</f>
        <v>0</v>
      </c>
      <c r="AA36" s="17">
        <f>'TUSD BE'!$AA$36*'TUSD BE'!$AA$58</f>
        <v>0</v>
      </c>
      <c r="AB36" s="17">
        <f>SUM($U$36:$AA$36)</f>
        <v>-1.094750308786228</v>
      </c>
      <c r="AC36" s="17">
        <f>'TUSD BE'!$AC$36*'TUSD BE'!$AC$58</f>
        <v>-2.1102878228576554</v>
      </c>
      <c r="AD36" s="17">
        <f>SUM($AC$36:$AC$36)</f>
        <v>-2.1102878228576554</v>
      </c>
      <c r="AE36" s="17">
        <f ca="1">$AO$36*$AO$55</f>
        <v>-51.123664950603235</v>
      </c>
      <c r="AF36" s="17">
        <f ca="1">$AP$36*$AP$55</f>
        <v>0</v>
      </c>
      <c r="AG36" s="17">
        <f ca="1">SUM($AE$36:$AF$36)</f>
        <v>-51.123664950603235</v>
      </c>
      <c r="AH36" s="17">
        <f>'TUSD BE'!$AH$36*'TUSD BE'!$AH$58</f>
        <v>7.3955910194548197E-2</v>
      </c>
      <c r="AI36" s="17">
        <f>'TUSD BE'!$AI$36*'TUSD BE'!$AI$58</f>
        <v>0</v>
      </c>
      <c r="AJ36" s="17">
        <f ca="1">'TUSD BE'!$AJ$36*'TUSD BE'!$AJ$58</f>
        <v>2.661359623736446E-3</v>
      </c>
      <c r="AK36" s="17">
        <f ca="1">'TUSD BE'!$AK$36*'TUSD BE'!$AK$58</f>
        <v>0.14104218800210214</v>
      </c>
      <c r="AL36" s="17">
        <f ca="1">SUM($AH$36:$AK$36)</f>
        <v>0.21765945782038676</v>
      </c>
      <c r="AM36" s="17">
        <f ca="1">SUMIF($L$4:$AL$4,"SUBTOTAL",$L$36:$AL$36)</f>
        <v>-58.609266687451019</v>
      </c>
      <c r="AO36" s="64">
        <f ca="1">+'TUSD BE'!$T$36+'TUSD BE'!$AB$36+'TUSD BE'!$AD$36+'TUSD BE'!$AL$36</f>
        <v>285.64962617959338</v>
      </c>
      <c r="AP36" s="64">
        <f ca="1">+'TUSD BE'!$T$36+'TUSD BE'!$AB$36+'TUSD BE'!$AD$36+'TUSD BE'!$AL$36</f>
        <v>285.64962617959338</v>
      </c>
    </row>
    <row r="37" spans="1:42" ht="11.25" customHeight="1" x14ac:dyDescent="0.25">
      <c r="A37" s="166"/>
      <c r="B37" s="62" t="s">
        <v>23</v>
      </c>
      <c r="C37" s="62" t="s">
        <v>43</v>
      </c>
      <c r="D37" s="62" t="s">
        <v>95</v>
      </c>
      <c r="E37" s="62" t="s">
        <v>25</v>
      </c>
      <c r="F37" s="62" t="s">
        <v>25</v>
      </c>
      <c r="G37" s="57" t="s">
        <v>82</v>
      </c>
      <c r="H37" s="57" t="s">
        <v>78</v>
      </c>
      <c r="I37" s="57">
        <f>'MERCADO TUSD'!$U$34</f>
        <v>0</v>
      </c>
      <c r="J37" s="16"/>
      <c r="L37" s="17">
        <f>'TUSD BE'!$L$37*'TUSD BE'!$L$58</f>
        <v>-0.61365231628134631</v>
      </c>
      <c r="M37" s="17">
        <f>'TUSD BE'!$M$37*'TUSD BE'!$M$58</f>
        <v>-4.3268773577844089E-2</v>
      </c>
      <c r="N37" s="17">
        <f ca="1">'TUSD BE'!$N$37*'TUSD BE'!$N$58</f>
        <v>-9.1892996678294415E-8</v>
      </c>
      <c r="O37" s="17">
        <f>'TUSD BE'!$O$37*'TUSD BE'!$O$58</f>
        <v>0</v>
      </c>
      <c r="P37" s="17">
        <f>'TUSD BE'!$P$37*'TUSD BE'!$P$58</f>
        <v>0</v>
      </c>
      <c r="Q37" s="17">
        <f>'TUSD BE'!$Q$37*'TUSD BE'!$Q$58</f>
        <v>-3.3122159342143132</v>
      </c>
      <c r="R37" s="17">
        <f>'TUSD BE'!$R$37*'TUSD BE'!$R$58</f>
        <v>-0.5290859729511026</v>
      </c>
      <c r="S37" s="17">
        <f>'TUSD BE'!$R$37*'TUSD BE'!$S$58</f>
        <v>0</v>
      </c>
      <c r="T37" s="17">
        <f ca="1">SUM($L$37:$S$37)</f>
        <v>-4.4982230889176034</v>
      </c>
      <c r="U37" s="17">
        <f>'TUSD BE'!$U$37*'TUSD BE'!$U$58</f>
        <v>-0.94015672899436853</v>
      </c>
      <c r="V37" s="17">
        <f>'TUSD BE'!$V$37*'TUSD BE'!$V$58</f>
        <v>-0.65262239418667467</v>
      </c>
      <c r="W37" s="17">
        <f>'TUSD BE'!$W$37*'TUSD BE'!$W$58</f>
        <v>-6.5935637360388571E-2</v>
      </c>
      <c r="X37" s="17">
        <f>'TUSD BE'!$X$37*'TUSD BE'!$X$58</f>
        <v>0</v>
      </c>
      <c r="Y37" s="17">
        <f>'TUSD BE'!$Y$37*'TUSD BE'!$Y$58</f>
        <v>0</v>
      </c>
      <c r="Z37" s="17">
        <f>'TUSD BE'!$Z$37*'TUSD BE'!$Z$58</f>
        <v>0</v>
      </c>
      <c r="AA37" s="17">
        <f>'TUSD BE'!$AA$37*'TUSD BE'!$AA$58</f>
        <v>0</v>
      </c>
      <c r="AB37" s="17">
        <f>SUM($U$37:$AA$37)</f>
        <v>-1.6587147605414319</v>
      </c>
      <c r="AC37" s="17">
        <f>'TUSD BE'!$AC$37*'TUSD BE'!$AC$58</f>
        <v>-3.1974069350688032</v>
      </c>
      <c r="AD37" s="17">
        <f>SUM($AC$37:$AC$37)</f>
        <v>-3.1974069350688032</v>
      </c>
      <c r="AE37" s="17">
        <f ca="1">$AO$37*$AO$55</f>
        <v>-65.352761649010233</v>
      </c>
      <c r="AF37" s="17">
        <f ca="1">$AP$37*$AP$55</f>
        <v>0</v>
      </c>
      <c r="AG37" s="17">
        <f ca="1">SUM($AE$37:$AF$37)</f>
        <v>-65.352761649010233</v>
      </c>
      <c r="AH37" s="17">
        <f>'TUSD BE'!$AH$37*'TUSD BE'!$AH$58</f>
        <v>7.3955910194548197E-2</v>
      </c>
      <c r="AI37" s="17">
        <f>'TUSD BE'!$AI$37*'TUSD BE'!$AI$58</f>
        <v>0</v>
      </c>
      <c r="AJ37" s="17">
        <f ca="1">'TUSD BE'!$AJ$37*'TUSD BE'!$AJ$58</f>
        <v>2.661359623736446E-3</v>
      </c>
      <c r="AK37" s="17">
        <f ca="1">'TUSD BE'!$AK$37*'TUSD BE'!$AK$58</f>
        <v>0.14104218800210214</v>
      </c>
      <c r="AL37" s="17">
        <f ca="1">SUM($AH$37:$AK$37)</f>
        <v>0.21765945782038676</v>
      </c>
      <c r="AM37" s="17">
        <f ca="1">SUMIF($L$4:$AL$4,"SUBTOTAL",$L$37:$AL$37)</f>
        <v>-74.489446975717684</v>
      </c>
      <c r="AO37" s="64">
        <f ca="1">+'TUSD BE'!$T$37+'TUSD BE'!$AB$37+'TUSD BE'!$AD$37+'TUSD BE'!$AL$37</f>
        <v>365.15363194092691</v>
      </c>
      <c r="AP37" s="64">
        <f ca="1">+'TUSD BE'!$T$37+'TUSD BE'!$AB$37+'TUSD BE'!$AD$37+'TUSD BE'!$AL$37</f>
        <v>365.15363194092691</v>
      </c>
    </row>
    <row r="38" spans="1:42" ht="11.25" customHeight="1" x14ac:dyDescent="0.25">
      <c r="A38" s="166"/>
      <c r="B38" s="166" t="s">
        <v>32</v>
      </c>
      <c r="C38" s="166" t="s">
        <v>43</v>
      </c>
      <c r="D38" s="166" t="s">
        <v>96</v>
      </c>
      <c r="E38" s="166" t="s">
        <v>25</v>
      </c>
      <c r="F38" s="166" t="s">
        <v>25</v>
      </c>
      <c r="G38" s="57" t="s">
        <v>79</v>
      </c>
      <c r="H38" s="57" t="s">
        <v>78</v>
      </c>
      <c r="I38" s="57">
        <f>'MERCADO TUSD'!$U$35</f>
        <v>0</v>
      </c>
      <c r="J38" s="16"/>
      <c r="L38" s="17">
        <f>'TUSD BE'!$L$38*'TUSD BE'!$L$58</f>
        <v>-0.61365231628134631</v>
      </c>
      <c r="M38" s="17">
        <f>'TUSD BE'!$M$38*'TUSD BE'!$M$58</f>
        <v>-4.3268773577844089E-2</v>
      </c>
      <c r="N38" s="17">
        <f ca="1">'TUSD BE'!$N$38*'TUSD BE'!$N$58</f>
        <v>-2.6705343535791744E-7</v>
      </c>
      <c r="O38" s="17">
        <f>'TUSD BE'!$O$38*'TUSD BE'!$O$58</f>
        <v>0</v>
      </c>
      <c r="P38" s="17">
        <f>'TUSD BE'!$P$38*'TUSD BE'!$P$58</f>
        <v>0</v>
      </c>
      <c r="Q38" s="17">
        <f>'TUSD BE'!$Q$38*'TUSD BE'!$Q$58</f>
        <v>-3.3122159342143132</v>
      </c>
      <c r="R38" s="17">
        <f>'TUSD BE'!$R$38*'TUSD BE'!$R$58</f>
        <v>-0.5290859729511026</v>
      </c>
      <c r="S38" s="17">
        <f>'TUSD BE'!$R$38*'TUSD BE'!$S$58</f>
        <v>0</v>
      </c>
      <c r="T38" s="17">
        <f ca="1">SUM($L$38:$S$38)</f>
        <v>-4.4982232640780415</v>
      </c>
      <c r="U38" s="17">
        <f>'TUSD BE'!$U$38*'TUSD BE'!$U$58</f>
        <v>-3.1025245780863919</v>
      </c>
      <c r="V38" s="17">
        <f>'TUSD BE'!$V$38*'TUSD BE'!$V$58</f>
        <v>-2.1536551916124997</v>
      </c>
      <c r="W38" s="17">
        <f>'TUSD BE'!$W$38*'TUSD BE'!$W$58</f>
        <v>-0.21758673670331855</v>
      </c>
      <c r="X38" s="17">
        <f>'TUSD BE'!$X$38*'TUSD BE'!$X$58</f>
        <v>0</v>
      </c>
      <c r="Y38" s="17">
        <f>'TUSD BE'!$Y$38*'TUSD BE'!$Y$58</f>
        <v>0</v>
      </c>
      <c r="Z38" s="17">
        <f>'TUSD BE'!$Z$38*'TUSD BE'!$Z$58</f>
        <v>0</v>
      </c>
      <c r="AA38" s="17">
        <f>'TUSD BE'!$AA$38*'TUSD BE'!$AA$58</f>
        <v>0</v>
      </c>
      <c r="AB38" s="17">
        <f>SUM($U$38:$AA$38)</f>
        <v>-5.4737665064022103</v>
      </c>
      <c r="AC38" s="17">
        <f>'TUSD BE'!$AC$38*'TUSD BE'!$AC$58</f>
        <v>-10.551441000007662</v>
      </c>
      <c r="AD38" s="17">
        <f>SUM($AC$38:$AC$38)</f>
        <v>-10.551441000007662</v>
      </c>
      <c r="AE38" s="17">
        <f ca="1">$AO$38*$AO$55</f>
        <v>-161.60830589734135</v>
      </c>
      <c r="AF38" s="17">
        <f ca="1">$AP$38*$AP$55</f>
        <v>0</v>
      </c>
      <c r="AG38" s="17">
        <f ca="1">SUM($AE$38:$AF$38)</f>
        <v>-161.60830589734135</v>
      </c>
      <c r="AH38" s="17">
        <f>'TUSD BE'!$AH$38*'TUSD BE'!$AH$58</f>
        <v>7.3955910194548197E-2</v>
      </c>
      <c r="AI38" s="17">
        <f>'TUSD BE'!$AI$38*'TUSD BE'!$AI$58</f>
        <v>0</v>
      </c>
      <c r="AJ38" s="17">
        <f ca="1">'TUSD BE'!$AJ$38*'TUSD BE'!$AJ$58</f>
        <v>2.661359623736446E-3</v>
      </c>
      <c r="AK38" s="17">
        <f ca="1">'TUSD BE'!$AK$38*'TUSD BE'!$AK$58</f>
        <v>0.14104218800210214</v>
      </c>
      <c r="AL38" s="17">
        <f ca="1">SUM($AH$38:$AK$38)</f>
        <v>0.21765945782038676</v>
      </c>
      <c r="AM38" s="17">
        <f ca="1">SUMIF($L$4:$AL$4,"SUBTOTAL",$L$38:$AL$38)</f>
        <v>-181.91407721000888</v>
      </c>
      <c r="AO38" s="64">
        <f ca="1">+'TUSD BE'!$T$38+'TUSD BE'!$AB$38+'TUSD BE'!$AD$38+'TUSD BE'!$AL$38</f>
        <v>902.97423339459215</v>
      </c>
      <c r="AP38" s="64">
        <f ca="1">+'TUSD BE'!$T$38+'TUSD BE'!$AB$38+'TUSD BE'!$AD$38+'TUSD BE'!$AL$38</f>
        <v>902.97423339459215</v>
      </c>
    </row>
    <row r="39" spans="1:42" ht="11.25" customHeight="1" x14ac:dyDescent="0.25">
      <c r="A39" s="166"/>
      <c r="B39" s="166"/>
      <c r="C39" s="166"/>
      <c r="D39" s="166"/>
      <c r="E39" s="166"/>
      <c r="F39" s="166"/>
      <c r="G39" s="57" t="s">
        <v>92</v>
      </c>
      <c r="H39" s="57" t="s">
        <v>78</v>
      </c>
      <c r="I39" s="57">
        <f>'MERCADO TUSD'!$U$36</f>
        <v>0</v>
      </c>
      <c r="J39" s="16"/>
      <c r="L39" s="17">
        <f>'TUSD BE'!$L$39*'TUSD BE'!$L$58</f>
        <v>-0.61365231628134631</v>
      </c>
      <c r="M39" s="17">
        <f>'TUSD BE'!$M$39*'TUSD BE'!$M$58</f>
        <v>-4.3268773577844089E-2</v>
      </c>
      <c r="N39" s="17">
        <f ca="1">'TUSD BE'!$N$39*'TUSD BE'!$N$58</f>
        <v>-1.1626314751075686E-7</v>
      </c>
      <c r="O39" s="17">
        <f>'TUSD BE'!$O$39*'TUSD BE'!$O$58</f>
        <v>0</v>
      </c>
      <c r="P39" s="17">
        <f>'TUSD BE'!$P$39*'TUSD BE'!$P$58</f>
        <v>0</v>
      </c>
      <c r="Q39" s="17">
        <f>'TUSD BE'!$Q$39*'TUSD BE'!$Q$58</f>
        <v>-3.3122159342143132</v>
      </c>
      <c r="R39" s="17">
        <f>'TUSD BE'!$R$39*'TUSD BE'!$R$58</f>
        <v>-0.5290859729511026</v>
      </c>
      <c r="S39" s="17">
        <f>'TUSD BE'!$R$39*'TUSD BE'!$S$58</f>
        <v>0</v>
      </c>
      <c r="T39" s="17">
        <f ca="1">SUM($L$39:$S$39)</f>
        <v>-4.4982231132877537</v>
      </c>
      <c r="U39" s="17">
        <f>'TUSD BE'!$U$39*'TUSD BE'!$U$58</f>
        <v>-1.2410107527851786</v>
      </c>
      <c r="V39" s="17">
        <f>'TUSD BE'!$V$39*'TUSD BE'!$V$58</f>
        <v>-0.86146035558303558</v>
      </c>
      <c r="W39" s="17">
        <f>'TUSD BE'!$W$39*'TUSD BE'!$W$58</f>
        <v>-8.7035561267291145E-2</v>
      </c>
      <c r="X39" s="17">
        <f>'TUSD BE'!$X$39*'TUSD BE'!$X$58</f>
        <v>0</v>
      </c>
      <c r="Y39" s="17">
        <f>'TUSD BE'!$Y$39*'TUSD BE'!$Y$58</f>
        <v>0</v>
      </c>
      <c r="Z39" s="17">
        <f>'TUSD BE'!$Z$39*'TUSD BE'!$Z$58</f>
        <v>0</v>
      </c>
      <c r="AA39" s="17">
        <f>'TUSD BE'!$AA$39*'TUSD BE'!$AA$58</f>
        <v>0</v>
      </c>
      <c r="AB39" s="17">
        <f>SUM($U$39:$AA$39)</f>
        <v>-2.1895066696355054</v>
      </c>
      <c r="AC39" s="17">
        <f>'TUSD BE'!$AC$39*'TUSD BE'!$AC$58</f>
        <v>-4.2205756457153107</v>
      </c>
      <c r="AD39" s="17">
        <f>SUM($AC$39:$AC$39)</f>
        <v>-4.2205756457153107</v>
      </c>
      <c r="AE39" s="17">
        <f ca="1">$AO$39*$AO$55</f>
        <v>-78.744840124964654</v>
      </c>
      <c r="AF39" s="17">
        <f ca="1">$AP$39*$AP$55</f>
        <v>0</v>
      </c>
      <c r="AG39" s="17">
        <f ca="1">SUM($AE$39:$AF$39)</f>
        <v>-78.744840124964654</v>
      </c>
      <c r="AH39" s="17">
        <f>'TUSD BE'!$AH$39*'TUSD BE'!$AH$58</f>
        <v>7.3955910194548197E-2</v>
      </c>
      <c r="AI39" s="17">
        <f>'TUSD BE'!$AI$39*'TUSD BE'!$AI$58</f>
        <v>0</v>
      </c>
      <c r="AJ39" s="17">
        <f ca="1">'TUSD BE'!$AJ$39*'TUSD BE'!$AJ$58</f>
        <v>2.661359623736446E-3</v>
      </c>
      <c r="AK39" s="17">
        <f ca="1">'TUSD BE'!$AK$39*'TUSD BE'!$AK$58</f>
        <v>0.14104218800210214</v>
      </c>
      <c r="AL39" s="17">
        <f ca="1">SUM($AH$39:$AK$39)</f>
        <v>0.21765945782038676</v>
      </c>
      <c r="AM39" s="17">
        <f ca="1">SUMIF($L$4:$AL$4,"SUBTOTAL",$L$39:$AL$39)</f>
        <v>-89.435486095782835</v>
      </c>
      <c r="AO39" s="64">
        <f ca="1">+'TUSD BE'!$T$39+'TUSD BE'!$AB$39+'TUSD BE'!$AD$39+'TUSD BE'!$AL$39</f>
        <v>439.98086144648727</v>
      </c>
      <c r="AP39" s="64">
        <f ca="1">+'TUSD BE'!$T$39+'TUSD BE'!$AB$39+'TUSD BE'!$AD$39+'TUSD BE'!$AL$39</f>
        <v>439.98086144648727</v>
      </c>
    </row>
    <row r="40" spans="1:42" ht="11.25" customHeight="1" x14ac:dyDescent="0.25">
      <c r="A40" s="166"/>
      <c r="B40" s="166"/>
      <c r="C40" s="166"/>
      <c r="D40" s="166"/>
      <c r="E40" s="166"/>
      <c r="F40" s="166"/>
      <c r="G40" s="57" t="s">
        <v>80</v>
      </c>
      <c r="H40" s="57" t="s">
        <v>78</v>
      </c>
      <c r="I40" s="57">
        <f>'MERCADO TUSD'!$U$37</f>
        <v>0</v>
      </c>
      <c r="J40" s="16"/>
      <c r="L40" s="17">
        <f>'TUSD BE'!$L$40*'TUSD BE'!$L$58</f>
        <v>-0.61365231628134631</v>
      </c>
      <c r="M40" s="17">
        <f>'TUSD BE'!$M$40*'TUSD BE'!$M$58</f>
        <v>-4.3268773577844089E-2</v>
      </c>
      <c r="N40" s="17">
        <f ca="1">'TUSD BE'!$N$40*'TUSD BE'!$N$58</f>
        <v>-6.5999681910679601E-8</v>
      </c>
      <c r="O40" s="17">
        <f>'TUSD BE'!$O$40*'TUSD BE'!$O$58</f>
        <v>0</v>
      </c>
      <c r="P40" s="17">
        <f>'TUSD BE'!$P$40*'TUSD BE'!$P$58</f>
        <v>0</v>
      </c>
      <c r="Q40" s="17">
        <f>'TUSD BE'!$Q$40*'TUSD BE'!$Q$58</f>
        <v>-3.3122159342143132</v>
      </c>
      <c r="R40" s="17">
        <f>'TUSD BE'!$R$40*'TUSD BE'!$R$58</f>
        <v>-0.5290859729511026</v>
      </c>
      <c r="S40" s="17">
        <f>'TUSD BE'!$R$40*'TUSD BE'!$S$58</f>
        <v>0</v>
      </c>
      <c r="T40" s="17">
        <f ca="1">SUM($L$40:$S$40)</f>
        <v>-4.4982230630242874</v>
      </c>
      <c r="U40" s="17">
        <f>'TUSD BE'!$U$40*'TUSD BE'!$U$58</f>
        <v>-0.62050307251603443</v>
      </c>
      <c r="V40" s="17">
        <f>'TUSD BE'!$V$40*'TUSD BE'!$V$58</f>
        <v>-0.43073017779151779</v>
      </c>
      <c r="W40" s="17">
        <f>'TUSD BE'!$W$40*'TUSD BE'!$W$58</f>
        <v>-4.3517058478675805E-2</v>
      </c>
      <c r="X40" s="17">
        <f>'TUSD BE'!$X$40*'TUSD BE'!$X$58</f>
        <v>0</v>
      </c>
      <c r="Y40" s="17">
        <f>'TUSD BE'!$Y$40*'TUSD BE'!$Y$58</f>
        <v>0</v>
      </c>
      <c r="Z40" s="17">
        <f>'TUSD BE'!$Z$40*'TUSD BE'!$Z$58</f>
        <v>0</v>
      </c>
      <c r="AA40" s="17">
        <f>'TUSD BE'!$AA$40*'TUSD BE'!$AA$58</f>
        <v>0</v>
      </c>
      <c r="AB40" s="17">
        <f>SUM($U$40:$AA$40)</f>
        <v>-1.094750308786228</v>
      </c>
      <c r="AC40" s="17">
        <f>'TUSD BE'!$AC$40*'TUSD BE'!$AC$58</f>
        <v>-2.1102878228576554</v>
      </c>
      <c r="AD40" s="17">
        <f>SUM($AC$40:$AC$40)</f>
        <v>-2.1102878228576554</v>
      </c>
      <c r="AE40" s="17">
        <f ca="1">$AO$40*$AO$55</f>
        <v>-51.123664950603235</v>
      </c>
      <c r="AF40" s="17">
        <f ca="1">$AP$40*$AP$55</f>
        <v>0</v>
      </c>
      <c r="AG40" s="17">
        <f ca="1">SUM($AE$40:$AF$40)</f>
        <v>-51.123664950603235</v>
      </c>
      <c r="AH40" s="17">
        <f>'TUSD BE'!$AH$40*'TUSD BE'!$AH$58</f>
        <v>7.3955910194548197E-2</v>
      </c>
      <c r="AI40" s="17">
        <f>'TUSD BE'!$AI$40*'TUSD BE'!$AI$58</f>
        <v>0</v>
      </c>
      <c r="AJ40" s="17">
        <f ca="1">'TUSD BE'!$AJ$40*'TUSD BE'!$AJ$58</f>
        <v>2.661359623736446E-3</v>
      </c>
      <c r="AK40" s="17">
        <f ca="1">'TUSD BE'!$AK$40*'TUSD BE'!$AK$58</f>
        <v>0.14104218800210214</v>
      </c>
      <c r="AL40" s="17">
        <f ca="1">SUM($AH$40:$AK$40)</f>
        <v>0.21765945782038676</v>
      </c>
      <c r="AM40" s="17">
        <f ca="1">SUMIF($L$4:$AL$4,"SUBTOTAL",$L$40:$AL$40)</f>
        <v>-58.609266687451019</v>
      </c>
      <c r="AO40" s="64">
        <f ca="1">+'TUSD BE'!$T$40+'TUSD BE'!$AB$40+'TUSD BE'!$AD$40+'TUSD BE'!$AL$40</f>
        <v>285.64962617959338</v>
      </c>
      <c r="AP40" s="64">
        <f ca="1">+'TUSD BE'!$T$40+'TUSD BE'!$AB$40+'TUSD BE'!$AD$40+'TUSD BE'!$AL$40</f>
        <v>285.64962617959338</v>
      </c>
    </row>
    <row r="41" spans="1:42" ht="11.25" customHeight="1" x14ac:dyDescent="0.25">
      <c r="A41" s="166"/>
      <c r="B41" s="62" t="s">
        <v>23</v>
      </c>
      <c r="C41" s="62" t="s">
        <v>43</v>
      </c>
      <c r="D41" s="62" t="s">
        <v>96</v>
      </c>
      <c r="E41" s="62" t="s">
        <v>25</v>
      </c>
      <c r="F41" s="62" t="s">
        <v>25</v>
      </c>
      <c r="G41" s="57" t="s">
        <v>82</v>
      </c>
      <c r="H41" s="57" t="s">
        <v>78</v>
      </c>
      <c r="I41" s="57">
        <f>'MERCADO TUSD'!$U$38</f>
        <v>0</v>
      </c>
      <c r="J41" s="16"/>
      <c r="L41" s="17">
        <f>'TUSD BE'!$L$41*'TUSD BE'!$L$58</f>
        <v>-0.61365231628134631</v>
      </c>
      <c r="M41" s="17">
        <f>'TUSD BE'!$M$41*'TUSD BE'!$M$58</f>
        <v>-4.3268773577844089E-2</v>
      </c>
      <c r="N41" s="17">
        <f ca="1">'TUSD BE'!$N$41*'TUSD BE'!$N$58</f>
        <v>-9.1892996678294415E-8</v>
      </c>
      <c r="O41" s="17">
        <f>'TUSD BE'!$O$41*'TUSD BE'!$O$58</f>
        <v>0</v>
      </c>
      <c r="P41" s="17">
        <f>'TUSD BE'!$P$41*'TUSD BE'!$P$58</f>
        <v>0</v>
      </c>
      <c r="Q41" s="17">
        <f>'TUSD BE'!$Q$41*'TUSD BE'!$Q$58</f>
        <v>-3.3122159342143132</v>
      </c>
      <c r="R41" s="17">
        <f>'TUSD BE'!$R$41*'TUSD BE'!$R$58</f>
        <v>-0.5290859729511026</v>
      </c>
      <c r="S41" s="17">
        <f>'TUSD BE'!$R$41*'TUSD BE'!$S$58</f>
        <v>0</v>
      </c>
      <c r="T41" s="17">
        <f ca="1">SUM($L$41:$S$41)</f>
        <v>-4.4982230889176034</v>
      </c>
      <c r="U41" s="17">
        <f>'TUSD BE'!$U$41*'TUSD BE'!$U$58</f>
        <v>-0.94015672899436853</v>
      </c>
      <c r="V41" s="17">
        <f>'TUSD BE'!$V$41*'TUSD BE'!$V$58</f>
        <v>-0.65262239418667467</v>
      </c>
      <c r="W41" s="17">
        <f>'TUSD BE'!$W$41*'TUSD BE'!$W$58</f>
        <v>-6.5935637360388571E-2</v>
      </c>
      <c r="X41" s="17">
        <f>'TUSD BE'!$X$41*'TUSD BE'!$X$58</f>
        <v>0</v>
      </c>
      <c r="Y41" s="17">
        <f>'TUSD BE'!$Y$41*'TUSD BE'!$Y$58</f>
        <v>0</v>
      </c>
      <c r="Z41" s="17">
        <f>'TUSD BE'!$Z$41*'TUSD BE'!$Z$58</f>
        <v>0</v>
      </c>
      <c r="AA41" s="17">
        <f>'TUSD BE'!$AA$41*'TUSD BE'!$AA$58</f>
        <v>0</v>
      </c>
      <c r="AB41" s="17">
        <f>SUM($U$41:$AA$41)</f>
        <v>-1.6587147605414319</v>
      </c>
      <c r="AC41" s="17">
        <f>'TUSD BE'!$AC$41*'TUSD BE'!$AC$58</f>
        <v>-3.1974069350688032</v>
      </c>
      <c r="AD41" s="17">
        <f>SUM($AC$41:$AC$41)</f>
        <v>-3.1974069350688032</v>
      </c>
      <c r="AE41" s="17">
        <f ca="1">$AO$41*$AO$55</f>
        <v>-65.352761649010233</v>
      </c>
      <c r="AF41" s="17">
        <f ca="1">$AP$41*$AP$55</f>
        <v>0</v>
      </c>
      <c r="AG41" s="17">
        <f ca="1">SUM($AE$41:$AF$41)</f>
        <v>-65.352761649010233</v>
      </c>
      <c r="AH41" s="17">
        <f>'TUSD BE'!$AH$41*'TUSD BE'!$AH$58</f>
        <v>7.3955910194548197E-2</v>
      </c>
      <c r="AI41" s="17">
        <f>'TUSD BE'!$AI$41*'TUSD BE'!$AI$58</f>
        <v>0</v>
      </c>
      <c r="AJ41" s="17">
        <f ca="1">'TUSD BE'!$AJ$41*'TUSD BE'!$AJ$58</f>
        <v>2.661359623736446E-3</v>
      </c>
      <c r="AK41" s="17">
        <f ca="1">'TUSD BE'!$AK$41*'TUSD BE'!$AK$58</f>
        <v>0.14104218800210214</v>
      </c>
      <c r="AL41" s="17">
        <f ca="1">SUM($AH$41:$AK$41)</f>
        <v>0.21765945782038676</v>
      </c>
      <c r="AM41" s="17">
        <f ca="1">SUMIF($L$4:$AL$4,"SUBTOTAL",$L$41:$AL$41)</f>
        <v>-74.489446975717684</v>
      </c>
      <c r="AO41" s="64">
        <f ca="1">+'TUSD BE'!$T$41+'TUSD BE'!$AB$41+'TUSD BE'!$AD$41+'TUSD BE'!$AL$41</f>
        <v>365.15363194092691</v>
      </c>
      <c r="AP41" s="64">
        <f ca="1">+'TUSD BE'!$T$41+'TUSD BE'!$AB$41+'TUSD BE'!$AD$41+'TUSD BE'!$AL$41</f>
        <v>365.15363194092691</v>
      </c>
    </row>
    <row r="42" spans="1:42" ht="11.25" customHeight="1" x14ac:dyDescent="0.25">
      <c r="A42" s="166"/>
      <c r="B42" s="166" t="s">
        <v>94</v>
      </c>
      <c r="C42" s="166" t="s">
        <v>43</v>
      </c>
      <c r="D42" s="62" t="s">
        <v>25</v>
      </c>
      <c r="E42" s="62" t="s">
        <v>25</v>
      </c>
      <c r="F42" s="62" t="s">
        <v>25</v>
      </c>
      <c r="G42" s="57" t="s">
        <v>82</v>
      </c>
      <c r="H42" s="57" t="s">
        <v>78</v>
      </c>
      <c r="I42" s="57">
        <f>'MERCADO TUSD'!$U$39</f>
        <v>0</v>
      </c>
      <c r="J42" s="16"/>
      <c r="L42" s="17">
        <f>'TUSD BE'!$L$42*'TUSD BE'!$L$58</f>
        <v>-0.61365231628134631</v>
      </c>
      <c r="M42" s="17">
        <f>'TUSD BE'!$M$42*'TUSD BE'!$M$58</f>
        <v>-4.3268773577844089E-2</v>
      </c>
      <c r="N42" s="17">
        <f ca="1">'TUSD BE'!$N$42*'TUSD BE'!$N$58</f>
        <v>-9.1892996678294415E-8</v>
      </c>
      <c r="O42" s="17">
        <f>'TUSD BE'!$O$42*'TUSD BE'!$O$58</f>
        <v>0</v>
      </c>
      <c r="P42" s="17">
        <f>'TUSD BE'!$P$42*'TUSD BE'!$P$58</f>
        <v>0</v>
      </c>
      <c r="Q42" s="17">
        <f>'TUSD BE'!$Q$42*'TUSD BE'!$Q$58</f>
        <v>-3.3122159342143132</v>
      </c>
      <c r="R42" s="17">
        <f>'TUSD BE'!$R$42*'TUSD BE'!$R$58</f>
        <v>-0.5290859729511026</v>
      </c>
      <c r="S42" s="17">
        <f>'TUSD BE'!$R$42*'TUSD BE'!$S$58</f>
        <v>0</v>
      </c>
      <c r="T42" s="17">
        <f ca="1">SUM($L$42:$S$42)</f>
        <v>-4.4982230889176034</v>
      </c>
      <c r="U42" s="17">
        <f>'TUSD BE'!$U$42*'TUSD BE'!$U$58</f>
        <v>-0.94015672899436853</v>
      </c>
      <c r="V42" s="17">
        <f>'TUSD BE'!$V$42*'TUSD BE'!$V$58</f>
        <v>-0.65262239418667467</v>
      </c>
      <c r="W42" s="17">
        <f>'TUSD BE'!$W$42*'TUSD BE'!$W$58</f>
        <v>-6.5935637360388571E-2</v>
      </c>
      <c r="X42" s="17">
        <f>'TUSD BE'!$X$42*'TUSD BE'!$X$58</f>
        <v>0</v>
      </c>
      <c r="Y42" s="17">
        <f>'TUSD BE'!$Y$42*'TUSD BE'!$Y$58</f>
        <v>0</v>
      </c>
      <c r="Z42" s="17">
        <f>'TUSD BE'!$Z$42*'TUSD BE'!$Z$58</f>
        <v>0</v>
      </c>
      <c r="AA42" s="17">
        <f>'TUSD BE'!$AA$42*'TUSD BE'!$AA$58</f>
        <v>0</v>
      </c>
      <c r="AB42" s="17">
        <f>SUM($U$42:$AA$42)</f>
        <v>-1.6587147605414319</v>
      </c>
      <c r="AC42" s="17">
        <f>'TUSD BE'!$AC$42*'TUSD BE'!$AC$58</f>
        <v>-3.1974069350688032</v>
      </c>
      <c r="AD42" s="17">
        <f>SUM($AC$42:$AC$42)</f>
        <v>-3.1974069350688032</v>
      </c>
      <c r="AE42" s="17">
        <f ca="1">$AO$42*$AO$55</f>
        <v>-65.352761649010233</v>
      </c>
      <c r="AF42" s="17">
        <f ca="1">$AP$42*$AP$55</f>
        <v>0</v>
      </c>
      <c r="AG42" s="17">
        <f ca="1">SUM($AE$42:$AF$42)</f>
        <v>-65.352761649010233</v>
      </c>
      <c r="AH42" s="17">
        <f>'TUSD BE'!$AH$42*'TUSD BE'!$AH$58</f>
        <v>7.3955910194548197E-2</v>
      </c>
      <c r="AI42" s="17">
        <f>'TUSD BE'!$AI$42*'TUSD BE'!$AI$58</f>
        <v>0</v>
      </c>
      <c r="AJ42" s="17">
        <f ca="1">'TUSD BE'!$AJ$42*'TUSD BE'!$AJ$58</f>
        <v>2.661359623736446E-3</v>
      </c>
      <c r="AK42" s="17">
        <f ca="1">'TUSD BE'!$AK$42*'TUSD BE'!$AK$58</f>
        <v>0.14104218800210214</v>
      </c>
      <c r="AL42" s="17">
        <f ca="1">SUM($AH$42:$AK$42)</f>
        <v>0.21765945782038676</v>
      </c>
      <c r="AM42" s="17">
        <f ca="1">SUMIF($L$4:$AL$4,"SUBTOTAL",$L$42:$AL$42)</f>
        <v>-74.489446975717684</v>
      </c>
      <c r="AO42" s="64">
        <f ca="1">+'TUSD BE'!$T$42+'TUSD BE'!$AB$42+'TUSD BE'!$AD$42+'TUSD BE'!$AL$42</f>
        <v>365.15363194092691</v>
      </c>
      <c r="AP42" s="64">
        <f ca="1">+'TUSD BE'!$T$42+'TUSD BE'!$AB$42+'TUSD BE'!$AD$42+'TUSD BE'!$AL$42</f>
        <v>365.15363194092691</v>
      </c>
    </row>
    <row r="43" spans="1:42" ht="11.25" customHeight="1" x14ac:dyDescent="0.25">
      <c r="A43" s="166"/>
      <c r="B43" s="166"/>
      <c r="C43" s="166"/>
      <c r="D43" s="62" t="s">
        <v>95</v>
      </c>
      <c r="E43" s="62" t="s">
        <v>25</v>
      </c>
      <c r="F43" s="62" t="s">
        <v>25</v>
      </c>
      <c r="G43" s="57" t="s">
        <v>82</v>
      </c>
      <c r="H43" s="57" t="s">
        <v>78</v>
      </c>
      <c r="I43" s="57">
        <f>'MERCADO TUSD'!$U$40</f>
        <v>0</v>
      </c>
      <c r="J43" s="16"/>
      <c r="L43" s="17">
        <f>'TUSD BE'!$L$43*'TUSD BE'!$L$58</f>
        <v>-0.61365231628134631</v>
      </c>
      <c r="M43" s="17">
        <f>'TUSD BE'!$M$43*'TUSD BE'!$M$58</f>
        <v>-4.3268773577844089E-2</v>
      </c>
      <c r="N43" s="17">
        <f ca="1">'TUSD BE'!$N$43*'TUSD BE'!$N$58</f>
        <v>-9.1892996678294415E-8</v>
      </c>
      <c r="O43" s="17">
        <f>'TUSD BE'!$O$43*'TUSD BE'!$O$58</f>
        <v>0</v>
      </c>
      <c r="P43" s="17">
        <f>'TUSD BE'!$P$43*'TUSD BE'!$P$58</f>
        <v>0</v>
      </c>
      <c r="Q43" s="17">
        <f>'TUSD BE'!$Q$43*'TUSD BE'!$Q$58</f>
        <v>-3.3122159342143132</v>
      </c>
      <c r="R43" s="17">
        <f>'TUSD BE'!$R$43*'TUSD BE'!$R$58</f>
        <v>-0.5290859729511026</v>
      </c>
      <c r="S43" s="17">
        <f>'TUSD BE'!$R$43*'TUSD BE'!$S$58</f>
        <v>0</v>
      </c>
      <c r="T43" s="17">
        <f ca="1">SUM($L$43:$S$43)</f>
        <v>-4.4982230889176034</v>
      </c>
      <c r="U43" s="17">
        <f>'TUSD BE'!$U$43*'TUSD BE'!$U$58</f>
        <v>-0.94015672899436853</v>
      </c>
      <c r="V43" s="17">
        <f>'TUSD BE'!$V$43*'TUSD BE'!$V$58</f>
        <v>-0.65262239418667467</v>
      </c>
      <c r="W43" s="17">
        <f>'TUSD BE'!$W$43*'TUSD BE'!$W$58</f>
        <v>-6.5935637360388571E-2</v>
      </c>
      <c r="X43" s="17">
        <f>'TUSD BE'!$X$43*'TUSD BE'!$X$58</f>
        <v>0</v>
      </c>
      <c r="Y43" s="17">
        <f>'TUSD BE'!$Y$43*'TUSD BE'!$Y$58</f>
        <v>0</v>
      </c>
      <c r="Z43" s="17">
        <f>'TUSD BE'!$Z$43*'TUSD BE'!$Z$58</f>
        <v>0</v>
      </c>
      <c r="AA43" s="17">
        <f>'TUSD BE'!$AA$43*'TUSD BE'!$AA$58</f>
        <v>0</v>
      </c>
      <c r="AB43" s="17">
        <f>SUM($U$43:$AA$43)</f>
        <v>-1.6587147605414319</v>
      </c>
      <c r="AC43" s="17">
        <f>'TUSD BE'!$AC$43*'TUSD BE'!$AC$58</f>
        <v>-3.1974069350688032</v>
      </c>
      <c r="AD43" s="17">
        <f>SUM($AC$43:$AC$43)</f>
        <v>-3.1974069350688032</v>
      </c>
      <c r="AE43" s="17">
        <f ca="1">$AO$43*$AO$55</f>
        <v>-65.352761649010233</v>
      </c>
      <c r="AF43" s="17">
        <f ca="1">$AP$43*$AP$55</f>
        <v>0</v>
      </c>
      <c r="AG43" s="17">
        <f ca="1">SUM($AE$43:$AF$43)</f>
        <v>-65.352761649010233</v>
      </c>
      <c r="AH43" s="17">
        <f>'TUSD BE'!$AH$43*'TUSD BE'!$AH$58</f>
        <v>7.3955910194548197E-2</v>
      </c>
      <c r="AI43" s="17">
        <f>'TUSD BE'!$AI$43*'TUSD BE'!$AI$58</f>
        <v>0</v>
      </c>
      <c r="AJ43" s="17">
        <f ca="1">'TUSD BE'!$AJ$43*'TUSD BE'!$AJ$58</f>
        <v>2.661359623736446E-3</v>
      </c>
      <c r="AK43" s="17">
        <f ca="1">'TUSD BE'!$AK$43*'TUSD BE'!$AK$58</f>
        <v>0.14104218800210214</v>
      </c>
      <c r="AL43" s="17">
        <f ca="1">SUM($AH$43:$AK$43)</f>
        <v>0.21765945782038676</v>
      </c>
      <c r="AM43" s="17">
        <f ca="1">SUMIF($L$4:$AL$4,"SUBTOTAL",$L$43:$AL$43)</f>
        <v>-74.489446975717684</v>
      </c>
      <c r="AO43" s="64">
        <f ca="1">+'TUSD BE'!$T$43+'TUSD BE'!$AB$43+'TUSD BE'!$AD$43+'TUSD BE'!$AL$43</f>
        <v>365.15363194092691</v>
      </c>
      <c r="AP43" s="64">
        <f ca="1">+'TUSD BE'!$T$43+'TUSD BE'!$AB$43+'TUSD BE'!$AD$43+'TUSD BE'!$AL$43</f>
        <v>365.15363194092691</v>
      </c>
    </row>
    <row r="44" spans="1:42" ht="11.25" customHeight="1" x14ac:dyDescent="0.25">
      <c r="A44" s="166"/>
      <c r="B44" s="166"/>
      <c r="C44" s="166"/>
      <c r="D44" s="62" t="s">
        <v>96</v>
      </c>
      <c r="E44" s="62" t="s">
        <v>25</v>
      </c>
      <c r="F44" s="62" t="s">
        <v>25</v>
      </c>
      <c r="G44" s="57" t="s">
        <v>82</v>
      </c>
      <c r="H44" s="57" t="s">
        <v>78</v>
      </c>
      <c r="I44" s="57">
        <f>'MERCADO TUSD'!$U$41</f>
        <v>0</v>
      </c>
      <c r="J44" s="16"/>
      <c r="L44" s="17">
        <f>'TUSD BE'!$L$44*'TUSD BE'!$L$58</f>
        <v>-0.61365231628134631</v>
      </c>
      <c r="M44" s="17">
        <f>'TUSD BE'!$M$44*'TUSD BE'!$M$58</f>
        <v>-4.3268773577844089E-2</v>
      </c>
      <c r="N44" s="17">
        <f ca="1">'TUSD BE'!$N$44*'TUSD BE'!$N$58</f>
        <v>-9.1892996678294415E-8</v>
      </c>
      <c r="O44" s="17">
        <f>'TUSD BE'!$O$44*'TUSD BE'!$O$58</f>
        <v>0</v>
      </c>
      <c r="P44" s="17">
        <f>'TUSD BE'!$P$44*'TUSD BE'!$P$58</f>
        <v>0</v>
      </c>
      <c r="Q44" s="17">
        <f>'TUSD BE'!$Q$44*'TUSD BE'!$Q$58</f>
        <v>-3.3122159342143132</v>
      </c>
      <c r="R44" s="17">
        <f>'TUSD BE'!$R$44*'TUSD BE'!$R$58</f>
        <v>-0.5290859729511026</v>
      </c>
      <c r="S44" s="17">
        <f>'TUSD BE'!$R$44*'TUSD BE'!$S$58</f>
        <v>0</v>
      </c>
      <c r="T44" s="17">
        <f ca="1">SUM($L$44:$S$44)</f>
        <v>-4.4982230889176034</v>
      </c>
      <c r="U44" s="17">
        <f>'TUSD BE'!$U$44*'TUSD BE'!$U$58</f>
        <v>-0.94015672899436853</v>
      </c>
      <c r="V44" s="17">
        <f>'TUSD BE'!$V$44*'TUSD BE'!$V$58</f>
        <v>-0.65262239418667467</v>
      </c>
      <c r="W44" s="17">
        <f>'TUSD BE'!$W$44*'TUSD BE'!$W$58</f>
        <v>-6.5935637360388571E-2</v>
      </c>
      <c r="X44" s="17">
        <f>'TUSD BE'!$X$44*'TUSD BE'!$X$58</f>
        <v>0</v>
      </c>
      <c r="Y44" s="17">
        <f>'TUSD BE'!$Y$44*'TUSD BE'!$Y$58</f>
        <v>0</v>
      </c>
      <c r="Z44" s="17">
        <f>'TUSD BE'!$Z$44*'TUSD BE'!$Z$58</f>
        <v>0</v>
      </c>
      <c r="AA44" s="17">
        <f>'TUSD BE'!$AA$44*'TUSD BE'!$AA$58</f>
        <v>0</v>
      </c>
      <c r="AB44" s="17">
        <f>SUM($U$44:$AA$44)</f>
        <v>-1.6587147605414319</v>
      </c>
      <c r="AC44" s="17">
        <f>'TUSD BE'!$AC$44*'TUSD BE'!$AC$58</f>
        <v>-3.1974069350688032</v>
      </c>
      <c r="AD44" s="17">
        <f>SUM($AC$44:$AC$44)</f>
        <v>-3.1974069350688032</v>
      </c>
      <c r="AE44" s="17">
        <f ca="1">$AO$44*$AO$55</f>
        <v>-65.352761649010233</v>
      </c>
      <c r="AF44" s="17">
        <f ca="1">$AP$44*$AP$55</f>
        <v>0</v>
      </c>
      <c r="AG44" s="17">
        <f ca="1">SUM($AE$44:$AF$44)</f>
        <v>-65.352761649010233</v>
      </c>
      <c r="AH44" s="17">
        <f>'TUSD BE'!$AH$44*'TUSD BE'!$AH$58</f>
        <v>7.3955910194548197E-2</v>
      </c>
      <c r="AI44" s="17">
        <f>'TUSD BE'!$AI$44*'TUSD BE'!$AI$58</f>
        <v>0</v>
      </c>
      <c r="AJ44" s="17">
        <f ca="1">'TUSD BE'!$AJ$44*'TUSD BE'!$AJ$58</f>
        <v>2.661359623736446E-3</v>
      </c>
      <c r="AK44" s="17">
        <f ca="1">'TUSD BE'!$AK$44*'TUSD BE'!$AK$58</f>
        <v>0.14104218800210214</v>
      </c>
      <c r="AL44" s="17">
        <f ca="1">SUM($AH$44:$AK$44)</f>
        <v>0.21765945782038676</v>
      </c>
      <c r="AM44" s="17">
        <f ca="1">SUMIF($L$4:$AL$4,"SUBTOTAL",$L$44:$AL$44)</f>
        <v>-74.489446975717684</v>
      </c>
      <c r="AO44" s="64">
        <f ca="1">+'TUSD BE'!$T$44+'TUSD BE'!$AB$44+'TUSD BE'!$AD$44+'TUSD BE'!$AL$44</f>
        <v>365.15363194092691</v>
      </c>
      <c r="AP44" s="64">
        <f ca="1">+'TUSD BE'!$T$44+'TUSD BE'!$AB$44+'TUSD BE'!$AD$44+'TUSD BE'!$AL$44</f>
        <v>365.15363194092691</v>
      </c>
    </row>
    <row r="45" spans="1:42" ht="11.25" customHeight="1" x14ac:dyDescent="0.25">
      <c r="A45" s="166" t="s">
        <v>36</v>
      </c>
      <c r="B45" s="166" t="s">
        <v>32</v>
      </c>
      <c r="C45" s="166" t="s">
        <v>25</v>
      </c>
      <c r="D45" s="166" t="s">
        <v>25</v>
      </c>
      <c r="E45" s="166" t="s">
        <v>25</v>
      </c>
      <c r="F45" s="166" t="s">
        <v>25</v>
      </c>
      <c r="G45" s="57" t="s">
        <v>79</v>
      </c>
      <c r="H45" s="57" t="s">
        <v>78</v>
      </c>
      <c r="I45" s="57">
        <f>'MERCADO TUSD'!$U$42</f>
        <v>1.1140000000000001</v>
      </c>
      <c r="J45" s="16"/>
      <c r="L45" s="17">
        <f>'TUSD BE'!$L$45*'TUSD BE'!$L$58</f>
        <v>-0.61365231628134631</v>
      </c>
      <c r="M45" s="17">
        <f>'TUSD BE'!$M$45*'TUSD BE'!$M$58</f>
        <v>-4.3268773577844089E-2</v>
      </c>
      <c r="N45" s="17">
        <f ca="1">'TUSD BE'!$N$45*'TUSD BE'!$N$58</f>
        <v>-2.9751609666022772E-7</v>
      </c>
      <c r="O45" s="17">
        <f>'TUSD BE'!$O$45*'TUSD BE'!$O$58</f>
        <v>0</v>
      </c>
      <c r="P45" s="17">
        <f>'TUSD BE'!$P$45*'TUSD BE'!$P$58</f>
        <v>0</v>
      </c>
      <c r="Q45" s="17">
        <f>'TUSD BE'!$Q$45*'TUSD BE'!$Q$58</f>
        <v>-3.3122159342143132</v>
      </c>
      <c r="R45" s="17">
        <f>'TUSD BE'!$R$45*'TUSD BE'!$R$58</f>
        <v>-0.5290859729511026</v>
      </c>
      <c r="S45" s="17">
        <f>'TUSD BE'!$R$45*'TUSD BE'!$S$58</f>
        <v>0</v>
      </c>
      <c r="T45" s="17">
        <f ca="1">SUM($L$45:$S$45)</f>
        <v>-4.4982232945407024</v>
      </c>
      <c r="U45" s="17">
        <f>'TUSD BE'!$U$45*'TUSD BE'!$U$58</f>
        <v>-3.4785863481335175</v>
      </c>
      <c r="V45" s="17">
        <f>'TUSD BE'!$V$45*'TUSD BE'!$V$58</f>
        <v>-2.4147015676942232</v>
      </c>
      <c r="W45" s="17">
        <f>'TUSD BE'!$W$45*'TUSD BE'!$W$58</f>
        <v>-0.24396128050946192</v>
      </c>
      <c r="X45" s="17">
        <f>'TUSD BE'!$X$45*'TUSD BE'!$X$58</f>
        <v>0</v>
      </c>
      <c r="Y45" s="17">
        <f>'TUSD BE'!$Y$45*'TUSD BE'!$Y$58</f>
        <v>0</v>
      </c>
      <c r="Z45" s="17">
        <f>'TUSD BE'!$Z$45*'TUSD BE'!$Z$58</f>
        <v>0</v>
      </c>
      <c r="AA45" s="17">
        <f>'TUSD BE'!$AA$45*'TUSD BE'!$AA$58</f>
        <v>0</v>
      </c>
      <c r="AB45" s="17">
        <f>SUM($U$45:$AA$45)</f>
        <v>-6.1372491963372022</v>
      </c>
      <c r="AC45" s="17">
        <f>'TUSD BE'!$AC$45*'TUSD BE'!$AC$58</f>
        <v>-11.830403774035185</v>
      </c>
      <c r="AD45" s="17">
        <f>SUM($AC$45:$AC$45)</f>
        <v>-11.830403774035185</v>
      </c>
      <c r="AE45" s="17">
        <f ca="1">$AO$45*$AO$55</f>
        <v>-178.34837721179397</v>
      </c>
      <c r="AF45" s="17">
        <f ca="1">$AP$45*$AP$55</f>
        <v>0</v>
      </c>
      <c r="AG45" s="17">
        <f ca="1">SUM($AE$45:$AF$45)</f>
        <v>-178.34837721179397</v>
      </c>
      <c r="AH45" s="17">
        <f>'TUSD BE'!$AH$45*'TUSD BE'!$AH$58</f>
        <v>7.3955910194548197E-2</v>
      </c>
      <c r="AI45" s="17">
        <f>'TUSD BE'!$AI$45*'TUSD BE'!$AI$58</f>
        <v>0</v>
      </c>
      <c r="AJ45" s="17">
        <f ca="1">'TUSD BE'!$AJ$45*'TUSD BE'!$AJ$58</f>
        <v>2.661359623736446E-3</v>
      </c>
      <c r="AK45" s="17">
        <f ca="1">'TUSD BE'!$AK$45*'TUSD BE'!$AK$58</f>
        <v>0.14104218800210214</v>
      </c>
      <c r="AL45" s="17">
        <f ca="1">SUM($AH$45:$AK$45)</f>
        <v>0.21765945782038676</v>
      </c>
      <c r="AM45" s="17">
        <f ca="1">SUMIF($L$4:$AL$4,"SUBTOTAL",$L$45:$AL$45)</f>
        <v>-200.59659401888666</v>
      </c>
      <c r="AO45" s="64">
        <f ca="1">+'TUSD BE'!$T$45+'TUSD BE'!$AB$45+'TUSD BE'!$AD$45+'TUSD BE'!$AL$45</f>
        <v>996.50812064257013</v>
      </c>
      <c r="AP45" s="64">
        <f ca="1">+'TUSD BE'!$T$45+'TUSD BE'!$AB$45+'TUSD BE'!$AD$45+'TUSD BE'!$AL$45</f>
        <v>996.50812064257013</v>
      </c>
    </row>
    <row r="46" spans="1:42" ht="11.25" customHeight="1" x14ac:dyDescent="0.25">
      <c r="A46" s="166"/>
      <c r="B46" s="166"/>
      <c r="C46" s="166"/>
      <c r="D46" s="166"/>
      <c r="E46" s="166"/>
      <c r="F46" s="166"/>
      <c r="G46" s="57" t="s">
        <v>92</v>
      </c>
      <c r="H46" s="57" t="s">
        <v>78</v>
      </c>
      <c r="I46" s="57">
        <f>'MERCADO TUSD'!$U$43</f>
        <v>0.48499999999999999</v>
      </c>
      <c r="J46" s="16"/>
      <c r="L46" s="17">
        <f>'TUSD BE'!$L$46*'TUSD BE'!$L$58</f>
        <v>-0.61365231628134631</v>
      </c>
      <c r="M46" s="17">
        <f>'TUSD BE'!$M$46*'TUSD BE'!$M$58</f>
        <v>-4.3268773577844089E-2</v>
      </c>
      <c r="N46" s="17">
        <f ca="1">'TUSD BE'!$N$46*'TUSD BE'!$N$58</f>
        <v>-7.209219238052741E-8</v>
      </c>
      <c r="O46" s="17">
        <f>'TUSD BE'!$O$46*'TUSD BE'!$O$58</f>
        <v>0</v>
      </c>
      <c r="P46" s="17">
        <f>'TUSD BE'!$P$46*'TUSD BE'!$P$58</f>
        <v>0</v>
      </c>
      <c r="Q46" s="17">
        <f>'TUSD BE'!$Q$46*'TUSD BE'!$Q$58</f>
        <v>-3.3122159342143132</v>
      </c>
      <c r="R46" s="17">
        <f>'TUSD BE'!$R$46*'TUSD BE'!$R$58</f>
        <v>-0.5290859729511026</v>
      </c>
      <c r="S46" s="17">
        <f>'TUSD BE'!$R$46*'TUSD BE'!$S$58</f>
        <v>0</v>
      </c>
      <c r="T46" s="17">
        <f ca="1">SUM($L$46:$S$46)</f>
        <v>-4.4982230691167988</v>
      </c>
      <c r="U46" s="17">
        <f>'TUSD BE'!$U$46*'TUSD BE'!$U$58</f>
        <v>-0.69571542652545959</v>
      </c>
      <c r="V46" s="17">
        <f>'TUSD BE'!$V$46*'TUSD BE'!$V$58</f>
        <v>-0.48293859247688037</v>
      </c>
      <c r="W46" s="17">
        <f>'TUSD BE'!$W$46*'TUSD BE'!$W$58</f>
        <v>-4.8791678377916564E-2</v>
      </c>
      <c r="X46" s="17">
        <f>'TUSD BE'!$X$46*'TUSD BE'!$X$58</f>
        <v>0</v>
      </c>
      <c r="Y46" s="17">
        <f>'TUSD BE'!$Y$46*'TUSD BE'!$Y$58</f>
        <v>0</v>
      </c>
      <c r="Z46" s="17">
        <f>'TUSD BE'!$Z$46*'TUSD BE'!$Z$58</f>
        <v>0</v>
      </c>
      <c r="AA46" s="17">
        <f>'TUSD BE'!$AA$46*'TUSD BE'!$AA$58</f>
        <v>0</v>
      </c>
      <c r="AB46" s="17">
        <f>SUM($U$46:$AA$46)</f>
        <v>-1.2274456973802566</v>
      </c>
      <c r="AC46" s="17">
        <f>'TUSD BE'!$AC$46*'TUSD BE'!$AC$58</f>
        <v>-2.3660800005192821</v>
      </c>
      <c r="AD46" s="17">
        <f>SUM($AC$46:$AC$46)</f>
        <v>-2.3660800005192821</v>
      </c>
      <c r="AE46" s="17">
        <f ca="1">$AO$46*$AO$55</f>
        <v>-54.471665917654775</v>
      </c>
      <c r="AF46" s="17">
        <f ca="1">$AP$46*$AP$55</f>
        <v>0</v>
      </c>
      <c r="AG46" s="17">
        <f ca="1">SUM($AE$46:$AF$46)</f>
        <v>-54.471665917654775</v>
      </c>
      <c r="AH46" s="17">
        <f>'TUSD BE'!$AH$46*'TUSD BE'!$AH$58</f>
        <v>7.3955910194548197E-2</v>
      </c>
      <c r="AI46" s="17">
        <f>'TUSD BE'!$AI$46*'TUSD BE'!$AI$58</f>
        <v>0</v>
      </c>
      <c r="AJ46" s="17">
        <f ca="1">'TUSD BE'!$AJ$46*'TUSD BE'!$AJ$58</f>
        <v>2.661359623736446E-3</v>
      </c>
      <c r="AK46" s="17">
        <f ca="1">'TUSD BE'!$AK$46*'TUSD BE'!$AK$58</f>
        <v>0.14104218800210214</v>
      </c>
      <c r="AL46" s="17">
        <f ca="1">SUM($AH$46:$AK$46)</f>
        <v>0.21765945782038676</v>
      </c>
      <c r="AM46" s="17">
        <f ca="1">SUMIF($L$4:$AL$4,"SUBTOTAL",$L$46:$AL$46)</f>
        <v>-62.345755226850727</v>
      </c>
      <c r="AO46" s="64">
        <f ca="1">+'TUSD BE'!$T$46+'TUSD BE'!$AB$46+'TUSD BE'!$AD$46+'TUSD BE'!$AL$46</f>
        <v>304.35632933969038</v>
      </c>
      <c r="AP46" s="64">
        <f ca="1">+'TUSD BE'!$T$46+'TUSD BE'!$AB$46+'TUSD BE'!$AD$46+'TUSD BE'!$AL$46</f>
        <v>304.35632933969038</v>
      </c>
    </row>
    <row r="47" spans="1:42" ht="11.25" customHeight="1" x14ac:dyDescent="0.25">
      <c r="A47" s="166"/>
      <c r="B47" s="166"/>
      <c r="C47" s="166"/>
      <c r="D47" s="166"/>
      <c r="E47" s="166"/>
      <c r="F47" s="166"/>
      <c r="G47" s="57" t="s">
        <v>80</v>
      </c>
      <c r="H47" s="57" t="s">
        <v>78</v>
      </c>
      <c r="I47" s="57">
        <f>'MERCADO TUSD'!$U$44</f>
        <v>6.2670000000000003</v>
      </c>
      <c r="J47" s="16"/>
      <c r="L47" s="17">
        <f>'TUSD BE'!$L$47*'TUSD BE'!$L$58</f>
        <v>-0.61365231628134631</v>
      </c>
      <c r="M47" s="17">
        <f>'TUSD BE'!$M$47*'TUSD BE'!$M$58</f>
        <v>-4.3268773577844089E-2</v>
      </c>
      <c r="N47" s="17">
        <f ca="1">'TUSD BE'!$N$47*'TUSD BE'!$N$58</f>
        <v>-7.209219238052741E-8</v>
      </c>
      <c r="O47" s="17">
        <f>'TUSD BE'!$O$47*'TUSD BE'!$O$58</f>
        <v>0</v>
      </c>
      <c r="P47" s="17">
        <f>'TUSD BE'!$P$47*'TUSD BE'!$P$58</f>
        <v>0</v>
      </c>
      <c r="Q47" s="17">
        <f>'TUSD BE'!$Q$47*'TUSD BE'!$Q$58</f>
        <v>-3.3122159342143132</v>
      </c>
      <c r="R47" s="17">
        <f>'TUSD BE'!$R$47*'TUSD BE'!$R$58</f>
        <v>-0.5290859729511026</v>
      </c>
      <c r="S47" s="17">
        <f>'TUSD BE'!$R$47*'TUSD BE'!$S$58</f>
        <v>0</v>
      </c>
      <c r="T47" s="17">
        <f ca="1">SUM($L$47:$S$47)</f>
        <v>-4.4982230691167988</v>
      </c>
      <c r="U47" s="17">
        <f>'TUSD BE'!$U$47*'TUSD BE'!$U$58</f>
        <v>-0.69571542652545959</v>
      </c>
      <c r="V47" s="17">
        <f>'TUSD BE'!$V$47*'TUSD BE'!$V$58</f>
        <v>-0.48293859247688037</v>
      </c>
      <c r="W47" s="17">
        <f>'TUSD BE'!$W$47*'TUSD BE'!$W$58</f>
        <v>-4.8791678377916564E-2</v>
      </c>
      <c r="X47" s="17">
        <f>'TUSD BE'!$X$47*'TUSD BE'!$X$58</f>
        <v>0</v>
      </c>
      <c r="Y47" s="17">
        <f>'TUSD BE'!$Y$47*'TUSD BE'!$Y$58</f>
        <v>0</v>
      </c>
      <c r="Z47" s="17">
        <f>'TUSD BE'!$Z$47*'TUSD BE'!$Z$58</f>
        <v>0</v>
      </c>
      <c r="AA47" s="17">
        <f>'TUSD BE'!$AA$47*'TUSD BE'!$AA$58</f>
        <v>0</v>
      </c>
      <c r="AB47" s="17">
        <f>SUM($U$47:$AA$47)</f>
        <v>-1.2274456973802566</v>
      </c>
      <c r="AC47" s="17">
        <f>'TUSD BE'!$AC$47*'TUSD BE'!$AC$58</f>
        <v>-2.3660800005192821</v>
      </c>
      <c r="AD47" s="17">
        <f>SUM($AC$47:$AC$47)</f>
        <v>-2.3660800005192821</v>
      </c>
      <c r="AE47" s="17">
        <f ca="1">$AO$47*$AO$55</f>
        <v>-54.471665917654775</v>
      </c>
      <c r="AF47" s="17">
        <f ca="1">$AP$47*$AP$55</f>
        <v>0</v>
      </c>
      <c r="AG47" s="17">
        <f ca="1">SUM($AE$47:$AF$47)</f>
        <v>-54.471665917654775</v>
      </c>
      <c r="AH47" s="17">
        <f>'TUSD BE'!$AH$47*'TUSD BE'!$AH$58</f>
        <v>7.3955910194548197E-2</v>
      </c>
      <c r="AI47" s="17">
        <f>'TUSD BE'!$AI$47*'TUSD BE'!$AI$58</f>
        <v>0</v>
      </c>
      <c r="AJ47" s="17">
        <f ca="1">'TUSD BE'!$AJ$47*'TUSD BE'!$AJ$58</f>
        <v>2.661359623736446E-3</v>
      </c>
      <c r="AK47" s="17">
        <f ca="1">'TUSD BE'!$AK$47*'TUSD BE'!$AK$58</f>
        <v>0.14104218800210214</v>
      </c>
      <c r="AL47" s="17">
        <f ca="1">SUM($AH$47:$AK$47)</f>
        <v>0.21765945782038676</v>
      </c>
      <c r="AM47" s="17">
        <f ca="1">SUMIF($L$4:$AL$4,"SUBTOTAL",$L$47:$AL$47)</f>
        <v>-62.345755226850727</v>
      </c>
      <c r="AO47" s="64">
        <f ca="1">+'TUSD BE'!$T$47+'TUSD BE'!$AB$47+'TUSD BE'!$AD$47+'TUSD BE'!$AL$47</f>
        <v>304.35632933969038</v>
      </c>
      <c r="AP47" s="64">
        <f ca="1">+'TUSD BE'!$T$47+'TUSD BE'!$AB$47+'TUSD BE'!$AD$47+'TUSD BE'!$AL$47</f>
        <v>304.35632933969038</v>
      </c>
    </row>
    <row r="48" spans="1:42" ht="11.25" customHeight="1" x14ac:dyDescent="0.25">
      <c r="A48" s="166"/>
      <c r="B48" s="62" t="s">
        <v>23</v>
      </c>
      <c r="C48" s="62" t="s">
        <v>25</v>
      </c>
      <c r="D48" s="62" t="s">
        <v>25</v>
      </c>
      <c r="E48" s="62" t="s">
        <v>25</v>
      </c>
      <c r="F48" s="62" t="s">
        <v>25</v>
      </c>
      <c r="G48" s="57" t="s">
        <v>82</v>
      </c>
      <c r="H48" s="57" t="s">
        <v>78</v>
      </c>
      <c r="I48" s="57">
        <f>'MERCADO TUSD'!$U$45</f>
        <v>13646.102000000001</v>
      </c>
      <c r="J48" s="16"/>
      <c r="L48" s="17">
        <f>'TUSD BE'!$L$48*'TUSD BE'!$L$58</f>
        <v>-0.61365231628134631</v>
      </c>
      <c r="M48" s="17">
        <f>'TUSD BE'!$M$48*'TUSD BE'!$M$58</f>
        <v>-4.3268773577844089E-2</v>
      </c>
      <c r="N48" s="17">
        <f ca="1">'TUSD BE'!$N$48*'TUSD BE'!$N$58</f>
        <v>-9.1892996678294415E-8</v>
      </c>
      <c r="O48" s="17">
        <f>'TUSD BE'!$O$48*'TUSD BE'!$O$58</f>
        <v>0</v>
      </c>
      <c r="P48" s="17">
        <f>'TUSD BE'!$P$48*'TUSD BE'!$P$58</f>
        <v>0</v>
      </c>
      <c r="Q48" s="17">
        <f>'TUSD BE'!$Q$48*'TUSD BE'!$Q$58</f>
        <v>-3.3122159342143132</v>
      </c>
      <c r="R48" s="17">
        <f>'TUSD BE'!$R$48*'TUSD BE'!$R$58</f>
        <v>-0.5290859729511026</v>
      </c>
      <c r="S48" s="17">
        <f>'TUSD BE'!$R$48*'TUSD BE'!$S$58</f>
        <v>0</v>
      </c>
      <c r="T48" s="17">
        <f ca="1">SUM($L$48:$S$48)</f>
        <v>-4.4982230889176034</v>
      </c>
      <c r="U48" s="17">
        <f>'TUSD BE'!$U$48*'TUSD BE'!$U$58</f>
        <v>-0.94015672899436853</v>
      </c>
      <c r="V48" s="17">
        <f>'TUSD BE'!$V$48*'TUSD BE'!$V$58</f>
        <v>-0.65262239418667467</v>
      </c>
      <c r="W48" s="17">
        <f>'TUSD BE'!$W$48*'TUSD BE'!$W$58</f>
        <v>-6.5935637360388571E-2</v>
      </c>
      <c r="X48" s="17">
        <f>'TUSD BE'!$X$48*'TUSD BE'!$X$58</f>
        <v>0</v>
      </c>
      <c r="Y48" s="17">
        <f>'TUSD BE'!$Y$48*'TUSD BE'!$Y$58</f>
        <v>0</v>
      </c>
      <c r="Z48" s="17">
        <f>'TUSD BE'!$Z$48*'TUSD BE'!$Z$58</f>
        <v>0</v>
      </c>
      <c r="AA48" s="17">
        <f>'TUSD BE'!$AA$48*'TUSD BE'!$AA$58</f>
        <v>0</v>
      </c>
      <c r="AB48" s="17">
        <f>SUM($U$48:$AA$48)</f>
        <v>-1.6587147605414319</v>
      </c>
      <c r="AC48" s="17">
        <f>'TUSD BE'!$AC$48*'TUSD BE'!$AC$58</f>
        <v>-3.1974069350688032</v>
      </c>
      <c r="AD48" s="17">
        <f>SUM($AC$48:$AC$48)</f>
        <v>-3.1974069350688032</v>
      </c>
      <c r="AE48" s="17">
        <f ca="1">$AO$48*$AO$55</f>
        <v>-65.352761649010233</v>
      </c>
      <c r="AF48" s="17">
        <f ca="1">$AP$48*$AP$55</f>
        <v>0</v>
      </c>
      <c r="AG48" s="17">
        <f ca="1">SUM($AE$48:$AF$48)</f>
        <v>-65.352761649010233</v>
      </c>
      <c r="AH48" s="17">
        <f>'TUSD BE'!$AH$48*'TUSD BE'!$AH$58</f>
        <v>7.3955910194548197E-2</v>
      </c>
      <c r="AI48" s="17">
        <f>'TUSD BE'!$AI$48*'TUSD BE'!$AI$58</f>
        <v>0</v>
      </c>
      <c r="AJ48" s="17">
        <f ca="1">'TUSD BE'!$AJ$48*'TUSD BE'!$AJ$58</f>
        <v>2.661359623736446E-3</v>
      </c>
      <c r="AK48" s="17">
        <f ca="1">'TUSD BE'!$AK$48*'TUSD BE'!$AK$58</f>
        <v>0.14104218800210214</v>
      </c>
      <c r="AL48" s="17">
        <f ca="1">SUM($AH$48:$AK$48)</f>
        <v>0.21765945782038676</v>
      </c>
      <c r="AM48" s="17">
        <f ca="1">SUMIF($L$4:$AL$4,"SUBTOTAL",$L$48:$AL$48)</f>
        <v>-74.489446975717684</v>
      </c>
      <c r="AO48" s="64">
        <f ca="1">+'TUSD BE'!$T$48+'TUSD BE'!$AB$48+'TUSD BE'!$AD$48+'TUSD BE'!$AL$48</f>
        <v>365.15363194092691</v>
      </c>
      <c r="AP48" s="64">
        <f ca="1">+'TUSD BE'!$T$48+'TUSD BE'!$AB$48+'TUSD BE'!$AD$48+'TUSD BE'!$AL$48</f>
        <v>365.15363194092691</v>
      </c>
    </row>
    <row r="49" spans="1:42" ht="11.25" customHeight="1" x14ac:dyDescent="0.25">
      <c r="A49" s="166"/>
      <c r="B49" s="62" t="s">
        <v>94</v>
      </c>
      <c r="C49" s="62" t="s">
        <v>25</v>
      </c>
      <c r="D49" s="62" t="s">
        <v>25</v>
      </c>
      <c r="E49" s="62" t="s">
        <v>25</v>
      </c>
      <c r="F49" s="62" t="s">
        <v>25</v>
      </c>
      <c r="G49" s="57" t="s">
        <v>82</v>
      </c>
      <c r="H49" s="57" t="s">
        <v>78</v>
      </c>
      <c r="I49" s="57">
        <f>'MERCADO TUSD'!$U$46</f>
        <v>0</v>
      </c>
      <c r="J49" s="16"/>
      <c r="L49" s="17">
        <f>'TUSD BE'!$L$49*'TUSD BE'!$L$58</f>
        <v>-0.61365231628134631</v>
      </c>
      <c r="M49" s="17">
        <f>'TUSD BE'!$M$49*'TUSD BE'!$M$58</f>
        <v>-4.3268773577844089E-2</v>
      </c>
      <c r="N49" s="17">
        <f ca="1">'TUSD BE'!$N$49*'TUSD BE'!$N$58</f>
        <v>-9.1892996678294415E-8</v>
      </c>
      <c r="O49" s="17">
        <f>'TUSD BE'!$O$49*'TUSD BE'!$O$58</f>
        <v>0</v>
      </c>
      <c r="P49" s="17">
        <f>'TUSD BE'!$P$49*'TUSD BE'!$P$58</f>
        <v>0</v>
      </c>
      <c r="Q49" s="17">
        <f>'TUSD BE'!$Q$49*'TUSD BE'!$Q$58</f>
        <v>-3.3122159342143132</v>
      </c>
      <c r="R49" s="17">
        <f>'TUSD BE'!$R$49*'TUSD BE'!$R$58</f>
        <v>-0.5290859729511026</v>
      </c>
      <c r="S49" s="17">
        <f>'TUSD BE'!$R$49*'TUSD BE'!$S$58</f>
        <v>0</v>
      </c>
      <c r="T49" s="17">
        <f ca="1">SUM($L$49:$S$49)</f>
        <v>-4.4982230889176034</v>
      </c>
      <c r="U49" s="17">
        <f>'TUSD BE'!$U$49*'TUSD BE'!$U$58</f>
        <v>-0.94015672899436853</v>
      </c>
      <c r="V49" s="17">
        <f>'TUSD BE'!$V$49*'TUSD BE'!$V$58</f>
        <v>-0.65262239418667467</v>
      </c>
      <c r="W49" s="17">
        <f>'TUSD BE'!$W$49*'TUSD BE'!$W$58</f>
        <v>-6.5935637360388571E-2</v>
      </c>
      <c r="X49" s="17">
        <f>'TUSD BE'!$X$49*'TUSD BE'!$X$58</f>
        <v>0</v>
      </c>
      <c r="Y49" s="17">
        <f>'TUSD BE'!$Y$49*'TUSD BE'!$Y$58</f>
        <v>0</v>
      </c>
      <c r="Z49" s="17">
        <f>'TUSD BE'!$Z$49*'TUSD BE'!$Z$58</f>
        <v>0</v>
      </c>
      <c r="AA49" s="17">
        <f>'TUSD BE'!$AA$49*'TUSD BE'!$AA$58</f>
        <v>0</v>
      </c>
      <c r="AB49" s="17">
        <f>SUM($U$49:$AA$49)</f>
        <v>-1.6587147605414319</v>
      </c>
      <c r="AC49" s="17">
        <f>'TUSD BE'!$AC$49*'TUSD BE'!$AC$58</f>
        <v>-3.1974069350688032</v>
      </c>
      <c r="AD49" s="17">
        <f>SUM($AC$49:$AC$49)</f>
        <v>-3.1974069350688032</v>
      </c>
      <c r="AE49" s="17">
        <f ca="1">$AO$49*$AO$55</f>
        <v>-65.352761649010233</v>
      </c>
      <c r="AF49" s="17">
        <f ca="1">$AP$49*$AP$55</f>
        <v>0</v>
      </c>
      <c r="AG49" s="17">
        <f ca="1">SUM($AE$49:$AF$49)</f>
        <v>-65.352761649010233</v>
      </c>
      <c r="AH49" s="17">
        <f>'TUSD BE'!$AH$49*'TUSD BE'!$AH$58</f>
        <v>7.3955910194548197E-2</v>
      </c>
      <c r="AI49" s="17">
        <f>'TUSD BE'!$AI$49*'TUSD BE'!$AI$58</f>
        <v>0</v>
      </c>
      <c r="AJ49" s="17">
        <f ca="1">'TUSD BE'!$AJ$49*'TUSD BE'!$AJ$58</f>
        <v>2.661359623736446E-3</v>
      </c>
      <c r="AK49" s="17">
        <f ca="1">'TUSD BE'!$AK$49*'TUSD BE'!$AK$58</f>
        <v>0.14104218800210214</v>
      </c>
      <c r="AL49" s="17">
        <f ca="1">SUM($AH$49:$AK$49)</f>
        <v>0.21765945782038676</v>
      </c>
      <c r="AM49" s="17">
        <f ca="1">SUMIF($L$4:$AL$4,"SUBTOTAL",$L$49:$AL$49)</f>
        <v>-74.489446975717684</v>
      </c>
      <c r="AO49" s="64">
        <f ca="1">+'TUSD BE'!$T$49+'TUSD BE'!$AB$49+'TUSD BE'!$AD$49+'TUSD BE'!$AL$49</f>
        <v>365.15363194092691</v>
      </c>
      <c r="AP49" s="64">
        <f ca="1">+'TUSD BE'!$T$49+'TUSD BE'!$AB$49+'TUSD BE'!$AD$49+'TUSD BE'!$AL$49</f>
        <v>365.15363194092691</v>
      </c>
    </row>
    <row r="50" spans="1:42" ht="11.25" customHeight="1" x14ac:dyDescent="0.25">
      <c r="A50" s="166" t="s">
        <v>45</v>
      </c>
      <c r="B50" s="166" t="s">
        <v>23</v>
      </c>
      <c r="C50" s="166" t="s">
        <v>46</v>
      </c>
      <c r="D50" s="62" t="s">
        <v>47</v>
      </c>
      <c r="E50" s="62" t="s">
        <v>25</v>
      </c>
      <c r="F50" s="62" t="s">
        <v>25</v>
      </c>
      <c r="G50" s="57" t="s">
        <v>82</v>
      </c>
      <c r="H50" s="57" t="s">
        <v>78</v>
      </c>
      <c r="I50" s="57">
        <f>'MERCADO TUSD'!$U$47</f>
        <v>4914.0960000000005</v>
      </c>
      <c r="J50" s="16"/>
      <c r="L50" s="17">
        <f>'TUSD BE'!$L$50*'TUSD BE'!$L$58</f>
        <v>-0.33750877395474049</v>
      </c>
      <c r="M50" s="17">
        <f>'TUSD BE'!$M$50*'TUSD BE'!$M$58</f>
        <v>-2.3797825467814251E-2</v>
      </c>
      <c r="N50" s="17">
        <f ca="1">'TUSD BE'!$N$50*'TUSD BE'!$N$58</f>
        <v>-5.054114817306193E-8</v>
      </c>
      <c r="O50" s="17">
        <f>'TUSD BE'!$O$50*'TUSD BE'!$O$58</f>
        <v>0</v>
      </c>
      <c r="P50" s="17">
        <f>'TUSD BE'!$P$50*'TUSD BE'!$P$58</f>
        <v>0</v>
      </c>
      <c r="Q50" s="17">
        <f>'TUSD BE'!$Q$50*'TUSD BE'!$Q$58</f>
        <v>-1.8217187638178725</v>
      </c>
      <c r="R50" s="17">
        <f>'TUSD BE'!$R$50*'TUSD BE'!$R$58</f>
        <v>-0.29099728512310646</v>
      </c>
      <c r="S50" s="17">
        <f>'TUSD BE'!$R$50*'TUSD BE'!$S$58</f>
        <v>0</v>
      </c>
      <c r="T50" s="17">
        <f ca="1">SUM($L$50:$S$50)</f>
        <v>-2.4740226989046818</v>
      </c>
      <c r="U50" s="17">
        <f>'TUSD BE'!$U$50*'TUSD BE'!$U$58</f>
        <v>-0.51708620094690272</v>
      </c>
      <c r="V50" s="17">
        <f>'TUSD BE'!$V$50*'TUSD BE'!$V$58</f>
        <v>-0.35894231680267108</v>
      </c>
      <c r="W50" s="17">
        <f>'TUSD BE'!$W$50*'TUSD BE'!$W$58</f>
        <v>-3.6264600548213718E-2</v>
      </c>
      <c r="X50" s="17">
        <f>'TUSD BE'!$X$50*'TUSD BE'!$X$58</f>
        <v>0</v>
      </c>
      <c r="Y50" s="17">
        <f>'TUSD BE'!$Y$50*'TUSD BE'!$Y$58</f>
        <v>0</v>
      </c>
      <c r="Z50" s="17">
        <f>'TUSD BE'!$Z$50*'TUSD BE'!$Z$58</f>
        <v>0</v>
      </c>
      <c r="AA50" s="17">
        <f>'TUSD BE'!$AA$50*'TUSD BE'!$AA$58</f>
        <v>0</v>
      </c>
      <c r="AB50" s="17">
        <f>SUM($U$50:$AA$50)</f>
        <v>-0.91229311829778748</v>
      </c>
      <c r="AC50" s="17">
        <f>'TUSD BE'!$AC$50*'TUSD BE'!$AC$58</f>
        <v>-1.7585738142878418</v>
      </c>
      <c r="AD50" s="17">
        <f>SUM($AC$50:$AC$50)</f>
        <v>-1.7585738142878418</v>
      </c>
      <c r="AE50" s="17">
        <f ca="1">$AO$50*$AO$55</f>
        <v>-35.944018906955627</v>
      </c>
      <c r="AF50" s="17">
        <f ca="1">$AP$50*$AP$55</f>
        <v>0</v>
      </c>
      <c r="AG50" s="17">
        <f ca="1">SUM($AE$50:$AF$50)</f>
        <v>-35.944018906955627</v>
      </c>
      <c r="AH50" s="17">
        <f>'TUSD BE'!$AH$50*'TUSD BE'!$AH$58</f>
        <v>4.0675750607001515E-2</v>
      </c>
      <c r="AI50" s="17">
        <f>'TUSD BE'!$AI$50*'TUSD BE'!$AI$58</f>
        <v>0</v>
      </c>
      <c r="AJ50" s="17">
        <f ca="1">'TUSD BE'!$AJ$50*'TUSD BE'!$AJ$58</f>
        <v>1.4637477930550455E-3</v>
      </c>
      <c r="AK50" s="17">
        <f ca="1">'TUSD BE'!$AK$50*'TUSD BE'!$AK$58</f>
        <v>7.7573203401156185E-2</v>
      </c>
      <c r="AL50" s="17">
        <f ca="1">SUM($AH$50:$AK$50)</f>
        <v>0.11971270180121274</v>
      </c>
      <c r="AM50" s="17">
        <f ca="1">SUMIF($L$4:$AL$4,"SUBTOTAL",$L$50:$AL$50)</f>
        <v>-40.969195836644722</v>
      </c>
      <c r="AO50" s="64">
        <f ca="1">+'TUSD BE'!$T$50+'TUSD BE'!$AB$50+'TUSD BE'!$AD$50+'TUSD BE'!$AL$50</f>
        <v>200.8344975675098</v>
      </c>
      <c r="AP50" s="64">
        <f ca="1">+'TUSD BE'!$T$50+'TUSD BE'!$AB$50+'TUSD BE'!$AD$50+'TUSD BE'!$AL$50</f>
        <v>200.8344975675098</v>
      </c>
    </row>
    <row r="51" spans="1:42" ht="11.25" customHeight="1" x14ac:dyDescent="0.25">
      <c r="A51" s="166"/>
      <c r="B51" s="166"/>
      <c r="C51" s="166"/>
      <c r="D51" s="57" t="s">
        <v>97</v>
      </c>
      <c r="E51" s="57" t="s">
        <v>25</v>
      </c>
      <c r="F51" s="57" t="s">
        <v>25</v>
      </c>
      <c r="G51" s="57" t="s">
        <v>82</v>
      </c>
      <c r="H51" s="57" t="s">
        <v>78</v>
      </c>
      <c r="I51" s="57">
        <f>'MERCADO TUSD'!$U$48</f>
        <v>0</v>
      </c>
      <c r="J51" s="16"/>
      <c r="L51" s="17">
        <f>'TUSD BE'!$L$51*'TUSD BE'!$L$58</f>
        <v>-0.36819138976880778</v>
      </c>
      <c r="M51" s="17">
        <f>'TUSD BE'!$M$51*'TUSD BE'!$M$58</f>
        <v>-2.596126414670645E-2</v>
      </c>
      <c r="N51" s="17">
        <f ca="1">'TUSD BE'!$N$51*'TUSD BE'!$N$58</f>
        <v>-5.5135798006976633E-8</v>
      </c>
      <c r="O51" s="17">
        <f>'TUSD BE'!$O$51*'TUSD BE'!$O$58</f>
        <v>0</v>
      </c>
      <c r="P51" s="17">
        <f>'TUSD BE'!$P$51*'TUSD BE'!$P$58</f>
        <v>0</v>
      </c>
      <c r="Q51" s="17">
        <f>'TUSD BE'!$Q$51*'TUSD BE'!$Q$58</f>
        <v>-1.9873295605285879</v>
      </c>
      <c r="R51" s="17">
        <f>'TUSD BE'!$R$51*'TUSD BE'!$R$58</f>
        <v>-0.31745158377066152</v>
      </c>
      <c r="S51" s="17">
        <f>'TUSD BE'!$R$51*'TUSD BE'!$S$58</f>
        <v>0</v>
      </c>
      <c r="T51" s="17">
        <f ca="1">SUM($L$51:$S$51)</f>
        <v>-2.698933853350562</v>
      </c>
      <c r="U51" s="17">
        <f>'TUSD BE'!$U$51*'TUSD BE'!$U$58</f>
        <v>-0.56409403739662112</v>
      </c>
      <c r="V51" s="17">
        <f>'TUSD BE'!$V$51*'TUSD BE'!$V$58</f>
        <v>-0.39157343651200482</v>
      </c>
      <c r="W51" s="17">
        <f>'TUSD BE'!$W$51*'TUSD BE'!$W$58</f>
        <v>-3.9561382416233144E-2</v>
      </c>
      <c r="X51" s="17">
        <f>'TUSD BE'!$X$51*'TUSD BE'!$X$58</f>
        <v>0</v>
      </c>
      <c r="Y51" s="17">
        <f>'TUSD BE'!$Y$51*'TUSD BE'!$Y$58</f>
        <v>0</v>
      </c>
      <c r="Z51" s="17">
        <f>'TUSD BE'!$Z$51*'TUSD BE'!$Z$58</f>
        <v>0</v>
      </c>
      <c r="AA51" s="17">
        <f>'TUSD BE'!$AA$51*'TUSD BE'!$AA$58</f>
        <v>0</v>
      </c>
      <c r="AB51" s="17">
        <f>SUM($U$51:$AA$51)</f>
        <v>-0.99522885632485913</v>
      </c>
      <c r="AC51" s="17">
        <f>'TUSD BE'!$AC$51*'TUSD BE'!$AC$58</f>
        <v>-1.9184441610412819</v>
      </c>
      <c r="AD51" s="17">
        <f>SUM($AC$51:$AC$51)</f>
        <v>-1.9184441610412819</v>
      </c>
      <c r="AE51" s="17">
        <f ca="1">$AO$51*$AO$55</f>
        <v>-39.211656989406137</v>
      </c>
      <c r="AF51" s="17">
        <f ca="1">$AP$51*$AP$55</f>
        <v>0</v>
      </c>
      <c r="AG51" s="17">
        <f ca="1">SUM($AE$51:$AF$51)</f>
        <v>-39.211656989406137</v>
      </c>
      <c r="AH51" s="17">
        <f>'TUSD BE'!$AH$51*'TUSD BE'!$AH$58</f>
        <v>4.4373546116728925E-2</v>
      </c>
      <c r="AI51" s="17">
        <f>'TUSD BE'!$AI$51*'TUSD BE'!$AI$58</f>
        <v>0</v>
      </c>
      <c r="AJ51" s="17">
        <f ca="1">'TUSD BE'!$AJ$51*'TUSD BE'!$AJ$58</f>
        <v>1.5968157742418676E-3</v>
      </c>
      <c r="AK51" s="17">
        <f ca="1">'TUSD BE'!$AK$51*'TUSD BE'!$AK$58</f>
        <v>8.4625312801261274E-2</v>
      </c>
      <c r="AL51" s="17">
        <f ca="1">SUM($AH$51:$AK$51)</f>
        <v>0.13059567469223207</v>
      </c>
      <c r="AM51" s="17">
        <f ca="1">SUMIF($L$4:$AL$4,"SUBTOTAL",$L$51:$AL$51)</f>
        <v>-44.69366818543061</v>
      </c>
      <c r="AO51" s="64">
        <f ca="1">+'TUSD BE'!$T$51+'TUSD BE'!$AB$51+'TUSD BE'!$AD$51+'TUSD BE'!$AL$51</f>
        <v>219.09217916455614</v>
      </c>
      <c r="AP51" s="64">
        <f ca="1">+'TUSD BE'!$T$51+'TUSD BE'!$AB$51+'TUSD BE'!$AD$51+'TUSD BE'!$AL$51</f>
        <v>219.09217916455614</v>
      </c>
    </row>
    <row r="53" spans="1:42" ht="11.25" customHeight="1" x14ac:dyDescent="0.25">
      <c r="K53" s="61" t="s">
        <v>582</v>
      </c>
      <c r="L53" s="17">
        <f>SUMPRODUCT($I$5:$I51,$L$5:$L51)</f>
        <v>-69547.320604305176</v>
      </c>
      <c r="M53" s="17">
        <f>SUMPRODUCT($I$5:$I51,$M$5:$M51)</f>
        <v>-3827.8660232869215</v>
      </c>
      <c r="N53" s="17">
        <f ca="1">SUMPRODUCT($I$5:$I51,$N$5:$N51)</f>
        <v>-6.8718722642662445E-3</v>
      </c>
      <c r="O53" s="17">
        <f>SUMPRODUCT($I$5:$I51,$O$5:$O51)</f>
        <v>0</v>
      </c>
      <c r="P53" s="17">
        <f>SUMPRODUCT($I$5:$I51,$P$5:$P51)</f>
        <v>0</v>
      </c>
      <c r="Q53" s="17">
        <f>SUMPRODUCT($I$5:$I51,$Q$5:$Q51)</f>
        <v>-375384.78610073059</v>
      </c>
      <c r="R53" s="17">
        <f>SUMPRODUCT($I$5:$I51,$R$5:$R51)</f>
        <v>-65727.578377463753</v>
      </c>
      <c r="S53" s="17">
        <f>SUMPRODUCT($I$5:$I51,$S$5:$S51)</f>
        <v>0</v>
      </c>
      <c r="T53" s="17">
        <f ca="1">SUMPRODUCT($I$5:$I51,$T$5:$T51)</f>
        <v>-514487.55797765864</v>
      </c>
      <c r="U53" s="17">
        <f>SUMPRODUCT($I$5:$I51,$U$5:$U51)</f>
        <v>-139159.46940852146</v>
      </c>
      <c r="V53" s="17">
        <f>SUMPRODUCT($I$5:$I51,$V$5:$V51)</f>
        <v>-95115.907805428113</v>
      </c>
      <c r="W53" s="17">
        <f>SUMPRODUCT($I$5:$I51,$W$5:$W51)</f>
        <v>-9712.1759204647533</v>
      </c>
      <c r="X53" s="17">
        <f>SUMPRODUCT($I$5:$I51,$X$5:$X51)</f>
        <v>0</v>
      </c>
      <c r="Y53" s="17">
        <f>SUMPRODUCT($I$5:$I51,$Y$5:$Y51)</f>
        <v>0</v>
      </c>
      <c r="Z53" s="17">
        <f>SUMPRODUCT($I$5:$I51,$Z$5:$Z51)</f>
        <v>0</v>
      </c>
      <c r="AA53" s="17">
        <f>SUMPRODUCT($I$5:$I51,$AA$5:$AA51)</f>
        <v>0</v>
      </c>
      <c r="AB53" s="17">
        <f>SUMPRODUCT($I$5:$I51,$AB$5:$AB51)</f>
        <v>-243987.55313441428</v>
      </c>
      <c r="AC53" s="17">
        <f>SUMPRODUCT($I$5:$I51,$AC$5:$AC51)</f>
        <v>-283442.02355059516</v>
      </c>
      <c r="AD53" s="17">
        <f>SUMPRODUCT($I$5:$I51,$AD$5:$AD51)</f>
        <v>-283442.02355059516</v>
      </c>
      <c r="AE53" s="17">
        <f ca="1">SUMPRODUCT($I$5:$I51,$AE$5:$AE51)</f>
        <v>-6880851.7402948746</v>
      </c>
      <c r="AF53" s="17">
        <f ca="1">SUMPRODUCT($I$5:$I51,$AF$5:$AF51)</f>
        <v>0</v>
      </c>
      <c r="AG53" s="17">
        <f ca="1">SUMPRODUCT($I$5:$I51,$AG$5:$AG51)</f>
        <v>-6880851.7402948746</v>
      </c>
      <c r="AH53" s="17">
        <f>SUMPRODUCT($I$5:$I51,$AH$5:$AH51)</f>
        <v>5681.648574417457</v>
      </c>
      <c r="AI53" s="17">
        <f>SUMPRODUCT($I$5:$I51,$AI$5:$AI51)</f>
        <v>0</v>
      </c>
      <c r="AJ53" s="17">
        <f ca="1">SUMPRODUCT($I$5:$I51,$AJ$5:$AJ51)</f>
        <v>286.1643786258428</v>
      </c>
      <c r="AK53" s="17">
        <f ca="1">SUMPRODUCT($I$5:$I51,$AK$5:$AK51)</f>
        <v>15165.650568105189</v>
      </c>
      <c r="AL53" s="17">
        <f ca="1">SUMPRODUCT($I$5:$I51,$AL$5:$AL51)</f>
        <v>21133.463521148497</v>
      </c>
      <c r="AM53" s="17">
        <f ca="1">SUMPRODUCT($I$5:$I51,$AM$5:$AM51)</f>
        <v>-7901635.4114363939</v>
      </c>
      <c r="AO53" s="57">
        <f ca="1">SUMPRODUCT($I$5:$I51,$AO$5:$AO51)</f>
        <v>38446240.685435116</v>
      </c>
      <c r="AP53" s="57">
        <f ca="1">SUMPRODUCT($I$5:$I51,$AP$5:$AP51)</f>
        <v>38446240.685435116</v>
      </c>
    </row>
    <row r="54" spans="1:42" ht="11.25" customHeight="1" x14ac:dyDescent="0.25">
      <c r="K54" s="61" t="s">
        <v>525</v>
      </c>
      <c r="L54" s="17">
        <f>'TR TUSD'!$L$56</f>
        <v>801843.46340475301</v>
      </c>
      <c r="M54" s="17">
        <f>'TR TUSD'!$M$56</f>
        <v>78461.746657470198</v>
      </c>
      <c r="N54" s="17">
        <f>'TR TUSD'!$N$56</f>
        <v>168067.03071432331</v>
      </c>
      <c r="O54" s="17">
        <f>'TR TUSD'!$O$56</f>
        <v>0</v>
      </c>
      <c r="P54" s="17">
        <f>'TR TUSD'!$P$56</f>
        <v>0</v>
      </c>
      <c r="Q54" s="17">
        <f>'TR TUSD'!$Q$56</f>
        <v>9962170.6825543884</v>
      </c>
      <c r="R54" s="17">
        <f>'TR TUSD'!$R$56</f>
        <v>1726269.2331153487</v>
      </c>
      <c r="S54" s="17">
        <f>'TR TUSD'!$S$56</f>
        <v>0</v>
      </c>
      <c r="T54" s="17">
        <f>'TR TUSD'!$T$56</f>
        <v>12736812.156446284</v>
      </c>
      <c r="U54" s="17">
        <f>'TR TUSD'!$U$56</f>
        <v>4439052</v>
      </c>
      <c r="V54" s="17">
        <f>'TR TUSD'!$V$56</f>
        <v>3663381</v>
      </c>
      <c r="W54" s="17">
        <f>'TR TUSD'!$W$56</f>
        <v>682539.065472143</v>
      </c>
      <c r="X54" s="17">
        <f>'TR TUSD'!$X$56</f>
        <v>0</v>
      </c>
      <c r="Y54" s="17">
        <f>'TR TUSD'!$Y$56</f>
        <v>0</v>
      </c>
      <c r="Z54" s="17">
        <f>'TR TUSD'!$Z$56</f>
        <v>0</v>
      </c>
      <c r="AA54" s="17">
        <f>'TR TUSD'!$AA$56</f>
        <v>0</v>
      </c>
      <c r="AB54" s="17">
        <f>'TR TUSD'!$AB$56</f>
        <v>8784972.0654721428</v>
      </c>
      <c r="AC54" s="17">
        <f>'TR TUSD'!$AC$56</f>
        <v>15266236.414843004</v>
      </c>
      <c r="AD54" s="17">
        <f>'TR TUSD'!$AD$56</f>
        <v>15266236.414843004</v>
      </c>
      <c r="AE54" s="17">
        <f>'TR TUSD'!$AE$56</f>
        <v>0</v>
      </c>
      <c r="AF54" s="17">
        <f>'TR TUSD'!$AF$56</f>
        <v>0</v>
      </c>
      <c r="AG54" s="17">
        <f>'TR TUSD'!$AG$56</f>
        <v>0</v>
      </c>
      <c r="AH54" s="17">
        <f>'TR TUSD'!$AH$56</f>
        <v>1547903.6532732847</v>
      </c>
      <c r="AI54" s="17">
        <f>'TR TUSD'!$AI$56</f>
        <v>0</v>
      </c>
      <c r="AJ54" s="17">
        <f>'TR TUSD'!$AJ$56</f>
        <v>77962.38737927188</v>
      </c>
      <c r="AK54" s="17">
        <f>'TR TUSD'!$AK$56</f>
        <v>32354.008021129412</v>
      </c>
      <c r="AL54" s="17">
        <f>'TR TUSD'!$AL$56</f>
        <v>1658220.0486736861</v>
      </c>
      <c r="AM54" s="17">
        <f>'TUSD BE'!$AM$54</f>
        <v>38446240.685435116</v>
      </c>
      <c r="AO54" s="57">
        <f>$AE$55</f>
        <v>-6880851.7402948737</v>
      </c>
      <c r="AP54" s="57">
        <f>$AF$55</f>
        <v>0</v>
      </c>
    </row>
    <row r="55" spans="1:42" ht="11.25" customHeight="1" x14ac:dyDescent="0.25">
      <c r="K55" s="61" t="s">
        <v>526</v>
      </c>
      <c r="L55" s="17">
        <f>CUSTOS!$E$2</f>
        <v>-69547.320604305176</v>
      </c>
      <c r="M55" s="17">
        <f>CUSTOS!$E$3</f>
        <v>-3827.8660232869229</v>
      </c>
      <c r="N55" s="17">
        <f>CUSTOS!$E$4</f>
        <v>-6.8718722642662463E-3</v>
      </c>
      <c r="O55" s="17">
        <f>CUSTOS!$E$5</f>
        <v>0</v>
      </c>
      <c r="P55" s="17">
        <f>CUSTOS!$E$6</f>
        <v>0</v>
      </c>
      <c r="Q55" s="17">
        <f>CUSTOS!$E$7</f>
        <v>-375384.78610073053</v>
      </c>
      <c r="R55" s="17">
        <f>CUSTOS!$E$8</f>
        <v>-65727.578377463738</v>
      </c>
      <c r="S55" s="17">
        <f>CUSTOS!$E$9</f>
        <v>0</v>
      </c>
      <c r="T55" s="17">
        <f>CUSTOS!$E$10</f>
        <v>-514487.55797765864</v>
      </c>
      <c r="U55" s="17">
        <f>CUSTOS!$E$11</f>
        <v>-139159.46940852149</v>
      </c>
      <c r="V55" s="17">
        <f>CUSTOS!$E$12</f>
        <v>-95115.907805428113</v>
      </c>
      <c r="W55" s="17">
        <f>CUSTOS!$E$13</f>
        <v>-9712.1759204647551</v>
      </c>
      <c r="X55" s="17">
        <f>CUSTOS!$E$14</f>
        <v>0</v>
      </c>
      <c r="Y55" s="17">
        <f>CUSTOS!$E$15</f>
        <v>0</v>
      </c>
      <c r="Z55" s="17">
        <f>CUSTOS!$E$16</f>
        <v>0</v>
      </c>
      <c r="AA55" s="17">
        <f>CUSTOS!$E$17</f>
        <v>0</v>
      </c>
      <c r="AB55" s="17">
        <f>CUSTOS!$E$18</f>
        <v>-243987.55313441437</v>
      </c>
      <c r="AC55" s="17">
        <f>CUSTOS!$E$19</f>
        <v>-283442.02355059516</v>
      </c>
      <c r="AD55" s="17">
        <f>CUSTOS!$E$20</f>
        <v>-283442.02355059516</v>
      </c>
      <c r="AE55" s="17">
        <f>CUSTOS!$E$21</f>
        <v>-6880851.7402948737</v>
      </c>
      <c r="AF55" s="17">
        <f>CUSTOS!$E$22</f>
        <v>0</v>
      </c>
      <c r="AG55" s="17">
        <f>CUSTOS!$E$23</f>
        <v>-6880851.7402948737</v>
      </c>
      <c r="AH55" s="17">
        <f>CUSTOS!$E$24</f>
        <v>5681.6485744174561</v>
      </c>
      <c r="AI55" s="17">
        <f>CUSTOS!$E$25</f>
        <v>0</v>
      </c>
      <c r="AJ55" s="17">
        <f>CUSTOS!$E$26</f>
        <v>286.16437862584286</v>
      </c>
      <c r="AK55" s="17">
        <f>CUSTOS!$E$27</f>
        <v>15165.650568105193</v>
      </c>
      <c r="AL55" s="17">
        <f>CUSTOS!$E$28</f>
        <v>21133.463521148493</v>
      </c>
      <c r="AM55" s="17">
        <f>CUSTOS!$E$29</f>
        <v>-7901635.4114363939</v>
      </c>
      <c r="AO55" s="57">
        <f ca="1">IF(AO53&lt;&gt;0,AO54/AO53,0)</f>
        <v>-0.1789733304900627</v>
      </c>
      <c r="AP55" s="57">
        <f ca="1">IF(AP53&lt;&gt;0,AP54/AP53,0)</f>
        <v>0</v>
      </c>
    </row>
    <row r="56" spans="1:42" ht="11.25" customHeight="1" x14ac:dyDescent="0.25">
      <c r="K56" s="61" t="s">
        <v>527</v>
      </c>
      <c r="L56" s="17">
        <f>CUSTOS!$F$2</f>
        <v>52600.790343551183</v>
      </c>
      <c r="M56" s="17">
        <f>CUSTOS!$F$3</f>
        <v>0</v>
      </c>
      <c r="N56" s="17">
        <f>CUSTOS!$F$4</f>
        <v>0</v>
      </c>
      <c r="O56" s="17">
        <f>CUSTOS!$F$5</f>
        <v>0</v>
      </c>
      <c r="P56" s="17">
        <f>CUSTOS!$F$6</f>
        <v>0</v>
      </c>
      <c r="Q56" s="17">
        <f>CUSTOS!$F$7</f>
        <v>1737250.662</v>
      </c>
      <c r="R56" s="17">
        <f>CUSTOS!$F$8</f>
        <v>418561.50550000003</v>
      </c>
      <c r="S56" s="17">
        <f>CUSTOS!$F$9</f>
        <v>0</v>
      </c>
      <c r="T56" s="17">
        <f>CUSTOS!$F$10</f>
        <v>2208412.9578435514</v>
      </c>
      <c r="U56" s="17">
        <f>CUSTOS!$F$11</f>
        <v>257590.31433967402</v>
      </c>
      <c r="V56" s="17">
        <f>CUSTOS!$F$12</f>
        <v>212579.50196032607</v>
      </c>
      <c r="W56" s="17">
        <f>CUSTOS!$F$13</f>
        <v>0</v>
      </c>
      <c r="X56" s="17">
        <f>CUSTOS!$F$14</f>
        <v>0</v>
      </c>
      <c r="Y56" s="17">
        <f>CUSTOS!$F$15</f>
        <v>0</v>
      </c>
      <c r="Z56" s="17">
        <f>CUSTOS!$F$16</f>
        <v>0</v>
      </c>
      <c r="AA56" s="17">
        <f>CUSTOS!$F$17</f>
        <v>0</v>
      </c>
      <c r="AB56" s="17">
        <f>CUSTOS!$F$18</f>
        <v>470169.81630000006</v>
      </c>
      <c r="AC56" s="17">
        <f>CUSTOS!$F$19</f>
        <v>0</v>
      </c>
      <c r="AD56" s="17">
        <f>CUSTOS!$F$20</f>
        <v>0</v>
      </c>
      <c r="AE56" s="17">
        <f>CUSTOS!$F$21</f>
        <v>0</v>
      </c>
      <c r="AF56" s="17">
        <f>CUSTOS!$F$22</f>
        <v>0</v>
      </c>
      <c r="AG56" s="17">
        <f>CUSTOS!$F$23</f>
        <v>0</v>
      </c>
      <c r="AH56" s="17">
        <f>CUSTOS!$F$24</f>
        <v>65906.28863332489</v>
      </c>
      <c r="AI56" s="17">
        <f>CUSTOS!$F$25</f>
        <v>0</v>
      </c>
      <c r="AJ56" s="17">
        <f>CUSTOS!$F$26</f>
        <v>3319.4647446537288</v>
      </c>
      <c r="AK56" s="17">
        <f>CUSTOS!$F$27</f>
        <v>0</v>
      </c>
      <c r="AL56" s="17">
        <f>CUSTOS!$F$28</f>
        <v>69225.753377978617</v>
      </c>
      <c r="AM56" s="17">
        <f>CUSTOS!$F$29</f>
        <v>2747808.5275215302</v>
      </c>
    </row>
    <row r="57" spans="1:42" ht="11.25" customHeight="1" x14ac:dyDescent="0.25">
      <c r="K57" s="61" t="s">
        <v>579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f>SUM($L$57:$S$57)</f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f>SUM($U$57:$AA$57)</f>
        <v>0</v>
      </c>
      <c r="AC57" s="17">
        <v>0</v>
      </c>
      <c r="AD57" s="17">
        <f>SUM($AC$57:$AC$57)</f>
        <v>0</v>
      </c>
      <c r="AE57" s="17">
        <v>0</v>
      </c>
      <c r="AF57" s="17">
        <v>0</v>
      </c>
      <c r="AG57" s="17">
        <f>SUM($AE$57:$AF$57)</f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f>SUM($AH$57:$AK$57)</f>
        <v>0</v>
      </c>
      <c r="AM57" s="17"/>
    </row>
    <row r="58" spans="1:42" ht="11.25" customHeight="1" x14ac:dyDescent="0.25">
      <c r="K58" s="61" t="s">
        <v>585</v>
      </c>
      <c r="L58" s="17">
        <f t="shared" ref="L58:R58" si="0">IF((L54-(0))&lt;&gt;0,(L56)/(L54-(0)),0)</f>
        <v>6.5599824335039136E-2</v>
      </c>
      <c r="M58" s="17">
        <f t="shared" si="0"/>
        <v>0</v>
      </c>
      <c r="N58" s="17">
        <f t="shared" si="0"/>
        <v>0</v>
      </c>
      <c r="O58" s="17">
        <f t="shared" si="0"/>
        <v>0</v>
      </c>
      <c r="P58" s="17">
        <f t="shared" si="0"/>
        <v>0</v>
      </c>
      <c r="Q58" s="17">
        <f t="shared" si="0"/>
        <v>0.17438475181340235</v>
      </c>
      <c r="R58" s="17">
        <f t="shared" si="0"/>
        <v>0.24246594764632051</v>
      </c>
      <c r="S58" s="17">
        <f>IF((R53-(0)&lt;&gt;0),(S55)/(R53-(0)),0)</f>
        <v>0</v>
      </c>
      <c r="T58" s="17"/>
      <c r="U58" s="17">
        <f t="shared" ref="U58:AA58" si="1">IF((U54-(0))&lt;&gt;0,(U56)/(U54-(0)),0)</f>
        <v>5.8028226373485606E-2</v>
      </c>
      <c r="V58" s="17">
        <f t="shared" si="1"/>
        <v>5.8028226373485606E-2</v>
      </c>
      <c r="W58" s="17">
        <f t="shared" si="1"/>
        <v>0</v>
      </c>
      <c r="X58" s="17">
        <f t="shared" si="1"/>
        <v>0</v>
      </c>
      <c r="Y58" s="17">
        <f t="shared" si="1"/>
        <v>0</v>
      </c>
      <c r="Z58" s="17">
        <f t="shared" si="1"/>
        <v>0</v>
      </c>
      <c r="AA58" s="17">
        <f t="shared" si="1"/>
        <v>0</v>
      </c>
      <c r="AB58" s="17"/>
      <c r="AC58" s="17">
        <f>IF((AC54-(0))&lt;&gt;0,(AC56)/(AC54-(0)),0)</f>
        <v>0</v>
      </c>
      <c r="AD58" s="17"/>
      <c r="AE58" s="17">
        <f ca="1">IF(($AM53-(0))&lt;&gt;0,(AE55)/($AM53-(0)),0)</f>
        <v>0.87081362047354227</v>
      </c>
      <c r="AF58" s="17">
        <f ca="1">IF(($AM53-(0))&lt;&gt;0,(AF55)/($AM53-(0)),0)</f>
        <v>0</v>
      </c>
      <c r="AG58" s="17"/>
      <c r="AH58" s="17">
        <f>IF((AH54-(0))&lt;&gt;0,(AH56)/(AH54-(0)),0)</f>
        <v>4.2577771874855209E-2</v>
      </c>
      <c r="AI58" s="17">
        <f>IF((AI54-(0))&lt;&gt;0,(AI56)/(AI54-(0)),0)</f>
        <v>0</v>
      </c>
      <c r="AJ58" s="17">
        <f>IF((AJ54-(0))&lt;&gt;0,(AJ56)/(AJ54-(0)),0)</f>
        <v>4.2577771874855209E-2</v>
      </c>
      <c r="AK58" s="17">
        <f>IF((AK54-(0))&lt;&gt;0,(AK56)/(AK54-(0)),0)</f>
        <v>0</v>
      </c>
      <c r="AL58" s="17"/>
      <c r="AM58" s="17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1097" priority="55" operator="notEqual">
      <formula>$L$55</formula>
    </cfRule>
    <cfRule type="cellIs" dxfId="1096" priority="56" operator="equal">
      <formula>$L$55</formula>
    </cfRule>
  </conditionalFormatting>
  <conditionalFormatting sqref="M53">
    <cfRule type="cellIs" dxfId="1095" priority="53" operator="notEqual">
      <formula>$M$55</formula>
    </cfRule>
    <cfRule type="cellIs" dxfId="1094" priority="54" operator="equal">
      <formula>$M$55</formula>
    </cfRule>
  </conditionalFormatting>
  <conditionalFormatting sqref="N53">
    <cfRule type="cellIs" dxfId="1093" priority="51" operator="notEqual">
      <formula>$N$55</formula>
    </cfRule>
    <cfRule type="cellIs" dxfId="1092" priority="52" operator="equal">
      <formula>$N$55</formula>
    </cfRule>
  </conditionalFormatting>
  <conditionalFormatting sqref="O53">
    <cfRule type="cellIs" dxfId="1091" priority="49" operator="notEqual">
      <formula>$O$55</formula>
    </cfRule>
    <cfRule type="cellIs" dxfId="1090" priority="50" operator="equal">
      <formula>$O$55</formula>
    </cfRule>
  </conditionalFormatting>
  <conditionalFormatting sqref="P53">
    <cfRule type="cellIs" dxfId="1089" priority="47" operator="notEqual">
      <formula>$P$55</formula>
    </cfRule>
    <cfRule type="cellIs" dxfId="1088" priority="48" operator="equal">
      <formula>$P$55</formula>
    </cfRule>
  </conditionalFormatting>
  <conditionalFormatting sqref="Q53">
    <cfRule type="cellIs" dxfId="1087" priority="45" operator="notEqual">
      <formula>$Q$55</formula>
    </cfRule>
    <cfRule type="cellIs" dxfId="1086" priority="46" operator="equal">
      <formula>$Q$55</formula>
    </cfRule>
  </conditionalFormatting>
  <conditionalFormatting sqref="R53">
    <cfRule type="cellIs" dxfId="1085" priority="43" operator="notEqual">
      <formula>$R$55</formula>
    </cfRule>
    <cfRule type="cellIs" dxfId="1084" priority="44" operator="equal">
      <formula>$R$55</formula>
    </cfRule>
  </conditionalFormatting>
  <conditionalFormatting sqref="S53">
    <cfRule type="cellIs" dxfId="1083" priority="41" operator="notEqual">
      <formula>$S$55</formula>
    </cfRule>
    <cfRule type="cellIs" dxfId="1082" priority="42" operator="equal">
      <formula>$S$55</formula>
    </cfRule>
  </conditionalFormatting>
  <conditionalFormatting sqref="T53">
    <cfRule type="cellIs" dxfId="1081" priority="39" operator="notEqual">
      <formula>$T$55</formula>
    </cfRule>
    <cfRule type="cellIs" dxfId="1080" priority="40" operator="equal">
      <formula>$T$55</formula>
    </cfRule>
  </conditionalFormatting>
  <conditionalFormatting sqref="U53">
    <cfRule type="cellIs" dxfId="1079" priority="37" operator="notEqual">
      <formula>$U$55</formula>
    </cfRule>
    <cfRule type="cellIs" dxfId="1078" priority="38" operator="equal">
      <formula>$U$55</formula>
    </cfRule>
  </conditionalFormatting>
  <conditionalFormatting sqref="V53">
    <cfRule type="cellIs" dxfId="1077" priority="35" operator="notEqual">
      <formula>$V$55</formula>
    </cfRule>
    <cfRule type="cellIs" dxfId="1076" priority="36" operator="equal">
      <formula>$V$55</formula>
    </cfRule>
  </conditionalFormatting>
  <conditionalFormatting sqref="W53">
    <cfRule type="cellIs" dxfId="1075" priority="33" operator="notEqual">
      <formula>$W$55</formula>
    </cfRule>
    <cfRule type="cellIs" dxfId="1074" priority="34" operator="equal">
      <formula>$W$55</formula>
    </cfRule>
  </conditionalFormatting>
  <conditionalFormatting sqref="X53">
    <cfRule type="cellIs" dxfId="1073" priority="31" operator="notEqual">
      <formula>$X$55</formula>
    </cfRule>
    <cfRule type="cellIs" dxfId="1072" priority="32" operator="equal">
      <formula>$X$55</formula>
    </cfRule>
  </conditionalFormatting>
  <conditionalFormatting sqref="Y53">
    <cfRule type="cellIs" dxfId="1071" priority="29" operator="notEqual">
      <formula>$Y$55</formula>
    </cfRule>
    <cfRule type="cellIs" dxfId="1070" priority="30" operator="equal">
      <formula>$Y$55</formula>
    </cfRule>
  </conditionalFormatting>
  <conditionalFormatting sqref="Z53">
    <cfRule type="cellIs" dxfId="1069" priority="27" operator="notEqual">
      <formula>$Z$55</formula>
    </cfRule>
    <cfRule type="cellIs" dxfId="1068" priority="28" operator="equal">
      <formula>$Z$55</formula>
    </cfRule>
  </conditionalFormatting>
  <conditionalFormatting sqref="AA53">
    <cfRule type="cellIs" dxfId="1067" priority="25" operator="notEqual">
      <formula>$AA$55</formula>
    </cfRule>
    <cfRule type="cellIs" dxfId="1066" priority="26" operator="equal">
      <formula>$AA$55</formula>
    </cfRule>
  </conditionalFormatting>
  <conditionalFormatting sqref="AB53">
    <cfRule type="cellIs" dxfId="1065" priority="23" operator="notEqual">
      <formula>$AB$55</formula>
    </cfRule>
    <cfRule type="cellIs" dxfId="1064" priority="24" operator="equal">
      <formula>$AB$55</formula>
    </cfRule>
  </conditionalFormatting>
  <conditionalFormatting sqref="AC53">
    <cfRule type="cellIs" dxfId="1063" priority="21" operator="notEqual">
      <formula>$AC$55</formula>
    </cfRule>
    <cfRule type="cellIs" dxfId="1062" priority="22" operator="equal">
      <formula>$AC$55</formula>
    </cfRule>
  </conditionalFormatting>
  <conditionalFormatting sqref="AD53">
    <cfRule type="cellIs" dxfId="1061" priority="19" operator="notEqual">
      <formula>$AD$55</formula>
    </cfRule>
    <cfRule type="cellIs" dxfId="1060" priority="20" operator="equal">
      <formula>$AD$55</formula>
    </cfRule>
  </conditionalFormatting>
  <conditionalFormatting sqref="AE53">
    <cfRule type="cellIs" dxfId="1059" priority="17" operator="notEqual">
      <formula>$AE$55</formula>
    </cfRule>
    <cfRule type="cellIs" dxfId="1058" priority="18" operator="equal">
      <formula>$AE$55</formula>
    </cfRule>
  </conditionalFormatting>
  <conditionalFormatting sqref="AF53">
    <cfRule type="cellIs" dxfId="1057" priority="16" operator="equal">
      <formula>$AF$55</formula>
    </cfRule>
  </conditionalFormatting>
  <conditionalFormatting sqref="AF53">
    <cfRule type="cellIs" dxfId="1056" priority="15" operator="notEqual">
      <formula>$AF$55</formula>
    </cfRule>
  </conditionalFormatting>
  <conditionalFormatting sqref="AG53">
    <cfRule type="cellIs" dxfId="1055" priority="14" operator="equal">
      <formula>$AG$55</formula>
    </cfRule>
  </conditionalFormatting>
  <conditionalFormatting sqref="AG53">
    <cfRule type="cellIs" dxfId="1054" priority="13" operator="notEqual">
      <formula>$AG$55</formula>
    </cfRule>
  </conditionalFormatting>
  <conditionalFormatting sqref="AH53">
    <cfRule type="cellIs" dxfId="1053" priority="12" operator="equal">
      <formula>$AH$55</formula>
    </cfRule>
  </conditionalFormatting>
  <conditionalFormatting sqref="AH53">
    <cfRule type="cellIs" dxfId="1052" priority="11" operator="notEqual">
      <formula>$AH$55</formula>
    </cfRule>
  </conditionalFormatting>
  <conditionalFormatting sqref="AI53">
    <cfRule type="cellIs" dxfId="1051" priority="10" operator="equal">
      <formula>$AI$55</formula>
    </cfRule>
  </conditionalFormatting>
  <conditionalFormatting sqref="AI53">
    <cfRule type="cellIs" dxfId="1050" priority="9" operator="notEqual">
      <formula>$AI$55</formula>
    </cfRule>
  </conditionalFormatting>
  <conditionalFormatting sqref="AJ53">
    <cfRule type="cellIs" dxfId="1049" priority="8" operator="equal">
      <formula>$AJ$55</formula>
    </cfRule>
  </conditionalFormatting>
  <conditionalFormatting sqref="AJ53">
    <cfRule type="cellIs" dxfId="1048" priority="7" operator="notEqual">
      <formula>$AJ$55</formula>
    </cfRule>
  </conditionalFormatting>
  <conditionalFormatting sqref="AK53">
    <cfRule type="cellIs" dxfId="1047" priority="6" operator="equal">
      <formula>$AK$55</formula>
    </cfRule>
  </conditionalFormatting>
  <conditionalFormatting sqref="AK53">
    <cfRule type="cellIs" dxfId="1046" priority="5" operator="notEqual">
      <formula>$AK$55</formula>
    </cfRule>
  </conditionalFormatting>
  <conditionalFormatting sqref="AL53">
    <cfRule type="cellIs" dxfId="1045" priority="4" operator="equal">
      <formula>$AL$55</formula>
    </cfRule>
  </conditionalFormatting>
  <conditionalFormatting sqref="AL53">
    <cfRule type="cellIs" dxfId="1044" priority="3" operator="notEqual">
      <formula>$AL$55</formula>
    </cfRule>
  </conditionalFormatting>
  <conditionalFormatting sqref="AM53">
    <cfRule type="cellIs" dxfId="1043" priority="2" operator="equal">
      <formula>$AM$55</formula>
    </cfRule>
  </conditionalFormatting>
  <conditionalFormatting sqref="AM53">
    <cfRule type="cellIs" dxfId="1042" priority="1" operator="notEqual">
      <formula>$AM$55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B35C0-ECA9-4A7B-B1EE-2011ACA53CE7}">
  <sheetPr codeName="Planilha11"/>
  <dimension ref="A1:AP57"/>
  <sheetViews>
    <sheetView showGridLines="0" topLeftCell="AH45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7.85546875" style="9" bestFit="1" customWidth="1"/>
    <col min="14" max="14" width="8.7109375" style="9" bestFit="1" customWidth="1"/>
    <col min="15" max="16" width="4.85546875" style="9" bestFit="1" customWidth="1"/>
    <col min="17" max="18" width="10" style="9" bestFit="1" customWidth="1"/>
    <col min="19" max="19" width="8.7109375" style="9" bestFit="1" customWidth="1"/>
    <col min="20" max="20" width="10.85546875" style="9" bestFit="1" customWidth="1"/>
    <col min="21" max="21" width="10" style="9" bestFit="1" customWidth="1"/>
    <col min="22" max="22" width="8.7109375" style="9" bestFit="1" customWidth="1"/>
    <col min="23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.85546875" style="9" bestFit="1" customWidth="1"/>
    <col min="31" max="31" width="10.5703125" style="9" bestFit="1" customWidth="1"/>
    <col min="32" max="32" width="7.28515625" style="9" bestFit="1" customWidth="1"/>
    <col min="33" max="33" width="10.5703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0" width="9.140625" style="9"/>
    <col min="41" max="42" width="10.85546875" style="9" bestFit="1" customWidth="1"/>
    <col min="43" max="16384" width="9.140625" style="9"/>
  </cols>
  <sheetData>
    <row r="1" spans="1:42" ht="11.25" customHeight="1" x14ac:dyDescent="0.25">
      <c r="A1" s="167" t="s">
        <v>68</v>
      </c>
      <c r="B1" s="167" t="s">
        <v>69</v>
      </c>
      <c r="C1" s="167" t="s">
        <v>70</v>
      </c>
      <c r="D1" s="167" t="s">
        <v>71</v>
      </c>
      <c r="E1" s="167" t="s">
        <v>72</v>
      </c>
      <c r="F1" s="167" t="s">
        <v>15</v>
      </c>
      <c r="G1" s="167" t="s">
        <v>74</v>
      </c>
      <c r="H1" s="167" t="s">
        <v>75</v>
      </c>
      <c r="I1" s="167" t="s">
        <v>573</v>
      </c>
      <c r="J1" s="155"/>
      <c r="L1" s="168" t="s">
        <v>587</v>
      </c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  <c r="AC1" s="168"/>
      <c r="AD1" s="168"/>
      <c r="AE1" s="168"/>
      <c r="AF1" s="168"/>
      <c r="AG1" s="168"/>
      <c r="AH1" s="168"/>
      <c r="AI1" s="168"/>
      <c r="AJ1" s="168"/>
      <c r="AK1" s="168"/>
      <c r="AL1" s="168"/>
      <c r="AM1" s="168"/>
      <c r="AO1" s="64"/>
      <c r="AP1" s="171" t="s">
        <v>575</v>
      </c>
    </row>
    <row r="2" spans="1:42" ht="11.25" customHeight="1" x14ac:dyDescent="0.25">
      <c r="A2" s="167"/>
      <c r="B2" s="167"/>
      <c r="C2" s="167"/>
      <c r="D2" s="167"/>
      <c r="E2" s="167"/>
      <c r="F2" s="167"/>
      <c r="G2" s="167"/>
      <c r="H2" s="167"/>
      <c r="I2" s="167"/>
      <c r="J2" s="155"/>
      <c r="L2" s="168" t="s">
        <v>483</v>
      </c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H2" s="168"/>
      <c r="AI2" s="168"/>
      <c r="AJ2" s="168"/>
      <c r="AK2" s="168"/>
      <c r="AL2" s="168"/>
      <c r="AM2" s="168"/>
      <c r="AO2" s="64"/>
      <c r="AP2" s="172"/>
    </row>
    <row r="3" spans="1:42" ht="11.25" customHeight="1" x14ac:dyDescent="0.25">
      <c r="A3" s="167"/>
      <c r="B3" s="167"/>
      <c r="C3" s="167"/>
      <c r="D3" s="167"/>
      <c r="E3" s="167"/>
      <c r="F3" s="167"/>
      <c r="G3" s="167"/>
      <c r="H3" s="167"/>
      <c r="I3" s="167"/>
      <c r="J3" s="155"/>
      <c r="L3" s="168" t="s">
        <v>484</v>
      </c>
      <c r="M3" s="168"/>
      <c r="N3" s="168"/>
      <c r="O3" s="168"/>
      <c r="P3" s="168"/>
      <c r="Q3" s="168"/>
      <c r="R3" s="168"/>
      <c r="S3" s="168"/>
      <c r="T3" s="168"/>
      <c r="U3" s="168" t="s">
        <v>493</v>
      </c>
      <c r="V3" s="168"/>
      <c r="W3" s="168"/>
      <c r="X3" s="168"/>
      <c r="Y3" s="168"/>
      <c r="Z3" s="168"/>
      <c r="AA3" s="168"/>
      <c r="AB3" s="168"/>
      <c r="AC3" s="168" t="s">
        <v>501</v>
      </c>
      <c r="AD3" s="168"/>
      <c r="AE3" s="168" t="s">
        <v>503</v>
      </c>
      <c r="AF3" s="168"/>
      <c r="AG3" s="168"/>
      <c r="AH3" s="168" t="s">
        <v>506</v>
      </c>
      <c r="AI3" s="168"/>
      <c r="AJ3" s="168"/>
      <c r="AK3" s="168"/>
      <c r="AL3" s="168"/>
      <c r="AM3" s="168" t="s">
        <v>492</v>
      </c>
      <c r="AO3" s="64"/>
      <c r="AP3" s="172"/>
    </row>
    <row r="4" spans="1:42" ht="11.25" customHeight="1" x14ac:dyDescent="0.25">
      <c r="A4" s="167"/>
      <c r="B4" s="167"/>
      <c r="C4" s="167"/>
      <c r="D4" s="167"/>
      <c r="E4" s="167"/>
      <c r="F4" s="167"/>
      <c r="G4" s="167"/>
      <c r="H4" s="167"/>
      <c r="I4" s="167"/>
      <c r="J4" s="155"/>
      <c r="L4" s="60" t="s">
        <v>569</v>
      </c>
      <c r="M4" s="60" t="s">
        <v>485</v>
      </c>
      <c r="N4" s="60" t="s">
        <v>486</v>
      </c>
      <c r="O4" s="60" t="s">
        <v>487</v>
      </c>
      <c r="P4" s="60" t="s">
        <v>488</v>
      </c>
      <c r="Q4" s="60" t="s">
        <v>489</v>
      </c>
      <c r="R4" s="60" t="s">
        <v>490</v>
      </c>
      <c r="S4" s="60" t="s">
        <v>491</v>
      </c>
      <c r="T4" s="60" t="s">
        <v>492</v>
      </c>
      <c r="U4" s="60" t="s">
        <v>494</v>
      </c>
      <c r="V4" s="60" t="s">
        <v>495</v>
      </c>
      <c r="W4" s="60" t="s">
        <v>496</v>
      </c>
      <c r="X4" s="60" t="s">
        <v>497</v>
      </c>
      <c r="Y4" s="60" t="s">
        <v>498</v>
      </c>
      <c r="Z4" s="60" t="s">
        <v>499</v>
      </c>
      <c r="AA4" s="60" t="s">
        <v>500</v>
      </c>
      <c r="AB4" s="60" t="s">
        <v>492</v>
      </c>
      <c r="AC4" s="60" t="s">
        <v>502</v>
      </c>
      <c r="AD4" s="60" t="s">
        <v>492</v>
      </c>
      <c r="AE4" s="60" t="s">
        <v>504</v>
      </c>
      <c r="AF4" s="60" t="s">
        <v>505</v>
      </c>
      <c r="AG4" s="60" t="s">
        <v>492</v>
      </c>
      <c r="AH4" s="60" t="s">
        <v>507</v>
      </c>
      <c r="AI4" s="60" t="s">
        <v>508</v>
      </c>
      <c r="AJ4" s="60" t="s">
        <v>509</v>
      </c>
      <c r="AK4" s="60" t="s">
        <v>510</v>
      </c>
      <c r="AL4" s="60" t="s">
        <v>492</v>
      </c>
      <c r="AM4" s="170"/>
      <c r="AO4" s="65" t="s">
        <v>586</v>
      </c>
      <c r="AP4" s="173"/>
    </row>
    <row r="5" spans="1:42" ht="11.25" customHeight="1" x14ac:dyDescent="0.25">
      <c r="A5" s="166" t="s">
        <v>38</v>
      </c>
      <c r="B5" s="166" t="s">
        <v>50</v>
      </c>
      <c r="C5" s="166" t="s">
        <v>25</v>
      </c>
      <c r="D5" s="166" t="s">
        <v>25</v>
      </c>
      <c r="E5" s="166" t="s">
        <v>25</v>
      </c>
      <c r="F5" s="166" t="s">
        <v>25</v>
      </c>
      <c r="G5" s="57" t="s">
        <v>84</v>
      </c>
      <c r="H5" s="57" t="s">
        <v>83</v>
      </c>
      <c r="I5" s="57">
        <f>'MERCADO TUSD'!$U$2</f>
        <v>2940</v>
      </c>
      <c r="J5" s="16"/>
      <c r="L5" s="17">
        <f>'TUSD BE'!$L$5*'TUSD BF'!$L$58</f>
        <v>0</v>
      </c>
      <c r="M5" s="17">
        <f>'TUSD BE'!$M$5*'TUSD BF'!$M$58</f>
        <v>0</v>
      </c>
      <c r="N5" s="17">
        <f ca="1">'TUSD BE'!$N$5*'TUSD BF'!$N$58</f>
        <v>0</v>
      </c>
      <c r="O5" s="17">
        <f>'TUSD BE'!$O$5*'TUSD BF'!$O$58</f>
        <v>0</v>
      </c>
      <c r="P5" s="17">
        <f>'TUSD BE'!$P$5*'TUSD BF'!$P$58</f>
        <v>0</v>
      </c>
      <c r="Q5" s="17">
        <f>'TUSD BE'!$Q$5*'TUSD BF'!$Q$58</f>
        <v>0</v>
      </c>
      <c r="R5" s="17">
        <f>'TUSD BE'!$R$5*'TUSD BF'!$R$58</f>
        <v>0</v>
      </c>
      <c r="S5" s="17">
        <f>'TUSD BE'!$R$5*'TUSD BF'!$S$58</f>
        <v>0</v>
      </c>
      <c r="T5" s="17">
        <f ca="1">SUM($L$5:$S$5)</f>
        <v>0</v>
      </c>
      <c r="U5" s="17">
        <f>'TUSD BE'!$U$5*'TUSD BF'!$U$58</f>
        <v>0.38707860471567879</v>
      </c>
      <c r="V5" s="17">
        <f>'TUSD BE'!$V$5*'TUSD BF'!$V$58</f>
        <v>0.34602072536025702</v>
      </c>
      <c r="W5" s="17">
        <f>'TUSD BE'!$W$5*'TUSD BF'!$W$58</f>
        <v>0</v>
      </c>
      <c r="X5" s="17">
        <f>'TUSD BE'!$X$5*'TUSD BF'!$X$58</f>
        <v>0</v>
      </c>
      <c r="Y5" s="17">
        <f>'TUSD BE'!$Y$5*'TUSD BF'!$Y$58</f>
        <v>0</v>
      </c>
      <c r="Z5" s="17">
        <f>'TUSD BE'!$Z$5*'TUSD BF'!$Z$58</f>
        <v>0</v>
      </c>
      <c r="AA5" s="17">
        <f>'TUSD BE'!$AA$5*'TUSD BF'!$AA$58</f>
        <v>0</v>
      </c>
      <c r="AB5" s="17">
        <f>SUM($U$5:$AA$5)</f>
        <v>0.73309933007593586</v>
      </c>
      <c r="AC5" s="17">
        <f>'TUSD BE'!$AC$5*'TUSD BF'!$AC$58</f>
        <v>0</v>
      </c>
      <c r="AD5" s="17">
        <f>SUM($AC$5:$AC$5)</f>
        <v>0</v>
      </c>
      <c r="AE5" s="17">
        <f ca="1">$AO$5*$AO$55</f>
        <v>0</v>
      </c>
      <c r="AF5" s="17">
        <f ca="1">$AP$5*$AP$55</f>
        <v>0</v>
      </c>
      <c r="AG5" s="17">
        <f ca="1">SUM($AE$5:$AF$5)</f>
        <v>0</v>
      </c>
      <c r="AH5" s="17">
        <f>'TUSD BE'!$AH$5*'TUSD BF'!$AH$58</f>
        <v>0</v>
      </c>
      <c r="AI5" s="17">
        <f>'TUSD BE'!$AI$5*'TUSD BF'!$AI$58</f>
        <v>0</v>
      </c>
      <c r="AJ5" s="17">
        <f ca="1">'TUSD BE'!$AJ$5*'TUSD BF'!$AJ$58</f>
        <v>0</v>
      </c>
      <c r="AK5" s="17">
        <f ca="1">'TUSD BE'!$AK$5*'TUSD BF'!$AK$58</f>
        <v>0</v>
      </c>
      <c r="AL5" s="17">
        <f ca="1">SUM($AH$5:$AK$5)</f>
        <v>0</v>
      </c>
      <c r="AM5" s="17">
        <f ca="1">SUMIF($L$4:$AL$4,"SUBTOTAL",$L$5:$AL$5)</f>
        <v>0.73309933007593586</v>
      </c>
      <c r="AO5" s="64">
        <f ca="1">+'TUSD BE'!$T$5+'TUSD BE'!$AB$5+'TUSD BE'!$AD$5+'TUSD BE'!$AL$5</f>
        <v>26.498814555257638</v>
      </c>
      <c r="AP5" s="64">
        <f ca="1">+'TUSD BE'!$T$5+'TUSD BE'!$AB$5+'TUSD BE'!$AD$5+'TUSD BE'!$AL$5</f>
        <v>26.498814555257638</v>
      </c>
    </row>
    <row r="6" spans="1:42" ht="11.25" customHeight="1" x14ac:dyDescent="0.25">
      <c r="A6" s="166"/>
      <c r="B6" s="166"/>
      <c r="C6" s="166"/>
      <c r="D6" s="166"/>
      <c r="E6" s="166"/>
      <c r="F6" s="166"/>
      <c r="G6" s="57" t="s">
        <v>85</v>
      </c>
      <c r="H6" s="57" t="s">
        <v>83</v>
      </c>
      <c r="I6" s="57">
        <f>'MERCADO TUSD'!$U$3</f>
        <v>2940</v>
      </c>
      <c r="J6" s="16"/>
      <c r="L6" s="17">
        <f>'TUSD BE'!$L$6*'TUSD BF'!$L$58</f>
        <v>0</v>
      </c>
      <c r="M6" s="17">
        <f>'TUSD BE'!$M$6*'TUSD BF'!$M$58</f>
        <v>0</v>
      </c>
      <c r="N6" s="17">
        <f ca="1">'TUSD BE'!$N$6*'TUSD BF'!$N$58</f>
        <v>0</v>
      </c>
      <c r="O6" s="17">
        <f>'TUSD BE'!$O$6*'TUSD BF'!$O$58</f>
        <v>0</v>
      </c>
      <c r="P6" s="17">
        <f>'TUSD BE'!$P$6*'TUSD BF'!$P$58</f>
        <v>0</v>
      </c>
      <c r="Q6" s="17">
        <f>'TUSD BE'!$Q$6*'TUSD BF'!$Q$58</f>
        <v>0</v>
      </c>
      <c r="R6" s="17">
        <f>'TUSD BE'!$R$6*'TUSD BF'!$R$58</f>
        <v>0</v>
      </c>
      <c r="S6" s="17">
        <f>'TUSD BE'!$R$6*'TUSD BF'!$S$58</f>
        <v>0</v>
      </c>
      <c r="T6" s="17">
        <f ca="1">SUM($L$6:$S$6)</f>
        <v>0</v>
      </c>
      <c r="U6" s="17">
        <f>'TUSD BE'!$U$6*'TUSD BF'!$U$58</f>
        <v>0.38714683794921839</v>
      </c>
      <c r="V6" s="17">
        <f>'TUSD BE'!$V$6*'TUSD BF'!$V$58</f>
        <v>0.29870888452507199</v>
      </c>
      <c r="W6" s="17">
        <f>'TUSD BE'!$W$6*'TUSD BF'!$W$58</f>
        <v>0</v>
      </c>
      <c r="X6" s="17">
        <f>'TUSD BE'!$X$6*'TUSD BF'!$X$58</f>
        <v>0</v>
      </c>
      <c r="Y6" s="17">
        <f>'TUSD BE'!$Y$6*'TUSD BF'!$Y$58</f>
        <v>0</v>
      </c>
      <c r="Z6" s="17">
        <f>'TUSD BE'!$Z$6*'TUSD BF'!$Z$58</f>
        <v>0</v>
      </c>
      <c r="AA6" s="17">
        <f>'TUSD BE'!$AA$6*'TUSD BF'!$AA$58</f>
        <v>0</v>
      </c>
      <c r="AB6" s="17">
        <f>SUM($U$6:$AA$6)</f>
        <v>0.68585572247429039</v>
      </c>
      <c r="AC6" s="17">
        <f>'TUSD BE'!$AC$6*'TUSD BF'!$AC$58</f>
        <v>0</v>
      </c>
      <c r="AD6" s="17">
        <f>SUM($AC$6:$AC$6)</f>
        <v>0</v>
      </c>
      <c r="AE6" s="17">
        <f ca="1">$AO$6*$AO$55</f>
        <v>0</v>
      </c>
      <c r="AF6" s="17">
        <f ca="1">$AP$6*$AP$55</f>
        <v>0</v>
      </c>
      <c r="AG6" s="17">
        <f ca="1">SUM($AE$6:$AF$6)</f>
        <v>0</v>
      </c>
      <c r="AH6" s="17">
        <f>'TUSD BE'!$AH$6*'TUSD BF'!$AH$58</f>
        <v>0</v>
      </c>
      <c r="AI6" s="17">
        <f>'TUSD BE'!$AI$6*'TUSD BF'!$AI$58</f>
        <v>0</v>
      </c>
      <c r="AJ6" s="17">
        <f ca="1">'TUSD BE'!$AJ$6*'TUSD BF'!$AJ$58</f>
        <v>0</v>
      </c>
      <c r="AK6" s="17">
        <f ca="1">'TUSD BE'!$AK$6*'TUSD BF'!$AK$58</f>
        <v>0</v>
      </c>
      <c r="AL6" s="17">
        <f ca="1">SUM($AH$6:$AK$6)</f>
        <v>0</v>
      </c>
      <c r="AM6" s="17">
        <f ca="1">SUMIF($L$4:$AL$4,"SUBTOTAL",$L$6:$AL$6)</f>
        <v>0.68585572247429039</v>
      </c>
      <c r="AO6" s="64">
        <f ca="1">+'TUSD BE'!$T$6+'TUSD BE'!$AB$6+'TUSD BE'!$AD$6+'TUSD BE'!$AL$6</f>
        <v>25.637061727218157</v>
      </c>
      <c r="AP6" s="64">
        <f ca="1">+'TUSD BE'!$T$6+'TUSD BE'!$AB$6+'TUSD BE'!$AD$6+'TUSD BE'!$AL$6</f>
        <v>25.637061727218157</v>
      </c>
    </row>
    <row r="7" spans="1:42" ht="11.25" customHeight="1" x14ac:dyDescent="0.25">
      <c r="A7" s="166"/>
      <c r="B7" s="166"/>
      <c r="C7" s="166"/>
      <c r="D7" s="166"/>
      <c r="E7" s="166"/>
      <c r="F7" s="166"/>
      <c r="G7" s="57" t="s">
        <v>82</v>
      </c>
      <c r="H7" s="57" t="s">
        <v>78</v>
      </c>
      <c r="I7" s="57">
        <f>'MERCADO TUSD'!$U$4</f>
        <v>1433.7980000000002</v>
      </c>
      <c r="J7" s="16"/>
      <c r="L7" s="17">
        <f>'TUSD BE'!$L$7*'TUSD BF'!$L$58</f>
        <v>0.38986435571844696</v>
      </c>
      <c r="M7" s="17">
        <f>'TUSD BE'!$M$7*'TUSD BF'!$M$58</f>
        <v>0</v>
      </c>
      <c r="N7" s="17">
        <f ca="1">'TUSD BE'!$N$7*'TUSD BF'!$N$58</f>
        <v>0</v>
      </c>
      <c r="O7" s="17">
        <f>'TUSD BE'!$O$7*'TUSD BF'!$O$58</f>
        <v>0</v>
      </c>
      <c r="P7" s="17">
        <f>'TUSD BE'!$P$7*'TUSD BF'!$P$58</f>
        <v>0</v>
      </c>
      <c r="Q7" s="17">
        <f>'TUSD BE'!$Q$7*'TUSD BF'!$Q$58</f>
        <v>12.876082386566479</v>
      </c>
      <c r="R7" s="17">
        <f>'TUSD BE'!$R$7*'TUSD BF'!$R$58</f>
        <v>3.369286178559058</v>
      </c>
      <c r="S7" s="17">
        <f>'TUSD BE'!$R$7*'TUSD BF'!$S$58</f>
        <v>0</v>
      </c>
      <c r="T7" s="17">
        <f ca="1">SUM($L$7:$S$7)</f>
        <v>16.635232920843983</v>
      </c>
      <c r="U7" s="17">
        <f>'TUSD BE'!$U$7*'TUSD BF'!$U$58</f>
        <v>0</v>
      </c>
      <c r="V7" s="17">
        <f>'TUSD BE'!$V$7*'TUSD BF'!$V$58</f>
        <v>0</v>
      </c>
      <c r="W7" s="17">
        <f>'TUSD BE'!$W$7*'TUSD BF'!$W$58</f>
        <v>0</v>
      </c>
      <c r="X7" s="17">
        <f>'TUSD BE'!$X$7*'TUSD BF'!$X$58</f>
        <v>0</v>
      </c>
      <c r="Y7" s="17">
        <f>'TUSD BE'!$Y$7*'TUSD BF'!$Y$58</f>
        <v>0</v>
      </c>
      <c r="Z7" s="17">
        <f>'TUSD BE'!$Z$7*'TUSD BF'!$Z$58</f>
        <v>0</v>
      </c>
      <c r="AA7" s="17">
        <f>'TUSD BE'!$AA$7*'TUSD BF'!$AA$58</f>
        <v>0</v>
      </c>
      <c r="AB7" s="17">
        <f>SUM($U$7:$AA$7)</f>
        <v>0</v>
      </c>
      <c r="AC7" s="17">
        <f>'TUSD BE'!$AC$7*'TUSD BF'!$AC$58</f>
        <v>0</v>
      </c>
      <c r="AD7" s="17">
        <f>SUM($AC$7:$AC$7)</f>
        <v>0</v>
      </c>
      <c r="AE7" s="17">
        <f ca="1">$AO$7*$AO$55</f>
        <v>0</v>
      </c>
      <c r="AF7" s="17">
        <f ca="1">$AP$7*$AP$55</f>
        <v>0</v>
      </c>
      <c r="AG7" s="17">
        <f ca="1">SUM($AE$7:$AF$7)</f>
        <v>0</v>
      </c>
      <c r="AH7" s="17">
        <f>'TUSD BE'!$AH$7*'TUSD BF'!$AH$58</f>
        <v>0.24255242839058996</v>
      </c>
      <c r="AI7" s="17">
        <f>'TUSD BE'!$AI$7*'TUSD BF'!$AI$58</f>
        <v>0</v>
      </c>
      <c r="AJ7" s="17">
        <f ca="1">'TUSD BE'!$AJ$7*'TUSD BF'!$AJ$58</f>
        <v>2.2646995079669524E-2</v>
      </c>
      <c r="AK7" s="17">
        <f ca="1">'TUSD BE'!$AK$7*'TUSD BF'!$AK$58</f>
        <v>0</v>
      </c>
      <c r="AL7" s="17">
        <f ca="1">SUM($AH$7:$AK$7)</f>
        <v>0.26519942347025949</v>
      </c>
      <c r="AM7" s="17">
        <f ca="1">SUMIF($L$4:$AL$4,"SUBTOTAL",$L$7:$AL$7)</f>
        <v>16.900432344314243</v>
      </c>
      <c r="AO7" s="64">
        <f ca="1">+'TUSD BE'!$T$7+'TUSD BE'!$AB$7+'TUSD BE'!$AD$7+'TUSD BE'!$AL$7</f>
        <v>100.64803948723693</v>
      </c>
      <c r="AP7" s="64">
        <f ca="1">+'TUSD BE'!$T$7+'TUSD BE'!$AB$7+'TUSD BE'!$AD$7+'TUSD BE'!$AL$7</f>
        <v>100.64803948723693</v>
      </c>
    </row>
    <row r="8" spans="1:42" ht="11.25" customHeight="1" x14ac:dyDescent="0.25">
      <c r="A8" s="166"/>
      <c r="B8" s="166"/>
      <c r="C8" s="166"/>
      <c r="D8" s="166"/>
      <c r="E8" s="62" t="s">
        <v>86</v>
      </c>
      <c r="F8" s="62" t="s">
        <v>25</v>
      </c>
      <c r="G8" s="57" t="s">
        <v>82</v>
      </c>
      <c r="H8" s="57" t="s">
        <v>78</v>
      </c>
      <c r="I8" s="57">
        <f>'MERCADO TUSD'!$U$5</f>
        <v>0</v>
      </c>
      <c r="J8" s="16"/>
      <c r="L8" s="17">
        <f>'TUSD BE'!$L$8*'TUSD BF'!$L$58</f>
        <v>0</v>
      </c>
      <c r="M8" s="17">
        <f>'TUSD BE'!$M$8*'TUSD BF'!$M$58</f>
        <v>0</v>
      </c>
      <c r="N8" s="17">
        <f ca="1">'TUSD BE'!$N$8*'TUSD BF'!$N$58</f>
        <v>0</v>
      </c>
      <c r="O8" s="17">
        <f>'TUSD BE'!$O$8*'TUSD BF'!$O$58</f>
        <v>0</v>
      </c>
      <c r="P8" s="17">
        <f>'TUSD BE'!$P$8*'TUSD BF'!$P$58</f>
        <v>0</v>
      </c>
      <c r="Q8" s="17">
        <f>'TUSD BE'!$Q$8*'TUSD BF'!$Q$58</f>
        <v>0</v>
      </c>
      <c r="R8" s="17">
        <f>'TUSD BE'!$R$8*'TUSD BF'!$R$58</f>
        <v>0</v>
      </c>
      <c r="S8" s="17">
        <f>'TUSD BE'!$R$8*'TUSD BF'!$S$58</f>
        <v>0</v>
      </c>
      <c r="T8" s="17">
        <f ca="1">SUM($L$8:$S$8)</f>
        <v>0</v>
      </c>
      <c r="U8" s="17">
        <f>'TUSD BE'!$U$8*'TUSD BF'!$U$58</f>
        <v>0</v>
      </c>
      <c r="V8" s="17">
        <f>'TUSD BE'!$V$8*'TUSD BF'!$V$58</f>
        <v>0</v>
      </c>
      <c r="W8" s="17">
        <f>'TUSD BE'!$W$8*'TUSD BF'!$W$58</f>
        <v>0</v>
      </c>
      <c r="X8" s="17">
        <f>'TUSD BE'!$X$8*'TUSD BF'!$X$58</f>
        <v>0</v>
      </c>
      <c r="Y8" s="17">
        <f>'TUSD BE'!$Y$8*'TUSD BF'!$Y$58</f>
        <v>0</v>
      </c>
      <c r="Z8" s="17">
        <f>'TUSD BE'!$Z$8*'TUSD BF'!$Z$58</f>
        <v>0</v>
      </c>
      <c r="AA8" s="17">
        <f>'TUSD BE'!$AA$8*'TUSD BF'!$AA$58</f>
        <v>0</v>
      </c>
      <c r="AB8" s="17">
        <f>SUM($U$8:$AA$8)</f>
        <v>0</v>
      </c>
      <c r="AC8" s="17">
        <f>'TUSD BE'!$AC$8*'TUSD BF'!$AC$58</f>
        <v>0</v>
      </c>
      <c r="AD8" s="17">
        <f>SUM($AC$8:$AC$8)</f>
        <v>0</v>
      </c>
      <c r="AE8" s="17">
        <f ca="1">$AO$8*$AO$55</f>
        <v>0</v>
      </c>
      <c r="AF8" s="17">
        <f ca="1">$AP$8*$AP$55</f>
        <v>0</v>
      </c>
      <c r="AG8" s="17">
        <f ca="1">SUM($AE$8:$AF$8)</f>
        <v>0</v>
      </c>
      <c r="AH8" s="17">
        <f>'TUSD BE'!$AH$8*'TUSD BF'!$AH$58</f>
        <v>0.24255242839058996</v>
      </c>
      <c r="AI8" s="17">
        <f>'TUSD BE'!$AI$8*'TUSD BF'!$AI$58</f>
        <v>0</v>
      </c>
      <c r="AJ8" s="17">
        <f ca="1">'TUSD BE'!$AJ$8*'TUSD BF'!$AJ$58</f>
        <v>2.2646995079669524E-2</v>
      </c>
      <c r="AK8" s="17">
        <f ca="1">'TUSD BE'!$AK$8*'TUSD BF'!$AK$58</f>
        <v>0</v>
      </c>
      <c r="AL8" s="17">
        <f ca="1">SUM($AH$8:$AK$8)</f>
        <v>0.26519942347025949</v>
      </c>
      <c r="AM8" s="17">
        <f ca="1">SUMIF($L$4:$AL$4,"SUBTOTAL",$L$8:$AL$8)</f>
        <v>0.26519942347025949</v>
      </c>
      <c r="AO8" s="64">
        <f ca="1">+'TUSD BE'!$T$8+'TUSD BE'!$AB$8+'TUSD BE'!$AD$8+'TUSD BE'!$AL$8</f>
        <v>6.962968765651615</v>
      </c>
      <c r="AP8" s="64">
        <f ca="1">+'TUSD BE'!$T$8+'TUSD BE'!$AB$8+'TUSD BE'!$AD$8+'TUSD BE'!$AL$8</f>
        <v>6.962968765651615</v>
      </c>
    </row>
    <row r="9" spans="1:42" ht="11.25" customHeight="1" x14ac:dyDescent="0.25">
      <c r="A9" s="166"/>
      <c r="B9" s="62" t="s">
        <v>58</v>
      </c>
      <c r="C9" s="62" t="s">
        <v>25</v>
      </c>
      <c r="D9" s="62" t="s">
        <v>25</v>
      </c>
      <c r="E9" s="62" t="s">
        <v>25</v>
      </c>
      <c r="F9" s="62" t="s">
        <v>25</v>
      </c>
      <c r="G9" s="57" t="s">
        <v>9</v>
      </c>
      <c r="H9" s="57" t="s">
        <v>83</v>
      </c>
      <c r="I9" s="57">
        <f>'MERCADO TUSD'!$U$6</f>
        <v>20731</v>
      </c>
      <c r="J9" s="16"/>
      <c r="L9" s="17">
        <f>'TUSD BE'!$L$9*'TUSD BF'!$L$58</f>
        <v>0</v>
      </c>
      <c r="M9" s="17">
        <f>'TUSD BE'!$M$9*'TUSD BF'!$M$58</f>
        <v>0</v>
      </c>
      <c r="N9" s="17">
        <f ca="1">'TUSD BE'!$N$9*'TUSD BF'!$N$58</f>
        <v>0</v>
      </c>
      <c r="O9" s="17">
        <f>'TUSD BE'!$O$9*'TUSD BF'!$O$58</f>
        <v>0</v>
      </c>
      <c r="P9" s="17">
        <f>'TUSD BE'!$P$9*'TUSD BF'!$P$58</f>
        <v>0</v>
      </c>
      <c r="Q9" s="17">
        <f>'TUSD BE'!$Q$9*'TUSD BF'!$Q$58</f>
        <v>0</v>
      </c>
      <c r="R9" s="17">
        <f>'TUSD BE'!$R$9*'TUSD BF'!$R$58</f>
        <v>0</v>
      </c>
      <c r="S9" s="17">
        <f>'TUSD BE'!$R$9*'TUSD BF'!$S$58</f>
        <v>0</v>
      </c>
      <c r="T9" s="17">
        <f ca="1">SUM($L$9:$S$9)</f>
        <v>0</v>
      </c>
      <c r="U9" s="17">
        <f>'TUSD BE'!$U$9*'TUSD BF'!$U$58</f>
        <v>0</v>
      </c>
      <c r="V9" s="17">
        <f>'TUSD BE'!$V$9*'TUSD BF'!$V$58</f>
        <v>0</v>
      </c>
      <c r="W9" s="17">
        <f>'TUSD BE'!$W$9*'TUSD BF'!$W$58</f>
        <v>0</v>
      </c>
      <c r="X9" s="17">
        <f>'TUSD BE'!$X$9*'TUSD BF'!$X$58</f>
        <v>0</v>
      </c>
      <c r="Y9" s="17">
        <f>'TUSD BE'!$Y$9*'TUSD BF'!$Y$58</f>
        <v>0</v>
      </c>
      <c r="Z9" s="17">
        <f>'TUSD BE'!$Z$9*'TUSD BF'!$Z$58</f>
        <v>0</v>
      </c>
      <c r="AA9" s="17">
        <f>'TUSD BE'!$AA$9*'TUSD BF'!$AA$58</f>
        <v>0</v>
      </c>
      <c r="AB9" s="17">
        <f>SUM($U$9:$AA$9)</f>
        <v>0</v>
      </c>
      <c r="AC9" s="17">
        <f>'TUSD BE'!$AC$9*'TUSD BF'!$AC$58</f>
        <v>0</v>
      </c>
      <c r="AD9" s="17">
        <f>SUM($AC$9:$AC$9)</f>
        <v>0</v>
      </c>
      <c r="AE9" s="17">
        <f ca="1">$AO$9*$AO$55</f>
        <v>0</v>
      </c>
      <c r="AF9" s="17">
        <f ca="1">$AP$9*$AP$55</f>
        <v>0</v>
      </c>
      <c r="AG9" s="17">
        <f ca="1">SUM($AE$9:$AF$9)</f>
        <v>0</v>
      </c>
      <c r="AH9" s="17">
        <f>'TUSD BE'!$AH$9*'TUSD BF'!$AH$58</f>
        <v>0</v>
      </c>
      <c r="AI9" s="17">
        <f>'TUSD BE'!$AI$9*'TUSD BF'!$AI$58</f>
        <v>0</v>
      </c>
      <c r="AJ9" s="17">
        <f ca="1">'TUSD BE'!$AJ$9*'TUSD BF'!$AJ$58</f>
        <v>0</v>
      </c>
      <c r="AK9" s="17">
        <f ca="1">'TUSD BE'!$AK$9*'TUSD BF'!$AK$58</f>
        <v>0</v>
      </c>
      <c r="AL9" s="17">
        <f ca="1">SUM($AH$9:$AK$9)</f>
        <v>0</v>
      </c>
      <c r="AM9" s="17">
        <f ca="1">SUMIF($L$4:$AL$4,"SUBTOTAL",$L$9:$AL$9)</f>
        <v>0</v>
      </c>
      <c r="AO9" s="64">
        <f ca="1">+'TUSD BE'!$T$9+'TUSD BE'!$AB$9+'TUSD BE'!$AD$9+'TUSD BE'!$AL$9</f>
        <v>6.9506627183153809</v>
      </c>
      <c r="AP9" s="64">
        <f ca="1">+'TUSD BE'!$T$9+'TUSD BE'!$AB$9+'TUSD BE'!$AD$9+'TUSD BE'!$AL$9</f>
        <v>6.9506627183153809</v>
      </c>
    </row>
    <row r="10" spans="1:42" ht="11.25" customHeight="1" x14ac:dyDescent="0.25">
      <c r="A10" s="166"/>
      <c r="B10" s="166" t="s">
        <v>39</v>
      </c>
      <c r="C10" s="166" t="s">
        <v>25</v>
      </c>
      <c r="D10" s="166" t="s">
        <v>25</v>
      </c>
      <c r="E10" s="166" t="s">
        <v>25</v>
      </c>
      <c r="F10" s="166" t="s">
        <v>25</v>
      </c>
      <c r="G10" s="57" t="s">
        <v>9</v>
      </c>
      <c r="H10" s="57" t="s">
        <v>83</v>
      </c>
      <c r="I10" s="57">
        <f>'MERCADO TUSD'!$U$7</f>
        <v>252451</v>
      </c>
      <c r="J10" s="16"/>
      <c r="L10" s="17">
        <f>'TUSD BE'!$L$10*'TUSD BF'!$L$58</f>
        <v>0</v>
      </c>
      <c r="M10" s="17">
        <f>'TUSD BE'!$M$10*'TUSD BF'!$M$58</f>
        <v>0</v>
      </c>
      <c r="N10" s="17">
        <f ca="1">'TUSD BE'!$N$10*'TUSD BF'!$N$58</f>
        <v>0</v>
      </c>
      <c r="O10" s="17">
        <f>'TUSD BE'!$O$10*'TUSD BF'!$O$58</f>
        <v>0</v>
      </c>
      <c r="P10" s="17">
        <f>'TUSD BE'!$P$10*'TUSD BF'!$P$58</f>
        <v>0</v>
      </c>
      <c r="Q10" s="17">
        <f>'TUSD BE'!$Q$10*'TUSD BF'!$Q$58</f>
        <v>0</v>
      </c>
      <c r="R10" s="17">
        <f>'TUSD BE'!$R$10*'TUSD BF'!$R$58</f>
        <v>0</v>
      </c>
      <c r="S10" s="17">
        <f>'TUSD BE'!$R$10*'TUSD BF'!$S$58</f>
        <v>0</v>
      </c>
      <c r="T10" s="17">
        <f ca="1">SUM($L$10:$S$10)</f>
        <v>0</v>
      </c>
      <c r="U10" s="17">
        <f>'TUSD BE'!$U$10*'TUSD BF'!$U$58</f>
        <v>0.38714683794921839</v>
      </c>
      <c r="V10" s="17">
        <f>'TUSD BE'!$V$10*'TUSD BF'!$V$58</f>
        <v>0.29870888452507199</v>
      </c>
      <c r="W10" s="17">
        <f>'TUSD BE'!$W$10*'TUSD BF'!$W$58</f>
        <v>0</v>
      </c>
      <c r="X10" s="17">
        <f>'TUSD BE'!$X$10*'TUSD BF'!$X$58</f>
        <v>0</v>
      </c>
      <c r="Y10" s="17">
        <f>'TUSD BE'!$Y$10*'TUSD BF'!$Y$58</f>
        <v>0</v>
      </c>
      <c r="Z10" s="17">
        <f>'TUSD BE'!$Z$10*'TUSD BF'!$Z$58</f>
        <v>0</v>
      </c>
      <c r="AA10" s="17">
        <f>'TUSD BE'!$AA$10*'TUSD BF'!$AA$58</f>
        <v>0</v>
      </c>
      <c r="AB10" s="17">
        <f>SUM($U$10:$AA$10)</f>
        <v>0.68585572247429039</v>
      </c>
      <c r="AC10" s="17">
        <f>'TUSD BE'!$AC$10*'TUSD BF'!$AC$58</f>
        <v>0</v>
      </c>
      <c r="AD10" s="17">
        <f>SUM($AC$10:$AC$10)</f>
        <v>0</v>
      </c>
      <c r="AE10" s="17">
        <f ca="1">$AO$10*$AO$55</f>
        <v>0</v>
      </c>
      <c r="AF10" s="17">
        <f ca="1">$AP$10*$AP$55</f>
        <v>0</v>
      </c>
      <c r="AG10" s="17">
        <f ca="1">SUM($AE$10:$AF$10)</f>
        <v>0</v>
      </c>
      <c r="AH10" s="17">
        <f>'TUSD BE'!$AH$10*'TUSD BF'!$AH$58</f>
        <v>0</v>
      </c>
      <c r="AI10" s="17">
        <f>'TUSD BE'!$AI$10*'TUSD BF'!$AI$58</f>
        <v>0</v>
      </c>
      <c r="AJ10" s="17">
        <f ca="1">'TUSD BE'!$AJ$10*'TUSD BF'!$AJ$58</f>
        <v>0</v>
      </c>
      <c r="AK10" s="17">
        <f ca="1">'TUSD BE'!$AK$10*'TUSD BF'!$AK$58</f>
        <v>0</v>
      </c>
      <c r="AL10" s="17">
        <f ca="1">SUM($AH$10:$AK$10)</f>
        <v>0</v>
      </c>
      <c r="AM10" s="17">
        <f ca="1">SUMIF($L$4:$AL$4,"SUBTOTAL",$L$10:$AL$10)</f>
        <v>0.68585572247429039</v>
      </c>
      <c r="AO10" s="64">
        <f ca="1">+'TUSD BE'!$T$10+'TUSD BE'!$AB$10+'TUSD BE'!$AD$10+'TUSD BE'!$AL$10</f>
        <v>25.637061727218157</v>
      </c>
      <c r="AP10" s="64">
        <f ca="1">+'TUSD BE'!$T$10+'TUSD BE'!$AB$10+'TUSD BE'!$AD$10+'TUSD BE'!$AL$10</f>
        <v>25.637061727218157</v>
      </c>
    </row>
    <row r="11" spans="1:42" ht="11.25" customHeight="1" x14ac:dyDescent="0.25">
      <c r="A11" s="166"/>
      <c r="B11" s="166"/>
      <c r="C11" s="166"/>
      <c r="D11" s="166"/>
      <c r="E11" s="166"/>
      <c r="F11" s="166"/>
      <c r="G11" s="57" t="s">
        <v>79</v>
      </c>
      <c r="H11" s="57" t="s">
        <v>78</v>
      </c>
      <c r="I11" s="57">
        <f>'MERCADO TUSD'!$U$8</f>
        <v>6165.058</v>
      </c>
      <c r="J11" s="16"/>
      <c r="L11" s="17">
        <f>'TUSD BE'!$L$11*'TUSD BF'!$L$58</f>
        <v>0.38986435571844696</v>
      </c>
      <c r="M11" s="17">
        <f>'TUSD BE'!$M$11*'TUSD BF'!$M$58</f>
        <v>0</v>
      </c>
      <c r="N11" s="17">
        <f ca="1">'TUSD BE'!$N$11*'TUSD BF'!$N$58</f>
        <v>0</v>
      </c>
      <c r="O11" s="17">
        <f>'TUSD BE'!$O$11*'TUSD BF'!$O$58</f>
        <v>0</v>
      </c>
      <c r="P11" s="17">
        <f>'TUSD BE'!$P$11*'TUSD BF'!$P$58</f>
        <v>0</v>
      </c>
      <c r="Q11" s="17">
        <f>'TUSD BE'!$Q$11*'TUSD BF'!$Q$58</f>
        <v>12.876082386566479</v>
      </c>
      <c r="R11" s="17">
        <f>'TUSD BE'!$R$11*'TUSD BF'!$R$58</f>
        <v>3.369286178559058</v>
      </c>
      <c r="S11" s="17">
        <f>'TUSD BE'!$R$11*'TUSD BF'!$S$58</f>
        <v>0</v>
      </c>
      <c r="T11" s="17">
        <f ca="1">SUM($L$11:$S$11)</f>
        <v>16.635232920843983</v>
      </c>
      <c r="U11" s="17">
        <f>'TUSD BE'!$U$11*'TUSD BF'!$U$58</f>
        <v>9.3091624016512142</v>
      </c>
      <c r="V11" s="17">
        <f>'TUSD BE'!$V$11*'TUSD BF'!$V$58</f>
        <v>8.3218354673912582</v>
      </c>
      <c r="W11" s="17">
        <f>'TUSD BE'!$W$11*'TUSD BF'!$W$58</f>
        <v>0</v>
      </c>
      <c r="X11" s="17">
        <f>'TUSD BE'!$X$11*'TUSD BF'!$X$58</f>
        <v>0</v>
      </c>
      <c r="Y11" s="17">
        <f>'TUSD BE'!$Y$11*'TUSD BF'!$Y$58</f>
        <v>0</v>
      </c>
      <c r="Z11" s="17">
        <f>'TUSD BE'!$Z$11*'TUSD BF'!$Z$58</f>
        <v>0</v>
      </c>
      <c r="AA11" s="17">
        <f>'TUSD BE'!$AA$11*'TUSD BF'!$AA$58</f>
        <v>0</v>
      </c>
      <c r="AB11" s="17">
        <f>SUM($U$11:$AA$11)</f>
        <v>17.630997869042474</v>
      </c>
      <c r="AC11" s="17">
        <f>'TUSD BE'!$AC$11*'TUSD BF'!$AC$58</f>
        <v>0</v>
      </c>
      <c r="AD11" s="17">
        <f>SUM($AC$11:$AC$11)</f>
        <v>0</v>
      </c>
      <c r="AE11" s="17">
        <f ca="1">$AO$11*$AO$55</f>
        <v>0</v>
      </c>
      <c r="AF11" s="17">
        <f ca="1">$AP$11*$AP$55</f>
        <v>0</v>
      </c>
      <c r="AG11" s="17">
        <f ca="1">SUM($AE$11:$AF$11)</f>
        <v>0</v>
      </c>
      <c r="AH11" s="17">
        <f>'TUSD BE'!$AH$11*'TUSD BF'!$AH$58</f>
        <v>0.24255242839058996</v>
      </c>
      <c r="AI11" s="17">
        <f>'TUSD BE'!$AI$11*'TUSD BF'!$AI$58</f>
        <v>0</v>
      </c>
      <c r="AJ11" s="17">
        <f ca="1">'TUSD BE'!$AJ$11*'TUSD BF'!$AJ$58</f>
        <v>2.2646995079669524E-2</v>
      </c>
      <c r="AK11" s="17">
        <f ca="1">'TUSD BE'!$AK$11*'TUSD BF'!$AK$58</f>
        <v>0</v>
      </c>
      <c r="AL11" s="17">
        <f ca="1">SUM($AH$11:$AK$11)</f>
        <v>0.26519942347025949</v>
      </c>
      <c r="AM11" s="17">
        <f ca="1">SUMIF($L$4:$AL$4,"SUBTOTAL",$L$11:$AL$11)</f>
        <v>34.531430213356714</v>
      </c>
      <c r="AO11" s="64">
        <f ca="1">+'TUSD BE'!$T$11+'TUSD BE'!$AB$11+'TUSD BE'!$AD$11+'TUSD BE'!$AL$11</f>
        <v>742.59792512995182</v>
      </c>
      <c r="AP11" s="64">
        <f ca="1">+'TUSD BE'!$T$11+'TUSD BE'!$AB$11+'TUSD BE'!$AD$11+'TUSD BE'!$AL$11</f>
        <v>742.59792512995182</v>
      </c>
    </row>
    <row r="12" spans="1:42" ht="11.25" customHeight="1" x14ac:dyDescent="0.25">
      <c r="A12" s="166"/>
      <c r="B12" s="166"/>
      <c r="C12" s="166"/>
      <c r="D12" s="166"/>
      <c r="E12" s="166"/>
      <c r="F12" s="166"/>
      <c r="G12" s="57" t="s">
        <v>80</v>
      </c>
      <c r="H12" s="57" t="s">
        <v>78</v>
      </c>
      <c r="I12" s="57">
        <f>'MERCADO TUSD'!$U$9</f>
        <v>60495.598999999995</v>
      </c>
      <c r="J12" s="16"/>
      <c r="L12" s="17">
        <f>'TUSD BE'!$L$12*'TUSD BF'!$L$58</f>
        <v>0.38986435571844696</v>
      </c>
      <c r="M12" s="17">
        <f>'TUSD BE'!$M$12*'TUSD BF'!$M$58</f>
        <v>0</v>
      </c>
      <c r="N12" s="17">
        <f ca="1">'TUSD BE'!$N$12*'TUSD BF'!$N$58</f>
        <v>0</v>
      </c>
      <c r="O12" s="17">
        <f>'TUSD BE'!$O$12*'TUSD BF'!$O$58</f>
        <v>0</v>
      </c>
      <c r="P12" s="17">
        <f>'TUSD BE'!$P$12*'TUSD BF'!$P$58</f>
        <v>0</v>
      </c>
      <c r="Q12" s="17">
        <f>'TUSD BE'!$Q$12*'TUSD BF'!$Q$58</f>
        <v>12.876082386566479</v>
      </c>
      <c r="R12" s="17">
        <f>'TUSD BE'!$R$12*'TUSD BF'!$R$58</f>
        <v>3.369286178559058</v>
      </c>
      <c r="S12" s="17">
        <f>'TUSD BE'!$R$12*'TUSD BF'!$S$58</f>
        <v>0</v>
      </c>
      <c r="T12" s="17">
        <f ca="1">SUM($L$12:$S$12)</f>
        <v>16.635232920843983</v>
      </c>
      <c r="U12" s="17">
        <f>'TUSD BE'!$U$12*'TUSD BF'!$U$58</f>
        <v>0</v>
      </c>
      <c r="V12" s="17">
        <f>'TUSD BE'!$V$12*'TUSD BF'!$V$58</f>
        <v>0</v>
      </c>
      <c r="W12" s="17">
        <f>'TUSD BE'!$W$12*'TUSD BF'!$W$58</f>
        <v>0</v>
      </c>
      <c r="X12" s="17">
        <f>'TUSD BE'!$X$12*'TUSD BF'!$X$58</f>
        <v>0</v>
      </c>
      <c r="Y12" s="17">
        <f>'TUSD BE'!$Y$12*'TUSD BF'!$Y$58</f>
        <v>0</v>
      </c>
      <c r="Z12" s="17">
        <f>'TUSD BE'!$Z$12*'TUSD BF'!$Z$58</f>
        <v>0</v>
      </c>
      <c r="AA12" s="17">
        <f>'TUSD BE'!$AA$12*'TUSD BF'!$AA$58</f>
        <v>0</v>
      </c>
      <c r="AB12" s="17">
        <f>SUM($U$12:$AA$12)</f>
        <v>0</v>
      </c>
      <c r="AC12" s="17">
        <f>'TUSD BE'!$AC$12*'TUSD BF'!$AC$58</f>
        <v>0</v>
      </c>
      <c r="AD12" s="17">
        <f>SUM($AC$12:$AC$12)</f>
        <v>0</v>
      </c>
      <c r="AE12" s="17">
        <f ca="1">$AO$12*$AO$55</f>
        <v>0</v>
      </c>
      <c r="AF12" s="17">
        <f ca="1">$AP$12*$AP$55</f>
        <v>0</v>
      </c>
      <c r="AG12" s="17">
        <f ca="1">SUM($AE$12:$AF$12)</f>
        <v>0</v>
      </c>
      <c r="AH12" s="17">
        <f>'TUSD BE'!$AH$12*'TUSD BF'!$AH$58</f>
        <v>0.24255242839058996</v>
      </c>
      <c r="AI12" s="17">
        <f>'TUSD BE'!$AI$12*'TUSD BF'!$AI$58</f>
        <v>0</v>
      </c>
      <c r="AJ12" s="17">
        <f ca="1">'TUSD BE'!$AJ$12*'TUSD BF'!$AJ$58</f>
        <v>2.2646995079669524E-2</v>
      </c>
      <c r="AK12" s="17">
        <f ca="1">'TUSD BE'!$AK$12*'TUSD BF'!$AK$58</f>
        <v>0</v>
      </c>
      <c r="AL12" s="17">
        <f ca="1">SUM($AH$12:$AK$12)</f>
        <v>0.26519942347025949</v>
      </c>
      <c r="AM12" s="17">
        <f ca="1">SUMIF($L$4:$AL$4,"SUBTOTAL",$L$12:$AL$12)</f>
        <v>16.900432344314243</v>
      </c>
      <c r="AO12" s="64">
        <f ca="1">+'TUSD BE'!$T$12+'TUSD BE'!$AB$12+'TUSD BE'!$AD$12+'TUSD BE'!$AL$12</f>
        <v>100.64803948723693</v>
      </c>
      <c r="AP12" s="64">
        <f ca="1">+'TUSD BE'!$T$12+'TUSD BE'!$AB$12+'TUSD BE'!$AD$12+'TUSD BE'!$AL$12</f>
        <v>100.64803948723693</v>
      </c>
    </row>
    <row r="13" spans="1:42" ht="11.25" customHeight="1" x14ac:dyDescent="0.25">
      <c r="A13" s="166"/>
      <c r="B13" s="166"/>
      <c r="C13" s="166"/>
      <c r="D13" s="166"/>
      <c r="E13" s="166" t="s">
        <v>86</v>
      </c>
      <c r="F13" s="166" t="s">
        <v>25</v>
      </c>
      <c r="G13" s="57" t="s">
        <v>79</v>
      </c>
      <c r="H13" s="57" t="s">
        <v>78</v>
      </c>
      <c r="I13" s="57">
        <f>'MERCADO TUSD'!$U$10</f>
        <v>0</v>
      </c>
      <c r="J13" s="16"/>
      <c r="L13" s="17">
        <f>'TUSD BE'!$L$13*'TUSD BF'!$L$58</f>
        <v>0</v>
      </c>
      <c r="M13" s="17">
        <f>'TUSD BE'!$M$13*'TUSD BF'!$M$58</f>
        <v>0</v>
      </c>
      <c r="N13" s="17">
        <f ca="1">'TUSD BE'!$N$13*'TUSD BF'!$N$58</f>
        <v>0</v>
      </c>
      <c r="O13" s="17">
        <f>'TUSD BE'!$O$13*'TUSD BF'!$O$58</f>
        <v>0</v>
      </c>
      <c r="P13" s="17">
        <f>'TUSD BE'!$P$13*'TUSD BF'!$P$58</f>
        <v>0</v>
      </c>
      <c r="Q13" s="17">
        <f>'TUSD BE'!$Q$13*'TUSD BF'!$Q$58</f>
        <v>0</v>
      </c>
      <c r="R13" s="17">
        <f>'TUSD BE'!$R$13*'TUSD BF'!$R$58</f>
        <v>0</v>
      </c>
      <c r="S13" s="17">
        <f>'TUSD BE'!$R$13*'TUSD BF'!$S$58</f>
        <v>0</v>
      </c>
      <c r="T13" s="17">
        <f ca="1">SUM($L$13:$S$13)</f>
        <v>0</v>
      </c>
      <c r="U13" s="17">
        <f>'TUSD BE'!$U$13*'TUSD BF'!$U$58</f>
        <v>9.3091624016512142</v>
      </c>
      <c r="V13" s="17">
        <f>'TUSD BE'!$V$13*'TUSD BF'!$V$58</f>
        <v>8.3218354673912582</v>
      </c>
      <c r="W13" s="17">
        <f>'TUSD BE'!$W$13*'TUSD BF'!$W$58</f>
        <v>0</v>
      </c>
      <c r="X13" s="17">
        <f>'TUSD BE'!$X$13*'TUSD BF'!$X$58</f>
        <v>0</v>
      </c>
      <c r="Y13" s="17">
        <f>'TUSD BE'!$Y$13*'TUSD BF'!$Y$58</f>
        <v>0</v>
      </c>
      <c r="Z13" s="17">
        <f>'TUSD BE'!$Z$13*'TUSD BF'!$Z$58</f>
        <v>0</v>
      </c>
      <c r="AA13" s="17">
        <f>'TUSD BE'!$AA$13*'TUSD BF'!$AA$58</f>
        <v>0</v>
      </c>
      <c r="AB13" s="17">
        <f>SUM($U$13:$AA$13)</f>
        <v>17.630997869042474</v>
      </c>
      <c r="AC13" s="17">
        <f>'TUSD BE'!$AC$13*'TUSD BF'!$AC$58</f>
        <v>0</v>
      </c>
      <c r="AD13" s="17">
        <f>SUM($AC$13:$AC$13)</f>
        <v>0</v>
      </c>
      <c r="AE13" s="17">
        <f ca="1">$AO$13*$AO$55</f>
        <v>0</v>
      </c>
      <c r="AF13" s="17">
        <f ca="1">$AP$13*$AP$55</f>
        <v>0</v>
      </c>
      <c r="AG13" s="17">
        <f ca="1">SUM($AE$13:$AF$13)</f>
        <v>0</v>
      </c>
      <c r="AH13" s="17">
        <f>'TUSD BE'!$AH$13*'TUSD BF'!$AH$58</f>
        <v>0.24255242839058996</v>
      </c>
      <c r="AI13" s="17">
        <f>'TUSD BE'!$AI$13*'TUSD BF'!$AI$58</f>
        <v>0</v>
      </c>
      <c r="AJ13" s="17">
        <f ca="1">'TUSD BE'!$AJ$13*'TUSD BF'!$AJ$58</f>
        <v>2.2646995079669524E-2</v>
      </c>
      <c r="AK13" s="17">
        <f ca="1">'TUSD BE'!$AK$13*'TUSD BF'!$AK$58</f>
        <v>0</v>
      </c>
      <c r="AL13" s="17">
        <f ca="1">SUM($AH$13:$AK$13)</f>
        <v>0.26519942347025949</v>
      </c>
      <c r="AM13" s="17">
        <f ca="1">SUMIF($L$4:$AL$4,"SUBTOTAL",$L$13:$AL$13)</f>
        <v>17.896197292512735</v>
      </c>
      <c r="AO13" s="64">
        <f ca="1">+'TUSD BE'!$T$13+'TUSD BE'!$AB$13+'TUSD BE'!$AD$13+'TUSD BE'!$AL$13</f>
        <v>648.91285440836646</v>
      </c>
      <c r="AP13" s="64">
        <f ca="1">+'TUSD BE'!$T$13+'TUSD BE'!$AB$13+'TUSD BE'!$AD$13+'TUSD BE'!$AL$13</f>
        <v>648.91285440836646</v>
      </c>
    </row>
    <row r="14" spans="1:42" ht="11.25" customHeight="1" x14ac:dyDescent="0.25">
      <c r="A14" s="166"/>
      <c r="B14" s="166"/>
      <c r="C14" s="166"/>
      <c r="D14" s="166"/>
      <c r="E14" s="166"/>
      <c r="F14" s="166"/>
      <c r="G14" s="57" t="s">
        <v>80</v>
      </c>
      <c r="H14" s="57" t="s">
        <v>78</v>
      </c>
      <c r="I14" s="57">
        <f>'MERCADO TUSD'!$U$11</f>
        <v>0</v>
      </c>
      <c r="J14" s="16"/>
      <c r="L14" s="17">
        <f>'TUSD BE'!$L$14*'TUSD BF'!$L$58</f>
        <v>0</v>
      </c>
      <c r="M14" s="17">
        <f>'TUSD BE'!$M$14*'TUSD BF'!$M$58</f>
        <v>0</v>
      </c>
      <c r="N14" s="17">
        <f ca="1">'TUSD BE'!$N$14*'TUSD BF'!$N$58</f>
        <v>0</v>
      </c>
      <c r="O14" s="17">
        <f>'TUSD BE'!$O$14*'TUSD BF'!$O$58</f>
        <v>0</v>
      </c>
      <c r="P14" s="17">
        <f>'TUSD BE'!$P$14*'TUSD BF'!$P$58</f>
        <v>0</v>
      </c>
      <c r="Q14" s="17">
        <f>'TUSD BE'!$Q$14*'TUSD BF'!$Q$58</f>
        <v>0</v>
      </c>
      <c r="R14" s="17">
        <f>'TUSD BE'!$R$14*'TUSD BF'!$R$58</f>
        <v>0</v>
      </c>
      <c r="S14" s="17">
        <f>'TUSD BE'!$R$14*'TUSD BF'!$S$58</f>
        <v>0</v>
      </c>
      <c r="T14" s="17">
        <f ca="1">SUM($L$14:$S$14)</f>
        <v>0</v>
      </c>
      <c r="U14" s="17">
        <f>'TUSD BE'!$U$14*'TUSD BF'!$U$58</f>
        <v>0</v>
      </c>
      <c r="V14" s="17">
        <f>'TUSD BE'!$V$14*'TUSD BF'!$V$58</f>
        <v>0</v>
      </c>
      <c r="W14" s="17">
        <f>'TUSD BE'!$W$14*'TUSD BF'!$W$58</f>
        <v>0</v>
      </c>
      <c r="X14" s="17">
        <f>'TUSD BE'!$X$14*'TUSD BF'!$X$58</f>
        <v>0</v>
      </c>
      <c r="Y14" s="17">
        <f>'TUSD BE'!$Y$14*'TUSD BF'!$Y$58</f>
        <v>0</v>
      </c>
      <c r="Z14" s="17">
        <f>'TUSD BE'!$Z$14*'TUSD BF'!$Z$58</f>
        <v>0</v>
      </c>
      <c r="AA14" s="17">
        <f>'TUSD BE'!$AA$14*'TUSD BF'!$AA$58</f>
        <v>0</v>
      </c>
      <c r="AB14" s="17">
        <f>SUM($U$14:$AA$14)</f>
        <v>0</v>
      </c>
      <c r="AC14" s="17">
        <f>'TUSD BE'!$AC$14*'TUSD BF'!$AC$58</f>
        <v>0</v>
      </c>
      <c r="AD14" s="17">
        <f>SUM($AC$14:$AC$14)</f>
        <v>0</v>
      </c>
      <c r="AE14" s="17">
        <f ca="1">$AO$14*$AO$55</f>
        <v>0</v>
      </c>
      <c r="AF14" s="17">
        <f ca="1">$AP$14*$AP$55</f>
        <v>0</v>
      </c>
      <c r="AG14" s="17">
        <f ca="1">SUM($AE$14:$AF$14)</f>
        <v>0</v>
      </c>
      <c r="AH14" s="17">
        <f>'TUSD BE'!$AH$14*'TUSD BF'!$AH$58</f>
        <v>0.24255242839058996</v>
      </c>
      <c r="AI14" s="17">
        <f>'TUSD BE'!$AI$14*'TUSD BF'!$AI$58</f>
        <v>0</v>
      </c>
      <c r="AJ14" s="17">
        <f ca="1">'TUSD BE'!$AJ$14*'TUSD BF'!$AJ$58</f>
        <v>2.2646995079669524E-2</v>
      </c>
      <c r="AK14" s="17">
        <f ca="1">'TUSD BE'!$AK$14*'TUSD BF'!$AK$58</f>
        <v>0</v>
      </c>
      <c r="AL14" s="17">
        <f ca="1">SUM($AH$14:$AK$14)</f>
        <v>0.26519942347025949</v>
      </c>
      <c r="AM14" s="17">
        <f ca="1">SUMIF($L$4:$AL$4,"SUBTOTAL",$L$14:$AL$14)</f>
        <v>0.26519942347025949</v>
      </c>
      <c r="AO14" s="64">
        <f ca="1">+'TUSD BE'!$T$14+'TUSD BE'!$AB$14+'TUSD BE'!$AD$14+'TUSD BE'!$AL$14</f>
        <v>6.962968765651615</v>
      </c>
      <c r="AP14" s="64">
        <f ca="1">+'TUSD BE'!$T$14+'TUSD BE'!$AB$14+'TUSD BE'!$AD$14+'TUSD BE'!$AL$14</f>
        <v>6.962968765651615</v>
      </c>
    </row>
    <row r="15" spans="1:42" ht="11.25" customHeight="1" x14ac:dyDescent="0.25">
      <c r="A15" s="166" t="s">
        <v>89</v>
      </c>
      <c r="B15" s="166" t="s">
        <v>58</v>
      </c>
      <c r="C15" s="166" t="s">
        <v>25</v>
      </c>
      <c r="D15" s="166" t="s">
        <v>25</v>
      </c>
      <c r="E15" s="62" t="s">
        <v>90</v>
      </c>
      <c r="F15" s="62" t="s">
        <v>25</v>
      </c>
      <c r="G15" s="57" t="s">
        <v>9</v>
      </c>
      <c r="H15" s="57" t="s">
        <v>83</v>
      </c>
      <c r="I15" s="57">
        <f>'MERCADO TUSD'!$U$12+0.00000001</f>
        <v>1E-8</v>
      </c>
      <c r="J15" s="16"/>
      <c r="L15" s="17">
        <f>'TUSD BE'!$L$15*'TUSD BF'!$L$58</f>
        <v>0</v>
      </c>
      <c r="M15" s="17">
        <f>'TUSD BE'!$M$15*'TUSD BF'!$M$58</f>
        <v>0</v>
      </c>
      <c r="N15" s="17">
        <f ca="1">'TUSD BE'!$N$15*'TUSD BF'!$N$58</f>
        <v>0</v>
      </c>
      <c r="O15" s="17">
        <f>'TUSD BE'!$O$15*'TUSD BF'!$O$58</f>
        <v>0</v>
      </c>
      <c r="P15" s="17">
        <f>'TUSD BE'!$P$15*'TUSD BF'!$P$58</f>
        <v>0</v>
      </c>
      <c r="Q15" s="17">
        <f>'TUSD BE'!$Q$15*'TUSD BF'!$Q$58</f>
        <v>0</v>
      </c>
      <c r="R15" s="17">
        <f>'TUSD BE'!$R$15*'TUSD BF'!$R$58</f>
        <v>0</v>
      </c>
      <c r="S15" s="17">
        <f>'TUSD BE'!$R$15*'TUSD BF'!$S$58</f>
        <v>0</v>
      </c>
      <c r="T15" s="17">
        <f ca="1">SUM($L$15:$S$15)</f>
        <v>0</v>
      </c>
      <c r="U15" s="17">
        <f>'TUSD BE'!$U$15*'TUSD BF'!$U$58</f>
        <v>0</v>
      </c>
      <c r="V15" s="17">
        <f>'TUSD BE'!$V$15*'TUSD BF'!$V$58</f>
        <v>0</v>
      </c>
      <c r="W15" s="17">
        <f>'TUSD BE'!$W$15*'TUSD BF'!$W$58</f>
        <v>0</v>
      </c>
      <c r="X15" s="17">
        <f>'TUSD BE'!$X$15*'TUSD BF'!$X$58</f>
        <v>0</v>
      </c>
      <c r="Y15" s="17">
        <f>'TUSD BE'!$Y$15*'TUSD BF'!$Y$58</f>
        <v>0</v>
      </c>
      <c r="Z15" s="17">
        <f>'TUSD BE'!$Z$15*'TUSD BF'!$Z$58</f>
        <v>0</v>
      </c>
      <c r="AA15" s="17">
        <f>'TUSD BE'!$AA$15*'TUSD BF'!$AA$58</f>
        <v>0</v>
      </c>
      <c r="AB15" s="17">
        <f>SUM($U$15:$AA$15)</f>
        <v>0</v>
      </c>
      <c r="AC15" s="17">
        <f>'TUSD BE'!$AC$15*'TUSD BF'!$AC$58</f>
        <v>0</v>
      </c>
      <c r="AD15" s="17">
        <f>SUM($AC$15:$AC$15)</f>
        <v>0</v>
      </c>
      <c r="AE15" s="17">
        <f ca="1">$AO$15*$AO$55</f>
        <v>0</v>
      </c>
      <c r="AF15" s="17">
        <f ca="1">$AP$15*$AP$55</f>
        <v>0</v>
      </c>
      <c r="AG15" s="17">
        <f ca="1">SUM($AE$15:$AF$15)</f>
        <v>0</v>
      </c>
      <c r="AH15" s="17">
        <f>'TUSD BE'!$AH$15*'TUSD BF'!$AH$58</f>
        <v>0</v>
      </c>
      <c r="AI15" s="17">
        <f>'TUSD BE'!$AI$15*'TUSD BF'!$AI$58</f>
        <v>0</v>
      </c>
      <c r="AJ15" s="17">
        <f ca="1">'TUSD BE'!$AJ$15*'TUSD BF'!$AJ$58</f>
        <v>0</v>
      </c>
      <c r="AK15" s="17">
        <f ca="1">'TUSD BE'!$AK$15*'TUSD BF'!$AK$58</f>
        <v>0</v>
      </c>
      <c r="AL15" s="17">
        <f ca="1">SUM($AH$15:$AK$15)</f>
        <v>0</v>
      </c>
      <c r="AM15" s="17">
        <f ca="1">SUMIF($L$4:$AL$4,"SUBTOTAL",$L$15:$AL$15)</f>
        <v>0</v>
      </c>
      <c r="AO15" s="64">
        <f ca="1">+'TUSD BE'!$T$15+'TUSD BE'!$AB$15+'TUSD BE'!$AD$15+'TUSD BE'!$AL$15</f>
        <v>5.8695102814786591</v>
      </c>
      <c r="AP15" s="64">
        <f ca="1">+'TUSD BE'!$T$15+'TUSD BE'!$AB$15+'TUSD BE'!$AD$15+'TUSD BE'!$AL$15</f>
        <v>5.8695102814786591</v>
      </c>
    </row>
    <row r="16" spans="1:42" ht="11.25" customHeight="1" x14ac:dyDescent="0.25">
      <c r="A16" s="166"/>
      <c r="B16" s="166"/>
      <c r="C16" s="166"/>
      <c r="D16" s="166"/>
      <c r="E16" s="62" t="s">
        <v>91</v>
      </c>
      <c r="F16" s="62" t="s">
        <v>25</v>
      </c>
      <c r="G16" s="57" t="s">
        <v>9</v>
      </c>
      <c r="H16" s="57" t="s">
        <v>83</v>
      </c>
      <c r="I16" s="57">
        <f>'MERCADO TUSD'!$U$13+0.00000001</f>
        <v>1E-8</v>
      </c>
      <c r="J16" s="16"/>
      <c r="L16" s="17">
        <f>'TUSD BE'!$L$16*'TUSD BF'!$L$58</f>
        <v>0</v>
      </c>
      <c r="M16" s="17">
        <f>'TUSD BE'!$M$16*'TUSD BF'!$M$58</f>
        <v>0</v>
      </c>
      <c r="N16" s="17">
        <f ca="1">'TUSD BE'!$N$16*'TUSD BF'!$N$58</f>
        <v>0</v>
      </c>
      <c r="O16" s="17">
        <f>'TUSD BE'!$O$16*'TUSD BF'!$O$58</f>
        <v>0</v>
      </c>
      <c r="P16" s="17">
        <f>'TUSD BE'!$P$16*'TUSD BF'!$P$58</f>
        <v>0</v>
      </c>
      <c r="Q16" s="17">
        <f>'TUSD BE'!$Q$16*'TUSD BF'!$Q$58</f>
        <v>0</v>
      </c>
      <c r="R16" s="17">
        <f>'TUSD BE'!$R$16*'TUSD BF'!$R$58</f>
        <v>0</v>
      </c>
      <c r="S16" s="17">
        <f>'TUSD BE'!$R$16*'TUSD BF'!$S$58</f>
        <v>0</v>
      </c>
      <c r="T16" s="17">
        <f ca="1">SUM($L$16:$S$16)</f>
        <v>0</v>
      </c>
      <c r="U16" s="17">
        <f>'TUSD BE'!$U$16*'TUSD BF'!$U$58</f>
        <v>0</v>
      </c>
      <c r="V16" s="17">
        <f>'TUSD BE'!$V$16*'TUSD BF'!$V$58</f>
        <v>0</v>
      </c>
      <c r="W16" s="17">
        <f>'TUSD BE'!$W$16*'TUSD BF'!$W$58</f>
        <v>0</v>
      </c>
      <c r="X16" s="17">
        <f>'TUSD BE'!$X$16*'TUSD BF'!$X$58</f>
        <v>0</v>
      </c>
      <c r="Y16" s="17">
        <f>'TUSD BE'!$Y$16*'TUSD BF'!$Y$58</f>
        <v>0</v>
      </c>
      <c r="Z16" s="17">
        <f>'TUSD BE'!$Z$16*'TUSD BF'!$Z$58</f>
        <v>0</v>
      </c>
      <c r="AA16" s="17">
        <f>'TUSD BE'!$AA$16*'TUSD BF'!$AA$58</f>
        <v>0</v>
      </c>
      <c r="AB16" s="17">
        <f>SUM($U$16:$AA$16)</f>
        <v>0</v>
      </c>
      <c r="AC16" s="17">
        <f>'TUSD BE'!$AC$16*'TUSD BF'!$AC$58</f>
        <v>0</v>
      </c>
      <c r="AD16" s="17">
        <f>SUM($AC$16:$AC$16)</f>
        <v>0</v>
      </c>
      <c r="AE16" s="17">
        <f ca="1">$AO$16*$AO$55</f>
        <v>0</v>
      </c>
      <c r="AF16" s="17">
        <f ca="1">$AP$16*$AP$55</f>
        <v>0</v>
      </c>
      <c r="AG16" s="17">
        <f ca="1">SUM($AE$16:$AF$16)</f>
        <v>0</v>
      </c>
      <c r="AH16" s="17">
        <f>'TUSD BE'!$AH$16*'TUSD BF'!$AH$58</f>
        <v>0</v>
      </c>
      <c r="AI16" s="17">
        <f>'TUSD BE'!$AI$16*'TUSD BF'!$AI$58</f>
        <v>0</v>
      </c>
      <c r="AJ16" s="17">
        <f ca="1">'TUSD BE'!$AJ$16*'TUSD BF'!$AJ$58</f>
        <v>0</v>
      </c>
      <c r="AK16" s="17">
        <f ca="1">'TUSD BE'!$AK$16*'TUSD BF'!$AK$58</f>
        <v>0</v>
      </c>
      <c r="AL16" s="17">
        <f ca="1">SUM($AH$16:$AK$16)</f>
        <v>0</v>
      </c>
      <c r="AM16" s="17">
        <f ca="1">SUMIF($L$4:$AL$4,"SUBTOTAL",$L$16:$AL$16)</f>
        <v>0</v>
      </c>
      <c r="AO16" s="64">
        <f ca="1">+'TUSD BE'!$T$16+'TUSD BE'!$AB$16+'TUSD BE'!$AD$16+'TUSD BE'!$AL$16</f>
        <v>9.7644330756357505</v>
      </c>
      <c r="AP16" s="64">
        <f ca="1">+'TUSD BE'!$T$16+'TUSD BE'!$AB$16+'TUSD BE'!$AD$16+'TUSD BE'!$AL$16</f>
        <v>9.7644330756357505</v>
      </c>
    </row>
    <row r="17" spans="1:42" ht="11.25" customHeight="1" x14ac:dyDescent="0.25">
      <c r="A17" s="166" t="s">
        <v>22</v>
      </c>
      <c r="B17" s="166" t="s">
        <v>32</v>
      </c>
      <c r="C17" s="166" t="s">
        <v>24</v>
      </c>
      <c r="D17" s="166" t="s">
        <v>24</v>
      </c>
      <c r="E17" s="166" t="s">
        <v>25</v>
      </c>
      <c r="F17" s="166" t="s">
        <v>25</v>
      </c>
      <c r="G17" s="57" t="s">
        <v>79</v>
      </c>
      <c r="H17" s="57" t="s">
        <v>78</v>
      </c>
      <c r="I17" s="57">
        <f>'MERCADO TUSD'!$U$14</f>
        <v>2.7580000000000005</v>
      </c>
      <c r="J17" s="16"/>
      <c r="L17" s="17">
        <f>'TUSD BE'!$L$17*'TUSD BF'!$L$58</f>
        <v>0.46412423299815114</v>
      </c>
      <c r="M17" s="17">
        <f>'TUSD BE'!$M$17*'TUSD BF'!$M$58</f>
        <v>0</v>
      </c>
      <c r="N17" s="17">
        <f ca="1">'TUSD BE'!$N$17*'TUSD BF'!$N$58</f>
        <v>0</v>
      </c>
      <c r="O17" s="17">
        <f>'TUSD BE'!$O$17*'TUSD BF'!$O$58</f>
        <v>0</v>
      </c>
      <c r="P17" s="17">
        <f>'TUSD BE'!$P$17*'TUSD BF'!$P$58</f>
        <v>0</v>
      </c>
      <c r="Q17" s="17">
        <f>'TUSD BE'!$Q$17*'TUSD BF'!$Q$58</f>
        <v>15.328669507817237</v>
      </c>
      <c r="R17" s="17">
        <f>'TUSD BE'!$R$17*'TUSD BF'!$R$58</f>
        <v>3.369286178559058</v>
      </c>
      <c r="S17" s="17">
        <f>'TUSD BE'!$R$17*'TUSD BF'!$S$58</f>
        <v>0</v>
      </c>
      <c r="T17" s="17">
        <f ca="1">SUM($L$17:$S$17)</f>
        <v>19.162079919374445</v>
      </c>
      <c r="U17" s="17">
        <f>'TUSD BE'!$U$17*'TUSD BF'!$U$58</f>
        <v>5.7429098049356337</v>
      </c>
      <c r="V17" s="17">
        <f>'TUSD BE'!$V$17*'TUSD BF'!$V$58</f>
        <v>4.8133162852610516</v>
      </c>
      <c r="W17" s="17">
        <f>'TUSD BE'!$W$17*'TUSD BF'!$W$58</f>
        <v>0</v>
      </c>
      <c r="X17" s="17">
        <f>'TUSD BE'!$X$17*'TUSD BF'!$X$58</f>
        <v>0</v>
      </c>
      <c r="Y17" s="17">
        <f>'TUSD BE'!$Y$17*'TUSD BF'!$Y$58</f>
        <v>0</v>
      </c>
      <c r="Z17" s="17">
        <f>'TUSD BE'!$Z$17*'TUSD BF'!$Z$58</f>
        <v>0</v>
      </c>
      <c r="AA17" s="17">
        <f>'TUSD BE'!$AA$17*'TUSD BF'!$AA$58</f>
        <v>0</v>
      </c>
      <c r="AB17" s="17">
        <f>SUM($U$17:$AA$17)</f>
        <v>10.556226090196684</v>
      </c>
      <c r="AC17" s="17">
        <f>'TUSD BE'!$AC$17*'TUSD BF'!$AC$58</f>
        <v>0</v>
      </c>
      <c r="AD17" s="17">
        <f>SUM($AC$17:$AC$17)</f>
        <v>0</v>
      </c>
      <c r="AE17" s="17">
        <f ca="1">$AO$17*$AO$55</f>
        <v>0</v>
      </c>
      <c r="AF17" s="17">
        <f ca="1">$AP$17*$AP$55</f>
        <v>0</v>
      </c>
      <c r="AG17" s="17">
        <f ca="1">SUM($AE$17:$AF$17)</f>
        <v>0</v>
      </c>
      <c r="AH17" s="17">
        <f>'TUSD BE'!$AH$17*'TUSD BF'!$AH$58</f>
        <v>0.85787769158565008</v>
      </c>
      <c r="AI17" s="17">
        <f>'TUSD BE'!$AI$17*'TUSD BF'!$AI$58</f>
        <v>0</v>
      </c>
      <c r="AJ17" s="17">
        <f ca="1">'TUSD BE'!$AJ$17*'TUSD BF'!$AJ$58</f>
        <v>3.0871380589925886E-2</v>
      </c>
      <c r="AK17" s="17">
        <f ca="1">'TUSD BE'!$AK$17*'TUSD BF'!$AK$58</f>
        <v>0</v>
      </c>
      <c r="AL17" s="17">
        <f ca="1">SUM($AH$17:$AK$17)</f>
        <v>0.88874907217557597</v>
      </c>
      <c r="AM17" s="17">
        <f ca="1">SUMIF($L$4:$AL$4,"SUBTOTAL",$L$17:$AL$17)</f>
        <v>30.607055081746704</v>
      </c>
      <c r="AO17" s="64">
        <f ca="1">+'TUSD BE'!$T$17+'TUSD BE'!$AB$17+'TUSD BE'!$AD$17+'TUSD BE'!$AL$17</f>
        <v>902.97423339459215</v>
      </c>
      <c r="AP17" s="64">
        <f ca="1">+'TUSD BE'!$T$17+'TUSD BE'!$AB$17+'TUSD BE'!$AD$17+'TUSD BE'!$AL$17</f>
        <v>902.97423339459215</v>
      </c>
    </row>
    <row r="18" spans="1:42" ht="11.25" customHeight="1" x14ac:dyDescent="0.25">
      <c r="A18" s="166"/>
      <c r="B18" s="166"/>
      <c r="C18" s="166"/>
      <c r="D18" s="166"/>
      <c r="E18" s="166"/>
      <c r="F18" s="166"/>
      <c r="G18" s="57" t="s">
        <v>92</v>
      </c>
      <c r="H18" s="57" t="s">
        <v>78</v>
      </c>
      <c r="I18" s="57">
        <f>'MERCADO TUSD'!$U$15</f>
        <v>1.9870000000000001</v>
      </c>
      <c r="J18" s="16"/>
      <c r="L18" s="17">
        <f>'TUSD BE'!$L$18*'TUSD BF'!$L$58</f>
        <v>0.46412423299815114</v>
      </c>
      <c r="M18" s="17">
        <f>'TUSD BE'!$M$18*'TUSD BF'!$M$58</f>
        <v>0</v>
      </c>
      <c r="N18" s="17">
        <f ca="1">'TUSD BE'!$N$18*'TUSD BF'!$N$58</f>
        <v>0</v>
      </c>
      <c r="O18" s="17">
        <f>'TUSD BE'!$O$18*'TUSD BF'!$O$58</f>
        <v>0</v>
      </c>
      <c r="P18" s="17">
        <f>'TUSD BE'!$P$18*'TUSD BF'!$P$58</f>
        <v>0</v>
      </c>
      <c r="Q18" s="17">
        <f>'TUSD BE'!$Q$18*'TUSD BF'!$Q$58</f>
        <v>15.328669507817237</v>
      </c>
      <c r="R18" s="17">
        <f>'TUSD BE'!$R$18*'TUSD BF'!$R$58</f>
        <v>3.369286178559058</v>
      </c>
      <c r="S18" s="17">
        <f>'TUSD BE'!$R$18*'TUSD BF'!$S$58</f>
        <v>0</v>
      </c>
      <c r="T18" s="17">
        <f ca="1">SUM($L$18:$S$18)</f>
        <v>19.162079919374445</v>
      </c>
      <c r="U18" s="17">
        <f>'TUSD BE'!$U$18*'TUSD BF'!$U$58</f>
        <v>2.8714591670449137</v>
      </c>
      <c r="V18" s="17">
        <f>'TUSD BE'!$V$18*'TUSD BF'!$V$58</f>
        <v>2.4066533345166197</v>
      </c>
      <c r="W18" s="17">
        <f>'TUSD BE'!$W$18*'TUSD BF'!$W$58</f>
        <v>0</v>
      </c>
      <c r="X18" s="17">
        <f>'TUSD BE'!$X$18*'TUSD BF'!$X$58</f>
        <v>0</v>
      </c>
      <c r="Y18" s="17">
        <f>'TUSD BE'!$Y$18*'TUSD BF'!$Y$58</f>
        <v>0</v>
      </c>
      <c r="Z18" s="17">
        <f>'TUSD BE'!$Z$18*'TUSD BF'!$Z$58</f>
        <v>0</v>
      </c>
      <c r="AA18" s="17">
        <f>'TUSD BE'!$AA$18*'TUSD BF'!$AA$58</f>
        <v>0</v>
      </c>
      <c r="AB18" s="17">
        <f>SUM($U$18:$AA$18)</f>
        <v>5.2781125015615338</v>
      </c>
      <c r="AC18" s="17">
        <f>'TUSD BE'!$AC$18*'TUSD BF'!$AC$58</f>
        <v>0</v>
      </c>
      <c r="AD18" s="17">
        <f>SUM($AC$18:$AC$18)</f>
        <v>0</v>
      </c>
      <c r="AE18" s="17">
        <f ca="1">$AO$18*$AO$55</f>
        <v>0</v>
      </c>
      <c r="AF18" s="17">
        <f ca="1">$AP$18*$AP$55</f>
        <v>0</v>
      </c>
      <c r="AG18" s="17">
        <f ca="1">SUM($AE$18:$AF$18)</f>
        <v>0</v>
      </c>
      <c r="AH18" s="17">
        <f>'TUSD BE'!$AH$18*'TUSD BF'!$AH$58</f>
        <v>0.85787769158565008</v>
      </c>
      <c r="AI18" s="17">
        <f>'TUSD BE'!$AI$18*'TUSD BF'!$AI$58</f>
        <v>0</v>
      </c>
      <c r="AJ18" s="17">
        <f ca="1">'TUSD BE'!$AJ$18*'TUSD BF'!$AJ$58</f>
        <v>3.0871380589925886E-2</v>
      </c>
      <c r="AK18" s="17">
        <f ca="1">'TUSD BE'!$AK$18*'TUSD BF'!$AK$58</f>
        <v>0</v>
      </c>
      <c r="AL18" s="17">
        <f ca="1">SUM($AH$18:$AK$18)</f>
        <v>0.88874907217557597</v>
      </c>
      <c r="AM18" s="17">
        <f ca="1">SUMIF($L$4:$AL$4,"SUBTOTAL",$L$18:$AL$18)</f>
        <v>25.328941493111554</v>
      </c>
      <c r="AO18" s="64">
        <f ca="1">+'TUSD BE'!$T$18+'TUSD BE'!$AB$18+'TUSD BE'!$AD$18+'TUSD BE'!$AL$18</f>
        <v>517.14647911189741</v>
      </c>
      <c r="AP18" s="64">
        <f ca="1">+'TUSD BE'!$T$18+'TUSD BE'!$AB$18+'TUSD BE'!$AD$18+'TUSD BE'!$AL$18</f>
        <v>517.14647911189741</v>
      </c>
    </row>
    <row r="19" spans="1:42" ht="11.25" customHeight="1" x14ac:dyDescent="0.25">
      <c r="A19" s="166"/>
      <c r="B19" s="166"/>
      <c r="C19" s="166"/>
      <c r="D19" s="166"/>
      <c r="E19" s="166"/>
      <c r="F19" s="166"/>
      <c r="G19" s="57" t="s">
        <v>80</v>
      </c>
      <c r="H19" s="57" t="s">
        <v>78</v>
      </c>
      <c r="I19" s="57">
        <f>'MERCADO TUSD'!$U$16</f>
        <v>16.794</v>
      </c>
      <c r="J19" s="16"/>
      <c r="L19" s="17">
        <f>'TUSD BE'!$L$19*'TUSD BF'!$L$58</f>
        <v>0.46412423299815114</v>
      </c>
      <c r="M19" s="17">
        <f>'TUSD BE'!$M$19*'TUSD BF'!$M$58</f>
        <v>0</v>
      </c>
      <c r="N19" s="17">
        <f ca="1">'TUSD BE'!$N$19*'TUSD BF'!$N$58</f>
        <v>0</v>
      </c>
      <c r="O19" s="17">
        <f>'TUSD BE'!$O$19*'TUSD BF'!$O$58</f>
        <v>0</v>
      </c>
      <c r="P19" s="17">
        <f>'TUSD BE'!$P$19*'TUSD BF'!$P$58</f>
        <v>0</v>
      </c>
      <c r="Q19" s="17">
        <f>'TUSD BE'!$Q$19*'TUSD BF'!$Q$58</f>
        <v>15.328669507817237</v>
      </c>
      <c r="R19" s="17">
        <f>'TUSD BE'!$R$19*'TUSD BF'!$R$58</f>
        <v>3.369286178559058</v>
      </c>
      <c r="S19" s="17">
        <f>'TUSD BE'!$R$19*'TUSD BF'!$S$58</f>
        <v>0</v>
      </c>
      <c r="T19" s="17">
        <f ca="1">SUM($L$19:$S$19)</f>
        <v>19.162079919374445</v>
      </c>
      <c r="U19" s="17">
        <f>'TUSD BE'!$U$19*'TUSD BF'!$U$58</f>
        <v>0.57429353923982107</v>
      </c>
      <c r="V19" s="17">
        <f>'TUSD BE'!$V$19*'TUSD BF'!$V$58</f>
        <v>0.48133066690332393</v>
      </c>
      <c r="W19" s="17">
        <f>'TUSD BE'!$W$19*'TUSD BF'!$W$58</f>
        <v>0</v>
      </c>
      <c r="X19" s="17">
        <f>'TUSD BE'!$X$19*'TUSD BF'!$X$58</f>
        <v>0</v>
      </c>
      <c r="Y19" s="17">
        <f>'TUSD BE'!$Y$19*'TUSD BF'!$Y$58</f>
        <v>0</v>
      </c>
      <c r="Z19" s="17">
        <f>'TUSD BE'!$Z$19*'TUSD BF'!$Z$58</f>
        <v>0</v>
      </c>
      <c r="AA19" s="17">
        <f>'TUSD BE'!$AA$19*'TUSD BF'!$AA$58</f>
        <v>0</v>
      </c>
      <c r="AB19" s="17">
        <f>SUM($U$19:$AA$19)</f>
        <v>1.0556242061431451</v>
      </c>
      <c r="AC19" s="17">
        <f>'TUSD BE'!$AC$19*'TUSD BF'!$AC$58</f>
        <v>0</v>
      </c>
      <c r="AD19" s="17">
        <f>SUM($AC$19:$AC$19)</f>
        <v>0</v>
      </c>
      <c r="AE19" s="17">
        <f ca="1">$AO$19*$AO$55</f>
        <v>0</v>
      </c>
      <c r="AF19" s="17">
        <f ca="1">$AP$19*$AP$55</f>
        <v>0</v>
      </c>
      <c r="AG19" s="17">
        <f ca="1">SUM($AE$19:$AF$19)</f>
        <v>0</v>
      </c>
      <c r="AH19" s="17">
        <f>'TUSD BE'!$AH$19*'TUSD BF'!$AH$58</f>
        <v>0.85787769158565008</v>
      </c>
      <c r="AI19" s="17">
        <f>'TUSD BE'!$AI$19*'TUSD BF'!$AI$58</f>
        <v>0</v>
      </c>
      <c r="AJ19" s="17">
        <f ca="1">'TUSD BE'!$AJ$19*'TUSD BF'!$AJ$58</f>
        <v>3.0871380589925886E-2</v>
      </c>
      <c r="AK19" s="17">
        <f ca="1">'TUSD BE'!$AK$19*'TUSD BF'!$AK$58</f>
        <v>0</v>
      </c>
      <c r="AL19" s="17">
        <f ca="1">SUM($AH$19:$AK$19)</f>
        <v>0.88874907217557597</v>
      </c>
      <c r="AM19" s="17">
        <f ca="1">SUMIF($L$4:$AL$4,"SUBTOTAL",$L$19:$AL$19)</f>
        <v>21.106453197693167</v>
      </c>
      <c r="AO19" s="64">
        <f ca="1">+'TUSD BE'!$T$19+'TUSD BE'!$AB$19+'TUSD BE'!$AD$19+'TUSD BE'!$AL$19</f>
        <v>208.48425883866824</v>
      </c>
      <c r="AP19" s="64">
        <f ca="1">+'TUSD BE'!$T$19+'TUSD BE'!$AB$19+'TUSD BE'!$AD$19+'TUSD BE'!$AL$19</f>
        <v>208.48425883866824</v>
      </c>
    </row>
    <row r="20" spans="1:42" ht="11.25" customHeight="1" x14ac:dyDescent="0.25">
      <c r="A20" s="166"/>
      <c r="B20" s="166" t="s">
        <v>23</v>
      </c>
      <c r="C20" s="166" t="s">
        <v>24</v>
      </c>
      <c r="D20" s="62" t="s">
        <v>24</v>
      </c>
      <c r="E20" s="62" t="s">
        <v>25</v>
      </c>
      <c r="F20" s="62" t="s">
        <v>25</v>
      </c>
      <c r="G20" s="57" t="s">
        <v>82</v>
      </c>
      <c r="H20" s="57" t="s">
        <v>78</v>
      </c>
      <c r="I20" s="57">
        <f>'MERCADO TUSD'!$U$17</f>
        <v>38061.052999999993</v>
      </c>
      <c r="J20" s="16"/>
      <c r="L20" s="17">
        <f>'TUSD BE'!$L$20*'TUSD BF'!$L$58</f>
        <v>0.46412423299815114</v>
      </c>
      <c r="M20" s="17">
        <f>'TUSD BE'!$M$20*'TUSD BF'!$M$58</f>
        <v>0</v>
      </c>
      <c r="N20" s="17">
        <f ca="1">'TUSD BE'!$N$20*'TUSD BF'!$N$58</f>
        <v>0</v>
      </c>
      <c r="O20" s="17">
        <f>'TUSD BE'!$O$20*'TUSD BF'!$O$58</f>
        <v>0</v>
      </c>
      <c r="P20" s="17">
        <f>'TUSD BE'!$P$20*'TUSD BF'!$P$58</f>
        <v>0</v>
      </c>
      <c r="Q20" s="17">
        <f>'TUSD BE'!$Q$20*'TUSD BF'!$Q$58</f>
        <v>15.328669507817237</v>
      </c>
      <c r="R20" s="17">
        <f>'TUSD BE'!$R$20*'TUSD BF'!$R$58</f>
        <v>3.369286178559058</v>
      </c>
      <c r="S20" s="17">
        <f>'TUSD BE'!$R$20*'TUSD BF'!$S$58</f>
        <v>0</v>
      </c>
      <c r="T20" s="17">
        <f ca="1">SUM($L$20:$S$20)</f>
        <v>19.162079919374445</v>
      </c>
      <c r="U20" s="17">
        <f>'TUSD BE'!$U$20*'TUSD BF'!$U$58</f>
        <v>1.7402715631178562</v>
      </c>
      <c r="V20" s="17">
        <f>'TUSD BE'!$V$20*'TUSD BF'!$V$58</f>
        <v>1.4585798183008205</v>
      </c>
      <c r="W20" s="17">
        <f>'TUSD BE'!$W$20*'TUSD BF'!$W$58</f>
        <v>0</v>
      </c>
      <c r="X20" s="17">
        <f>'TUSD BE'!$X$20*'TUSD BF'!$X$58</f>
        <v>0</v>
      </c>
      <c r="Y20" s="17">
        <f>'TUSD BE'!$Y$20*'TUSD BF'!$Y$58</f>
        <v>0</v>
      </c>
      <c r="Z20" s="17">
        <f>'TUSD BE'!$Z$20*'TUSD BF'!$Z$58</f>
        <v>0</v>
      </c>
      <c r="AA20" s="17">
        <f>'TUSD BE'!$AA$20*'TUSD BF'!$AA$58</f>
        <v>0</v>
      </c>
      <c r="AB20" s="17">
        <f>SUM($U$20:$AA$20)</f>
        <v>3.1988513814186765</v>
      </c>
      <c r="AC20" s="17">
        <f>'TUSD BE'!$AC$20*'TUSD BF'!$AC$58</f>
        <v>0</v>
      </c>
      <c r="AD20" s="17">
        <f>SUM($AC$20:$AC$20)</f>
        <v>0</v>
      </c>
      <c r="AE20" s="17">
        <f ca="1">$AO$20*$AO$55</f>
        <v>0</v>
      </c>
      <c r="AF20" s="17">
        <f ca="1">$AP$20*$AP$55</f>
        <v>0</v>
      </c>
      <c r="AG20" s="17">
        <f ca="1">SUM($AE$20:$AF$20)</f>
        <v>0</v>
      </c>
      <c r="AH20" s="17">
        <f>'TUSD BE'!$AH$20*'TUSD BF'!$AH$58</f>
        <v>0.85787769158565008</v>
      </c>
      <c r="AI20" s="17">
        <f>'TUSD BE'!$AI$20*'TUSD BF'!$AI$58</f>
        <v>0</v>
      </c>
      <c r="AJ20" s="17">
        <f ca="1">'TUSD BE'!$AJ$20*'TUSD BF'!$AJ$58</f>
        <v>3.0871380589925886E-2</v>
      </c>
      <c r="AK20" s="17">
        <f ca="1">'TUSD BE'!$AK$20*'TUSD BF'!$AK$58</f>
        <v>0</v>
      </c>
      <c r="AL20" s="17">
        <f ca="1">SUM($AH$20:$AK$20)</f>
        <v>0.88874907217557597</v>
      </c>
      <c r="AM20" s="17">
        <f ca="1">SUMIF($L$4:$AL$4,"SUBTOTAL",$L$20:$AL$20)</f>
        <v>23.249680372968697</v>
      </c>
      <c r="AO20" s="64">
        <f ca="1">+'TUSD BE'!$T$20+'TUSD BE'!$AB$20+'TUSD BE'!$AD$20+'TUSD BE'!$AL$20</f>
        <v>365.15363194092691</v>
      </c>
      <c r="AP20" s="64">
        <f ca="1">+'TUSD BE'!$T$20+'TUSD BE'!$AB$20+'TUSD BE'!$AD$20+'TUSD BE'!$AL$20</f>
        <v>365.15363194092691</v>
      </c>
    </row>
    <row r="21" spans="1:42" ht="11.25" customHeight="1" x14ac:dyDescent="0.25">
      <c r="A21" s="166"/>
      <c r="B21" s="166"/>
      <c r="C21" s="166"/>
      <c r="D21" s="62" t="s">
        <v>28</v>
      </c>
      <c r="E21" s="62" t="s">
        <v>25</v>
      </c>
      <c r="F21" s="62" t="s">
        <v>25</v>
      </c>
      <c r="G21" s="57" t="s">
        <v>82</v>
      </c>
      <c r="H21" s="57" t="s">
        <v>78</v>
      </c>
      <c r="I21" s="57">
        <f>'MERCADO TUSD'!$U$18</f>
        <v>264.92899999999997</v>
      </c>
      <c r="J21" s="16"/>
      <c r="L21" s="17">
        <f>'TUSD BE'!$L$21*'TUSD BF'!$L$58</f>
        <v>0</v>
      </c>
      <c r="M21" s="17">
        <f>'TUSD BE'!$M$21*'TUSD BF'!$M$58</f>
        <v>0</v>
      </c>
      <c r="N21" s="17">
        <f ca="1">'TUSD BE'!$N$21*'TUSD BF'!$N$58</f>
        <v>0</v>
      </c>
      <c r="O21" s="17">
        <f>'TUSD BE'!$O$21*'TUSD BF'!$O$58</f>
        <v>0</v>
      </c>
      <c r="P21" s="17">
        <f>'TUSD BE'!$P$21*'TUSD BF'!$P$58</f>
        <v>0</v>
      </c>
      <c r="Q21" s="17">
        <f>'TUSD BE'!$Q$21*'TUSD BF'!$Q$58</f>
        <v>0</v>
      </c>
      <c r="R21" s="17">
        <f>'TUSD BE'!$R$21*'TUSD BF'!$R$58</f>
        <v>0</v>
      </c>
      <c r="S21" s="17">
        <f>'TUSD BE'!$R$21*'TUSD BF'!$S$58</f>
        <v>0</v>
      </c>
      <c r="T21" s="17">
        <f ca="1">SUM($L$21:$S$21)</f>
        <v>0</v>
      </c>
      <c r="U21" s="17">
        <f>'TUSD BE'!$U$21*'TUSD BF'!$U$58</f>
        <v>1.7402715631178562</v>
      </c>
      <c r="V21" s="17">
        <f>'TUSD BE'!$V$21*'TUSD BF'!$V$58</f>
        <v>1.4585798183008205</v>
      </c>
      <c r="W21" s="17">
        <f>'TUSD BE'!$W$21*'TUSD BF'!$W$58</f>
        <v>0</v>
      </c>
      <c r="X21" s="17">
        <f>'TUSD BE'!$X$21*'TUSD BF'!$X$58</f>
        <v>0</v>
      </c>
      <c r="Y21" s="17">
        <f>'TUSD BE'!$Y$21*'TUSD BF'!$Y$58</f>
        <v>0</v>
      </c>
      <c r="Z21" s="17">
        <f>'TUSD BE'!$Z$21*'TUSD BF'!$Z$58</f>
        <v>0</v>
      </c>
      <c r="AA21" s="17">
        <f>'TUSD BE'!$AA$21*'TUSD BF'!$AA$58</f>
        <v>0</v>
      </c>
      <c r="AB21" s="17">
        <f>SUM($U$21:$AA$21)</f>
        <v>3.1988513814186765</v>
      </c>
      <c r="AC21" s="17">
        <f>'TUSD BE'!$AC$21*'TUSD BF'!$AC$58</f>
        <v>0</v>
      </c>
      <c r="AD21" s="17">
        <f>SUM($AC$21:$AC$21)</f>
        <v>0</v>
      </c>
      <c r="AE21" s="17">
        <f ca="1">$AO$21*$AO$55</f>
        <v>0</v>
      </c>
      <c r="AF21" s="17">
        <f ca="1">$AP$21*$AP$55</f>
        <v>0</v>
      </c>
      <c r="AG21" s="17">
        <f ca="1">SUM($AE$21:$AF$21)</f>
        <v>0</v>
      </c>
      <c r="AH21" s="17">
        <f>'TUSD BE'!$AH$21*'TUSD BF'!$AH$58</f>
        <v>0.85787769158565008</v>
      </c>
      <c r="AI21" s="17">
        <f>'TUSD BE'!$AI$21*'TUSD BF'!$AI$58</f>
        <v>0</v>
      </c>
      <c r="AJ21" s="17">
        <f ca="1">'TUSD BE'!$AJ$21*'TUSD BF'!$AJ$58</f>
        <v>3.0871380589925886E-2</v>
      </c>
      <c r="AK21" s="17">
        <f ca="1">'TUSD BE'!$AK$21*'TUSD BF'!$AK$58</f>
        <v>0</v>
      </c>
      <c r="AL21" s="17">
        <f ca="1">SUM($AH$21:$AK$21)</f>
        <v>0.88874907217557597</v>
      </c>
      <c r="AM21" s="17">
        <f ca="1">SUMIF($L$4:$AL$4,"SUBTOTAL",$L$21:$AL$21)</f>
        <v>4.0876004535942521</v>
      </c>
      <c r="AO21" s="64">
        <f ca="1">+'TUSD BE'!$T$21+'TUSD BE'!$AB$21+'TUSD BE'!$AD$21+'TUSD BE'!$AL$21</f>
        <v>256.27231864779014</v>
      </c>
      <c r="AP21" s="64">
        <f ca="1">+'TUSD BE'!$T$21+'TUSD BE'!$AB$21+'TUSD BE'!$AD$21+'TUSD BE'!$AL$21</f>
        <v>256.27231864779014</v>
      </c>
    </row>
    <row r="22" spans="1:42" ht="11.25" customHeight="1" x14ac:dyDescent="0.25">
      <c r="A22" s="166"/>
      <c r="B22" s="166"/>
      <c r="C22" s="166"/>
      <c r="D22" s="62" t="s">
        <v>29</v>
      </c>
      <c r="E22" s="62" t="s">
        <v>25</v>
      </c>
      <c r="F22" s="62" t="s">
        <v>25</v>
      </c>
      <c r="G22" s="57" t="s">
        <v>82</v>
      </c>
      <c r="H22" s="57" t="s">
        <v>78</v>
      </c>
      <c r="I22" s="57">
        <f>'MERCADO TUSD'!$U$19</f>
        <v>546.98300000000006</v>
      </c>
      <c r="J22" s="16"/>
      <c r="L22" s="17">
        <f>'TUSD BE'!$L$22*'TUSD BF'!$L$58</f>
        <v>0</v>
      </c>
      <c r="M22" s="17">
        <f>'TUSD BE'!$M$22*'TUSD BF'!$M$58</f>
        <v>0</v>
      </c>
      <c r="N22" s="17">
        <f ca="1">'TUSD BE'!$N$22*'TUSD BF'!$N$58</f>
        <v>0</v>
      </c>
      <c r="O22" s="17">
        <f>'TUSD BE'!$O$22*'TUSD BF'!$O$58</f>
        <v>0</v>
      </c>
      <c r="P22" s="17">
        <f>'TUSD BE'!$P$22*'TUSD BF'!$P$58</f>
        <v>0</v>
      </c>
      <c r="Q22" s="17">
        <f>'TUSD BE'!$Q$22*'TUSD BF'!$Q$58</f>
        <v>0</v>
      </c>
      <c r="R22" s="17">
        <f>'TUSD BE'!$R$22*'TUSD BF'!$R$58</f>
        <v>0</v>
      </c>
      <c r="S22" s="17">
        <f>'TUSD BE'!$R$22*'TUSD BF'!$S$58</f>
        <v>0</v>
      </c>
      <c r="T22" s="17">
        <f ca="1">SUM($L$22:$S$22)</f>
        <v>0</v>
      </c>
      <c r="U22" s="17">
        <f>'TUSD BE'!$U$22*'TUSD BF'!$U$58</f>
        <v>1.7402715631178562</v>
      </c>
      <c r="V22" s="17">
        <f>'TUSD BE'!$V$22*'TUSD BF'!$V$58</f>
        <v>1.4585798183008205</v>
      </c>
      <c r="W22" s="17">
        <f>'TUSD BE'!$W$22*'TUSD BF'!$W$58</f>
        <v>0</v>
      </c>
      <c r="X22" s="17">
        <f>'TUSD BE'!$X$22*'TUSD BF'!$X$58</f>
        <v>0</v>
      </c>
      <c r="Y22" s="17">
        <f>'TUSD BE'!$Y$22*'TUSD BF'!$Y$58</f>
        <v>0</v>
      </c>
      <c r="Z22" s="17">
        <f>'TUSD BE'!$Z$22*'TUSD BF'!$Z$58</f>
        <v>0</v>
      </c>
      <c r="AA22" s="17">
        <f>'TUSD BE'!$AA$22*'TUSD BF'!$AA$58</f>
        <v>0</v>
      </c>
      <c r="AB22" s="17">
        <f>SUM($U$22:$AA$22)</f>
        <v>3.1988513814186765</v>
      </c>
      <c r="AC22" s="17">
        <f>'TUSD BE'!$AC$22*'TUSD BF'!$AC$58</f>
        <v>0</v>
      </c>
      <c r="AD22" s="17">
        <f>SUM($AC$22:$AC$22)</f>
        <v>0</v>
      </c>
      <c r="AE22" s="17">
        <f ca="1">$AO$22*$AO$55</f>
        <v>0</v>
      </c>
      <c r="AF22" s="17">
        <f ca="1">$AP$22*$AP$55</f>
        <v>0</v>
      </c>
      <c r="AG22" s="17">
        <f ca="1">SUM($AE$22:$AF$22)</f>
        <v>0</v>
      </c>
      <c r="AH22" s="17">
        <f>'TUSD BE'!$AH$22*'TUSD BF'!$AH$58</f>
        <v>0.85787769158565008</v>
      </c>
      <c r="AI22" s="17">
        <f>'TUSD BE'!$AI$22*'TUSD BF'!$AI$58</f>
        <v>0</v>
      </c>
      <c r="AJ22" s="17">
        <f ca="1">'TUSD BE'!$AJ$22*'TUSD BF'!$AJ$58</f>
        <v>3.0871380589925886E-2</v>
      </c>
      <c r="AK22" s="17">
        <f ca="1">'TUSD BE'!$AK$22*'TUSD BF'!$AK$58</f>
        <v>0</v>
      </c>
      <c r="AL22" s="17">
        <f ca="1">SUM($AH$22:$AK$22)</f>
        <v>0.88874907217557597</v>
      </c>
      <c r="AM22" s="17">
        <f ca="1">SUMIF($L$4:$AL$4,"SUBTOTAL",$L$22:$AL$22)</f>
        <v>4.0876004535942521</v>
      </c>
      <c r="AO22" s="64">
        <f ca="1">+'TUSD BE'!$T$22+'TUSD BE'!$AB$22+'TUSD BE'!$AD$22+'TUSD BE'!$AL$22</f>
        <v>256.27231864779014</v>
      </c>
      <c r="AP22" s="64">
        <f ca="1">+'TUSD BE'!$T$22+'TUSD BE'!$AB$22+'TUSD BE'!$AD$22+'TUSD BE'!$AL$22</f>
        <v>256.27231864779014</v>
      </c>
    </row>
    <row r="23" spans="1:42" ht="11.25" customHeight="1" x14ac:dyDescent="0.25">
      <c r="A23" s="166"/>
      <c r="B23" s="166"/>
      <c r="C23" s="166"/>
      <c r="D23" s="62" t="s">
        <v>30</v>
      </c>
      <c r="E23" s="62" t="s">
        <v>25</v>
      </c>
      <c r="F23" s="62" t="s">
        <v>25</v>
      </c>
      <c r="G23" s="57" t="s">
        <v>82</v>
      </c>
      <c r="H23" s="57" t="s">
        <v>78</v>
      </c>
      <c r="I23" s="57">
        <f>'MERCADO TUSD'!$U$20</f>
        <v>480.18299999999999</v>
      </c>
      <c r="J23" s="16"/>
      <c r="L23" s="17">
        <f>'TUSD BE'!$L$23*'TUSD BF'!$L$58</f>
        <v>0</v>
      </c>
      <c r="M23" s="17">
        <f>'TUSD BE'!$M$23*'TUSD BF'!$M$58</f>
        <v>0</v>
      </c>
      <c r="N23" s="17">
        <f ca="1">'TUSD BE'!$N$23*'TUSD BF'!$N$58</f>
        <v>0</v>
      </c>
      <c r="O23" s="17">
        <f>'TUSD BE'!$O$23*'TUSD BF'!$O$58</f>
        <v>0</v>
      </c>
      <c r="P23" s="17">
        <f>'TUSD BE'!$P$23*'TUSD BF'!$P$58</f>
        <v>0</v>
      </c>
      <c r="Q23" s="17">
        <f>'TUSD BE'!$Q$23*'TUSD BF'!$Q$58</f>
        <v>0</v>
      </c>
      <c r="R23" s="17">
        <f>'TUSD BE'!$R$23*'TUSD BF'!$R$58</f>
        <v>0</v>
      </c>
      <c r="S23" s="17">
        <f>'TUSD BE'!$R$23*'TUSD BF'!$S$58</f>
        <v>0</v>
      </c>
      <c r="T23" s="17">
        <f ca="1">SUM($L$23:$S$23)</f>
        <v>0</v>
      </c>
      <c r="U23" s="17">
        <f>'TUSD BE'!$U$23*'TUSD BF'!$U$58</f>
        <v>1.7402715631178562</v>
      </c>
      <c r="V23" s="17">
        <f>'TUSD BE'!$V$23*'TUSD BF'!$V$58</f>
        <v>1.4585798183008205</v>
      </c>
      <c r="W23" s="17">
        <f>'TUSD BE'!$W$23*'TUSD BF'!$W$58</f>
        <v>0</v>
      </c>
      <c r="X23" s="17">
        <f>'TUSD BE'!$X$23*'TUSD BF'!$X$58</f>
        <v>0</v>
      </c>
      <c r="Y23" s="17">
        <f>'TUSD BE'!$Y$23*'TUSD BF'!$Y$58</f>
        <v>0</v>
      </c>
      <c r="Z23" s="17">
        <f>'TUSD BE'!$Z$23*'TUSD BF'!$Z$58</f>
        <v>0</v>
      </c>
      <c r="AA23" s="17">
        <f>'TUSD BE'!$AA$23*'TUSD BF'!$AA$58</f>
        <v>0</v>
      </c>
      <c r="AB23" s="17">
        <f>SUM($U$23:$AA$23)</f>
        <v>3.1988513814186765</v>
      </c>
      <c r="AC23" s="17">
        <f>'TUSD BE'!$AC$23*'TUSD BF'!$AC$58</f>
        <v>0</v>
      </c>
      <c r="AD23" s="17">
        <f>SUM($AC$23:$AC$23)</f>
        <v>0</v>
      </c>
      <c r="AE23" s="17">
        <f ca="1">$AO$23*$AO$55</f>
        <v>0</v>
      </c>
      <c r="AF23" s="17">
        <f ca="1">$AP$23*$AP$55</f>
        <v>0</v>
      </c>
      <c r="AG23" s="17">
        <f ca="1">SUM($AE$23:$AF$23)</f>
        <v>0</v>
      </c>
      <c r="AH23" s="17">
        <f>'TUSD BE'!$AH$23*'TUSD BF'!$AH$58</f>
        <v>0.85787769158565008</v>
      </c>
      <c r="AI23" s="17">
        <f>'TUSD BE'!$AI$23*'TUSD BF'!$AI$58</f>
        <v>0</v>
      </c>
      <c r="AJ23" s="17">
        <f ca="1">'TUSD BE'!$AJ$23*'TUSD BF'!$AJ$58</f>
        <v>3.0871380589925886E-2</v>
      </c>
      <c r="AK23" s="17">
        <f ca="1">'TUSD BE'!$AK$23*'TUSD BF'!$AK$58</f>
        <v>0</v>
      </c>
      <c r="AL23" s="17">
        <f ca="1">SUM($AH$23:$AK$23)</f>
        <v>0.88874907217557597</v>
      </c>
      <c r="AM23" s="17">
        <f ca="1">SUMIF($L$4:$AL$4,"SUBTOTAL",$L$23:$AL$23)</f>
        <v>4.0876004535942521</v>
      </c>
      <c r="AO23" s="64">
        <f ca="1">+'TUSD BE'!$T$23+'TUSD BE'!$AB$23+'TUSD BE'!$AD$23+'TUSD BE'!$AL$23</f>
        <v>256.27231864779014</v>
      </c>
      <c r="AP23" s="64">
        <f ca="1">+'TUSD BE'!$T$23+'TUSD BE'!$AB$23+'TUSD BE'!$AD$23+'TUSD BE'!$AL$23</f>
        <v>256.27231864779014</v>
      </c>
    </row>
    <row r="24" spans="1:42" ht="11.25" customHeight="1" x14ac:dyDescent="0.25">
      <c r="A24" s="166"/>
      <c r="B24" s="166"/>
      <c r="C24" s="166"/>
      <c r="D24" s="62" t="s">
        <v>31</v>
      </c>
      <c r="E24" s="62" t="s">
        <v>25</v>
      </c>
      <c r="F24" s="62" t="s">
        <v>25</v>
      </c>
      <c r="G24" s="57" t="s">
        <v>82</v>
      </c>
      <c r="H24" s="57" t="s">
        <v>78</v>
      </c>
      <c r="I24" s="57">
        <f>'MERCADO TUSD'!$U$21</f>
        <v>145.91099999999997</v>
      </c>
      <c r="J24" s="16"/>
      <c r="L24" s="17">
        <f>'TUSD BE'!$L$24*'TUSD BF'!$L$58</f>
        <v>0</v>
      </c>
      <c r="M24" s="17">
        <f>'TUSD BE'!$M$24*'TUSD BF'!$M$58</f>
        <v>0</v>
      </c>
      <c r="N24" s="17">
        <f ca="1">'TUSD BE'!$N$24*'TUSD BF'!$N$58</f>
        <v>0</v>
      </c>
      <c r="O24" s="17">
        <f>'TUSD BE'!$O$24*'TUSD BF'!$O$58</f>
        <v>0</v>
      </c>
      <c r="P24" s="17">
        <f>'TUSD BE'!$P$24*'TUSD BF'!$P$58</f>
        <v>0</v>
      </c>
      <c r="Q24" s="17">
        <f>'TUSD BE'!$Q$24*'TUSD BF'!$Q$58</f>
        <v>0</v>
      </c>
      <c r="R24" s="17">
        <f>'TUSD BE'!$R$24*'TUSD BF'!$R$58</f>
        <v>0</v>
      </c>
      <c r="S24" s="17">
        <f>'TUSD BE'!$R$24*'TUSD BF'!$S$58</f>
        <v>0</v>
      </c>
      <c r="T24" s="17">
        <f ca="1">SUM($L$24:$S$24)</f>
        <v>0</v>
      </c>
      <c r="U24" s="17">
        <f>'TUSD BE'!$U$24*'TUSD BF'!$U$58</f>
        <v>1.7402715631178562</v>
      </c>
      <c r="V24" s="17">
        <f>'TUSD BE'!$V$24*'TUSD BF'!$V$58</f>
        <v>1.4585798183008205</v>
      </c>
      <c r="W24" s="17">
        <f>'TUSD BE'!$W$24*'TUSD BF'!$W$58</f>
        <v>0</v>
      </c>
      <c r="X24" s="17">
        <f>'TUSD BE'!$X$24*'TUSD BF'!$X$58</f>
        <v>0</v>
      </c>
      <c r="Y24" s="17">
        <f>'TUSD BE'!$Y$24*'TUSD BF'!$Y$58</f>
        <v>0</v>
      </c>
      <c r="Z24" s="17">
        <f>'TUSD BE'!$Z$24*'TUSD BF'!$Z$58</f>
        <v>0</v>
      </c>
      <c r="AA24" s="17">
        <f>'TUSD BE'!$AA$24*'TUSD BF'!$AA$58</f>
        <v>0</v>
      </c>
      <c r="AB24" s="17">
        <f>SUM($U$24:$AA$24)</f>
        <v>3.1988513814186765</v>
      </c>
      <c r="AC24" s="17">
        <f>'TUSD BE'!$AC$24*'TUSD BF'!$AC$58</f>
        <v>0</v>
      </c>
      <c r="AD24" s="17">
        <f>SUM($AC$24:$AC$24)</f>
        <v>0</v>
      </c>
      <c r="AE24" s="17">
        <f ca="1">$AO$24*$AO$55</f>
        <v>0</v>
      </c>
      <c r="AF24" s="17">
        <f ca="1">$AP$24*$AP$55</f>
        <v>0</v>
      </c>
      <c r="AG24" s="17">
        <f ca="1">SUM($AE$24:$AF$24)</f>
        <v>0</v>
      </c>
      <c r="AH24" s="17">
        <f>'TUSD BE'!$AH$24*'TUSD BF'!$AH$58</f>
        <v>0.85787769158565008</v>
      </c>
      <c r="AI24" s="17">
        <f>'TUSD BE'!$AI$24*'TUSD BF'!$AI$58</f>
        <v>0</v>
      </c>
      <c r="AJ24" s="17">
        <f ca="1">'TUSD BE'!$AJ$24*'TUSD BF'!$AJ$58</f>
        <v>3.0871380589925886E-2</v>
      </c>
      <c r="AK24" s="17">
        <f ca="1">'TUSD BE'!$AK$24*'TUSD BF'!$AK$58</f>
        <v>0</v>
      </c>
      <c r="AL24" s="17">
        <f ca="1">SUM($AH$24:$AK$24)</f>
        <v>0.88874907217557597</v>
      </c>
      <c r="AM24" s="17">
        <f ca="1">SUMIF($L$4:$AL$4,"SUBTOTAL",$L$24:$AL$24)</f>
        <v>4.0876004535942521</v>
      </c>
      <c r="AO24" s="64">
        <f ca="1">+'TUSD BE'!$T$24+'TUSD BE'!$AB$24+'TUSD BE'!$AD$24+'TUSD BE'!$AL$24</f>
        <v>256.27231864779014</v>
      </c>
      <c r="AP24" s="64">
        <f ca="1">+'TUSD BE'!$T$24+'TUSD BE'!$AB$24+'TUSD BE'!$AD$24+'TUSD BE'!$AL$24</f>
        <v>256.27231864779014</v>
      </c>
    </row>
    <row r="25" spans="1:42" ht="11.25" customHeight="1" x14ac:dyDescent="0.25">
      <c r="A25" s="166"/>
      <c r="B25" s="166" t="s">
        <v>94</v>
      </c>
      <c r="C25" s="166" t="s">
        <v>24</v>
      </c>
      <c r="D25" s="62" t="s">
        <v>24</v>
      </c>
      <c r="E25" s="62" t="s">
        <v>25</v>
      </c>
      <c r="F25" s="62" t="s">
        <v>25</v>
      </c>
      <c r="G25" s="57" t="s">
        <v>82</v>
      </c>
      <c r="H25" s="57" t="s">
        <v>78</v>
      </c>
      <c r="I25" s="57">
        <f>'MERCADO TUSD'!$U$22</f>
        <v>0</v>
      </c>
      <c r="J25" s="16"/>
      <c r="L25" s="17">
        <f>'TUSD BE'!$L$25*'TUSD BF'!$L$58</f>
        <v>0.46412423299815114</v>
      </c>
      <c r="M25" s="17">
        <f>'TUSD BE'!$M$25*'TUSD BF'!$M$58</f>
        <v>0</v>
      </c>
      <c r="N25" s="17">
        <f ca="1">'TUSD BE'!$N$25*'TUSD BF'!$N$58</f>
        <v>0</v>
      </c>
      <c r="O25" s="17">
        <f>'TUSD BE'!$O$25*'TUSD BF'!$O$58</f>
        <v>0</v>
      </c>
      <c r="P25" s="17">
        <f>'TUSD BE'!$P$25*'TUSD BF'!$P$58</f>
        <v>0</v>
      </c>
      <c r="Q25" s="17">
        <f>'TUSD BE'!$Q$25*'TUSD BF'!$Q$58</f>
        <v>15.328669507817237</v>
      </c>
      <c r="R25" s="17">
        <f>'TUSD BE'!$R$25*'TUSD BF'!$R$58</f>
        <v>3.369286178559058</v>
      </c>
      <c r="S25" s="17">
        <f>'TUSD BE'!$R$25*'TUSD BF'!$S$58</f>
        <v>0</v>
      </c>
      <c r="T25" s="17">
        <f ca="1">SUM($L$25:$S$25)</f>
        <v>19.162079919374445</v>
      </c>
      <c r="U25" s="17">
        <f>'TUSD BE'!$U$25*'TUSD BF'!$U$58</f>
        <v>1.7402715631178562</v>
      </c>
      <c r="V25" s="17">
        <f>'TUSD BE'!$V$25*'TUSD BF'!$V$58</f>
        <v>1.4585798183008205</v>
      </c>
      <c r="W25" s="17">
        <f>'TUSD BE'!$W$25*'TUSD BF'!$W$58</f>
        <v>0</v>
      </c>
      <c r="X25" s="17">
        <f>'TUSD BE'!$X$25*'TUSD BF'!$X$58</f>
        <v>0</v>
      </c>
      <c r="Y25" s="17">
        <f>'TUSD BE'!$Y$25*'TUSD BF'!$Y$58</f>
        <v>0</v>
      </c>
      <c r="Z25" s="17">
        <f>'TUSD BE'!$Z$25*'TUSD BF'!$Z$58</f>
        <v>0</v>
      </c>
      <c r="AA25" s="17">
        <f>'TUSD BE'!$AA$25*'TUSD BF'!$AA$58</f>
        <v>0</v>
      </c>
      <c r="AB25" s="17">
        <f>SUM($U$25:$AA$25)</f>
        <v>3.1988513814186765</v>
      </c>
      <c r="AC25" s="17">
        <f>'TUSD BE'!$AC$25*'TUSD BF'!$AC$58</f>
        <v>0</v>
      </c>
      <c r="AD25" s="17">
        <f>SUM($AC$25:$AC$25)</f>
        <v>0</v>
      </c>
      <c r="AE25" s="17">
        <f ca="1">$AO$25*$AO$55</f>
        <v>0</v>
      </c>
      <c r="AF25" s="17">
        <f ca="1">$AP$25*$AP$55</f>
        <v>0</v>
      </c>
      <c r="AG25" s="17">
        <f ca="1">SUM($AE$25:$AF$25)</f>
        <v>0</v>
      </c>
      <c r="AH25" s="17">
        <f>'TUSD BE'!$AH$25*'TUSD BF'!$AH$58</f>
        <v>0.85787769158565008</v>
      </c>
      <c r="AI25" s="17">
        <f>'TUSD BE'!$AI$25*'TUSD BF'!$AI$58</f>
        <v>0</v>
      </c>
      <c r="AJ25" s="17">
        <f ca="1">'TUSD BE'!$AJ$25*'TUSD BF'!$AJ$58</f>
        <v>3.0871380589925886E-2</v>
      </c>
      <c r="AK25" s="17">
        <f ca="1">'TUSD BE'!$AK$25*'TUSD BF'!$AK$58</f>
        <v>0</v>
      </c>
      <c r="AL25" s="17">
        <f ca="1">SUM($AH$25:$AK$25)</f>
        <v>0.88874907217557597</v>
      </c>
      <c r="AM25" s="17">
        <f ca="1">SUMIF($L$4:$AL$4,"SUBTOTAL",$L$25:$AL$25)</f>
        <v>23.249680372968697</v>
      </c>
      <c r="AO25" s="64">
        <f ca="1">+'TUSD BE'!$T$25+'TUSD BE'!$AB$25+'TUSD BE'!$AD$25+'TUSD BE'!$AL$25</f>
        <v>365.15363194092691</v>
      </c>
      <c r="AP25" s="64">
        <f ca="1">+'TUSD BE'!$T$25+'TUSD BE'!$AB$25+'TUSD BE'!$AD$25+'TUSD BE'!$AL$25</f>
        <v>365.15363194092691</v>
      </c>
    </row>
    <row r="26" spans="1:42" ht="11.25" customHeight="1" x14ac:dyDescent="0.25">
      <c r="A26" s="166"/>
      <c r="B26" s="166"/>
      <c r="C26" s="166"/>
      <c r="D26" s="62" t="s">
        <v>28</v>
      </c>
      <c r="E26" s="62" t="s">
        <v>25</v>
      </c>
      <c r="F26" s="62" t="s">
        <v>25</v>
      </c>
      <c r="G26" s="57" t="s">
        <v>82</v>
      </c>
      <c r="H26" s="57" t="s">
        <v>78</v>
      </c>
      <c r="I26" s="57">
        <f>'MERCADO TUSD'!$U$23</f>
        <v>0</v>
      </c>
      <c r="J26" s="16"/>
      <c r="L26" s="17">
        <f>'TUSD BE'!$L$26*'TUSD BF'!$L$58</f>
        <v>0</v>
      </c>
      <c r="M26" s="17">
        <f>'TUSD BE'!$M$26*'TUSD BF'!$M$58</f>
        <v>0</v>
      </c>
      <c r="N26" s="17">
        <f ca="1">'TUSD BE'!$N$26*'TUSD BF'!$N$58</f>
        <v>0</v>
      </c>
      <c r="O26" s="17">
        <f>'TUSD BE'!$O$26*'TUSD BF'!$O$58</f>
        <v>0</v>
      </c>
      <c r="P26" s="17">
        <f>'TUSD BE'!$P$26*'TUSD BF'!$P$58</f>
        <v>0</v>
      </c>
      <c r="Q26" s="17">
        <f>'TUSD BE'!$Q$26*'TUSD BF'!$Q$58</f>
        <v>0</v>
      </c>
      <c r="R26" s="17">
        <f>'TUSD BE'!$R$26*'TUSD BF'!$R$58</f>
        <v>0</v>
      </c>
      <c r="S26" s="17">
        <f>'TUSD BE'!$R$26*'TUSD BF'!$S$58</f>
        <v>0</v>
      </c>
      <c r="T26" s="17">
        <f ca="1">SUM($L$26:$S$26)</f>
        <v>0</v>
      </c>
      <c r="U26" s="17">
        <f>'TUSD BE'!$U$26*'TUSD BF'!$U$58</f>
        <v>1.7402715631178562</v>
      </c>
      <c r="V26" s="17">
        <f>'TUSD BE'!$V$26*'TUSD BF'!$V$58</f>
        <v>1.4585798183008205</v>
      </c>
      <c r="W26" s="17">
        <f>'TUSD BE'!$W$26*'TUSD BF'!$W$58</f>
        <v>0</v>
      </c>
      <c r="X26" s="17">
        <f>'TUSD BE'!$X$26*'TUSD BF'!$X$58</f>
        <v>0</v>
      </c>
      <c r="Y26" s="17">
        <f>'TUSD BE'!$Y$26*'TUSD BF'!$Y$58</f>
        <v>0</v>
      </c>
      <c r="Z26" s="17">
        <f>'TUSD BE'!$Z$26*'TUSD BF'!$Z$58</f>
        <v>0</v>
      </c>
      <c r="AA26" s="17">
        <f>'TUSD BE'!$AA$26*'TUSD BF'!$AA$58</f>
        <v>0</v>
      </c>
      <c r="AB26" s="17">
        <f>SUM($U$26:$AA$26)</f>
        <v>3.1988513814186765</v>
      </c>
      <c r="AC26" s="17">
        <f>'TUSD BE'!$AC$26*'TUSD BF'!$AC$58</f>
        <v>0</v>
      </c>
      <c r="AD26" s="17">
        <f>SUM($AC$26:$AC$26)</f>
        <v>0</v>
      </c>
      <c r="AE26" s="17">
        <f ca="1">$AO$26*$AO$55</f>
        <v>0</v>
      </c>
      <c r="AF26" s="17">
        <f ca="1">$AP$26*$AP$55</f>
        <v>0</v>
      </c>
      <c r="AG26" s="17">
        <f ca="1">SUM($AE$26:$AF$26)</f>
        <v>0</v>
      </c>
      <c r="AH26" s="17">
        <f>'TUSD BE'!$AH$26*'TUSD BF'!$AH$58</f>
        <v>0.85787769158565008</v>
      </c>
      <c r="AI26" s="17">
        <f>'TUSD BE'!$AI$26*'TUSD BF'!$AI$58</f>
        <v>0</v>
      </c>
      <c r="AJ26" s="17">
        <f ca="1">'TUSD BE'!$AJ$26*'TUSD BF'!$AJ$58</f>
        <v>3.0871380589925886E-2</v>
      </c>
      <c r="AK26" s="17">
        <f ca="1">'TUSD BE'!$AK$26*'TUSD BF'!$AK$58</f>
        <v>0</v>
      </c>
      <c r="AL26" s="17">
        <f ca="1">SUM($AH$26:$AK$26)</f>
        <v>0.88874907217557597</v>
      </c>
      <c r="AM26" s="17">
        <f ca="1">SUMIF($L$4:$AL$4,"SUBTOTAL",$L$26:$AL$26)</f>
        <v>4.0876004535942521</v>
      </c>
      <c r="AO26" s="64">
        <f ca="1">+'TUSD BE'!$T$26+'TUSD BE'!$AB$26+'TUSD BE'!$AD$26+'TUSD BE'!$AL$26</f>
        <v>256.27231864779014</v>
      </c>
      <c r="AP26" s="64">
        <f ca="1">+'TUSD BE'!$T$26+'TUSD BE'!$AB$26+'TUSD BE'!$AD$26+'TUSD BE'!$AL$26</f>
        <v>256.27231864779014</v>
      </c>
    </row>
    <row r="27" spans="1:42" ht="11.25" customHeight="1" x14ac:dyDescent="0.25">
      <c r="A27" s="166"/>
      <c r="B27" s="166"/>
      <c r="C27" s="166"/>
      <c r="D27" s="62" t="s">
        <v>29</v>
      </c>
      <c r="E27" s="62" t="s">
        <v>25</v>
      </c>
      <c r="F27" s="62" t="s">
        <v>25</v>
      </c>
      <c r="G27" s="57" t="s">
        <v>82</v>
      </c>
      <c r="H27" s="57" t="s">
        <v>78</v>
      </c>
      <c r="I27" s="57">
        <f>'MERCADO TUSD'!$U$24</f>
        <v>0</v>
      </c>
      <c r="J27" s="16"/>
      <c r="L27" s="17">
        <f>'TUSD BE'!$L$27*'TUSD BF'!$L$58</f>
        <v>0</v>
      </c>
      <c r="M27" s="17">
        <f>'TUSD BE'!$M$27*'TUSD BF'!$M$58</f>
        <v>0</v>
      </c>
      <c r="N27" s="17">
        <f ca="1">'TUSD BE'!$N$27*'TUSD BF'!$N$58</f>
        <v>0</v>
      </c>
      <c r="O27" s="17">
        <f>'TUSD BE'!$O$27*'TUSD BF'!$O$58</f>
        <v>0</v>
      </c>
      <c r="P27" s="17">
        <f>'TUSD BE'!$P$27*'TUSD BF'!$P$58</f>
        <v>0</v>
      </c>
      <c r="Q27" s="17">
        <f>'TUSD BE'!$Q$27*'TUSD BF'!$Q$58</f>
        <v>0</v>
      </c>
      <c r="R27" s="17">
        <f>'TUSD BE'!$R$27*'TUSD BF'!$R$58</f>
        <v>0</v>
      </c>
      <c r="S27" s="17">
        <f>'TUSD BE'!$R$27*'TUSD BF'!$S$58</f>
        <v>0</v>
      </c>
      <c r="T27" s="17">
        <f ca="1">SUM($L$27:$S$27)</f>
        <v>0</v>
      </c>
      <c r="U27" s="17">
        <f>'TUSD BE'!$U$27*'TUSD BF'!$U$58</f>
        <v>1.7402715631178562</v>
      </c>
      <c r="V27" s="17">
        <f>'TUSD BE'!$V$27*'TUSD BF'!$V$58</f>
        <v>1.4585798183008205</v>
      </c>
      <c r="W27" s="17">
        <f>'TUSD BE'!$W$27*'TUSD BF'!$W$58</f>
        <v>0</v>
      </c>
      <c r="X27" s="17">
        <f>'TUSD BE'!$X$27*'TUSD BF'!$X$58</f>
        <v>0</v>
      </c>
      <c r="Y27" s="17">
        <f>'TUSD BE'!$Y$27*'TUSD BF'!$Y$58</f>
        <v>0</v>
      </c>
      <c r="Z27" s="17">
        <f>'TUSD BE'!$Z$27*'TUSD BF'!$Z$58</f>
        <v>0</v>
      </c>
      <c r="AA27" s="17">
        <f>'TUSD BE'!$AA$27*'TUSD BF'!$AA$58</f>
        <v>0</v>
      </c>
      <c r="AB27" s="17">
        <f>SUM($U$27:$AA$27)</f>
        <v>3.1988513814186765</v>
      </c>
      <c r="AC27" s="17">
        <f>'TUSD BE'!$AC$27*'TUSD BF'!$AC$58</f>
        <v>0</v>
      </c>
      <c r="AD27" s="17">
        <f>SUM($AC$27:$AC$27)</f>
        <v>0</v>
      </c>
      <c r="AE27" s="17">
        <f ca="1">$AO$27*$AO$55</f>
        <v>0</v>
      </c>
      <c r="AF27" s="17">
        <f ca="1">$AP$27*$AP$55</f>
        <v>0</v>
      </c>
      <c r="AG27" s="17">
        <f ca="1">SUM($AE$27:$AF$27)</f>
        <v>0</v>
      </c>
      <c r="AH27" s="17">
        <f>'TUSD BE'!$AH$27*'TUSD BF'!$AH$58</f>
        <v>0.85787769158565008</v>
      </c>
      <c r="AI27" s="17">
        <f>'TUSD BE'!$AI$27*'TUSD BF'!$AI$58</f>
        <v>0</v>
      </c>
      <c r="AJ27" s="17">
        <f ca="1">'TUSD BE'!$AJ$27*'TUSD BF'!$AJ$58</f>
        <v>3.0871380589925886E-2</v>
      </c>
      <c r="AK27" s="17">
        <f ca="1">'TUSD BE'!$AK$27*'TUSD BF'!$AK$58</f>
        <v>0</v>
      </c>
      <c r="AL27" s="17">
        <f ca="1">SUM($AH$27:$AK$27)</f>
        <v>0.88874907217557597</v>
      </c>
      <c r="AM27" s="17">
        <f ca="1">SUMIF($L$4:$AL$4,"SUBTOTAL",$L$27:$AL$27)</f>
        <v>4.0876004535942521</v>
      </c>
      <c r="AO27" s="64">
        <f ca="1">+'TUSD BE'!$T$27+'TUSD BE'!$AB$27+'TUSD BE'!$AD$27+'TUSD BE'!$AL$27</f>
        <v>256.27231864779014</v>
      </c>
      <c r="AP27" s="64">
        <f ca="1">+'TUSD BE'!$T$27+'TUSD BE'!$AB$27+'TUSD BE'!$AD$27+'TUSD BE'!$AL$27</f>
        <v>256.27231864779014</v>
      </c>
    </row>
    <row r="28" spans="1:42" ht="11.25" customHeight="1" x14ac:dyDescent="0.25">
      <c r="A28" s="166"/>
      <c r="B28" s="166"/>
      <c r="C28" s="166"/>
      <c r="D28" s="62" t="s">
        <v>30</v>
      </c>
      <c r="E28" s="62" t="s">
        <v>25</v>
      </c>
      <c r="F28" s="62" t="s">
        <v>25</v>
      </c>
      <c r="G28" s="57" t="s">
        <v>82</v>
      </c>
      <c r="H28" s="57" t="s">
        <v>78</v>
      </c>
      <c r="I28" s="57">
        <f>'MERCADO TUSD'!$U$25</f>
        <v>0</v>
      </c>
      <c r="J28" s="16"/>
      <c r="L28" s="17">
        <f>'TUSD BE'!$L$28*'TUSD BF'!$L$58</f>
        <v>0</v>
      </c>
      <c r="M28" s="17">
        <f>'TUSD BE'!$M$28*'TUSD BF'!$M$58</f>
        <v>0</v>
      </c>
      <c r="N28" s="17">
        <f ca="1">'TUSD BE'!$N$28*'TUSD BF'!$N$58</f>
        <v>0</v>
      </c>
      <c r="O28" s="17">
        <f>'TUSD BE'!$O$28*'TUSD BF'!$O$58</f>
        <v>0</v>
      </c>
      <c r="P28" s="17">
        <f>'TUSD BE'!$P$28*'TUSD BF'!$P$58</f>
        <v>0</v>
      </c>
      <c r="Q28" s="17">
        <f>'TUSD BE'!$Q$28*'TUSD BF'!$Q$58</f>
        <v>0</v>
      </c>
      <c r="R28" s="17">
        <f>'TUSD BE'!$R$28*'TUSD BF'!$R$58</f>
        <v>0</v>
      </c>
      <c r="S28" s="17">
        <f>'TUSD BE'!$R$28*'TUSD BF'!$S$58</f>
        <v>0</v>
      </c>
      <c r="T28" s="17">
        <f ca="1">SUM($L$28:$S$28)</f>
        <v>0</v>
      </c>
      <c r="U28" s="17">
        <f>'TUSD BE'!$U$28*'TUSD BF'!$U$58</f>
        <v>1.7402715631178562</v>
      </c>
      <c r="V28" s="17">
        <f>'TUSD BE'!$V$28*'TUSD BF'!$V$58</f>
        <v>1.4585798183008205</v>
      </c>
      <c r="W28" s="17">
        <f>'TUSD BE'!$W$28*'TUSD BF'!$W$58</f>
        <v>0</v>
      </c>
      <c r="X28" s="17">
        <f>'TUSD BE'!$X$28*'TUSD BF'!$X$58</f>
        <v>0</v>
      </c>
      <c r="Y28" s="17">
        <f>'TUSD BE'!$Y$28*'TUSD BF'!$Y$58</f>
        <v>0</v>
      </c>
      <c r="Z28" s="17">
        <f>'TUSD BE'!$Z$28*'TUSD BF'!$Z$58</f>
        <v>0</v>
      </c>
      <c r="AA28" s="17">
        <f>'TUSD BE'!$AA$28*'TUSD BF'!$AA$58</f>
        <v>0</v>
      </c>
      <c r="AB28" s="17">
        <f>SUM($U$28:$AA$28)</f>
        <v>3.1988513814186765</v>
      </c>
      <c r="AC28" s="17">
        <f>'TUSD BE'!$AC$28*'TUSD BF'!$AC$58</f>
        <v>0</v>
      </c>
      <c r="AD28" s="17">
        <f>SUM($AC$28:$AC$28)</f>
        <v>0</v>
      </c>
      <c r="AE28" s="17">
        <f ca="1">$AO$28*$AO$55</f>
        <v>0</v>
      </c>
      <c r="AF28" s="17">
        <f ca="1">$AP$28*$AP$55</f>
        <v>0</v>
      </c>
      <c r="AG28" s="17">
        <f ca="1">SUM($AE$28:$AF$28)</f>
        <v>0</v>
      </c>
      <c r="AH28" s="17">
        <f>'TUSD BE'!$AH$28*'TUSD BF'!$AH$58</f>
        <v>0.85787769158565008</v>
      </c>
      <c r="AI28" s="17">
        <f>'TUSD BE'!$AI$28*'TUSD BF'!$AI$58</f>
        <v>0</v>
      </c>
      <c r="AJ28" s="17">
        <f ca="1">'TUSD BE'!$AJ$28*'TUSD BF'!$AJ$58</f>
        <v>3.0871380589925886E-2</v>
      </c>
      <c r="AK28" s="17">
        <f ca="1">'TUSD BE'!$AK$28*'TUSD BF'!$AK$58</f>
        <v>0</v>
      </c>
      <c r="AL28" s="17">
        <f ca="1">SUM($AH$28:$AK$28)</f>
        <v>0.88874907217557597</v>
      </c>
      <c r="AM28" s="17">
        <f ca="1">SUMIF($L$4:$AL$4,"SUBTOTAL",$L$28:$AL$28)</f>
        <v>4.0876004535942521</v>
      </c>
      <c r="AO28" s="64">
        <f ca="1">+'TUSD BE'!$T$28+'TUSD BE'!$AB$28+'TUSD BE'!$AD$28+'TUSD BE'!$AL$28</f>
        <v>256.27231864779014</v>
      </c>
      <c r="AP28" s="64">
        <f ca="1">+'TUSD BE'!$T$28+'TUSD BE'!$AB$28+'TUSD BE'!$AD$28+'TUSD BE'!$AL$28</f>
        <v>256.27231864779014</v>
      </c>
    </row>
    <row r="29" spans="1:42" ht="11.25" customHeight="1" x14ac:dyDescent="0.25">
      <c r="A29" s="166"/>
      <c r="B29" s="166"/>
      <c r="C29" s="166"/>
      <c r="D29" s="62" t="s">
        <v>31</v>
      </c>
      <c r="E29" s="62" t="s">
        <v>25</v>
      </c>
      <c r="F29" s="62" t="s">
        <v>25</v>
      </c>
      <c r="G29" s="57" t="s">
        <v>82</v>
      </c>
      <c r="H29" s="57" t="s">
        <v>78</v>
      </c>
      <c r="I29" s="57">
        <f>'MERCADO TUSD'!$U$26</f>
        <v>0</v>
      </c>
      <c r="J29" s="16"/>
      <c r="L29" s="17">
        <f>'TUSD BE'!$L$29*'TUSD BF'!$L$58</f>
        <v>0</v>
      </c>
      <c r="M29" s="17">
        <f>'TUSD BE'!$M$29*'TUSD BF'!$M$58</f>
        <v>0</v>
      </c>
      <c r="N29" s="17">
        <f ca="1">'TUSD BE'!$N$29*'TUSD BF'!$N$58</f>
        <v>0</v>
      </c>
      <c r="O29" s="17">
        <f>'TUSD BE'!$O$29*'TUSD BF'!$O$58</f>
        <v>0</v>
      </c>
      <c r="P29" s="17">
        <f>'TUSD BE'!$P$29*'TUSD BF'!$P$58</f>
        <v>0</v>
      </c>
      <c r="Q29" s="17">
        <f>'TUSD BE'!$Q$29*'TUSD BF'!$Q$58</f>
        <v>0</v>
      </c>
      <c r="R29" s="17">
        <f>'TUSD BE'!$R$29*'TUSD BF'!$R$58</f>
        <v>0</v>
      </c>
      <c r="S29" s="17">
        <f>'TUSD BE'!$R$29*'TUSD BF'!$S$58</f>
        <v>0</v>
      </c>
      <c r="T29" s="17">
        <f ca="1">SUM($L$29:$S$29)</f>
        <v>0</v>
      </c>
      <c r="U29" s="17">
        <f>'TUSD BE'!$U$29*'TUSD BF'!$U$58</f>
        <v>1.7402715631178562</v>
      </c>
      <c r="V29" s="17">
        <f>'TUSD BE'!$V$29*'TUSD BF'!$V$58</f>
        <v>1.4585798183008205</v>
      </c>
      <c r="W29" s="17">
        <f>'TUSD BE'!$W$29*'TUSD BF'!$W$58</f>
        <v>0</v>
      </c>
      <c r="X29" s="17">
        <f>'TUSD BE'!$X$29*'TUSD BF'!$X$58</f>
        <v>0</v>
      </c>
      <c r="Y29" s="17">
        <f>'TUSD BE'!$Y$29*'TUSD BF'!$Y$58</f>
        <v>0</v>
      </c>
      <c r="Z29" s="17">
        <f>'TUSD BE'!$Z$29*'TUSD BF'!$Z$58</f>
        <v>0</v>
      </c>
      <c r="AA29" s="17">
        <f>'TUSD BE'!$AA$29*'TUSD BF'!$AA$58</f>
        <v>0</v>
      </c>
      <c r="AB29" s="17">
        <f>SUM($U$29:$AA$29)</f>
        <v>3.1988513814186765</v>
      </c>
      <c r="AC29" s="17">
        <f>'TUSD BE'!$AC$29*'TUSD BF'!$AC$58</f>
        <v>0</v>
      </c>
      <c r="AD29" s="17">
        <f>SUM($AC$29:$AC$29)</f>
        <v>0</v>
      </c>
      <c r="AE29" s="17">
        <f ca="1">$AO$29*$AO$55</f>
        <v>0</v>
      </c>
      <c r="AF29" s="17">
        <f ca="1">$AP$29*$AP$55</f>
        <v>0</v>
      </c>
      <c r="AG29" s="17">
        <f ca="1">SUM($AE$29:$AF$29)</f>
        <v>0</v>
      </c>
      <c r="AH29" s="17">
        <f>'TUSD BE'!$AH$29*'TUSD BF'!$AH$58</f>
        <v>0.85787769158565008</v>
      </c>
      <c r="AI29" s="17">
        <f>'TUSD BE'!$AI$29*'TUSD BF'!$AI$58</f>
        <v>0</v>
      </c>
      <c r="AJ29" s="17">
        <f ca="1">'TUSD BE'!$AJ$29*'TUSD BF'!$AJ$58</f>
        <v>3.0871380589925886E-2</v>
      </c>
      <c r="AK29" s="17">
        <f ca="1">'TUSD BE'!$AK$29*'TUSD BF'!$AK$58</f>
        <v>0</v>
      </c>
      <c r="AL29" s="17">
        <f ca="1">SUM($AH$29:$AK$29)</f>
        <v>0.88874907217557597</v>
      </c>
      <c r="AM29" s="17">
        <f ca="1">SUMIF($L$4:$AL$4,"SUBTOTAL",$L$29:$AL$29)</f>
        <v>4.0876004535942521</v>
      </c>
      <c r="AO29" s="64">
        <f ca="1">+'TUSD BE'!$T$29+'TUSD BE'!$AB$29+'TUSD BE'!$AD$29+'TUSD BE'!$AL$29</f>
        <v>256.27231864779014</v>
      </c>
      <c r="AP29" s="64">
        <f ca="1">+'TUSD BE'!$T$29+'TUSD BE'!$AB$29+'TUSD BE'!$AD$29+'TUSD BE'!$AL$29</f>
        <v>256.27231864779014</v>
      </c>
    </row>
    <row r="30" spans="1:42" ht="11.25" customHeight="1" x14ac:dyDescent="0.25">
      <c r="A30" s="166" t="s">
        <v>42</v>
      </c>
      <c r="B30" s="166" t="s">
        <v>32</v>
      </c>
      <c r="C30" s="166" t="s">
        <v>43</v>
      </c>
      <c r="D30" s="166" t="s">
        <v>25</v>
      </c>
      <c r="E30" s="166" t="s">
        <v>25</v>
      </c>
      <c r="F30" s="166" t="s">
        <v>25</v>
      </c>
      <c r="G30" s="57" t="s">
        <v>79</v>
      </c>
      <c r="H30" s="57" t="s">
        <v>78</v>
      </c>
      <c r="I30" s="57">
        <f>'MERCADO TUSD'!$U$27</f>
        <v>0</v>
      </c>
      <c r="J30" s="16"/>
      <c r="L30" s="17">
        <f>'TUSD BE'!$L$30*'TUSD BF'!$L$58</f>
        <v>0.46412423299815114</v>
      </c>
      <c r="M30" s="17">
        <f>'TUSD BE'!$M$30*'TUSD BF'!$M$58</f>
        <v>0</v>
      </c>
      <c r="N30" s="17">
        <f ca="1">'TUSD BE'!$N$30*'TUSD BF'!$N$58</f>
        <v>0</v>
      </c>
      <c r="O30" s="17">
        <f>'TUSD BE'!$O$30*'TUSD BF'!$O$58</f>
        <v>0</v>
      </c>
      <c r="P30" s="17">
        <f>'TUSD BE'!$P$30*'TUSD BF'!$P$58</f>
        <v>0</v>
      </c>
      <c r="Q30" s="17">
        <f>'TUSD BE'!$Q$30*'TUSD BF'!$Q$58</f>
        <v>15.328669507817237</v>
      </c>
      <c r="R30" s="17">
        <f>'TUSD BE'!$R$30*'TUSD BF'!$R$58</f>
        <v>3.369286178559058</v>
      </c>
      <c r="S30" s="17">
        <f>'TUSD BE'!$R$30*'TUSD BF'!$S$58</f>
        <v>0</v>
      </c>
      <c r="T30" s="17">
        <f ca="1">SUM($L$30:$S$30)</f>
        <v>19.162079919374445</v>
      </c>
      <c r="U30" s="17">
        <f>'TUSD BE'!$U$30*'TUSD BF'!$U$58</f>
        <v>5.7429098049356337</v>
      </c>
      <c r="V30" s="17">
        <f>'TUSD BE'!$V$30*'TUSD BF'!$V$58</f>
        <v>4.8133162852610516</v>
      </c>
      <c r="W30" s="17">
        <f>'TUSD BE'!$W$30*'TUSD BF'!$W$58</f>
        <v>0</v>
      </c>
      <c r="X30" s="17">
        <f>'TUSD BE'!$X$30*'TUSD BF'!$X$58</f>
        <v>0</v>
      </c>
      <c r="Y30" s="17">
        <f>'TUSD BE'!$Y$30*'TUSD BF'!$Y$58</f>
        <v>0</v>
      </c>
      <c r="Z30" s="17">
        <f>'TUSD BE'!$Z$30*'TUSD BF'!$Z$58</f>
        <v>0</v>
      </c>
      <c r="AA30" s="17">
        <f>'TUSD BE'!$AA$30*'TUSD BF'!$AA$58</f>
        <v>0</v>
      </c>
      <c r="AB30" s="17">
        <f>SUM($U$30:$AA$30)</f>
        <v>10.556226090196684</v>
      </c>
      <c r="AC30" s="17">
        <f>'TUSD BE'!$AC$30*'TUSD BF'!$AC$58</f>
        <v>0</v>
      </c>
      <c r="AD30" s="17">
        <f>SUM($AC$30:$AC$30)</f>
        <v>0</v>
      </c>
      <c r="AE30" s="17">
        <f ca="1">$AO$30*$AO$55</f>
        <v>0</v>
      </c>
      <c r="AF30" s="17">
        <f ca="1">$AP$30*$AP$55</f>
        <v>0</v>
      </c>
      <c r="AG30" s="17">
        <f ca="1">SUM($AE$30:$AF$30)</f>
        <v>0</v>
      </c>
      <c r="AH30" s="17">
        <f>'TUSD BE'!$AH$30*'TUSD BF'!$AH$58</f>
        <v>0.85787769158565008</v>
      </c>
      <c r="AI30" s="17">
        <f>'TUSD BE'!$AI$30*'TUSD BF'!$AI$58</f>
        <v>0</v>
      </c>
      <c r="AJ30" s="17">
        <f ca="1">'TUSD BE'!$AJ$30*'TUSD BF'!$AJ$58</f>
        <v>3.0871380589925886E-2</v>
      </c>
      <c r="AK30" s="17">
        <f ca="1">'TUSD BE'!$AK$30*'TUSD BF'!$AK$58</f>
        <v>0</v>
      </c>
      <c r="AL30" s="17">
        <f ca="1">SUM($AH$30:$AK$30)</f>
        <v>0.88874907217557597</v>
      </c>
      <c r="AM30" s="17">
        <f ca="1">SUMIF($L$4:$AL$4,"SUBTOTAL",$L$30:$AL$30)</f>
        <v>30.607055081746704</v>
      </c>
      <c r="AO30" s="64">
        <f ca="1">+'TUSD BE'!$T$30+'TUSD BE'!$AB$30+'TUSD BE'!$AD$30+'TUSD BE'!$AL$30</f>
        <v>902.97423339459215</v>
      </c>
      <c r="AP30" s="64">
        <f ca="1">+'TUSD BE'!$T$30+'TUSD BE'!$AB$30+'TUSD BE'!$AD$30+'TUSD BE'!$AL$30</f>
        <v>902.97423339459215</v>
      </c>
    </row>
    <row r="31" spans="1:42" ht="11.25" customHeight="1" x14ac:dyDescent="0.25">
      <c r="A31" s="166"/>
      <c r="B31" s="166"/>
      <c r="C31" s="166"/>
      <c r="D31" s="166"/>
      <c r="E31" s="166"/>
      <c r="F31" s="166"/>
      <c r="G31" s="57" t="s">
        <v>92</v>
      </c>
      <c r="H31" s="57" t="s">
        <v>78</v>
      </c>
      <c r="I31" s="57">
        <f>'MERCADO TUSD'!$U$28</f>
        <v>0</v>
      </c>
      <c r="J31" s="16"/>
      <c r="L31" s="17">
        <f>'TUSD BE'!$L$31*'TUSD BF'!$L$58</f>
        <v>0.46412423299815114</v>
      </c>
      <c r="M31" s="17">
        <f>'TUSD BE'!$M$31*'TUSD BF'!$M$58</f>
        <v>0</v>
      </c>
      <c r="N31" s="17">
        <f ca="1">'TUSD BE'!$N$31*'TUSD BF'!$N$58</f>
        <v>0</v>
      </c>
      <c r="O31" s="17">
        <f>'TUSD BE'!$O$31*'TUSD BF'!$O$58</f>
        <v>0</v>
      </c>
      <c r="P31" s="17">
        <f>'TUSD BE'!$P$31*'TUSD BF'!$P$58</f>
        <v>0</v>
      </c>
      <c r="Q31" s="17">
        <f>'TUSD BE'!$Q$31*'TUSD BF'!$Q$58</f>
        <v>15.328669507817237</v>
      </c>
      <c r="R31" s="17">
        <f>'TUSD BE'!$R$31*'TUSD BF'!$R$58</f>
        <v>3.369286178559058</v>
      </c>
      <c r="S31" s="17">
        <f>'TUSD BE'!$R$31*'TUSD BF'!$S$58</f>
        <v>0</v>
      </c>
      <c r="T31" s="17">
        <f ca="1">SUM($L$31:$S$31)</f>
        <v>19.162079919374445</v>
      </c>
      <c r="U31" s="17">
        <f>'TUSD BE'!$U$31*'TUSD BF'!$U$58</f>
        <v>2.2971656278050916</v>
      </c>
      <c r="V31" s="17">
        <f>'TUSD BE'!$V$31*'TUSD BF'!$V$58</f>
        <v>1.9253226676132957</v>
      </c>
      <c r="W31" s="17">
        <f>'TUSD BE'!$W$31*'TUSD BF'!$W$58</f>
        <v>0</v>
      </c>
      <c r="X31" s="17">
        <f>'TUSD BE'!$X$31*'TUSD BF'!$X$58</f>
        <v>0</v>
      </c>
      <c r="Y31" s="17">
        <f>'TUSD BE'!$Y$31*'TUSD BF'!$Y$58</f>
        <v>0</v>
      </c>
      <c r="Z31" s="17">
        <f>'TUSD BE'!$Z$31*'TUSD BF'!$Z$58</f>
        <v>0</v>
      </c>
      <c r="AA31" s="17">
        <f>'TUSD BE'!$AA$31*'TUSD BF'!$AA$58</f>
        <v>0</v>
      </c>
      <c r="AB31" s="17">
        <f>SUM($U$31:$AA$31)</f>
        <v>4.2224882954183869</v>
      </c>
      <c r="AC31" s="17">
        <f>'TUSD BE'!$AC$31*'TUSD BF'!$AC$58</f>
        <v>0</v>
      </c>
      <c r="AD31" s="17">
        <f>SUM($AC$31:$AC$31)</f>
        <v>0</v>
      </c>
      <c r="AE31" s="17">
        <f ca="1">$AO$31*$AO$55</f>
        <v>0</v>
      </c>
      <c r="AF31" s="17">
        <f ca="1">$AP$31*$AP$55</f>
        <v>0</v>
      </c>
      <c r="AG31" s="17">
        <f ca="1">SUM($AE$31:$AF$31)</f>
        <v>0</v>
      </c>
      <c r="AH31" s="17">
        <f>'TUSD BE'!$AH$31*'TUSD BF'!$AH$58</f>
        <v>0.85787769158565008</v>
      </c>
      <c r="AI31" s="17">
        <f>'TUSD BE'!$AI$31*'TUSD BF'!$AI$58</f>
        <v>0</v>
      </c>
      <c r="AJ31" s="17">
        <f ca="1">'TUSD BE'!$AJ$31*'TUSD BF'!$AJ$58</f>
        <v>3.0871380589925886E-2</v>
      </c>
      <c r="AK31" s="17">
        <f ca="1">'TUSD BE'!$AK$31*'TUSD BF'!$AK$58</f>
        <v>0</v>
      </c>
      <c r="AL31" s="17">
        <f ca="1">SUM($AH$31:$AK$31)</f>
        <v>0.88874907217557597</v>
      </c>
      <c r="AM31" s="17">
        <f ca="1">SUMIF($L$4:$AL$4,"SUBTOTAL",$L$31:$AL$31)</f>
        <v>24.273317286968407</v>
      </c>
      <c r="AO31" s="64">
        <f ca="1">+'TUSD BE'!$T$31+'TUSD BE'!$AB$31+'TUSD BE'!$AD$31+'TUSD BE'!$AL$31</f>
        <v>439.98086144648727</v>
      </c>
      <c r="AP31" s="64">
        <f ca="1">+'TUSD BE'!$T$31+'TUSD BE'!$AB$31+'TUSD BE'!$AD$31+'TUSD BE'!$AL$31</f>
        <v>439.98086144648727</v>
      </c>
    </row>
    <row r="32" spans="1:42" ht="11.25" customHeight="1" x14ac:dyDescent="0.25">
      <c r="A32" s="166"/>
      <c r="B32" s="166"/>
      <c r="C32" s="166"/>
      <c r="D32" s="166"/>
      <c r="E32" s="166"/>
      <c r="F32" s="166"/>
      <c r="G32" s="57" t="s">
        <v>80</v>
      </c>
      <c r="H32" s="57" t="s">
        <v>78</v>
      </c>
      <c r="I32" s="57">
        <f>'MERCADO TUSD'!$U$29</f>
        <v>0</v>
      </c>
      <c r="J32" s="16"/>
      <c r="L32" s="17">
        <f>'TUSD BE'!$L$32*'TUSD BF'!$L$58</f>
        <v>0.46412423299815114</v>
      </c>
      <c r="M32" s="17">
        <f>'TUSD BE'!$M$32*'TUSD BF'!$M$58</f>
        <v>0</v>
      </c>
      <c r="N32" s="17">
        <f ca="1">'TUSD BE'!$N$32*'TUSD BF'!$N$58</f>
        <v>0</v>
      </c>
      <c r="O32" s="17">
        <f>'TUSD BE'!$O$32*'TUSD BF'!$O$58</f>
        <v>0</v>
      </c>
      <c r="P32" s="17">
        <f>'TUSD BE'!$P$32*'TUSD BF'!$P$58</f>
        <v>0</v>
      </c>
      <c r="Q32" s="17">
        <f>'TUSD BE'!$Q$32*'TUSD BF'!$Q$58</f>
        <v>15.328669507817237</v>
      </c>
      <c r="R32" s="17">
        <f>'TUSD BE'!$R$32*'TUSD BF'!$R$58</f>
        <v>3.369286178559058</v>
      </c>
      <c r="S32" s="17">
        <f>'TUSD BE'!$R$32*'TUSD BF'!$S$58</f>
        <v>0</v>
      </c>
      <c r="T32" s="17">
        <f ca="1">SUM($L$32:$S$32)</f>
        <v>19.162079919374445</v>
      </c>
      <c r="U32" s="17">
        <f>'TUSD BE'!$U$32*'TUSD BF'!$U$58</f>
        <v>1.1485785493254497</v>
      </c>
      <c r="V32" s="17">
        <f>'TUSD BE'!$V$32*'TUSD BF'!$V$58</f>
        <v>0.96266133380664787</v>
      </c>
      <c r="W32" s="17">
        <f>'TUSD BE'!$W$32*'TUSD BF'!$W$58</f>
        <v>0</v>
      </c>
      <c r="X32" s="17">
        <f>'TUSD BE'!$X$32*'TUSD BF'!$X$58</f>
        <v>0</v>
      </c>
      <c r="Y32" s="17">
        <f>'TUSD BE'!$Y$32*'TUSD BF'!$Y$58</f>
        <v>0</v>
      </c>
      <c r="Z32" s="17">
        <f>'TUSD BE'!$Z$32*'TUSD BF'!$Z$58</f>
        <v>0</v>
      </c>
      <c r="AA32" s="17">
        <f>'TUSD BE'!$AA$32*'TUSD BF'!$AA$58</f>
        <v>0</v>
      </c>
      <c r="AB32" s="17">
        <f>SUM($U$32:$AA$32)</f>
        <v>2.1112398831320975</v>
      </c>
      <c r="AC32" s="17">
        <f>'TUSD BE'!$AC$32*'TUSD BF'!$AC$58</f>
        <v>0</v>
      </c>
      <c r="AD32" s="17">
        <f>SUM($AC$32:$AC$32)</f>
        <v>0</v>
      </c>
      <c r="AE32" s="17">
        <f ca="1">$AO$32*$AO$55</f>
        <v>0</v>
      </c>
      <c r="AF32" s="17">
        <f ca="1">$AP$32*$AP$55</f>
        <v>0</v>
      </c>
      <c r="AG32" s="17">
        <f ca="1">SUM($AE$32:$AF$32)</f>
        <v>0</v>
      </c>
      <c r="AH32" s="17">
        <f>'TUSD BE'!$AH$32*'TUSD BF'!$AH$58</f>
        <v>0.85787769158565008</v>
      </c>
      <c r="AI32" s="17">
        <f>'TUSD BE'!$AI$32*'TUSD BF'!$AI$58</f>
        <v>0</v>
      </c>
      <c r="AJ32" s="17">
        <f ca="1">'TUSD BE'!$AJ$32*'TUSD BF'!$AJ$58</f>
        <v>3.0871380589925886E-2</v>
      </c>
      <c r="AK32" s="17">
        <f ca="1">'TUSD BE'!$AK$32*'TUSD BF'!$AK$58</f>
        <v>0</v>
      </c>
      <c r="AL32" s="17">
        <f ca="1">SUM($AH$32:$AK$32)</f>
        <v>0.88874907217557597</v>
      </c>
      <c r="AM32" s="17">
        <f ca="1">SUMIF($L$4:$AL$4,"SUBTOTAL",$L$32:$AL$32)</f>
        <v>22.162068874682117</v>
      </c>
      <c r="AO32" s="64">
        <f ca="1">+'TUSD BE'!$T$32+'TUSD BE'!$AB$32+'TUSD BE'!$AD$32+'TUSD BE'!$AL$32</f>
        <v>285.64962617959338</v>
      </c>
      <c r="AP32" s="64">
        <f ca="1">+'TUSD BE'!$T$32+'TUSD BE'!$AB$32+'TUSD BE'!$AD$32+'TUSD BE'!$AL$32</f>
        <v>285.64962617959338</v>
      </c>
    </row>
    <row r="33" spans="1:42" ht="11.25" customHeight="1" x14ac:dyDescent="0.25">
      <c r="A33" s="166"/>
      <c r="B33" s="62" t="s">
        <v>23</v>
      </c>
      <c r="C33" s="62" t="s">
        <v>43</v>
      </c>
      <c r="D33" s="62" t="s">
        <v>25</v>
      </c>
      <c r="E33" s="62" t="s">
        <v>25</v>
      </c>
      <c r="F33" s="62" t="s">
        <v>25</v>
      </c>
      <c r="G33" s="57" t="s">
        <v>82</v>
      </c>
      <c r="H33" s="57" t="s">
        <v>78</v>
      </c>
      <c r="I33" s="57">
        <f>'MERCADO TUSD'!$U$30</f>
        <v>1694.7730000000001</v>
      </c>
      <c r="J33" s="16"/>
      <c r="L33" s="17">
        <f>'TUSD BE'!$L$33*'TUSD BF'!$L$58</f>
        <v>0.46412423299815114</v>
      </c>
      <c r="M33" s="17">
        <f>'TUSD BE'!$M$33*'TUSD BF'!$M$58</f>
        <v>0</v>
      </c>
      <c r="N33" s="17">
        <f ca="1">'TUSD BE'!$N$33*'TUSD BF'!$N$58</f>
        <v>0</v>
      </c>
      <c r="O33" s="17">
        <f>'TUSD BE'!$O$33*'TUSD BF'!$O$58</f>
        <v>0</v>
      </c>
      <c r="P33" s="17">
        <f>'TUSD BE'!$P$33*'TUSD BF'!$P$58</f>
        <v>0</v>
      </c>
      <c r="Q33" s="17">
        <f>'TUSD BE'!$Q$33*'TUSD BF'!$Q$58</f>
        <v>15.328669507817237</v>
      </c>
      <c r="R33" s="17">
        <f>'TUSD BE'!$R$33*'TUSD BF'!$R$58</f>
        <v>3.369286178559058</v>
      </c>
      <c r="S33" s="17">
        <f>'TUSD BE'!$R$33*'TUSD BF'!$S$58</f>
        <v>0</v>
      </c>
      <c r="T33" s="17">
        <f ca="1">SUM($L$33:$S$33)</f>
        <v>19.162079919374445</v>
      </c>
      <c r="U33" s="17">
        <f>'TUSD BE'!$U$33*'TUSD BF'!$U$58</f>
        <v>1.7402715631178562</v>
      </c>
      <c r="V33" s="17">
        <f>'TUSD BE'!$V$33*'TUSD BF'!$V$58</f>
        <v>1.4585798183008205</v>
      </c>
      <c r="W33" s="17">
        <f>'TUSD BE'!$W$33*'TUSD BF'!$W$58</f>
        <v>0</v>
      </c>
      <c r="X33" s="17">
        <f>'TUSD BE'!$X$33*'TUSD BF'!$X$58</f>
        <v>0</v>
      </c>
      <c r="Y33" s="17">
        <f>'TUSD BE'!$Y$33*'TUSD BF'!$Y$58</f>
        <v>0</v>
      </c>
      <c r="Z33" s="17">
        <f>'TUSD BE'!$Z$33*'TUSD BF'!$Z$58</f>
        <v>0</v>
      </c>
      <c r="AA33" s="17">
        <f>'TUSD BE'!$AA$33*'TUSD BF'!$AA$58</f>
        <v>0</v>
      </c>
      <c r="AB33" s="17">
        <f>SUM($U$33:$AA$33)</f>
        <v>3.1988513814186765</v>
      </c>
      <c r="AC33" s="17">
        <f>'TUSD BE'!$AC$33*'TUSD BF'!$AC$58</f>
        <v>0</v>
      </c>
      <c r="AD33" s="17">
        <f>SUM($AC$33:$AC$33)</f>
        <v>0</v>
      </c>
      <c r="AE33" s="17">
        <f ca="1">$AO$33*$AO$55</f>
        <v>0</v>
      </c>
      <c r="AF33" s="17">
        <f ca="1">$AP$33*$AP$55</f>
        <v>0</v>
      </c>
      <c r="AG33" s="17">
        <f ca="1">SUM($AE$33:$AF$33)</f>
        <v>0</v>
      </c>
      <c r="AH33" s="17">
        <f>'TUSD BE'!$AH$33*'TUSD BF'!$AH$58</f>
        <v>0.85787769158565008</v>
      </c>
      <c r="AI33" s="17">
        <f>'TUSD BE'!$AI$33*'TUSD BF'!$AI$58</f>
        <v>0</v>
      </c>
      <c r="AJ33" s="17">
        <f ca="1">'TUSD BE'!$AJ$33*'TUSD BF'!$AJ$58</f>
        <v>3.0871380589925886E-2</v>
      </c>
      <c r="AK33" s="17">
        <f ca="1">'TUSD BE'!$AK$33*'TUSD BF'!$AK$58</f>
        <v>0</v>
      </c>
      <c r="AL33" s="17">
        <f ca="1">SUM($AH$33:$AK$33)</f>
        <v>0.88874907217557597</v>
      </c>
      <c r="AM33" s="17">
        <f ca="1">SUMIF($L$4:$AL$4,"SUBTOTAL",$L$33:$AL$33)</f>
        <v>23.249680372968697</v>
      </c>
      <c r="AO33" s="64">
        <f ca="1">+'TUSD BE'!$T$33+'TUSD BE'!$AB$33+'TUSD BE'!$AD$33+'TUSD BE'!$AL$33</f>
        <v>365.15363194092691</v>
      </c>
      <c r="AP33" s="64">
        <f ca="1">+'TUSD BE'!$T$33+'TUSD BE'!$AB$33+'TUSD BE'!$AD$33+'TUSD BE'!$AL$33</f>
        <v>365.15363194092691</v>
      </c>
    </row>
    <row r="34" spans="1:42" ht="11.25" customHeight="1" x14ac:dyDescent="0.25">
      <c r="A34" s="166"/>
      <c r="B34" s="166" t="s">
        <v>32</v>
      </c>
      <c r="C34" s="166" t="s">
        <v>43</v>
      </c>
      <c r="D34" s="166" t="s">
        <v>95</v>
      </c>
      <c r="E34" s="166" t="s">
        <v>25</v>
      </c>
      <c r="F34" s="166" t="s">
        <v>25</v>
      </c>
      <c r="G34" s="57" t="s">
        <v>79</v>
      </c>
      <c r="H34" s="57" t="s">
        <v>78</v>
      </c>
      <c r="I34" s="57">
        <f>'MERCADO TUSD'!$U$31</f>
        <v>0</v>
      </c>
      <c r="J34" s="16"/>
      <c r="L34" s="17">
        <f>'TUSD BE'!$L$34*'TUSD BF'!$L$58</f>
        <v>0.46412423299815114</v>
      </c>
      <c r="M34" s="17">
        <f>'TUSD BE'!$M$34*'TUSD BF'!$M$58</f>
        <v>0</v>
      </c>
      <c r="N34" s="17">
        <f ca="1">'TUSD BE'!$N$34*'TUSD BF'!$N$58</f>
        <v>0</v>
      </c>
      <c r="O34" s="17">
        <f>'TUSD BE'!$O$34*'TUSD BF'!$O$58</f>
        <v>0</v>
      </c>
      <c r="P34" s="17">
        <f>'TUSD BE'!$P$34*'TUSD BF'!$P$58</f>
        <v>0</v>
      </c>
      <c r="Q34" s="17">
        <f>'TUSD BE'!$Q$34*'TUSD BF'!$Q$58</f>
        <v>15.328669507817237</v>
      </c>
      <c r="R34" s="17">
        <f>'TUSD BE'!$R$34*'TUSD BF'!$R$58</f>
        <v>3.369286178559058</v>
      </c>
      <c r="S34" s="17">
        <f>'TUSD BE'!$R$34*'TUSD BF'!$S$58</f>
        <v>0</v>
      </c>
      <c r="T34" s="17">
        <f ca="1">SUM($L$34:$S$34)</f>
        <v>19.162079919374445</v>
      </c>
      <c r="U34" s="17">
        <f>'TUSD BE'!$U$34*'TUSD BF'!$U$58</f>
        <v>5.7429098049356337</v>
      </c>
      <c r="V34" s="17">
        <f>'TUSD BE'!$V$34*'TUSD BF'!$V$58</f>
        <v>4.8133162852610516</v>
      </c>
      <c r="W34" s="17">
        <f>'TUSD BE'!$W$34*'TUSD BF'!$W$58</f>
        <v>0</v>
      </c>
      <c r="X34" s="17">
        <f>'TUSD BE'!$X$34*'TUSD BF'!$X$58</f>
        <v>0</v>
      </c>
      <c r="Y34" s="17">
        <f>'TUSD BE'!$Y$34*'TUSD BF'!$Y$58</f>
        <v>0</v>
      </c>
      <c r="Z34" s="17">
        <f>'TUSD BE'!$Z$34*'TUSD BF'!$Z$58</f>
        <v>0</v>
      </c>
      <c r="AA34" s="17">
        <f>'TUSD BE'!$AA$34*'TUSD BF'!$AA$58</f>
        <v>0</v>
      </c>
      <c r="AB34" s="17">
        <f>SUM($U$34:$AA$34)</f>
        <v>10.556226090196684</v>
      </c>
      <c r="AC34" s="17">
        <f>'TUSD BE'!$AC$34*'TUSD BF'!$AC$58</f>
        <v>0</v>
      </c>
      <c r="AD34" s="17">
        <f>SUM($AC$34:$AC$34)</f>
        <v>0</v>
      </c>
      <c r="AE34" s="17">
        <f ca="1">$AO$34*$AO$55</f>
        <v>0</v>
      </c>
      <c r="AF34" s="17">
        <f ca="1">$AP$34*$AP$55</f>
        <v>0</v>
      </c>
      <c r="AG34" s="17">
        <f ca="1">SUM($AE$34:$AF$34)</f>
        <v>0</v>
      </c>
      <c r="AH34" s="17">
        <f>'TUSD BE'!$AH$34*'TUSD BF'!$AH$58</f>
        <v>0.85787769158565008</v>
      </c>
      <c r="AI34" s="17">
        <f>'TUSD BE'!$AI$34*'TUSD BF'!$AI$58</f>
        <v>0</v>
      </c>
      <c r="AJ34" s="17">
        <f ca="1">'TUSD BE'!$AJ$34*'TUSD BF'!$AJ$58</f>
        <v>3.0871380589925886E-2</v>
      </c>
      <c r="AK34" s="17">
        <f ca="1">'TUSD BE'!$AK$34*'TUSD BF'!$AK$58</f>
        <v>0</v>
      </c>
      <c r="AL34" s="17">
        <f ca="1">SUM($AH$34:$AK$34)</f>
        <v>0.88874907217557597</v>
      </c>
      <c r="AM34" s="17">
        <f ca="1">SUMIF($L$4:$AL$4,"SUBTOTAL",$L$34:$AL$34)</f>
        <v>30.607055081746704</v>
      </c>
      <c r="AO34" s="64">
        <f ca="1">+'TUSD BE'!$T$34+'TUSD BE'!$AB$34+'TUSD BE'!$AD$34+'TUSD BE'!$AL$34</f>
        <v>902.97423339459215</v>
      </c>
      <c r="AP34" s="64">
        <f ca="1">+'TUSD BE'!$T$34+'TUSD BE'!$AB$34+'TUSD BE'!$AD$34+'TUSD BE'!$AL$34</f>
        <v>902.97423339459215</v>
      </c>
    </row>
    <row r="35" spans="1:42" ht="11.25" customHeight="1" x14ac:dyDescent="0.25">
      <c r="A35" s="166"/>
      <c r="B35" s="166"/>
      <c r="C35" s="166"/>
      <c r="D35" s="166"/>
      <c r="E35" s="166"/>
      <c r="F35" s="166"/>
      <c r="G35" s="57" t="s">
        <v>92</v>
      </c>
      <c r="H35" s="57" t="s">
        <v>78</v>
      </c>
      <c r="I35" s="57">
        <f>'MERCADO TUSD'!$U$32</f>
        <v>0</v>
      </c>
      <c r="J35" s="16"/>
      <c r="L35" s="17">
        <f>'TUSD BE'!$L$35*'TUSD BF'!$L$58</f>
        <v>0.46412423299815114</v>
      </c>
      <c r="M35" s="17">
        <f>'TUSD BE'!$M$35*'TUSD BF'!$M$58</f>
        <v>0</v>
      </c>
      <c r="N35" s="17">
        <f ca="1">'TUSD BE'!$N$35*'TUSD BF'!$N$58</f>
        <v>0</v>
      </c>
      <c r="O35" s="17">
        <f>'TUSD BE'!$O$35*'TUSD BF'!$O$58</f>
        <v>0</v>
      </c>
      <c r="P35" s="17">
        <f>'TUSD BE'!$P$35*'TUSD BF'!$P$58</f>
        <v>0</v>
      </c>
      <c r="Q35" s="17">
        <f>'TUSD BE'!$Q$35*'TUSD BF'!$Q$58</f>
        <v>15.328669507817237</v>
      </c>
      <c r="R35" s="17">
        <f>'TUSD BE'!$R$35*'TUSD BF'!$R$58</f>
        <v>3.369286178559058</v>
      </c>
      <c r="S35" s="17">
        <f>'TUSD BE'!$R$35*'TUSD BF'!$S$58</f>
        <v>0</v>
      </c>
      <c r="T35" s="17">
        <f ca="1">SUM($L$35:$S$35)</f>
        <v>19.162079919374445</v>
      </c>
      <c r="U35" s="17">
        <f>'TUSD BE'!$U$35*'TUSD BF'!$U$58</f>
        <v>2.2971656278050916</v>
      </c>
      <c r="V35" s="17">
        <f>'TUSD BE'!$V$35*'TUSD BF'!$V$58</f>
        <v>1.9253226676132957</v>
      </c>
      <c r="W35" s="17">
        <f>'TUSD BE'!$W$35*'TUSD BF'!$W$58</f>
        <v>0</v>
      </c>
      <c r="X35" s="17">
        <f>'TUSD BE'!$X$35*'TUSD BF'!$X$58</f>
        <v>0</v>
      </c>
      <c r="Y35" s="17">
        <f>'TUSD BE'!$Y$35*'TUSD BF'!$Y$58</f>
        <v>0</v>
      </c>
      <c r="Z35" s="17">
        <f>'TUSD BE'!$Z$35*'TUSD BF'!$Z$58</f>
        <v>0</v>
      </c>
      <c r="AA35" s="17">
        <f>'TUSD BE'!$AA$35*'TUSD BF'!$AA$58</f>
        <v>0</v>
      </c>
      <c r="AB35" s="17">
        <f>SUM($U$35:$AA$35)</f>
        <v>4.2224882954183869</v>
      </c>
      <c r="AC35" s="17">
        <f>'TUSD BE'!$AC$35*'TUSD BF'!$AC$58</f>
        <v>0</v>
      </c>
      <c r="AD35" s="17">
        <f>SUM($AC$35:$AC$35)</f>
        <v>0</v>
      </c>
      <c r="AE35" s="17">
        <f ca="1">$AO$35*$AO$55</f>
        <v>0</v>
      </c>
      <c r="AF35" s="17">
        <f ca="1">$AP$35*$AP$55</f>
        <v>0</v>
      </c>
      <c r="AG35" s="17">
        <f ca="1">SUM($AE$35:$AF$35)</f>
        <v>0</v>
      </c>
      <c r="AH35" s="17">
        <f>'TUSD BE'!$AH$35*'TUSD BF'!$AH$58</f>
        <v>0.85787769158565008</v>
      </c>
      <c r="AI35" s="17">
        <f>'TUSD BE'!$AI$35*'TUSD BF'!$AI$58</f>
        <v>0</v>
      </c>
      <c r="AJ35" s="17">
        <f ca="1">'TUSD BE'!$AJ$35*'TUSD BF'!$AJ$58</f>
        <v>3.0871380589925886E-2</v>
      </c>
      <c r="AK35" s="17">
        <f ca="1">'TUSD BE'!$AK$35*'TUSD BF'!$AK$58</f>
        <v>0</v>
      </c>
      <c r="AL35" s="17">
        <f ca="1">SUM($AH$35:$AK$35)</f>
        <v>0.88874907217557597</v>
      </c>
      <c r="AM35" s="17">
        <f ca="1">SUMIF($L$4:$AL$4,"SUBTOTAL",$L$35:$AL$35)</f>
        <v>24.273317286968407</v>
      </c>
      <c r="AO35" s="64">
        <f ca="1">+'TUSD BE'!$T$35+'TUSD BE'!$AB$35+'TUSD BE'!$AD$35+'TUSD BE'!$AL$35</f>
        <v>439.98086144648727</v>
      </c>
      <c r="AP35" s="64">
        <f ca="1">+'TUSD BE'!$T$35+'TUSD BE'!$AB$35+'TUSD BE'!$AD$35+'TUSD BE'!$AL$35</f>
        <v>439.98086144648727</v>
      </c>
    </row>
    <row r="36" spans="1:42" ht="11.25" customHeight="1" x14ac:dyDescent="0.25">
      <c r="A36" s="166"/>
      <c r="B36" s="166"/>
      <c r="C36" s="166"/>
      <c r="D36" s="166"/>
      <c r="E36" s="166"/>
      <c r="F36" s="166"/>
      <c r="G36" s="57" t="s">
        <v>80</v>
      </c>
      <c r="H36" s="57" t="s">
        <v>78</v>
      </c>
      <c r="I36" s="57">
        <f>'MERCADO TUSD'!$U$33</f>
        <v>0</v>
      </c>
      <c r="J36" s="16"/>
      <c r="L36" s="17">
        <f>'TUSD BE'!$L$36*'TUSD BF'!$L$58</f>
        <v>0.46412423299815114</v>
      </c>
      <c r="M36" s="17">
        <f>'TUSD BE'!$M$36*'TUSD BF'!$M$58</f>
        <v>0</v>
      </c>
      <c r="N36" s="17">
        <f ca="1">'TUSD BE'!$N$36*'TUSD BF'!$N$58</f>
        <v>0</v>
      </c>
      <c r="O36" s="17">
        <f>'TUSD BE'!$O$36*'TUSD BF'!$O$58</f>
        <v>0</v>
      </c>
      <c r="P36" s="17">
        <f>'TUSD BE'!$P$36*'TUSD BF'!$P$58</f>
        <v>0</v>
      </c>
      <c r="Q36" s="17">
        <f>'TUSD BE'!$Q$36*'TUSD BF'!$Q$58</f>
        <v>15.328669507817237</v>
      </c>
      <c r="R36" s="17">
        <f>'TUSD BE'!$R$36*'TUSD BF'!$R$58</f>
        <v>3.369286178559058</v>
      </c>
      <c r="S36" s="17">
        <f>'TUSD BE'!$R$36*'TUSD BF'!$S$58</f>
        <v>0</v>
      </c>
      <c r="T36" s="17">
        <f ca="1">SUM($L$36:$S$36)</f>
        <v>19.162079919374445</v>
      </c>
      <c r="U36" s="17">
        <f>'TUSD BE'!$U$36*'TUSD BF'!$U$58</f>
        <v>1.1485785493254497</v>
      </c>
      <c r="V36" s="17">
        <f>'TUSD BE'!$V$36*'TUSD BF'!$V$58</f>
        <v>0.96266133380664787</v>
      </c>
      <c r="W36" s="17">
        <f>'TUSD BE'!$W$36*'TUSD BF'!$W$58</f>
        <v>0</v>
      </c>
      <c r="X36" s="17">
        <f>'TUSD BE'!$X$36*'TUSD BF'!$X$58</f>
        <v>0</v>
      </c>
      <c r="Y36" s="17">
        <f>'TUSD BE'!$Y$36*'TUSD BF'!$Y$58</f>
        <v>0</v>
      </c>
      <c r="Z36" s="17">
        <f>'TUSD BE'!$Z$36*'TUSD BF'!$Z$58</f>
        <v>0</v>
      </c>
      <c r="AA36" s="17">
        <f>'TUSD BE'!$AA$36*'TUSD BF'!$AA$58</f>
        <v>0</v>
      </c>
      <c r="AB36" s="17">
        <f>SUM($U$36:$AA$36)</f>
        <v>2.1112398831320975</v>
      </c>
      <c r="AC36" s="17">
        <f>'TUSD BE'!$AC$36*'TUSD BF'!$AC$58</f>
        <v>0</v>
      </c>
      <c r="AD36" s="17">
        <f>SUM($AC$36:$AC$36)</f>
        <v>0</v>
      </c>
      <c r="AE36" s="17">
        <f ca="1">$AO$36*$AO$55</f>
        <v>0</v>
      </c>
      <c r="AF36" s="17">
        <f ca="1">$AP$36*$AP$55</f>
        <v>0</v>
      </c>
      <c r="AG36" s="17">
        <f ca="1">SUM($AE$36:$AF$36)</f>
        <v>0</v>
      </c>
      <c r="AH36" s="17">
        <f>'TUSD BE'!$AH$36*'TUSD BF'!$AH$58</f>
        <v>0.85787769158565008</v>
      </c>
      <c r="AI36" s="17">
        <f>'TUSD BE'!$AI$36*'TUSD BF'!$AI$58</f>
        <v>0</v>
      </c>
      <c r="AJ36" s="17">
        <f ca="1">'TUSD BE'!$AJ$36*'TUSD BF'!$AJ$58</f>
        <v>3.0871380589925886E-2</v>
      </c>
      <c r="AK36" s="17">
        <f ca="1">'TUSD BE'!$AK$36*'TUSD BF'!$AK$58</f>
        <v>0</v>
      </c>
      <c r="AL36" s="17">
        <f ca="1">SUM($AH$36:$AK$36)</f>
        <v>0.88874907217557597</v>
      </c>
      <c r="AM36" s="17">
        <f ca="1">SUMIF($L$4:$AL$4,"SUBTOTAL",$L$36:$AL$36)</f>
        <v>22.162068874682117</v>
      </c>
      <c r="AO36" s="64">
        <f ca="1">+'TUSD BE'!$T$36+'TUSD BE'!$AB$36+'TUSD BE'!$AD$36+'TUSD BE'!$AL$36</f>
        <v>285.64962617959338</v>
      </c>
      <c r="AP36" s="64">
        <f ca="1">+'TUSD BE'!$T$36+'TUSD BE'!$AB$36+'TUSD BE'!$AD$36+'TUSD BE'!$AL$36</f>
        <v>285.64962617959338</v>
      </c>
    </row>
    <row r="37" spans="1:42" ht="11.25" customHeight="1" x14ac:dyDescent="0.25">
      <c r="A37" s="166"/>
      <c r="B37" s="62" t="s">
        <v>23</v>
      </c>
      <c r="C37" s="62" t="s">
        <v>43</v>
      </c>
      <c r="D37" s="62" t="s">
        <v>95</v>
      </c>
      <c r="E37" s="62" t="s">
        <v>25</v>
      </c>
      <c r="F37" s="62" t="s">
        <v>25</v>
      </c>
      <c r="G37" s="57" t="s">
        <v>82</v>
      </c>
      <c r="H37" s="57" t="s">
        <v>78</v>
      </c>
      <c r="I37" s="57">
        <f>'MERCADO TUSD'!$U$34</f>
        <v>0</v>
      </c>
      <c r="J37" s="16"/>
      <c r="L37" s="17">
        <f>'TUSD BE'!$L$37*'TUSD BF'!$L$58</f>
        <v>0.46412423299815114</v>
      </c>
      <c r="M37" s="17">
        <f>'TUSD BE'!$M$37*'TUSD BF'!$M$58</f>
        <v>0</v>
      </c>
      <c r="N37" s="17">
        <f ca="1">'TUSD BE'!$N$37*'TUSD BF'!$N$58</f>
        <v>0</v>
      </c>
      <c r="O37" s="17">
        <f>'TUSD BE'!$O$37*'TUSD BF'!$O$58</f>
        <v>0</v>
      </c>
      <c r="P37" s="17">
        <f>'TUSD BE'!$P$37*'TUSD BF'!$P$58</f>
        <v>0</v>
      </c>
      <c r="Q37" s="17">
        <f>'TUSD BE'!$Q$37*'TUSD BF'!$Q$58</f>
        <v>15.328669507817237</v>
      </c>
      <c r="R37" s="17">
        <f>'TUSD BE'!$R$37*'TUSD BF'!$R$58</f>
        <v>3.369286178559058</v>
      </c>
      <c r="S37" s="17">
        <f>'TUSD BE'!$R$37*'TUSD BF'!$S$58</f>
        <v>0</v>
      </c>
      <c r="T37" s="17">
        <f ca="1">SUM($L$37:$S$37)</f>
        <v>19.162079919374445</v>
      </c>
      <c r="U37" s="17">
        <f>'TUSD BE'!$U$37*'TUSD BF'!$U$58</f>
        <v>1.7402715631178562</v>
      </c>
      <c r="V37" s="17">
        <f>'TUSD BE'!$V$37*'TUSD BF'!$V$58</f>
        <v>1.4585798183008205</v>
      </c>
      <c r="W37" s="17">
        <f>'TUSD BE'!$W$37*'TUSD BF'!$W$58</f>
        <v>0</v>
      </c>
      <c r="X37" s="17">
        <f>'TUSD BE'!$X$37*'TUSD BF'!$X$58</f>
        <v>0</v>
      </c>
      <c r="Y37" s="17">
        <f>'TUSD BE'!$Y$37*'TUSD BF'!$Y$58</f>
        <v>0</v>
      </c>
      <c r="Z37" s="17">
        <f>'TUSD BE'!$Z$37*'TUSD BF'!$Z$58</f>
        <v>0</v>
      </c>
      <c r="AA37" s="17">
        <f>'TUSD BE'!$AA$37*'TUSD BF'!$AA$58</f>
        <v>0</v>
      </c>
      <c r="AB37" s="17">
        <f>SUM($U$37:$AA$37)</f>
        <v>3.1988513814186765</v>
      </c>
      <c r="AC37" s="17">
        <f>'TUSD BE'!$AC$37*'TUSD BF'!$AC$58</f>
        <v>0</v>
      </c>
      <c r="AD37" s="17">
        <f>SUM($AC$37:$AC$37)</f>
        <v>0</v>
      </c>
      <c r="AE37" s="17">
        <f ca="1">$AO$37*$AO$55</f>
        <v>0</v>
      </c>
      <c r="AF37" s="17">
        <f ca="1">$AP$37*$AP$55</f>
        <v>0</v>
      </c>
      <c r="AG37" s="17">
        <f ca="1">SUM($AE$37:$AF$37)</f>
        <v>0</v>
      </c>
      <c r="AH37" s="17">
        <f>'TUSD BE'!$AH$37*'TUSD BF'!$AH$58</f>
        <v>0.85787769158565008</v>
      </c>
      <c r="AI37" s="17">
        <f>'TUSD BE'!$AI$37*'TUSD BF'!$AI$58</f>
        <v>0</v>
      </c>
      <c r="AJ37" s="17">
        <f ca="1">'TUSD BE'!$AJ$37*'TUSD BF'!$AJ$58</f>
        <v>3.0871380589925886E-2</v>
      </c>
      <c r="AK37" s="17">
        <f ca="1">'TUSD BE'!$AK$37*'TUSD BF'!$AK$58</f>
        <v>0</v>
      </c>
      <c r="AL37" s="17">
        <f ca="1">SUM($AH$37:$AK$37)</f>
        <v>0.88874907217557597</v>
      </c>
      <c r="AM37" s="17">
        <f ca="1">SUMIF($L$4:$AL$4,"SUBTOTAL",$L$37:$AL$37)</f>
        <v>23.249680372968697</v>
      </c>
      <c r="AO37" s="64">
        <f ca="1">+'TUSD BE'!$T$37+'TUSD BE'!$AB$37+'TUSD BE'!$AD$37+'TUSD BE'!$AL$37</f>
        <v>365.15363194092691</v>
      </c>
      <c r="AP37" s="64">
        <f ca="1">+'TUSD BE'!$T$37+'TUSD BE'!$AB$37+'TUSD BE'!$AD$37+'TUSD BE'!$AL$37</f>
        <v>365.15363194092691</v>
      </c>
    </row>
    <row r="38" spans="1:42" ht="11.25" customHeight="1" x14ac:dyDescent="0.25">
      <c r="A38" s="166"/>
      <c r="B38" s="166" t="s">
        <v>32</v>
      </c>
      <c r="C38" s="166" t="s">
        <v>43</v>
      </c>
      <c r="D38" s="166" t="s">
        <v>96</v>
      </c>
      <c r="E38" s="166" t="s">
        <v>25</v>
      </c>
      <c r="F38" s="166" t="s">
        <v>25</v>
      </c>
      <c r="G38" s="57" t="s">
        <v>79</v>
      </c>
      <c r="H38" s="57" t="s">
        <v>78</v>
      </c>
      <c r="I38" s="57">
        <f>'MERCADO TUSD'!$U$35</f>
        <v>0</v>
      </c>
      <c r="J38" s="16"/>
      <c r="L38" s="17">
        <f>'TUSD BE'!$L$38*'TUSD BF'!$L$58</f>
        <v>0.46412423299815114</v>
      </c>
      <c r="M38" s="17">
        <f>'TUSD BE'!$M$38*'TUSD BF'!$M$58</f>
        <v>0</v>
      </c>
      <c r="N38" s="17">
        <f ca="1">'TUSD BE'!$N$38*'TUSD BF'!$N$58</f>
        <v>0</v>
      </c>
      <c r="O38" s="17">
        <f>'TUSD BE'!$O$38*'TUSD BF'!$O$58</f>
        <v>0</v>
      </c>
      <c r="P38" s="17">
        <f>'TUSD BE'!$P$38*'TUSD BF'!$P$58</f>
        <v>0</v>
      </c>
      <c r="Q38" s="17">
        <f>'TUSD BE'!$Q$38*'TUSD BF'!$Q$58</f>
        <v>15.328669507817237</v>
      </c>
      <c r="R38" s="17">
        <f>'TUSD BE'!$R$38*'TUSD BF'!$R$58</f>
        <v>3.369286178559058</v>
      </c>
      <c r="S38" s="17">
        <f>'TUSD BE'!$R$38*'TUSD BF'!$S$58</f>
        <v>0</v>
      </c>
      <c r="T38" s="17">
        <f ca="1">SUM($L$38:$S$38)</f>
        <v>19.162079919374445</v>
      </c>
      <c r="U38" s="17">
        <f>'TUSD BE'!$U$38*'TUSD BF'!$U$58</f>
        <v>5.7429098049356337</v>
      </c>
      <c r="V38" s="17">
        <f>'TUSD BE'!$V$38*'TUSD BF'!$V$58</f>
        <v>4.8133162852610516</v>
      </c>
      <c r="W38" s="17">
        <f>'TUSD BE'!$W$38*'TUSD BF'!$W$58</f>
        <v>0</v>
      </c>
      <c r="X38" s="17">
        <f>'TUSD BE'!$X$38*'TUSD BF'!$X$58</f>
        <v>0</v>
      </c>
      <c r="Y38" s="17">
        <f>'TUSD BE'!$Y$38*'TUSD BF'!$Y$58</f>
        <v>0</v>
      </c>
      <c r="Z38" s="17">
        <f>'TUSD BE'!$Z$38*'TUSD BF'!$Z$58</f>
        <v>0</v>
      </c>
      <c r="AA38" s="17">
        <f>'TUSD BE'!$AA$38*'TUSD BF'!$AA$58</f>
        <v>0</v>
      </c>
      <c r="AB38" s="17">
        <f>SUM($U$38:$AA$38)</f>
        <v>10.556226090196684</v>
      </c>
      <c r="AC38" s="17">
        <f>'TUSD BE'!$AC$38*'TUSD BF'!$AC$58</f>
        <v>0</v>
      </c>
      <c r="AD38" s="17">
        <f>SUM($AC$38:$AC$38)</f>
        <v>0</v>
      </c>
      <c r="AE38" s="17">
        <f ca="1">$AO$38*$AO$55</f>
        <v>0</v>
      </c>
      <c r="AF38" s="17">
        <f ca="1">$AP$38*$AP$55</f>
        <v>0</v>
      </c>
      <c r="AG38" s="17">
        <f ca="1">SUM($AE$38:$AF$38)</f>
        <v>0</v>
      </c>
      <c r="AH38" s="17">
        <f>'TUSD BE'!$AH$38*'TUSD BF'!$AH$58</f>
        <v>0.85787769158565008</v>
      </c>
      <c r="AI38" s="17">
        <f>'TUSD BE'!$AI$38*'TUSD BF'!$AI$58</f>
        <v>0</v>
      </c>
      <c r="AJ38" s="17">
        <f ca="1">'TUSD BE'!$AJ$38*'TUSD BF'!$AJ$58</f>
        <v>3.0871380589925886E-2</v>
      </c>
      <c r="AK38" s="17">
        <f ca="1">'TUSD BE'!$AK$38*'TUSD BF'!$AK$58</f>
        <v>0</v>
      </c>
      <c r="AL38" s="17">
        <f ca="1">SUM($AH$38:$AK$38)</f>
        <v>0.88874907217557597</v>
      </c>
      <c r="AM38" s="17">
        <f ca="1">SUMIF($L$4:$AL$4,"SUBTOTAL",$L$38:$AL$38)</f>
        <v>30.607055081746704</v>
      </c>
      <c r="AO38" s="64">
        <f ca="1">+'TUSD BE'!$T$38+'TUSD BE'!$AB$38+'TUSD BE'!$AD$38+'TUSD BE'!$AL$38</f>
        <v>902.97423339459215</v>
      </c>
      <c r="AP38" s="64">
        <f ca="1">+'TUSD BE'!$T$38+'TUSD BE'!$AB$38+'TUSD BE'!$AD$38+'TUSD BE'!$AL$38</f>
        <v>902.97423339459215</v>
      </c>
    </row>
    <row r="39" spans="1:42" ht="11.25" customHeight="1" x14ac:dyDescent="0.25">
      <c r="A39" s="166"/>
      <c r="B39" s="166"/>
      <c r="C39" s="166"/>
      <c r="D39" s="166"/>
      <c r="E39" s="166"/>
      <c r="F39" s="166"/>
      <c r="G39" s="57" t="s">
        <v>92</v>
      </c>
      <c r="H39" s="57" t="s">
        <v>78</v>
      </c>
      <c r="I39" s="57">
        <f>'MERCADO TUSD'!$U$36</f>
        <v>0</v>
      </c>
      <c r="J39" s="16"/>
      <c r="L39" s="17">
        <f>'TUSD BE'!$L$39*'TUSD BF'!$L$58</f>
        <v>0.46412423299815114</v>
      </c>
      <c r="M39" s="17">
        <f>'TUSD BE'!$M$39*'TUSD BF'!$M$58</f>
        <v>0</v>
      </c>
      <c r="N39" s="17">
        <f ca="1">'TUSD BE'!$N$39*'TUSD BF'!$N$58</f>
        <v>0</v>
      </c>
      <c r="O39" s="17">
        <f>'TUSD BE'!$O$39*'TUSD BF'!$O$58</f>
        <v>0</v>
      </c>
      <c r="P39" s="17">
        <f>'TUSD BE'!$P$39*'TUSD BF'!$P$58</f>
        <v>0</v>
      </c>
      <c r="Q39" s="17">
        <f>'TUSD BE'!$Q$39*'TUSD BF'!$Q$58</f>
        <v>15.328669507817237</v>
      </c>
      <c r="R39" s="17">
        <f>'TUSD BE'!$R$39*'TUSD BF'!$R$58</f>
        <v>3.369286178559058</v>
      </c>
      <c r="S39" s="17">
        <f>'TUSD BE'!$R$39*'TUSD BF'!$S$58</f>
        <v>0</v>
      </c>
      <c r="T39" s="17">
        <f ca="1">SUM($L$39:$S$39)</f>
        <v>19.162079919374445</v>
      </c>
      <c r="U39" s="17">
        <f>'TUSD BE'!$U$39*'TUSD BF'!$U$58</f>
        <v>2.2971656278050916</v>
      </c>
      <c r="V39" s="17">
        <f>'TUSD BE'!$V$39*'TUSD BF'!$V$58</f>
        <v>1.9253226676132957</v>
      </c>
      <c r="W39" s="17">
        <f>'TUSD BE'!$W$39*'TUSD BF'!$W$58</f>
        <v>0</v>
      </c>
      <c r="X39" s="17">
        <f>'TUSD BE'!$X$39*'TUSD BF'!$X$58</f>
        <v>0</v>
      </c>
      <c r="Y39" s="17">
        <f>'TUSD BE'!$Y$39*'TUSD BF'!$Y$58</f>
        <v>0</v>
      </c>
      <c r="Z39" s="17">
        <f>'TUSD BE'!$Z$39*'TUSD BF'!$Z$58</f>
        <v>0</v>
      </c>
      <c r="AA39" s="17">
        <f>'TUSD BE'!$AA$39*'TUSD BF'!$AA$58</f>
        <v>0</v>
      </c>
      <c r="AB39" s="17">
        <f>SUM($U$39:$AA$39)</f>
        <v>4.2224882954183869</v>
      </c>
      <c r="AC39" s="17">
        <f>'TUSD BE'!$AC$39*'TUSD BF'!$AC$58</f>
        <v>0</v>
      </c>
      <c r="AD39" s="17">
        <f>SUM($AC$39:$AC$39)</f>
        <v>0</v>
      </c>
      <c r="AE39" s="17">
        <f ca="1">$AO$39*$AO$55</f>
        <v>0</v>
      </c>
      <c r="AF39" s="17">
        <f ca="1">$AP$39*$AP$55</f>
        <v>0</v>
      </c>
      <c r="AG39" s="17">
        <f ca="1">SUM($AE$39:$AF$39)</f>
        <v>0</v>
      </c>
      <c r="AH39" s="17">
        <f>'TUSD BE'!$AH$39*'TUSD BF'!$AH$58</f>
        <v>0.85787769158565008</v>
      </c>
      <c r="AI39" s="17">
        <f>'TUSD BE'!$AI$39*'TUSD BF'!$AI$58</f>
        <v>0</v>
      </c>
      <c r="AJ39" s="17">
        <f ca="1">'TUSD BE'!$AJ$39*'TUSD BF'!$AJ$58</f>
        <v>3.0871380589925886E-2</v>
      </c>
      <c r="AK39" s="17">
        <f ca="1">'TUSD BE'!$AK$39*'TUSD BF'!$AK$58</f>
        <v>0</v>
      </c>
      <c r="AL39" s="17">
        <f ca="1">SUM($AH$39:$AK$39)</f>
        <v>0.88874907217557597</v>
      </c>
      <c r="AM39" s="17">
        <f ca="1">SUMIF($L$4:$AL$4,"SUBTOTAL",$L$39:$AL$39)</f>
        <v>24.273317286968407</v>
      </c>
      <c r="AO39" s="64">
        <f ca="1">+'TUSD BE'!$T$39+'TUSD BE'!$AB$39+'TUSD BE'!$AD$39+'TUSD BE'!$AL$39</f>
        <v>439.98086144648727</v>
      </c>
      <c r="AP39" s="64">
        <f ca="1">+'TUSD BE'!$T$39+'TUSD BE'!$AB$39+'TUSD BE'!$AD$39+'TUSD BE'!$AL$39</f>
        <v>439.98086144648727</v>
      </c>
    </row>
    <row r="40" spans="1:42" ht="11.25" customHeight="1" x14ac:dyDescent="0.25">
      <c r="A40" s="166"/>
      <c r="B40" s="166"/>
      <c r="C40" s="166"/>
      <c r="D40" s="166"/>
      <c r="E40" s="166"/>
      <c r="F40" s="166"/>
      <c r="G40" s="57" t="s">
        <v>80</v>
      </c>
      <c r="H40" s="57" t="s">
        <v>78</v>
      </c>
      <c r="I40" s="57">
        <f>'MERCADO TUSD'!$U$37</f>
        <v>0</v>
      </c>
      <c r="J40" s="16"/>
      <c r="L40" s="17">
        <f>'TUSD BE'!$L$40*'TUSD BF'!$L$58</f>
        <v>0.46412423299815114</v>
      </c>
      <c r="M40" s="17">
        <f>'TUSD BE'!$M$40*'TUSD BF'!$M$58</f>
        <v>0</v>
      </c>
      <c r="N40" s="17">
        <f ca="1">'TUSD BE'!$N$40*'TUSD BF'!$N$58</f>
        <v>0</v>
      </c>
      <c r="O40" s="17">
        <f>'TUSD BE'!$O$40*'TUSD BF'!$O$58</f>
        <v>0</v>
      </c>
      <c r="P40" s="17">
        <f>'TUSD BE'!$P$40*'TUSD BF'!$P$58</f>
        <v>0</v>
      </c>
      <c r="Q40" s="17">
        <f>'TUSD BE'!$Q$40*'TUSD BF'!$Q$58</f>
        <v>15.328669507817237</v>
      </c>
      <c r="R40" s="17">
        <f>'TUSD BE'!$R$40*'TUSD BF'!$R$58</f>
        <v>3.369286178559058</v>
      </c>
      <c r="S40" s="17">
        <f>'TUSD BE'!$R$40*'TUSD BF'!$S$58</f>
        <v>0</v>
      </c>
      <c r="T40" s="17">
        <f ca="1">SUM($L$40:$S$40)</f>
        <v>19.162079919374445</v>
      </c>
      <c r="U40" s="17">
        <f>'TUSD BE'!$U$40*'TUSD BF'!$U$58</f>
        <v>1.1485785493254497</v>
      </c>
      <c r="V40" s="17">
        <f>'TUSD BE'!$V$40*'TUSD BF'!$V$58</f>
        <v>0.96266133380664787</v>
      </c>
      <c r="W40" s="17">
        <f>'TUSD BE'!$W$40*'TUSD BF'!$W$58</f>
        <v>0</v>
      </c>
      <c r="X40" s="17">
        <f>'TUSD BE'!$X$40*'TUSD BF'!$X$58</f>
        <v>0</v>
      </c>
      <c r="Y40" s="17">
        <f>'TUSD BE'!$Y$40*'TUSD BF'!$Y$58</f>
        <v>0</v>
      </c>
      <c r="Z40" s="17">
        <f>'TUSD BE'!$Z$40*'TUSD BF'!$Z$58</f>
        <v>0</v>
      </c>
      <c r="AA40" s="17">
        <f>'TUSD BE'!$AA$40*'TUSD BF'!$AA$58</f>
        <v>0</v>
      </c>
      <c r="AB40" s="17">
        <f>SUM($U$40:$AA$40)</f>
        <v>2.1112398831320975</v>
      </c>
      <c r="AC40" s="17">
        <f>'TUSD BE'!$AC$40*'TUSD BF'!$AC$58</f>
        <v>0</v>
      </c>
      <c r="AD40" s="17">
        <f>SUM($AC$40:$AC$40)</f>
        <v>0</v>
      </c>
      <c r="AE40" s="17">
        <f ca="1">$AO$40*$AO$55</f>
        <v>0</v>
      </c>
      <c r="AF40" s="17">
        <f ca="1">$AP$40*$AP$55</f>
        <v>0</v>
      </c>
      <c r="AG40" s="17">
        <f ca="1">SUM($AE$40:$AF$40)</f>
        <v>0</v>
      </c>
      <c r="AH40" s="17">
        <f>'TUSD BE'!$AH$40*'TUSD BF'!$AH$58</f>
        <v>0.85787769158565008</v>
      </c>
      <c r="AI40" s="17">
        <f>'TUSD BE'!$AI$40*'TUSD BF'!$AI$58</f>
        <v>0</v>
      </c>
      <c r="AJ40" s="17">
        <f ca="1">'TUSD BE'!$AJ$40*'TUSD BF'!$AJ$58</f>
        <v>3.0871380589925886E-2</v>
      </c>
      <c r="AK40" s="17">
        <f ca="1">'TUSD BE'!$AK$40*'TUSD BF'!$AK$58</f>
        <v>0</v>
      </c>
      <c r="AL40" s="17">
        <f ca="1">SUM($AH$40:$AK$40)</f>
        <v>0.88874907217557597</v>
      </c>
      <c r="AM40" s="17">
        <f ca="1">SUMIF($L$4:$AL$4,"SUBTOTAL",$L$40:$AL$40)</f>
        <v>22.162068874682117</v>
      </c>
      <c r="AO40" s="64">
        <f ca="1">+'TUSD BE'!$T$40+'TUSD BE'!$AB$40+'TUSD BE'!$AD$40+'TUSD BE'!$AL$40</f>
        <v>285.64962617959338</v>
      </c>
      <c r="AP40" s="64">
        <f ca="1">+'TUSD BE'!$T$40+'TUSD BE'!$AB$40+'TUSD BE'!$AD$40+'TUSD BE'!$AL$40</f>
        <v>285.64962617959338</v>
      </c>
    </row>
    <row r="41" spans="1:42" ht="11.25" customHeight="1" x14ac:dyDescent="0.25">
      <c r="A41" s="166"/>
      <c r="B41" s="62" t="s">
        <v>23</v>
      </c>
      <c r="C41" s="62" t="s">
        <v>43</v>
      </c>
      <c r="D41" s="62" t="s">
        <v>96</v>
      </c>
      <c r="E41" s="62" t="s">
        <v>25</v>
      </c>
      <c r="F41" s="62" t="s">
        <v>25</v>
      </c>
      <c r="G41" s="57" t="s">
        <v>82</v>
      </c>
      <c r="H41" s="57" t="s">
        <v>78</v>
      </c>
      <c r="I41" s="57">
        <f>'MERCADO TUSD'!$U$38</f>
        <v>0</v>
      </c>
      <c r="J41" s="16"/>
      <c r="L41" s="17">
        <f>'TUSD BE'!$L$41*'TUSD BF'!$L$58</f>
        <v>0.46412423299815114</v>
      </c>
      <c r="M41" s="17">
        <f>'TUSD BE'!$M$41*'TUSD BF'!$M$58</f>
        <v>0</v>
      </c>
      <c r="N41" s="17">
        <f ca="1">'TUSD BE'!$N$41*'TUSD BF'!$N$58</f>
        <v>0</v>
      </c>
      <c r="O41" s="17">
        <f>'TUSD BE'!$O$41*'TUSD BF'!$O$58</f>
        <v>0</v>
      </c>
      <c r="P41" s="17">
        <f>'TUSD BE'!$P$41*'TUSD BF'!$P$58</f>
        <v>0</v>
      </c>
      <c r="Q41" s="17">
        <f>'TUSD BE'!$Q$41*'TUSD BF'!$Q$58</f>
        <v>15.328669507817237</v>
      </c>
      <c r="R41" s="17">
        <f>'TUSD BE'!$R$41*'TUSD BF'!$R$58</f>
        <v>3.369286178559058</v>
      </c>
      <c r="S41" s="17">
        <f>'TUSD BE'!$R$41*'TUSD BF'!$S$58</f>
        <v>0</v>
      </c>
      <c r="T41" s="17">
        <f ca="1">SUM($L$41:$S$41)</f>
        <v>19.162079919374445</v>
      </c>
      <c r="U41" s="17">
        <f>'TUSD BE'!$U$41*'TUSD BF'!$U$58</f>
        <v>1.7402715631178562</v>
      </c>
      <c r="V41" s="17">
        <f>'TUSD BE'!$V$41*'TUSD BF'!$V$58</f>
        <v>1.4585798183008205</v>
      </c>
      <c r="W41" s="17">
        <f>'TUSD BE'!$W$41*'TUSD BF'!$W$58</f>
        <v>0</v>
      </c>
      <c r="X41" s="17">
        <f>'TUSD BE'!$X$41*'TUSD BF'!$X$58</f>
        <v>0</v>
      </c>
      <c r="Y41" s="17">
        <f>'TUSD BE'!$Y$41*'TUSD BF'!$Y$58</f>
        <v>0</v>
      </c>
      <c r="Z41" s="17">
        <f>'TUSD BE'!$Z$41*'TUSD BF'!$Z$58</f>
        <v>0</v>
      </c>
      <c r="AA41" s="17">
        <f>'TUSD BE'!$AA$41*'TUSD BF'!$AA$58</f>
        <v>0</v>
      </c>
      <c r="AB41" s="17">
        <f>SUM($U$41:$AA$41)</f>
        <v>3.1988513814186765</v>
      </c>
      <c r="AC41" s="17">
        <f>'TUSD BE'!$AC$41*'TUSD BF'!$AC$58</f>
        <v>0</v>
      </c>
      <c r="AD41" s="17">
        <f>SUM($AC$41:$AC$41)</f>
        <v>0</v>
      </c>
      <c r="AE41" s="17">
        <f ca="1">$AO$41*$AO$55</f>
        <v>0</v>
      </c>
      <c r="AF41" s="17">
        <f ca="1">$AP$41*$AP$55</f>
        <v>0</v>
      </c>
      <c r="AG41" s="17">
        <f ca="1">SUM($AE$41:$AF$41)</f>
        <v>0</v>
      </c>
      <c r="AH41" s="17">
        <f>'TUSD BE'!$AH$41*'TUSD BF'!$AH$58</f>
        <v>0.85787769158565008</v>
      </c>
      <c r="AI41" s="17">
        <f>'TUSD BE'!$AI$41*'TUSD BF'!$AI$58</f>
        <v>0</v>
      </c>
      <c r="AJ41" s="17">
        <f ca="1">'TUSD BE'!$AJ$41*'TUSD BF'!$AJ$58</f>
        <v>3.0871380589925886E-2</v>
      </c>
      <c r="AK41" s="17">
        <f ca="1">'TUSD BE'!$AK$41*'TUSD BF'!$AK$58</f>
        <v>0</v>
      </c>
      <c r="AL41" s="17">
        <f ca="1">SUM($AH$41:$AK$41)</f>
        <v>0.88874907217557597</v>
      </c>
      <c r="AM41" s="17">
        <f ca="1">SUMIF($L$4:$AL$4,"SUBTOTAL",$L$41:$AL$41)</f>
        <v>23.249680372968697</v>
      </c>
      <c r="AO41" s="64">
        <f ca="1">+'TUSD BE'!$T$41+'TUSD BE'!$AB$41+'TUSD BE'!$AD$41+'TUSD BE'!$AL$41</f>
        <v>365.15363194092691</v>
      </c>
      <c r="AP41" s="64">
        <f ca="1">+'TUSD BE'!$T$41+'TUSD BE'!$AB$41+'TUSD BE'!$AD$41+'TUSD BE'!$AL$41</f>
        <v>365.15363194092691</v>
      </c>
    </row>
    <row r="42" spans="1:42" ht="11.25" customHeight="1" x14ac:dyDescent="0.25">
      <c r="A42" s="166"/>
      <c r="B42" s="166" t="s">
        <v>94</v>
      </c>
      <c r="C42" s="166" t="s">
        <v>43</v>
      </c>
      <c r="D42" s="62" t="s">
        <v>25</v>
      </c>
      <c r="E42" s="62" t="s">
        <v>25</v>
      </c>
      <c r="F42" s="62" t="s">
        <v>25</v>
      </c>
      <c r="G42" s="57" t="s">
        <v>82</v>
      </c>
      <c r="H42" s="57" t="s">
        <v>78</v>
      </c>
      <c r="I42" s="57">
        <f>'MERCADO TUSD'!$U$39</f>
        <v>0</v>
      </c>
      <c r="J42" s="16"/>
      <c r="L42" s="17">
        <f>'TUSD BE'!$L$42*'TUSD BF'!$L$58</f>
        <v>0.46412423299815114</v>
      </c>
      <c r="M42" s="17">
        <f>'TUSD BE'!$M$42*'TUSD BF'!$M$58</f>
        <v>0</v>
      </c>
      <c r="N42" s="17">
        <f ca="1">'TUSD BE'!$N$42*'TUSD BF'!$N$58</f>
        <v>0</v>
      </c>
      <c r="O42" s="17">
        <f>'TUSD BE'!$O$42*'TUSD BF'!$O$58</f>
        <v>0</v>
      </c>
      <c r="P42" s="17">
        <f>'TUSD BE'!$P$42*'TUSD BF'!$P$58</f>
        <v>0</v>
      </c>
      <c r="Q42" s="17">
        <f>'TUSD BE'!$Q$42*'TUSD BF'!$Q$58</f>
        <v>15.328669507817237</v>
      </c>
      <c r="R42" s="17">
        <f>'TUSD BE'!$R$42*'TUSD BF'!$R$58</f>
        <v>3.369286178559058</v>
      </c>
      <c r="S42" s="17">
        <f>'TUSD BE'!$R$42*'TUSD BF'!$S$58</f>
        <v>0</v>
      </c>
      <c r="T42" s="17">
        <f ca="1">SUM($L$42:$S$42)</f>
        <v>19.162079919374445</v>
      </c>
      <c r="U42" s="17">
        <f>'TUSD BE'!$U$42*'TUSD BF'!$U$58</f>
        <v>1.7402715631178562</v>
      </c>
      <c r="V42" s="17">
        <f>'TUSD BE'!$V$42*'TUSD BF'!$V$58</f>
        <v>1.4585798183008205</v>
      </c>
      <c r="W42" s="17">
        <f>'TUSD BE'!$W$42*'TUSD BF'!$W$58</f>
        <v>0</v>
      </c>
      <c r="X42" s="17">
        <f>'TUSD BE'!$X$42*'TUSD BF'!$X$58</f>
        <v>0</v>
      </c>
      <c r="Y42" s="17">
        <f>'TUSD BE'!$Y$42*'TUSD BF'!$Y$58</f>
        <v>0</v>
      </c>
      <c r="Z42" s="17">
        <f>'TUSD BE'!$Z$42*'TUSD BF'!$Z$58</f>
        <v>0</v>
      </c>
      <c r="AA42" s="17">
        <f>'TUSD BE'!$AA$42*'TUSD BF'!$AA$58</f>
        <v>0</v>
      </c>
      <c r="AB42" s="17">
        <f>SUM($U$42:$AA$42)</f>
        <v>3.1988513814186765</v>
      </c>
      <c r="AC42" s="17">
        <f>'TUSD BE'!$AC$42*'TUSD BF'!$AC$58</f>
        <v>0</v>
      </c>
      <c r="AD42" s="17">
        <f>SUM($AC$42:$AC$42)</f>
        <v>0</v>
      </c>
      <c r="AE42" s="17">
        <f ca="1">$AO$42*$AO$55</f>
        <v>0</v>
      </c>
      <c r="AF42" s="17">
        <f ca="1">$AP$42*$AP$55</f>
        <v>0</v>
      </c>
      <c r="AG42" s="17">
        <f ca="1">SUM($AE$42:$AF$42)</f>
        <v>0</v>
      </c>
      <c r="AH42" s="17">
        <f>'TUSD BE'!$AH$42*'TUSD BF'!$AH$58</f>
        <v>0.85787769158565008</v>
      </c>
      <c r="AI42" s="17">
        <f>'TUSD BE'!$AI$42*'TUSD BF'!$AI$58</f>
        <v>0</v>
      </c>
      <c r="AJ42" s="17">
        <f ca="1">'TUSD BE'!$AJ$42*'TUSD BF'!$AJ$58</f>
        <v>3.0871380589925886E-2</v>
      </c>
      <c r="AK42" s="17">
        <f ca="1">'TUSD BE'!$AK$42*'TUSD BF'!$AK$58</f>
        <v>0</v>
      </c>
      <c r="AL42" s="17">
        <f ca="1">SUM($AH$42:$AK$42)</f>
        <v>0.88874907217557597</v>
      </c>
      <c r="AM42" s="17">
        <f ca="1">SUMIF($L$4:$AL$4,"SUBTOTAL",$L$42:$AL$42)</f>
        <v>23.249680372968697</v>
      </c>
      <c r="AO42" s="64">
        <f ca="1">+'TUSD BE'!$T$42+'TUSD BE'!$AB$42+'TUSD BE'!$AD$42+'TUSD BE'!$AL$42</f>
        <v>365.15363194092691</v>
      </c>
      <c r="AP42" s="64">
        <f ca="1">+'TUSD BE'!$T$42+'TUSD BE'!$AB$42+'TUSD BE'!$AD$42+'TUSD BE'!$AL$42</f>
        <v>365.15363194092691</v>
      </c>
    </row>
    <row r="43" spans="1:42" ht="11.25" customHeight="1" x14ac:dyDescent="0.25">
      <c r="A43" s="166"/>
      <c r="B43" s="166"/>
      <c r="C43" s="166"/>
      <c r="D43" s="62" t="s">
        <v>95</v>
      </c>
      <c r="E43" s="62" t="s">
        <v>25</v>
      </c>
      <c r="F43" s="62" t="s">
        <v>25</v>
      </c>
      <c r="G43" s="57" t="s">
        <v>82</v>
      </c>
      <c r="H43" s="57" t="s">
        <v>78</v>
      </c>
      <c r="I43" s="57">
        <f>'MERCADO TUSD'!$U$40</f>
        <v>0</v>
      </c>
      <c r="J43" s="16"/>
      <c r="L43" s="17">
        <f>'TUSD BE'!$L$43*'TUSD BF'!$L$58</f>
        <v>0.46412423299815114</v>
      </c>
      <c r="M43" s="17">
        <f>'TUSD BE'!$M$43*'TUSD BF'!$M$58</f>
        <v>0</v>
      </c>
      <c r="N43" s="17">
        <f ca="1">'TUSD BE'!$N$43*'TUSD BF'!$N$58</f>
        <v>0</v>
      </c>
      <c r="O43" s="17">
        <f>'TUSD BE'!$O$43*'TUSD BF'!$O$58</f>
        <v>0</v>
      </c>
      <c r="P43" s="17">
        <f>'TUSD BE'!$P$43*'TUSD BF'!$P$58</f>
        <v>0</v>
      </c>
      <c r="Q43" s="17">
        <f>'TUSD BE'!$Q$43*'TUSD BF'!$Q$58</f>
        <v>15.328669507817237</v>
      </c>
      <c r="R43" s="17">
        <f>'TUSD BE'!$R$43*'TUSD BF'!$R$58</f>
        <v>3.369286178559058</v>
      </c>
      <c r="S43" s="17">
        <f>'TUSD BE'!$R$43*'TUSD BF'!$S$58</f>
        <v>0</v>
      </c>
      <c r="T43" s="17">
        <f ca="1">SUM($L$43:$S$43)</f>
        <v>19.162079919374445</v>
      </c>
      <c r="U43" s="17">
        <f>'TUSD BE'!$U$43*'TUSD BF'!$U$58</f>
        <v>1.7402715631178562</v>
      </c>
      <c r="V43" s="17">
        <f>'TUSD BE'!$V$43*'TUSD BF'!$V$58</f>
        <v>1.4585798183008205</v>
      </c>
      <c r="W43" s="17">
        <f>'TUSD BE'!$W$43*'TUSD BF'!$W$58</f>
        <v>0</v>
      </c>
      <c r="X43" s="17">
        <f>'TUSD BE'!$X$43*'TUSD BF'!$X$58</f>
        <v>0</v>
      </c>
      <c r="Y43" s="17">
        <f>'TUSD BE'!$Y$43*'TUSD BF'!$Y$58</f>
        <v>0</v>
      </c>
      <c r="Z43" s="17">
        <f>'TUSD BE'!$Z$43*'TUSD BF'!$Z$58</f>
        <v>0</v>
      </c>
      <c r="AA43" s="17">
        <f>'TUSD BE'!$AA$43*'TUSD BF'!$AA$58</f>
        <v>0</v>
      </c>
      <c r="AB43" s="17">
        <f>SUM($U$43:$AA$43)</f>
        <v>3.1988513814186765</v>
      </c>
      <c r="AC43" s="17">
        <f>'TUSD BE'!$AC$43*'TUSD BF'!$AC$58</f>
        <v>0</v>
      </c>
      <c r="AD43" s="17">
        <f>SUM($AC$43:$AC$43)</f>
        <v>0</v>
      </c>
      <c r="AE43" s="17">
        <f ca="1">$AO$43*$AO$55</f>
        <v>0</v>
      </c>
      <c r="AF43" s="17">
        <f ca="1">$AP$43*$AP$55</f>
        <v>0</v>
      </c>
      <c r="AG43" s="17">
        <f ca="1">SUM($AE$43:$AF$43)</f>
        <v>0</v>
      </c>
      <c r="AH43" s="17">
        <f>'TUSD BE'!$AH$43*'TUSD BF'!$AH$58</f>
        <v>0.85787769158565008</v>
      </c>
      <c r="AI43" s="17">
        <f>'TUSD BE'!$AI$43*'TUSD BF'!$AI$58</f>
        <v>0</v>
      </c>
      <c r="AJ43" s="17">
        <f ca="1">'TUSD BE'!$AJ$43*'TUSD BF'!$AJ$58</f>
        <v>3.0871380589925886E-2</v>
      </c>
      <c r="AK43" s="17">
        <f ca="1">'TUSD BE'!$AK$43*'TUSD BF'!$AK$58</f>
        <v>0</v>
      </c>
      <c r="AL43" s="17">
        <f ca="1">SUM($AH$43:$AK$43)</f>
        <v>0.88874907217557597</v>
      </c>
      <c r="AM43" s="17">
        <f ca="1">SUMIF($L$4:$AL$4,"SUBTOTAL",$L$43:$AL$43)</f>
        <v>23.249680372968697</v>
      </c>
      <c r="AO43" s="64">
        <f ca="1">+'TUSD BE'!$T$43+'TUSD BE'!$AB$43+'TUSD BE'!$AD$43+'TUSD BE'!$AL$43</f>
        <v>365.15363194092691</v>
      </c>
      <c r="AP43" s="64">
        <f ca="1">+'TUSD BE'!$T$43+'TUSD BE'!$AB$43+'TUSD BE'!$AD$43+'TUSD BE'!$AL$43</f>
        <v>365.15363194092691</v>
      </c>
    </row>
    <row r="44" spans="1:42" ht="11.25" customHeight="1" x14ac:dyDescent="0.25">
      <c r="A44" s="166"/>
      <c r="B44" s="166"/>
      <c r="C44" s="166"/>
      <c r="D44" s="62" t="s">
        <v>96</v>
      </c>
      <c r="E44" s="62" t="s">
        <v>25</v>
      </c>
      <c r="F44" s="62" t="s">
        <v>25</v>
      </c>
      <c r="G44" s="57" t="s">
        <v>82</v>
      </c>
      <c r="H44" s="57" t="s">
        <v>78</v>
      </c>
      <c r="I44" s="57">
        <f>'MERCADO TUSD'!$U$41</f>
        <v>0</v>
      </c>
      <c r="J44" s="16"/>
      <c r="L44" s="17">
        <f>'TUSD BE'!$L$44*'TUSD BF'!$L$58</f>
        <v>0.46412423299815114</v>
      </c>
      <c r="M44" s="17">
        <f>'TUSD BE'!$M$44*'TUSD BF'!$M$58</f>
        <v>0</v>
      </c>
      <c r="N44" s="17">
        <f ca="1">'TUSD BE'!$N$44*'TUSD BF'!$N$58</f>
        <v>0</v>
      </c>
      <c r="O44" s="17">
        <f>'TUSD BE'!$O$44*'TUSD BF'!$O$58</f>
        <v>0</v>
      </c>
      <c r="P44" s="17">
        <f>'TUSD BE'!$P$44*'TUSD BF'!$P$58</f>
        <v>0</v>
      </c>
      <c r="Q44" s="17">
        <f>'TUSD BE'!$Q$44*'TUSD BF'!$Q$58</f>
        <v>15.328669507817237</v>
      </c>
      <c r="R44" s="17">
        <f>'TUSD BE'!$R$44*'TUSD BF'!$R$58</f>
        <v>3.369286178559058</v>
      </c>
      <c r="S44" s="17">
        <f>'TUSD BE'!$R$44*'TUSD BF'!$S$58</f>
        <v>0</v>
      </c>
      <c r="T44" s="17">
        <f ca="1">SUM($L$44:$S$44)</f>
        <v>19.162079919374445</v>
      </c>
      <c r="U44" s="17">
        <f>'TUSD BE'!$U$44*'TUSD BF'!$U$58</f>
        <v>1.7402715631178562</v>
      </c>
      <c r="V44" s="17">
        <f>'TUSD BE'!$V$44*'TUSD BF'!$V$58</f>
        <v>1.4585798183008205</v>
      </c>
      <c r="W44" s="17">
        <f>'TUSD BE'!$W$44*'TUSD BF'!$W$58</f>
        <v>0</v>
      </c>
      <c r="X44" s="17">
        <f>'TUSD BE'!$X$44*'TUSD BF'!$X$58</f>
        <v>0</v>
      </c>
      <c r="Y44" s="17">
        <f>'TUSD BE'!$Y$44*'TUSD BF'!$Y$58</f>
        <v>0</v>
      </c>
      <c r="Z44" s="17">
        <f>'TUSD BE'!$Z$44*'TUSD BF'!$Z$58</f>
        <v>0</v>
      </c>
      <c r="AA44" s="17">
        <f>'TUSD BE'!$AA$44*'TUSD BF'!$AA$58</f>
        <v>0</v>
      </c>
      <c r="AB44" s="17">
        <f>SUM($U$44:$AA$44)</f>
        <v>3.1988513814186765</v>
      </c>
      <c r="AC44" s="17">
        <f>'TUSD BE'!$AC$44*'TUSD BF'!$AC$58</f>
        <v>0</v>
      </c>
      <c r="AD44" s="17">
        <f>SUM($AC$44:$AC$44)</f>
        <v>0</v>
      </c>
      <c r="AE44" s="17">
        <f ca="1">$AO$44*$AO$55</f>
        <v>0</v>
      </c>
      <c r="AF44" s="17">
        <f ca="1">$AP$44*$AP$55</f>
        <v>0</v>
      </c>
      <c r="AG44" s="17">
        <f ca="1">SUM($AE$44:$AF$44)</f>
        <v>0</v>
      </c>
      <c r="AH44" s="17">
        <f>'TUSD BE'!$AH$44*'TUSD BF'!$AH$58</f>
        <v>0.85787769158565008</v>
      </c>
      <c r="AI44" s="17">
        <f>'TUSD BE'!$AI$44*'TUSD BF'!$AI$58</f>
        <v>0</v>
      </c>
      <c r="AJ44" s="17">
        <f ca="1">'TUSD BE'!$AJ$44*'TUSD BF'!$AJ$58</f>
        <v>3.0871380589925886E-2</v>
      </c>
      <c r="AK44" s="17">
        <f ca="1">'TUSD BE'!$AK$44*'TUSD BF'!$AK$58</f>
        <v>0</v>
      </c>
      <c r="AL44" s="17">
        <f ca="1">SUM($AH$44:$AK$44)</f>
        <v>0.88874907217557597</v>
      </c>
      <c r="AM44" s="17">
        <f ca="1">SUMIF($L$4:$AL$4,"SUBTOTAL",$L$44:$AL$44)</f>
        <v>23.249680372968697</v>
      </c>
      <c r="AO44" s="64">
        <f ca="1">+'TUSD BE'!$T$44+'TUSD BE'!$AB$44+'TUSD BE'!$AD$44+'TUSD BE'!$AL$44</f>
        <v>365.15363194092691</v>
      </c>
      <c r="AP44" s="64">
        <f ca="1">+'TUSD BE'!$T$44+'TUSD BE'!$AB$44+'TUSD BE'!$AD$44+'TUSD BE'!$AL$44</f>
        <v>365.15363194092691</v>
      </c>
    </row>
    <row r="45" spans="1:42" ht="11.25" customHeight="1" x14ac:dyDescent="0.25">
      <c r="A45" s="166" t="s">
        <v>36</v>
      </c>
      <c r="B45" s="166" t="s">
        <v>32</v>
      </c>
      <c r="C45" s="166" t="s">
        <v>25</v>
      </c>
      <c r="D45" s="166" t="s">
        <v>25</v>
      </c>
      <c r="E45" s="166" t="s">
        <v>25</v>
      </c>
      <c r="F45" s="166" t="s">
        <v>25</v>
      </c>
      <c r="G45" s="57" t="s">
        <v>79</v>
      </c>
      <c r="H45" s="57" t="s">
        <v>78</v>
      </c>
      <c r="I45" s="57">
        <f>'MERCADO TUSD'!$U$42</f>
        <v>1.1140000000000001</v>
      </c>
      <c r="J45" s="16"/>
      <c r="L45" s="17">
        <f>'TUSD BE'!$L$45*'TUSD BF'!$L$58</f>
        <v>0.46412423299815114</v>
      </c>
      <c r="M45" s="17">
        <f>'TUSD BE'!$M$45*'TUSD BF'!$M$58</f>
        <v>0</v>
      </c>
      <c r="N45" s="17">
        <f ca="1">'TUSD BE'!$N$45*'TUSD BF'!$N$58</f>
        <v>0</v>
      </c>
      <c r="O45" s="17">
        <f>'TUSD BE'!$O$45*'TUSD BF'!$O$58</f>
        <v>0</v>
      </c>
      <c r="P45" s="17">
        <f>'TUSD BE'!$P$45*'TUSD BF'!$P$58</f>
        <v>0</v>
      </c>
      <c r="Q45" s="17">
        <f>'TUSD BE'!$Q$45*'TUSD BF'!$Q$58</f>
        <v>15.328669507817237</v>
      </c>
      <c r="R45" s="17">
        <f>'TUSD BE'!$R$45*'TUSD BF'!$R$58</f>
        <v>3.369286178559058</v>
      </c>
      <c r="S45" s="17">
        <f>'TUSD BE'!$R$45*'TUSD BF'!$S$58</f>
        <v>0</v>
      </c>
      <c r="T45" s="17">
        <f ca="1">SUM($L$45:$S$45)</f>
        <v>19.162079919374445</v>
      </c>
      <c r="U45" s="17">
        <f>'TUSD BE'!$U$45*'TUSD BF'!$U$58</f>
        <v>6.4390167243519381</v>
      </c>
      <c r="V45" s="17">
        <f>'TUSD BE'!$V$45*'TUSD BF'!$V$58</f>
        <v>5.3967424428446922</v>
      </c>
      <c r="W45" s="17">
        <f>'TUSD BE'!$W$45*'TUSD BF'!$W$58</f>
        <v>0</v>
      </c>
      <c r="X45" s="17">
        <f>'TUSD BE'!$X$45*'TUSD BF'!$X$58</f>
        <v>0</v>
      </c>
      <c r="Y45" s="17">
        <f>'TUSD BE'!$Y$45*'TUSD BF'!$Y$58</f>
        <v>0</v>
      </c>
      <c r="Z45" s="17">
        <f>'TUSD BE'!$Z$45*'TUSD BF'!$Z$58</f>
        <v>0</v>
      </c>
      <c r="AA45" s="17">
        <f>'TUSD BE'!$AA$45*'TUSD BF'!$AA$58</f>
        <v>0</v>
      </c>
      <c r="AB45" s="17">
        <f>SUM($U$45:$AA$45)</f>
        <v>11.835759167196631</v>
      </c>
      <c r="AC45" s="17">
        <f>'TUSD BE'!$AC$45*'TUSD BF'!$AC$58</f>
        <v>0</v>
      </c>
      <c r="AD45" s="17">
        <f>SUM($AC$45:$AC$45)</f>
        <v>0</v>
      </c>
      <c r="AE45" s="17">
        <f ca="1">$AO$45*$AO$55</f>
        <v>0</v>
      </c>
      <c r="AF45" s="17">
        <f ca="1">$AP$45*$AP$55</f>
        <v>0</v>
      </c>
      <c r="AG45" s="17">
        <f ca="1">SUM($AE$45:$AF$45)</f>
        <v>0</v>
      </c>
      <c r="AH45" s="17">
        <f>'TUSD BE'!$AH$45*'TUSD BF'!$AH$58</f>
        <v>0.85787769158565008</v>
      </c>
      <c r="AI45" s="17">
        <f>'TUSD BE'!$AI$45*'TUSD BF'!$AI$58</f>
        <v>0</v>
      </c>
      <c r="AJ45" s="17">
        <f ca="1">'TUSD BE'!$AJ$45*'TUSD BF'!$AJ$58</f>
        <v>3.0871380589925886E-2</v>
      </c>
      <c r="AK45" s="17">
        <f ca="1">'TUSD BE'!$AK$45*'TUSD BF'!$AK$58</f>
        <v>0</v>
      </c>
      <c r="AL45" s="17">
        <f ca="1">SUM($AH$45:$AK$45)</f>
        <v>0.88874907217557597</v>
      </c>
      <c r="AM45" s="17">
        <f ca="1">SUMIF($L$4:$AL$4,"SUBTOTAL",$L$45:$AL$45)</f>
        <v>31.886588158746651</v>
      </c>
      <c r="AO45" s="64">
        <f ca="1">+'TUSD BE'!$T$45+'TUSD BE'!$AB$45+'TUSD BE'!$AD$45+'TUSD BE'!$AL$45</f>
        <v>996.50812064257013</v>
      </c>
      <c r="AP45" s="64">
        <f ca="1">+'TUSD BE'!$T$45+'TUSD BE'!$AB$45+'TUSD BE'!$AD$45+'TUSD BE'!$AL$45</f>
        <v>996.50812064257013</v>
      </c>
    </row>
    <row r="46" spans="1:42" ht="11.25" customHeight="1" x14ac:dyDescent="0.25">
      <c r="A46" s="166"/>
      <c r="B46" s="166"/>
      <c r="C46" s="166"/>
      <c r="D46" s="166"/>
      <c r="E46" s="166"/>
      <c r="F46" s="166"/>
      <c r="G46" s="57" t="s">
        <v>92</v>
      </c>
      <c r="H46" s="57" t="s">
        <v>78</v>
      </c>
      <c r="I46" s="57">
        <f>'MERCADO TUSD'!$U$43</f>
        <v>0.48499999999999999</v>
      </c>
      <c r="J46" s="16"/>
      <c r="L46" s="17">
        <f>'TUSD BE'!$L$46*'TUSD BF'!$L$58</f>
        <v>0.46412423299815114</v>
      </c>
      <c r="M46" s="17">
        <f>'TUSD BE'!$M$46*'TUSD BF'!$M$58</f>
        <v>0</v>
      </c>
      <c r="N46" s="17">
        <f ca="1">'TUSD BE'!$N$46*'TUSD BF'!$N$58</f>
        <v>0</v>
      </c>
      <c r="O46" s="17">
        <f>'TUSD BE'!$O$46*'TUSD BF'!$O$58</f>
        <v>0</v>
      </c>
      <c r="P46" s="17">
        <f>'TUSD BE'!$P$46*'TUSD BF'!$P$58</f>
        <v>0</v>
      </c>
      <c r="Q46" s="17">
        <f>'TUSD BE'!$Q$46*'TUSD BF'!$Q$58</f>
        <v>15.328669507817237</v>
      </c>
      <c r="R46" s="17">
        <f>'TUSD BE'!$R$46*'TUSD BF'!$R$58</f>
        <v>3.369286178559058</v>
      </c>
      <c r="S46" s="17">
        <f>'TUSD BE'!$R$46*'TUSD BF'!$S$58</f>
        <v>0</v>
      </c>
      <c r="T46" s="17">
        <f ca="1">SUM($L$46:$S$46)</f>
        <v>19.162079919374445</v>
      </c>
      <c r="U46" s="17">
        <f>'TUSD BE'!$U$46*'TUSD BF'!$U$58</f>
        <v>1.2877999332087107</v>
      </c>
      <c r="V46" s="17">
        <f>'TUSD BE'!$V$46*'TUSD BF'!$V$58</f>
        <v>1.0793446420778137</v>
      </c>
      <c r="W46" s="17">
        <f>'TUSD BE'!$W$46*'TUSD BF'!$W$58</f>
        <v>0</v>
      </c>
      <c r="X46" s="17">
        <f>'TUSD BE'!$X$46*'TUSD BF'!$X$58</f>
        <v>0</v>
      </c>
      <c r="Y46" s="17">
        <f>'TUSD BE'!$Y$46*'TUSD BF'!$Y$58</f>
        <v>0</v>
      </c>
      <c r="Z46" s="17">
        <f>'TUSD BE'!$Z$46*'TUSD BF'!$Z$58</f>
        <v>0</v>
      </c>
      <c r="AA46" s="17">
        <f>'TUSD BE'!$AA$46*'TUSD BF'!$AA$58</f>
        <v>0</v>
      </c>
      <c r="AB46" s="17">
        <f>SUM($U$46:$AA$46)</f>
        <v>2.3671445752865243</v>
      </c>
      <c r="AC46" s="17">
        <f>'TUSD BE'!$AC$46*'TUSD BF'!$AC$58</f>
        <v>0</v>
      </c>
      <c r="AD46" s="17">
        <f>SUM($AC$46:$AC$46)</f>
        <v>0</v>
      </c>
      <c r="AE46" s="17">
        <f ca="1">$AO$46*$AO$55</f>
        <v>0</v>
      </c>
      <c r="AF46" s="17">
        <f ca="1">$AP$46*$AP$55</f>
        <v>0</v>
      </c>
      <c r="AG46" s="17">
        <f ca="1">SUM($AE$46:$AF$46)</f>
        <v>0</v>
      </c>
      <c r="AH46" s="17">
        <f>'TUSD BE'!$AH$46*'TUSD BF'!$AH$58</f>
        <v>0.85787769158565008</v>
      </c>
      <c r="AI46" s="17">
        <f>'TUSD BE'!$AI$46*'TUSD BF'!$AI$58</f>
        <v>0</v>
      </c>
      <c r="AJ46" s="17">
        <f ca="1">'TUSD BE'!$AJ$46*'TUSD BF'!$AJ$58</f>
        <v>3.0871380589925886E-2</v>
      </c>
      <c r="AK46" s="17">
        <f ca="1">'TUSD BE'!$AK$46*'TUSD BF'!$AK$58</f>
        <v>0</v>
      </c>
      <c r="AL46" s="17">
        <f ca="1">SUM($AH$46:$AK$46)</f>
        <v>0.88874907217557597</v>
      </c>
      <c r="AM46" s="17">
        <f ca="1">SUMIF($L$4:$AL$4,"SUBTOTAL",$L$46:$AL$46)</f>
        <v>22.417973566836544</v>
      </c>
      <c r="AO46" s="64">
        <f ca="1">+'TUSD BE'!$T$46+'TUSD BE'!$AB$46+'TUSD BE'!$AD$46+'TUSD BE'!$AL$46</f>
        <v>304.35632933969038</v>
      </c>
      <c r="AP46" s="64">
        <f ca="1">+'TUSD BE'!$T$46+'TUSD BE'!$AB$46+'TUSD BE'!$AD$46+'TUSD BE'!$AL$46</f>
        <v>304.35632933969038</v>
      </c>
    </row>
    <row r="47" spans="1:42" ht="11.25" customHeight="1" x14ac:dyDescent="0.25">
      <c r="A47" s="166"/>
      <c r="B47" s="166"/>
      <c r="C47" s="166"/>
      <c r="D47" s="166"/>
      <c r="E47" s="166"/>
      <c r="F47" s="166"/>
      <c r="G47" s="57" t="s">
        <v>80</v>
      </c>
      <c r="H47" s="57" t="s">
        <v>78</v>
      </c>
      <c r="I47" s="57">
        <f>'MERCADO TUSD'!$U$44</f>
        <v>6.2670000000000003</v>
      </c>
      <c r="J47" s="16"/>
      <c r="L47" s="17">
        <f>'TUSD BE'!$L$47*'TUSD BF'!$L$58</f>
        <v>0.46412423299815114</v>
      </c>
      <c r="M47" s="17">
        <f>'TUSD BE'!$M$47*'TUSD BF'!$M$58</f>
        <v>0</v>
      </c>
      <c r="N47" s="17">
        <f ca="1">'TUSD BE'!$N$47*'TUSD BF'!$N$58</f>
        <v>0</v>
      </c>
      <c r="O47" s="17">
        <f>'TUSD BE'!$O$47*'TUSD BF'!$O$58</f>
        <v>0</v>
      </c>
      <c r="P47" s="17">
        <f>'TUSD BE'!$P$47*'TUSD BF'!$P$58</f>
        <v>0</v>
      </c>
      <c r="Q47" s="17">
        <f>'TUSD BE'!$Q$47*'TUSD BF'!$Q$58</f>
        <v>15.328669507817237</v>
      </c>
      <c r="R47" s="17">
        <f>'TUSD BE'!$R$47*'TUSD BF'!$R$58</f>
        <v>3.369286178559058</v>
      </c>
      <c r="S47" s="17">
        <f>'TUSD BE'!$R$47*'TUSD BF'!$S$58</f>
        <v>0</v>
      </c>
      <c r="T47" s="17">
        <f ca="1">SUM($L$47:$S$47)</f>
        <v>19.162079919374445</v>
      </c>
      <c r="U47" s="17">
        <f>'TUSD BE'!$U$47*'TUSD BF'!$U$58</f>
        <v>1.2877999332087107</v>
      </c>
      <c r="V47" s="17">
        <f>'TUSD BE'!$V$47*'TUSD BF'!$V$58</f>
        <v>1.0793446420778137</v>
      </c>
      <c r="W47" s="17">
        <f>'TUSD BE'!$W$47*'TUSD BF'!$W$58</f>
        <v>0</v>
      </c>
      <c r="X47" s="17">
        <f>'TUSD BE'!$X$47*'TUSD BF'!$X$58</f>
        <v>0</v>
      </c>
      <c r="Y47" s="17">
        <f>'TUSD BE'!$Y$47*'TUSD BF'!$Y$58</f>
        <v>0</v>
      </c>
      <c r="Z47" s="17">
        <f>'TUSD BE'!$Z$47*'TUSD BF'!$Z$58</f>
        <v>0</v>
      </c>
      <c r="AA47" s="17">
        <f>'TUSD BE'!$AA$47*'TUSD BF'!$AA$58</f>
        <v>0</v>
      </c>
      <c r="AB47" s="17">
        <f>SUM($U$47:$AA$47)</f>
        <v>2.3671445752865243</v>
      </c>
      <c r="AC47" s="17">
        <f>'TUSD BE'!$AC$47*'TUSD BF'!$AC$58</f>
        <v>0</v>
      </c>
      <c r="AD47" s="17">
        <f>SUM($AC$47:$AC$47)</f>
        <v>0</v>
      </c>
      <c r="AE47" s="17">
        <f ca="1">$AO$47*$AO$55</f>
        <v>0</v>
      </c>
      <c r="AF47" s="17">
        <f ca="1">$AP$47*$AP$55</f>
        <v>0</v>
      </c>
      <c r="AG47" s="17">
        <f ca="1">SUM($AE$47:$AF$47)</f>
        <v>0</v>
      </c>
      <c r="AH47" s="17">
        <f>'TUSD BE'!$AH$47*'TUSD BF'!$AH$58</f>
        <v>0.85787769158565008</v>
      </c>
      <c r="AI47" s="17">
        <f>'TUSD BE'!$AI$47*'TUSD BF'!$AI$58</f>
        <v>0</v>
      </c>
      <c r="AJ47" s="17">
        <f ca="1">'TUSD BE'!$AJ$47*'TUSD BF'!$AJ$58</f>
        <v>3.0871380589925886E-2</v>
      </c>
      <c r="AK47" s="17">
        <f ca="1">'TUSD BE'!$AK$47*'TUSD BF'!$AK$58</f>
        <v>0</v>
      </c>
      <c r="AL47" s="17">
        <f ca="1">SUM($AH$47:$AK$47)</f>
        <v>0.88874907217557597</v>
      </c>
      <c r="AM47" s="17">
        <f ca="1">SUMIF($L$4:$AL$4,"SUBTOTAL",$L$47:$AL$47)</f>
        <v>22.417973566836544</v>
      </c>
      <c r="AO47" s="64">
        <f ca="1">+'TUSD BE'!$T$47+'TUSD BE'!$AB$47+'TUSD BE'!$AD$47+'TUSD BE'!$AL$47</f>
        <v>304.35632933969038</v>
      </c>
      <c r="AP47" s="64">
        <f ca="1">+'TUSD BE'!$T$47+'TUSD BE'!$AB$47+'TUSD BE'!$AD$47+'TUSD BE'!$AL$47</f>
        <v>304.35632933969038</v>
      </c>
    </row>
    <row r="48" spans="1:42" ht="11.25" customHeight="1" x14ac:dyDescent="0.25">
      <c r="A48" s="166"/>
      <c r="B48" s="62" t="s">
        <v>23</v>
      </c>
      <c r="C48" s="62" t="s">
        <v>25</v>
      </c>
      <c r="D48" s="62" t="s">
        <v>25</v>
      </c>
      <c r="E48" s="62" t="s">
        <v>25</v>
      </c>
      <c r="F48" s="62" t="s">
        <v>25</v>
      </c>
      <c r="G48" s="57" t="s">
        <v>82</v>
      </c>
      <c r="H48" s="57" t="s">
        <v>78</v>
      </c>
      <c r="I48" s="57">
        <f>'MERCADO TUSD'!$U$45</f>
        <v>13646.102000000001</v>
      </c>
      <c r="J48" s="16"/>
      <c r="L48" s="17">
        <f>'TUSD BE'!$L$48*'TUSD BF'!$L$58</f>
        <v>0.46412423299815114</v>
      </c>
      <c r="M48" s="17">
        <f>'TUSD BE'!$M$48*'TUSD BF'!$M$58</f>
        <v>0</v>
      </c>
      <c r="N48" s="17">
        <f ca="1">'TUSD BE'!$N$48*'TUSD BF'!$N$58</f>
        <v>0</v>
      </c>
      <c r="O48" s="17">
        <f>'TUSD BE'!$O$48*'TUSD BF'!$O$58</f>
        <v>0</v>
      </c>
      <c r="P48" s="17">
        <f>'TUSD BE'!$P$48*'TUSD BF'!$P$58</f>
        <v>0</v>
      </c>
      <c r="Q48" s="17">
        <f>'TUSD BE'!$Q$48*'TUSD BF'!$Q$58</f>
        <v>15.328669507817237</v>
      </c>
      <c r="R48" s="17">
        <f>'TUSD BE'!$R$48*'TUSD BF'!$R$58</f>
        <v>3.369286178559058</v>
      </c>
      <c r="S48" s="17">
        <f>'TUSD BE'!$R$48*'TUSD BF'!$S$58</f>
        <v>0</v>
      </c>
      <c r="T48" s="17">
        <f ca="1">SUM($L$48:$S$48)</f>
        <v>19.162079919374445</v>
      </c>
      <c r="U48" s="17">
        <f>'TUSD BE'!$U$48*'TUSD BF'!$U$58</f>
        <v>1.7402715631178562</v>
      </c>
      <c r="V48" s="17">
        <f>'TUSD BE'!$V$48*'TUSD BF'!$V$58</f>
        <v>1.4585798183008205</v>
      </c>
      <c r="W48" s="17">
        <f>'TUSD BE'!$W$48*'TUSD BF'!$W$58</f>
        <v>0</v>
      </c>
      <c r="X48" s="17">
        <f>'TUSD BE'!$X$48*'TUSD BF'!$X$58</f>
        <v>0</v>
      </c>
      <c r="Y48" s="17">
        <f>'TUSD BE'!$Y$48*'TUSD BF'!$Y$58</f>
        <v>0</v>
      </c>
      <c r="Z48" s="17">
        <f>'TUSD BE'!$Z$48*'TUSD BF'!$Z$58</f>
        <v>0</v>
      </c>
      <c r="AA48" s="17">
        <f>'TUSD BE'!$AA$48*'TUSD BF'!$AA$58</f>
        <v>0</v>
      </c>
      <c r="AB48" s="17">
        <f>SUM($U$48:$AA$48)</f>
        <v>3.1988513814186765</v>
      </c>
      <c r="AC48" s="17">
        <f>'TUSD BE'!$AC$48*'TUSD BF'!$AC$58</f>
        <v>0</v>
      </c>
      <c r="AD48" s="17">
        <f>SUM($AC$48:$AC$48)</f>
        <v>0</v>
      </c>
      <c r="AE48" s="17">
        <f ca="1">$AO$48*$AO$55</f>
        <v>0</v>
      </c>
      <c r="AF48" s="17">
        <f ca="1">$AP$48*$AP$55</f>
        <v>0</v>
      </c>
      <c r="AG48" s="17">
        <f ca="1">SUM($AE$48:$AF$48)</f>
        <v>0</v>
      </c>
      <c r="AH48" s="17">
        <f>'TUSD BE'!$AH$48*'TUSD BF'!$AH$58</f>
        <v>0.85787769158565008</v>
      </c>
      <c r="AI48" s="17">
        <f>'TUSD BE'!$AI$48*'TUSD BF'!$AI$58</f>
        <v>0</v>
      </c>
      <c r="AJ48" s="17">
        <f ca="1">'TUSD BE'!$AJ$48*'TUSD BF'!$AJ$58</f>
        <v>3.0871380589925886E-2</v>
      </c>
      <c r="AK48" s="17">
        <f ca="1">'TUSD BE'!$AK$48*'TUSD BF'!$AK$58</f>
        <v>0</v>
      </c>
      <c r="AL48" s="17">
        <f ca="1">SUM($AH$48:$AK$48)</f>
        <v>0.88874907217557597</v>
      </c>
      <c r="AM48" s="17">
        <f ca="1">SUMIF($L$4:$AL$4,"SUBTOTAL",$L$48:$AL$48)</f>
        <v>23.249680372968697</v>
      </c>
      <c r="AO48" s="64">
        <f ca="1">+'TUSD BE'!$T$48+'TUSD BE'!$AB$48+'TUSD BE'!$AD$48+'TUSD BE'!$AL$48</f>
        <v>365.15363194092691</v>
      </c>
      <c r="AP48" s="64">
        <f ca="1">+'TUSD BE'!$T$48+'TUSD BE'!$AB$48+'TUSD BE'!$AD$48+'TUSD BE'!$AL$48</f>
        <v>365.15363194092691</v>
      </c>
    </row>
    <row r="49" spans="1:42" ht="11.25" customHeight="1" x14ac:dyDescent="0.25">
      <c r="A49" s="166"/>
      <c r="B49" s="62" t="s">
        <v>94</v>
      </c>
      <c r="C49" s="62" t="s">
        <v>25</v>
      </c>
      <c r="D49" s="62" t="s">
        <v>25</v>
      </c>
      <c r="E49" s="62" t="s">
        <v>25</v>
      </c>
      <c r="F49" s="62" t="s">
        <v>25</v>
      </c>
      <c r="G49" s="57" t="s">
        <v>82</v>
      </c>
      <c r="H49" s="57" t="s">
        <v>78</v>
      </c>
      <c r="I49" s="57">
        <f>'MERCADO TUSD'!$U$46</f>
        <v>0</v>
      </c>
      <c r="J49" s="16"/>
      <c r="L49" s="17">
        <f>'TUSD BE'!$L$49*'TUSD BF'!$L$58</f>
        <v>0.46412423299815114</v>
      </c>
      <c r="M49" s="17">
        <f>'TUSD BE'!$M$49*'TUSD BF'!$M$58</f>
        <v>0</v>
      </c>
      <c r="N49" s="17">
        <f ca="1">'TUSD BE'!$N$49*'TUSD BF'!$N$58</f>
        <v>0</v>
      </c>
      <c r="O49" s="17">
        <f>'TUSD BE'!$O$49*'TUSD BF'!$O$58</f>
        <v>0</v>
      </c>
      <c r="P49" s="17">
        <f>'TUSD BE'!$P$49*'TUSD BF'!$P$58</f>
        <v>0</v>
      </c>
      <c r="Q49" s="17">
        <f>'TUSD BE'!$Q$49*'TUSD BF'!$Q$58</f>
        <v>15.328669507817237</v>
      </c>
      <c r="R49" s="17">
        <f>'TUSD BE'!$R$49*'TUSD BF'!$R$58</f>
        <v>3.369286178559058</v>
      </c>
      <c r="S49" s="17">
        <f>'TUSD BE'!$R$49*'TUSD BF'!$S$58</f>
        <v>0</v>
      </c>
      <c r="T49" s="17">
        <f ca="1">SUM($L$49:$S$49)</f>
        <v>19.162079919374445</v>
      </c>
      <c r="U49" s="17">
        <f>'TUSD BE'!$U$49*'TUSD BF'!$U$58</f>
        <v>1.7402715631178562</v>
      </c>
      <c r="V49" s="17">
        <f>'TUSD BE'!$V$49*'TUSD BF'!$V$58</f>
        <v>1.4585798183008205</v>
      </c>
      <c r="W49" s="17">
        <f>'TUSD BE'!$W$49*'TUSD BF'!$W$58</f>
        <v>0</v>
      </c>
      <c r="X49" s="17">
        <f>'TUSD BE'!$X$49*'TUSD BF'!$X$58</f>
        <v>0</v>
      </c>
      <c r="Y49" s="17">
        <f>'TUSD BE'!$Y$49*'TUSD BF'!$Y$58</f>
        <v>0</v>
      </c>
      <c r="Z49" s="17">
        <f>'TUSD BE'!$Z$49*'TUSD BF'!$Z$58</f>
        <v>0</v>
      </c>
      <c r="AA49" s="17">
        <f>'TUSD BE'!$AA$49*'TUSD BF'!$AA$58</f>
        <v>0</v>
      </c>
      <c r="AB49" s="17">
        <f>SUM($U$49:$AA$49)</f>
        <v>3.1988513814186765</v>
      </c>
      <c r="AC49" s="17">
        <f>'TUSD BE'!$AC$49*'TUSD BF'!$AC$58</f>
        <v>0</v>
      </c>
      <c r="AD49" s="17">
        <f>SUM($AC$49:$AC$49)</f>
        <v>0</v>
      </c>
      <c r="AE49" s="17">
        <f ca="1">$AO$49*$AO$55</f>
        <v>0</v>
      </c>
      <c r="AF49" s="17">
        <f ca="1">$AP$49*$AP$55</f>
        <v>0</v>
      </c>
      <c r="AG49" s="17">
        <f ca="1">SUM($AE$49:$AF$49)</f>
        <v>0</v>
      </c>
      <c r="AH49" s="17">
        <f>'TUSD BE'!$AH$49*'TUSD BF'!$AH$58</f>
        <v>0.85787769158565008</v>
      </c>
      <c r="AI49" s="17">
        <f>'TUSD BE'!$AI$49*'TUSD BF'!$AI$58</f>
        <v>0</v>
      </c>
      <c r="AJ49" s="17">
        <f ca="1">'TUSD BE'!$AJ$49*'TUSD BF'!$AJ$58</f>
        <v>3.0871380589925886E-2</v>
      </c>
      <c r="AK49" s="17">
        <f ca="1">'TUSD BE'!$AK$49*'TUSD BF'!$AK$58</f>
        <v>0</v>
      </c>
      <c r="AL49" s="17">
        <f ca="1">SUM($AH$49:$AK$49)</f>
        <v>0.88874907217557597</v>
      </c>
      <c r="AM49" s="17">
        <f ca="1">SUMIF($L$4:$AL$4,"SUBTOTAL",$L$49:$AL$49)</f>
        <v>23.249680372968697</v>
      </c>
      <c r="AO49" s="64">
        <f ca="1">+'TUSD BE'!$T$49+'TUSD BE'!$AB$49+'TUSD BE'!$AD$49+'TUSD BE'!$AL$49</f>
        <v>365.15363194092691</v>
      </c>
      <c r="AP49" s="64">
        <f ca="1">+'TUSD BE'!$T$49+'TUSD BE'!$AB$49+'TUSD BE'!$AD$49+'TUSD BE'!$AL$49</f>
        <v>365.15363194092691</v>
      </c>
    </row>
    <row r="50" spans="1:42" ht="11.25" customHeight="1" x14ac:dyDescent="0.25">
      <c r="A50" s="166" t="s">
        <v>45</v>
      </c>
      <c r="B50" s="166" t="s">
        <v>23</v>
      </c>
      <c r="C50" s="166" t="s">
        <v>46</v>
      </c>
      <c r="D50" s="62" t="s">
        <v>47</v>
      </c>
      <c r="E50" s="62" t="s">
        <v>25</v>
      </c>
      <c r="F50" s="62" t="s">
        <v>25</v>
      </c>
      <c r="G50" s="57" t="s">
        <v>82</v>
      </c>
      <c r="H50" s="57" t="s">
        <v>78</v>
      </c>
      <c r="I50" s="57">
        <f>'MERCADO TUSD'!$U$47</f>
        <v>4914.0960000000005</v>
      </c>
      <c r="J50" s="16"/>
      <c r="L50" s="17">
        <f>'TUSD BE'!$L$50*'TUSD BF'!$L$58</f>
        <v>0.25526832814898315</v>
      </c>
      <c r="M50" s="17">
        <f>'TUSD BE'!$M$50*'TUSD BF'!$M$58</f>
        <v>0</v>
      </c>
      <c r="N50" s="17">
        <f ca="1">'TUSD BE'!$N$50*'TUSD BF'!$N$58</f>
        <v>0</v>
      </c>
      <c r="O50" s="17">
        <f>'TUSD BE'!$O$50*'TUSD BF'!$O$58</f>
        <v>0</v>
      </c>
      <c r="P50" s="17">
        <f>'TUSD BE'!$P$50*'TUSD BF'!$P$58</f>
        <v>0</v>
      </c>
      <c r="Q50" s="17">
        <f>'TUSD BE'!$Q$50*'TUSD BF'!$Q$58</f>
        <v>8.4307682292994812</v>
      </c>
      <c r="R50" s="17">
        <f>'TUSD BE'!$R$50*'TUSD BF'!$R$58</f>
        <v>1.8531073982074822</v>
      </c>
      <c r="S50" s="17">
        <f>'TUSD BE'!$R$50*'TUSD BF'!$S$58</f>
        <v>0</v>
      </c>
      <c r="T50" s="17">
        <f ca="1">SUM($L$50:$S$50)</f>
        <v>10.539143955655947</v>
      </c>
      <c r="U50" s="17">
        <f>'TUSD BE'!$U$50*'TUSD BF'!$U$58</f>
        <v>0.95714935971482107</v>
      </c>
      <c r="V50" s="17">
        <f>'TUSD BE'!$V$50*'TUSD BF'!$V$58</f>
        <v>0.80221890006545127</v>
      </c>
      <c r="W50" s="17">
        <f>'TUSD BE'!$W$50*'TUSD BF'!$W$58</f>
        <v>0</v>
      </c>
      <c r="X50" s="17">
        <f>'TUSD BE'!$X$50*'TUSD BF'!$X$58</f>
        <v>0</v>
      </c>
      <c r="Y50" s="17">
        <f>'TUSD BE'!$Y$50*'TUSD BF'!$Y$58</f>
        <v>0</v>
      </c>
      <c r="Z50" s="17">
        <f>'TUSD BE'!$Z$50*'TUSD BF'!$Z$58</f>
        <v>0</v>
      </c>
      <c r="AA50" s="17">
        <f>'TUSD BE'!$AA$50*'TUSD BF'!$AA$58</f>
        <v>0</v>
      </c>
      <c r="AB50" s="17">
        <f>SUM($U$50:$AA$50)</f>
        <v>1.7593682597802722</v>
      </c>
      <c r="AC50" s="17">
        <f>'TUSD BE'!$AC$50*'TUSD BF'!$AC$58</f>
        <v>0</v>
      </c>
      <c r="AD50" s="17">
        <f>SUM($AC$50:$AC$50)</f>
        <v>0</v>
      </c>
      <c r="AE50" s="17">
        <f ca="1">$AO$50*$AO$55</f>
        <v>0</v>
      </c>
      <c r="AF50" s="17">
        <f ca="1">$AP$50*$AP$55</f>
        <v>0</v>
      </c>
      <c r="AG50" s="17">
        <f ca="1">SUM($AE$50:$AF$50)</f>
        <v>0</v>
      </c>
      <c r="AH50" s="17">
        <f>'TUSD BE'!$AH$50*'TUSD BF'!$AH$58</f>
        <v>0.4718327303721076</v>
      </c>
      <c r="AI50" s="17">
        <f>'TUSD BE'!$AI$50*'TUSD BF'!$AI$58</f>
        <v>0</v>
      </c>
      <c r="AJ50" s="17">
        <f ca="1">'TUSD BE'!$AJ$50*'TUSD BF'!$AJ$58</f>
        <v>1.6979259324459241E-2</v>
      </c>
      <c r="AK50" s="17">
        <f ca="1">'TUSD BE'!$AK$50*'TUSD BF'!$AK$58</f>
        <v>0</v>
      </c>
      <c r="AL50" s="17">
        <f ca="1">SUM($AH$50:$AK$50)</f>
        <v>0.48881198969656686</v>
      </c>
      <c r="AM50" s="17">
        <f ca="1">SUMIF($L$4:$AL$4,"SUBTOTAL",$L$50:$AL$50)</f>
        <v>12.787324205132785</v>
      </c>
      <c r="AO50" s="64">
        <f ca="1">+'TUSD BE'!$T$50+'TUSD BE'!$AB$50+'TUSD BE'!$AD$50+'TUSD BE'!$AL$50</f>
        <v>200.8344975675098</v>
      </c>
      <c r="AP50" s="64">
        <f ca="1">+'TUSD BE'!$T$50+'TUSD BE'!$AB$50+'TUSD BE'!$AD$50+'TUSD BE'!$AL$50</f>
        <v>200.8344975675098</v>
      </c>
    </row>
    <row r="51" spans="1:42" ht="11.25" customHeight="1" x14ac:dyDescent="0.25">
      <c r="A51" s="166"/>
      <c r="B51" s="166"/>
      <c r="C51" s="166"/>
      <c r="D51" s="57" t="s">
        <v>97</v>
      </c>
      <c r="E51" s="57" t="s">
        <v>25</v>
      </c>
      <c r="F51" s="57" t="s">
        <v>25</v>
      </c>
      <c r="G51" s="57" t="s">
        <v>82</v>
      </c>
      <c r="H51" s="57" t="s">
        <v>78</v>
      </c>
      <c r="I51" s="57">
        <f>'MERCADO TUSD'!$U$48</f>
        <v>0</v>
      </c>
      <c r="J51" s="16"/>
      <c r="L51" s="17">
        <f>'TUSD BE'!$L$51*'TUSD BF'!$L$58</f>
        <v>0.2784745397988907</v>
      </c>
      <c r="M51" s="17">
        <f>'TUSD BE'!$M$51*'TUSD BF'!$M$58</f>
        <v>0</v>
      </c>
      <c r="N51" s="17">
        <f ca="1">'TUSD BE'!$N$51*'TUSD BF'!$N$58</f>
        <v>0</v>
      </c>
      <c r="O51" s="17">
        <f>'TUSD BE'!$O$51*'TUSD BF'!$O$58</f>
        <v>0</v>
      </c>
      <c r="P51" s="17">
        <f>'TUSD BE'!$P$51*'TUSD BF'!$P$58</f>
        <v>0</v>
      </c>
      <c r="Q51" s="17">
        <f>'TUSD BE'!$Q$51*'TUSD BF'!$Q$58</f>
        <v>9.1972017046903414</v>
      </c>
      <c r="R51" s="17">
        <f>'TUSD BE'!$R$51*'TUSD BF'!$R$58</f>
        <v>2.0215717071354344</v>
      </c>
      <c r="S51" s="17">
        <f>'TUSD BE'!$R$51*'TUSD BF'!$S$58</f>
        <v>0</v>
      </c>
      <c r="T51" s="17">
        <f ca="1">SUM($L$51:$S$51)</f>
        <v>11.497247951624667</v>
      </c>
      <c r="U51" s="17">
        <f>'TUSD BE'!$U$51*'TUSD BF'!$U$58</f>
        <v>1.0441629378707138</v>
      </c>
      <c r="V51" s="17">
        <f>'TUSD BE'!$V$51*'TUSD BF'!$V$58</f>
        <v>0.87514789098049239</v>
      </c>
      <c r="W51" s="17">
        <f>'TUSD BE'!$W$51*'TUSD BF'!$W$58</f>
        <v>0</v>
      </c>
      <c r="X51" s="17">
        <f>'TUSD BE'!$X$51*'TUSD BF'!$X$58</f>
        <v>0</v>
      </c>
      <c r="Y51" s="17">
        <f>'TUSD BE'!$Y$51*'TUSD BF'!$Y$58</f>
        <v>0</v>
      </c>
      <c r="Z51" s="17">
        <f>'TUSD BE'!$Z$51*'TUSD BF'!$Z$58</f>
        <v>0</v>
      </c>
      <c r="AA51" s="17">
        <f>'TUSD BE'!$AA$51*'TUSD BF'!$AA$58</f>
        <v>0</v>
      </c>
      <c r="AB51" s="17">
        <f>SUM($U$51:$AA$51)</f>
        <v>1.9193108288512062</v>
      </c>
      <c r="AC51" s="17">
        <f>'TUSD BE'!$AC$51*'TUSD BF'!$AC$58</f>
        <v>0</v>
      </c>
      <c r="AD51" s="17">
        <f>SUM($AC$51:$AC$51)</f>
        <v>0</v>
      </c>
      <c r="AE51" s="17">
        <f ca="1">$AO$51*$AO$55</f>
        <v>0</v>
      </c>
      <c r="AF51" s="17">
        <f ca="1">$AP$51*$AP$55</f>
        <v>0</v>
      </c>
      <c r="AG51" s="17">
        <f ca="1">SUM($AE$51:$AF$51)</f>
        <v>0</v>
      </c>
      <c r="AH51" s="17">
        <f>'TUSD BE'!$AH$51*'TUSD BF'!$AH$58</f>
        <v>0.51472661495139005</v>
      </c>
      <c r="AI51" s="17">
        <f>'TUSD BE'!$AI$51*'TUSD BF'!$AI$58</f>
        <v>0</v>
      </c>
      <c r="AJ51" s="17">
        <f ca="1">'TUSD BE'!$AJ$51*'TUSD BF'!$AJ$58</f>
        <v>1.8522828353955533E-2</v>
      </c>
      <c r="AK51" s="17">
        <f ca="1">'TUSD BE'!$AK$51*'TUSD BF'!$AK$58</f>
        <v>0</v>
      </c>
      <c r="AL51" s="17">
        <f ca="1">SUM($AH$51:$AK$51)</f>
        <v>0.53324944330534563</v>
      </c>
      <c r="AM51" s="17">
        <f ca="1">SUMIF($L$4:$AL$4,"SUBTOTAL",$L$51:$AL$51)</f>
        <v>13.949808223781218</v>
      </c>
      <c r="AO51" s="64">
        <f ca="1">+'TUSD BE'!$T$51+'TUSD BE'!$AB$51+'TUSD BE'!$AD$51+'TUSD BE'!$AL$51</f>
        <v>219.09217916455614</v>
      </c>
      <c r="AP51" s="64">
        <f ca="1">+'TUSD BE'!$T$51+'TUSD BE'!$AB$51+'TUSD BE'!$AD$51+'TUSD BE'!$AL$51</f>
        <v>219.09217916455614</v>
      </c>
    </row>
    <row r="53" spans="1:42" ht="11.25" customHeight="1" x14ac:dyDescent="0.25">
      <c r="K53" s="61" t="s">
        <v>582</v>
      </c>
      <c r="L53" s="17">
        <f>SUMPRODUCT($I$5:$I51,$L$5:$L51)</f>
        <v>52600.790343551183</v>
      </c>
      <c r="M53" s="17">
        <f>SUMPRODUCT($I$5:$I51,$M$5:$M51)</f>
        <v>0</v>
      </c>
      <c r="N53" s="17">
        <f ca="1">SUMPRODUCT($I$5:$I51,$N$5:$N51)</f>
        <v>0</v>
      </c>
      <c r="O53" s="17">
        <f>SUMPRODUCT($I$5:$I51,$O$5:$O51)</f>
        <v>0</v>
      </c>
      <c r="P53" s="17">
        <f>SUMPRODUCT($I$5:$I51,$P$5:$P51)</f>
        <v>0</v>
      </c>
      <c r="Q53" s="17">
        <f>SUMPRODUCT($I$5:$I51,$Q$5:$Q51)</f>
        <v>1737250.662</v>
      </c>
      <c r="R53" s="17">
        <f>SUMPRODUCT($I$5:$I51,$R$5:$R51)</f>
        <v>418561.50550000003</v>
      </c>
      <c r="S53" s="17">
        <f>SUMPRODUCT($I$5:$I51,$S$5:$S51)</f>
        <v>0</v>
      </c>
      <c r="T53" s="17">
        <f ca="1">SUMPRODUCT($I$5:$I51,$T$5:$T51)</f>
        <v>2208412.9578435509</v>
      </c>
      <c r="U53" s="17">
        <f>SUMPRODUCT($I$5:$I51,$U$5:$U51)</f>
        <v>257590.31433967408</v>
      </c>
      <c r="V53" s="17">
        <f>SUMPRODUCT($I$5:$I51,$V$5:$V51)</f>
        <v>212579.50196032607</v>
      </c>
      <c r="W53" s="17">
        <f>SUMPRODUCT($I$5:$I51,$W$5:$W51)</f>
        <v>0</v>
      </c>
      <c r="X53" s="17">
        <f>SUMPRODUCT($I$5:$I51,$X$5:$X51)</f>
        <v>0</v>
      </c>
      <c r="Y53" s="17">
        <f>SUMPRODUCT($I$5:$I51,$Y$5:$Y51)</f>
        <v>0</v>
      </c>
      <c r="Z53" s="17">
        <f>SUMPRODUCT($I$5:$I51,$Z$5:$Z51)</f>
        <v>0</v>
      </c>
      <c r="AA53" s="17">
        <f>SUMPRODUCT($I$5:$I51,$AA$5:$AA51)</f>
        <v>0</v>
      </c>
      <c r="AB53" s="17">
        <f>SUMPRODUCT($I$5:$I51,$AB$5:$AB51)</f>
        <v>470169.81630000012</v>
      </c>
      <c r="AC53" s="17">
        <f>SUMPRODUCT($I$5:$I51,$AC$5:$AC51)</f>
        <v>0</v>
      </c>
      <c r="AD53" s="17">
        <f>SUMPRODUCT($I$5:$I51,$AD$5:$AD51)</f>
        <v>0</v>
      </c>
      <c r="AE53" s="17">
        <f ca="1">SUMPRODUCT($I$5:$I51,$AE$5:$AE51)</f>
        <v>0</v>
      </c>
      <c r="AF53" s="17">
        <f ca="1">SUMPRODUCT($I$5:$I51,$AF$5:$AF51)</f>
        <v>0</v>
      </c>
      <c r="AG53" s="17">
        <f ca="1">SUMPRODUCT($I$5:$I51,$AG$5:$AG51)</f>
        <v>0</v>
      </c>
      <c r="AH53" s="17">
        <f>SUMPRODUCT($I$5:$I51,$AH$5:$AH51)</f>
        <v>65906.288633324875</v>
      </c>
      <c r="AI53" s="17">
        <f>SUMPRODUCT($I$5:$I51,$AI$5:$AI51)</f>
        <v>0</v>
      </c>
      <c r="AJ53" s="17">
        <f ca="1">SUMPRODUCT($I$5:$I51,$AJ$5:$AJ51)</f>
        <v>3319.4647446537283</v>
      </c>
      <c r="AK53" s="17">
        <f ca="1">SUMPRODUCT($I$5:$I51,$AK$5:$AK51)</f>
        <v>0</v>
      </c>
      <c r="AL53" s="17">
        <f ca="1">SUMPRODUCT($I$5:$I51,$AL$5:$AL51)</f>
        <v>69225.753377978603</v>
      </c>
      <c r="AM53" s="17">
        <f ca="1">SUMPRODUCT($I$5:$I51,$AM$5:$AM51)</f>
        <v>2747808.5275215302</v>
      </c>
      <c r="AO53" s="57">
        <f ca="1">SUMPRODUCT($I$5:$I51,$AO$5:$AO51)</f>
        <v>38446240.685435116</v>
      </c>
      <c r="AP53" s="57">
        <f ca="1">SUMPRODUCT($I$5:$I51,$AP$5:$AP51)</f>
        <v>38446240.685435116</v>
      </c>
    </row>
    <row r="54" spans="1:42" ht="11.25" customHeight="1" x14ac:dyDescent="0.25">
      <c r="K54" s="61" t="s">
        <v>525</v>
      </c>
      <c r="L54" s="17">
        <f>'TR TUSD'!$L$56</f>
        <v>801843.46340475301</v>
      </c>
      <c r="M54" s="17">
        <f>'TR TUSD'!$M$56</f>
        <v>78461.746657470198</v>
      </c>
      <c r="N54" s="17">
        <f>'TR TUSD'!$N$56</f>
        <v>168067.03071432331</v>
      </c>
      <c r="O54" s="17">
        <f>'TR TUSD'!$O$56</f>
        <v>0</v>
      </c>
      <c r="P54" s="17">
        <f>'TR TUSD'!$P$56</f>
        <v>0</v>
      </c>
      <c r="Q54" s="17">
        <f>'TR TUSD'!$Q$56</f>
        <v>9962170.6825543884</v>
      </c>
      <c r="R54" s="17">
        <f>'TR TUSD'!$R$56</f>
        <v>1726269.2331153487</v>
      </c>
      <c r="S54" s="17">
        <f>'TR TUSD'!$S$56</f>
        <v>0</v>
      </c>
      <c r="T54" s="17">
        <f>'TR TUSD'!$T$56</f>
        <v>12736812.156446284</v>
      </c>
      <c r="U54" s="17">
        <f>'TR TUSD'!$U$56</f>
        <v>4439052</v>
      </c>
      <c r="V54" s="17">
        <f>'TR TUSD'!$V$56</f>
        <v>3663381</v>
      </c>
      <c r="W54" s="17">
        <f>'TR TUSD'!$W$56</f>
        <v>682539.065472143</v>
      </c>
      <c r="X54" s="17">
        <f>'TR TUSD'!$X$56</f>
        <v>0</v>
      </c>
      <c r="Y54" s="17">
        <f>'TR TUSD'!$Y$56</f>
        <v>0</v>
      </c>
      <c r="Z54" s="17">
        <f>'TR TUSD'!$Z$56</f>
        <v>0</v>
      </c>
      <c r="AA54" s="17">
        <f>'TR TUSD'!$AA$56</f>
        <v>0</v>
      </c>
      <c r="AB54" s="17">
        <f>'TR TUSD'!$AB$56</f>
        <v>8784972.0654721428</v>
      </c>
      <c r="AC54" s="17">
        <f>'TR TUSD'!$AC$56</f>
        <v>15266236.414843004</v>
      </c>
      <c r="AD54" s="17">
        <f>'TR TUSD'!$AD$56</f>
        <v>15266236.414843004</v>
      </c>
      <c r="AE54" s="17">
        <f>'TR TUSD'!$AE$56</f>
        <v>0</v>
      </c>
      <c r="AF54" s="17">
        <f>'TR TUSD'!$AF$56</f>
        <v>0</v>
      </c>
      <c r="AG54" s="17">
        <f>'TR TUSD'!$AG$56</f>
        <v>0</v>
      </c>
      <c r="AH54" s="17">
        <f>'TR TUSD'!$AH$56</f>
        <v>1547903.6532732847</v>
      </c>
      <c r="AI54" s="17">
        <f>'TR TUSD'!$AI$56</f>
        <v>0</v>
      </c>
      <c r="AJ54" s="17">
        <f>'TR TUSD'!$AJ$56</f>
        <v>77962.38737927188</v>
      </c>
      <c r="AK54" s="17">
        <f>'TR TUSD'!$AK$56</f>
        <v>32354.008021129412</v>
      </c>
      <c r="AL54" s="17">
        <f>'TR TUSD'!$AL$56</f>
        <v>1658220.0486736861</v>
      </c>
      <c r="AM54" s="17">
        <f>CUSTOS!$D$29</f>
        <v>38446240.685435116</v>
      </c>
      <c r="AO54" s="57">
        <f>$AE$56</f>
        <v>0</v>
      </c>
      <c r="AP54" s="57">
        <f>$AF$56</f>
        <v>0</v>
      </c>
    </row>
    <row r="55" spans="1:42" ht="11.25" customHeight="1" x14ac:dyDescent="0.25">
      <c r="K55" s="61" t="s">
        <v>526</v>
      </c>
      <c r="L55" s="17">
        <f>CUSTOS!$E$2</f>
        <v>-69547.320604305176</v>
      </c>
      <c r="M55" s="17">
        <f>CUSTOS!$E$3</f>
        <v>-3827.8660232869229</v>
      </c>
      <c r="N55" s="17">
        <f>CUSTOS!$E$4</f>
        <v>-6.8718722642662463E-3</v>
      </c>
      <c r="O55" s="17">
        <f>CUSTOS!$E$5</f>
        <v>0</v>
      </c>
      <c r="P55" s="17">
        <f>CUSTOS!$E$6</f>
        <v>0</v>
      </c>
      <c r="Q55" s="17">
        <f>CUSTOS!$E$7</f>
        <v>-375384.78610073053</v>
      </c>
      <c r="R55" s="17">
        <f>CUSTOS!$E$8</f>
        <v>-65727.578377463738</v>
      </c>
      <c r="S55" s="17">
        <f>CUSTOS!$E$9</f>
        <v>0</v>
      </c>
      <c r="T55" s="17">
        <f>CUSTOS!$E$10</f>
        <v>-514487.55797765864</v>
      </c>
      <c r="U55" s="17">
        <f>CUSTOS!$E$11</f>
        <v>-139159.46940852149</v>
      </c>
      <c r="V55" s="17">
        <f>CUSTOS!$E$12</f>
        <v>-95115.907805428113</v>
      </c>
      <c r="W55" s="17">
        <f>CUSTOS!$E$13</f>
        <v>-9712.1759204647551</v>
      </c>
      <c r="X55" s="17">
        <f>CUSTOS!$E$14</f>
        <v>0</v>
      </c>
      <c r="Y55" s="17">
        <f>CUSTOS!$E$15</f>
        <v>0</v>
      </c>
      <c r="Z55" s="17">
        <f>CUSTOS!$E$16</f>
        <v>0</v>
      </c>
      <c r="AA55" s="17">
        <f>CUSTOS!$E$17</f>
        <v>0</v>
      </c>
      <c r="AB55" s="17">
        <f>CUSTOS!$E$18</f>
        <v>-243987.55313441437</v>
      </c>
      <c r="AC55" s="17">
        <f>CUSTOS!$E$19</f>
        <v>-283442.02355059516</v>
      </c>
      <c r="AD55" s="17">
        <f>CUSTOS!$E$20</f>
        <v>-283442.02355059516</v>
      </c>
      <c r="AE55" s="17">
        <f>CUSTOS!$E$21</f>
        <v>-6880851.7402948737</v>
      </c>
      <c r="AF55" s="17">
        <f>CUSTOS!$E$22</f>
        <v>0</v>
      </c>
      <c r="AG55" s="17">
        <f>CUSTOS!$E$23</f>
        <v>-6880851.7402948737</v>
      </c>
      <c r="AH55" s="17">
        <f>CUSTOS!$E$24</f>
        <v>5681.6485744174561</v>
      </c>
      <c r="AI55" s="17">
        <f>CUSTOS!$E$25</f>
        <v>0</v>
      </c>
      <c r="AJ55" s="17">
        <f>CUSTOS!$E$26</f>
        <v>286.16437862584286</v>
      </c>
      <c r="AK55" s="17">
        <f>CUSTOS!$E$27</f>
        <v>15165.650568105193</v>
      </c>
      <c r="AL55" s="17">
        <f>CUSTOS!$E$28</f>
        <v>21133.463521148493</v>
      </c>
      <c r="AM55" s="17">
        <f>CUSTOS!$E$29</f>
        <v>-7901635.4114363939</v>
      </c>
      <c r="AO55" s="57">
        <f ca="1">IF(AO53&lt;&gt;0,AO54/AO53,0)</f>
        <v>0</v>
      </c>
      <c r="AP55" s="57">
        <f ca="1">IF(AP53&lt;&gt;0,AP54/AP53,0)</f>
        <v>0</v>
      </c>
    </row>
    <row r="56" spans="1:42" ht="11.25" customHeight="1" x14ac:dyDescent="0.25">
      <c r="K56" s="61" t="s">
        <v>527</v>
      </c>
      <c r="L56" s="17">
        <f>CUSTOS!$F$2</f>
        <v>52600.790343551183</v>
      </c>
      <c r="M56" s="17">
        <f>CUSTOS!$F$3</f>
        <v>0</v>
      </c>
      <c r="N56" s="17">
        <f>CUSTOS!$F$4</f>
        <v>0</v>
      </c>
      <c r="O56" s="17">
        <f>CUSTOS!$F$5</f>
        <v>0</v>
      </c>
      <c r="P56" s="17">
        <f>CUSTOS!$F$6</f>
        <v>0</v>
      </c>
      <c r="Q56" s="17">
        <f>CUSTOS!$F$7</f>
        <v>1737250.662</v>
      </c>
      <c r="R56" s="17">
        <f>CUSTOS!$F$8</f>
        <v>418561.50550000003</v>
      </c>
      <c r="S56" s="17">
        <f>CUSTOS!$F$9</f>
        <v>0</v>
      </c>
      <c r="T56" s="17">
        <f>CUSTOS!$F$10</f>
        <v>2208412.9578435514</v>
      </c>
      <c r="U56" s="17">
        <f>CUSTOS!$F$11</f>
        <v>257590.31433967402</v>
      </c>
      <c r="V56" s="17">
        <f>CUSTOS!$F$12</f>
        <v>212579.50196032607</v>
      </c>
      <c r="W56" s="17">
        <f>CUSTOS!$F$13</f>
        <v>0</v>
      </c>
      <c r="X56" s="17">
        <f>CUSTOS!$F$14</f>
        <v>0</v>
      </c>
      <c r="Y56" s="17">
        <f>CUSTOS!$F$15</f>
        <v>0</v>
      </c>
      <c r="Z56" s="17">
        <f>CUSTOS!$F$16</f>
        <v>0</v>
      </c>
      <c r="AA56" s="17">
        <f>CUSTOS!$F$17</f>
        <v>0</v>
      </c>
      <c r="AB56" s="17">
        <f>CUSTOS!$F$18</f>
        <v>470169.81630000006</v>
      </c>
      <c r="AC56" s="17">
        <f>CUSTOS!$F$19</f>
        <v>0</v>
      </c>
      <c r="AD56" s="17">
        <f>CUSTOS!$F$20</f>
        <v>0</v>
      </c>
      <c r="AE56" s="17">
        <f>CUSTOS!$F$21</f>
        <v>0</v>
      </c>
      <c r="AF56" s="17">
        <f>CUSTOS!$F$22</f>
        <v>0</v>
      </c>
      <c r="AG56" s="17">
        <f>CUSTOS!$F$23</f>
        <v>0</v>
      </c>
      <c r="AH56" s="17">
        <f>CUSTOS!$F$24</f>
        <v>65906.28863332489</v>
      </c>
      <c r="AI56" s="17">
        <f>CUSTOS!$F$25</f>
        <v>0</v>
      </c>
      <c r="AJ56" s="17">
        <f>CUSTOS!$F$26</f>
        <v>3319.4647446537288</v>
      </c>
      <c r="AK56" s="17">
        <f>CUSTOS!$F$27</f>
        <v>0</v>
      </c>
      <c r="AL56" s="17">
        <f>CUSTOS!$F$28</f>
        <v>69225.753377978617</v>
      </c>
      <c r="AM56" s="17">
        <f>CUSTOS!$F$29</f>
        <v>2747808.5275215302</v>
      </c>
    </row>
    <row r="57" spans="1:42" ht="11.25" customHeight="1" x14ac:dyDescent="0.25">
      <c r="K57" s="61" t="s">
        <v>579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/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/>
      <c r="AC57" s="17">
        <v>0</v>
      </c>
      <c r="AD57" s="17"/>
      <c r="AE57" s="17">
        <v>0</v>
      </c>
      <c r="AF57" s="17">
        <v>0</v>
      </c>
      <c r="AG57" s="17"/>
      <c r="AH57" s="17">
        <v>0</v>
      </c>
      <c r="AI57" s="17">
        <v>0</v>
      </c>
      <c r="AJ57" s="17">
        <v>0</v>
      </c>
      <c r="AK57" s="17">
        <v>0</v>
      </c>
      <c r="AL57" s="17"/>
      <c r="AM57" s="17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1041" priority="55" operator="notEqual">
      <formula>$L$56</formula>
    </cfRule>
    <cfRule type="cellIs" dxfId="1040" priority="56" operator="equal">
      <formula>$L$56</formula>
    </cfRule>
  </conditionalFormatting>
  <conditionalFormatting sqref="M53">
    <cfRule type="cellIs" dxfId="1039" priority="53" operator="notEqual">
      <formula>$M$56</formula>
    </cfRule>
    <cfRule type="cellIs" dxfId="1038" priority="54" operator="equal">
      <formula>$M$56</formula>
    </cfRule>
  </conditionalFormatting>
  <conditionalFormatting sqref="N53">
    <cfRule type="cellIs" dxfId="1037" priority="51" operator="notEqual">
      <formula>$N$56</formula>
    </cfRule>
    <cfRule type="cellIs" dxfId="1036" priority="52" operator="equal">
      <formula>$N$56</formula>
    </cfRule>
  </conditionalFormatting>
  <conditionalFormatting sqref="O53">
    <cfRule type="cellIs" dxfId="1035" priority="49" operator="notEqual">
      <formula>$O$56</formula>
    </cfRule>
    <cfRule type="cellIs" dxfId="1034" priority="50" operator="equal">
      <formula>$O$56</formula>
    </cfRule>
  </conditionalFormatting>
  <conditionalFormatting sqref="P53">
    <cfRule type="cellIs" dxfId="1033" priority="47" operator="notEqual">
      <formula>$P$56</formula>
    </cfRule>
    <cfRule type="cellIs" dxfId="1032" priority="48" operator="equal">
      <formula>$P$56</formula>
    </cfRule>
  </conditionalFormatting>
  <conditionalFormatting sqref="Q53">
    <cfRule type="cellIs" dxfId="1031" priority="45" operator="notEqual">
      <formula>$Q$56</formula>
    </cfRule>
    <cfRule type="cellIs" dxfId="1030" priority="46" operator="equal">
      <formula>$Q$56</formula>
    </cfRule>
  </conditionalFormatting>
  <conditionalFormatting sqref="R53">
    <cfRule type="cellIs" dxfId="1029" priority="43" operator="notEqual">
      <formula>$R$56</formula>
    </cfRule>
    <cfRule type="cellIs" dxfId="1028" priority="44" operator="equal">
      <formula>$R$56</formula>
    </cfRule>
  </conditionalFormatting>
  <conditionalFormatting sqref="S53">
    <cfRule type="cellIs" dxfId="1027" priority="41" operator="notEqual">
      <formula>$S$56</formula>
    </cfRule>
    <cfRule type="cellIs" dxfId="1026" priority="42" operator="equal">
      <formula>$S$56</formula>
    </cfRule>
  </conditionalFormatting>
  <conditionalFormatting sqref="T53">
    <cfRule type="cellIs" dxfId="1025" priority="39" operator="notEqual">
      <formula>$T$56</formula>
    </cfRule>
    <cfRule type="cellIs" dxfId="1024" priority="40" operator="equal">
      <formula>$T$56</formula>
    </cfRule>
  </conditionalFormatting>
  <conditionalFormatting sqref="U53">
    <cfRule type="cellIs" dxfId="1023" priority="37" operator="notEqual">
      <formula>$U$56</formula>
    </cfRule>
    <cfRule type="cellIs" dxfId="1022" priority="38" operator="equal">
      <formula>$U$56</formula>
    </cfRule>
  </conditionalFormatting>
  <conditionalFormatting sqref="V53">
    <cfRule type="cellIs" dxfId="1021" priority="35" operator="notEqual">
      <formula>$V$56</formula>
    </cfRule>
    <cfRule type="cellIs" dxfId="1020" priority="36" operator="equal">
      <formula>$V$56</formula>
    </cfRule>
  </conditionalFormatting>
  <conditionalFormatting sqref="W53">
    <cfRule type="cellIs" dxfId="1019" priority="33" operator="notEqual">
      <formula>$W$56</formula>
    </cfRule>
    <cfRule type="cellIs" dxfId="1018" priority="34" operator="equal">
      <formula>$W$56</formula>
    </cfRule>
  </conditionalFormatting>
  <conditionalFormatting sqref="X53">
    <cfRule type="cellIs" dxfId="1017" priority="31" operator="notEqual">
      <formula>$X$56</formula>
    </cfRule>
    <cfRule type="cellIs" dxfId="1016" priority="32" operator="equal">
      <formula>$X$56</formula>
    </cfRule>
  </conditionalFormatting>
  <conditionalFormatting sqref="Y53">
    <cfRule type="cellIs" dxfId="1015" priority="29" operator="notEqual">
      <formula>$Y$56</formula>
    </cfRule>
    <cfRule type="cellIs" dxfId="1014" priority="30" operator="equal">
      <formula>$Y$56</formula>
    </cfRule>
  </conditionalFormatting>
  <conditionalFormatting sqref="Z53">
    <cfRule type="cellIs" dxfId="1013" priority="27" operator="notEqual">
      <formula>$Z$56</formula>
    </cfRule>
    <cfRule type="cellIs" dxfId="1012" priority="28" operator="equal">
      <formula>$Z$56</formula>
    </cfRule>
  </conditionalFormatting>
  <conditionalFormatting sqref="AA53">
    <cfRule type="cellIs" dxfId="1011" priority="25" operator="notEqual">
      <formula>$AA$56</formula>
    </cfRule>
    <cfRule type="cellIs" dxfId="1010" priority="26" operator="equal">
      <formula>$AA$56</formula>
    </cfRule>
  </conditionalFormatting>
  <conditionalFormatting sqref="AB53">
    <cfRule type="cellIs" dxfId="1009" priority="23" operator="notEqual">
      <formula>$AB$56</formula>
    </cfRule>
    <cfRule type="cellIs" dxfId="1008" priority="24" operator="equal">
      <formula>$AB$56</formula>
    </cfRule>
  </conditionalFormatting>
  <conditionalFormatting sqref="AC53">
    <cfRule type="cellIs" dxfId="1007" priority="21" operator="notEqual">
      <formula>$AC$56</formula>
    </cfRule>
    <cfRule type="cellIs" dxfId="1006" priority="22" operator="equal">
      <formula>$AC$56</formula>
    </cfRule>
  </conditionalFormatting>
  <conditionalFormatting sqref="AD53">
    <cfRule type="cellIs" dxfId="1005" priority="19" operator="notEqual">
      <formula>$AD$56</formula>
    </cfRule>
    <cfRule type="cellIs" dxfId="1004" priority="20" operator="equal">
      <formula>$AD$56</formula>
    </cfRule>
  </conditionalFormatting>
  <conditionalFormatting sqref="AE53">
    <cfRule type="cellIs" dxfId="1003" priority="17" operator="notEqual">
      <formula>$AE$56</formula>
    </cfRule>
    <cfRule type="cellIs" dxfId="1002" priority="18" operator="equal">
      <formula>$AE$56</formula>
    </cfRule>
  </conditionalFormatting>
  <conditionalFormatting sqref="AF53">
    <cfRule type="cellIs" dxfId="1001" priority="16" operator="equal">
      <formula>$AF$56</formula>
    </cfRule>
  </conditionalFormatting>
  <conditionalFormatting sqref="AF53">
    <cfRule type="cellIs" dxfId="1000" priority="15" operator="notEqual">
      <formula>$AF$56</formula>
    </cfRule>
  </conditionalFormatting>
  <conditionalFormatting sqref="AG53">
    <cfRule type="cellIs" dxfId="999" priority="14" operator="equal">
      <formula>$AG$56</formula>
    </cfRule>
  </conditionalFormatting>
  <conditionalFormatting sqref="AG53">
    <cfRule type="cellIs" dxfId="998" priority="13" operator="notEqual">
      <formula>$AG$56</formula>
    </cfRule>
  </conditionalFormatting>
  <conditionalFormatting sqref="AH53">
    <cfRule type="cellIs" dxfId="997" priority="12" operator="equal">
      <formula>$AH$56</formula>
    </cfRule>
  </conditionalFormatting>
  <conditionalFormatting sqref="AH53">
    <cfRule type="cellIs" dxfId="996" priority="11" operator="notEqual">
      <formula>$AH$56</formula>
    </cfRule>
  </conditionalFormatting>
  <conditionalFormatting sqref="AI53">
    <cfRule type="cellIs" dxfId="995" priority="10" operator="equal">
      <formula>$AI$56</formula>
    </cfRule>
  </conditionalFormatting>
  <conditionalFormatting sqref="AI53">
    <cfRule type="cellIs" dxfId="994" priority="9" operator="notEqual">
      <formula>$AI$56</formula>
    </cfRule>
  </conditionalFormatting>
  <conditionalFormatting sqref="AJ53">
    <cfRule type="cellIs" dxfId="993" priority="8" operator="equal">
      <formula>$AJ$56</formula>
    </cfRule>
  </conditionalFormatting>
  <conditionalFormatting sqref="AJ53">
    <cfRule type="cellIs" dxfId="992" priority="7" operator="notEqual">
      <formula>$AJ$56</formula>
    </cfRule>
  </conditionalFormatting>
  <conditionalFormatting sqref="AK53">
    <cfRule type="cellIs" dxfId="991" priority="6" operator="equal">
      <formula>$AK$56</formula>
    </cfRule>
  </conditionalFormatting>
  <conditionalFormatting sqref="AK53">
    <cfRule type="cellIs" dxfId="990" priority="5" operator="notEqual">
      <formula>$AK$56</formula>
    </cfRule>
  </conditionalFormatting>
  <conditionalFormatting sqref="AL53">
    <cfRule type="cellIs" dxfId="989" priority="4" operator="equal">
      <formula>$AL$56</formula>
    </cfRule>
  </conditionalFormatting>
  <conditionalFormatting sqref="AL53">
    <cfRule type="cellIs" dxfId="988" priority="3" operator="notEqual">
      <formula>$AL$56</formula>
    </cfRule>
  </conditionalFormatting>
  <conditionalFormatting sqref="AM53">
    <cfRule type="cellIs" dxfId="987" priority="2" operator="equal">
      <formula>$AM$56</formula>
    </cfRule>
  </conditionalFormatting>
  <conditionalFormatting sqref="AM53">
    <cfRule type="cellIs" dxfId="986" priority="1" operator="notEqual">
      <formula>$AM$56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24284-852B-4F2E-A6EC-F766AF5831D5}">
  <sheetPr codeName="Planilha12"/>
  <dimension ref="A1:AB51"/>
  <sheetViews>
    <sheetView showGridLines="0" topLeftCell="A37" workbookViewId="0">
      <selection activeCell="K45" sqref="K45:AB51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4" width="7.85546875" style="9" bestFit="1" customWidth="1"/>
    <col min="15" max="15" width="11.140625" style="9" bestFit="1" customWidth="1"/>
    <col min="16" max="16" width="8.140625" style="9" bestFit="1" customWidth="1"/>
    <col min="17" max="17" width="9.28515625" style="9" bestFit="1" customWidth="1"/>
    <col min="18" max="18" width="15" style="9" bestFit="1" customWidth="1"/>
    <col min="19" max="19" width="10.85546875" style="9" bestFit="1" customWidth="1"/>
    <col min="20" max="20" width="7.85546875" style="9" bestFit="1" customWidth="1"/>
    <col min="21" max="21" width="10.42578125" style="9" bestFit="1" customWidth="1"/>
    <col min="22" max="22" width="7.85546875" style="9" bestFit="1" customWidth="1"/>
    <col min="23" max="23" width="9.28515625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76" t="s">
        <v>68</v>
      </c>
      <c r="B1" s="176" t="s">
        <v>69</v>
      </c>
      <c r="C1" s="176" t="s">
        <v>70</v>
      </c>
      <c r="D1" s="176" t="s">
        <v>71</v>
      </c>
      <c r="E1" s="176" t="s">
        <v>72</v>
      </c>
      <c r="F1" s="176" t="s">
        <v>15</v>
      </c>
      <c r="G1" s="176" t="s">
        <v>74</v>
      </c>
      <c r="H1" s="176" t="s">
        <v>75</v>
      </c>
      <c r="I1" s="176" t="s">
        <v>573</v>
      </c>
      <c r="J1" s="155"/>
      <c r="L1" s="174" t="s">
        <v>588</v>
      </c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4"/>
      <c r="AA1" s="174"/>
      <c r="AB1" s="174"/>
    </row>
    <row r="2" spans="1:28" ht="11.25" customHeight="1" x14ac:dyDescent="0.25">
      <c r="A2" s="176"/>
      <c r="B2" s="176"/>
      <c r="C2" s="176"/>
      <c r="D2" s="176"/>
      <c r="E2" s="176"/>
      <c r="F2" s="176"/>
      <c r="G2" s="176"/>
      <c r="H2" s="176"/>
      <c r="I2" s="176"/>
      <c r="J2" s="155"/>
      <c r="L2" s="174" t="s">
        <v>511</v>
      </c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  <c r="AA2" s="174"/>
      <c r="AB2" s="174"/>
    </row>
    <row r="3" spans="1:28" ht="11.25" customHeight="1" x14ac:dyDescent="0.25">
      <c r="A3" s="176"/>
      <c r="B3" s="176"/>
      <c r="C3" s="176"/>
      <c r="D3" s="176"/>
      <c r="E3" s="176"/>
      <c r="F3" s="176"/>
      <c r="G3" s="176"/>
      <c r="H3" s="176"/>
      <c r="I3" s="176"/>
      <c r="J3" s="155"/>
      <c r="L3" s="174" t="s">
        <v>484</v>
      </c>
      <c r="M3" s="174"/>
      <c r="N3" s="174"/>
      <c r="O3" s="174"/>
      <c r="P3" s="174"/>
      <c r="Q3" s="174"/>
      <c r="R3" s="174" t="s">
        <v>515</v>
      </c>
      <c r="S3" s="174"/>
      <c r="T3" s="174" t="s">
        <v>493</v>
      </c>
      <c r="U3" s="174"/>
      <c r="V3" s="174"/>
      <c r="W3" s="174"/>
      <c r="X3" s="174" t="s">
        <v>503</v>
      </c>
      <c r="Y3" s="174"/>
      <c r="Z3" s="174" t="s">
        <v>506</v>
      </c>
      <c r="AA3" s="174"/>
      <c r="AB3" s="174" t="s">
        <v>492</v>
      </c>
    </row>
    <row r="4" spans="1:28" ht="11.25" customHeight="1" x14ac:dyDescent="0.25">
      <c r="A4" s="176"/>
      <c r="B4" s="176"/>
      <c r="C4" s="176"/>
      <c r="D4" s="176"/>
      <c r="E4" s="176"/>
      <c r="F4" s="176"/>
      <c r="G4" s="176"/>
      <c r="H4" s="176"/>
      <c r="I4" s="176"/>
      <c r="J4" s="155"/>
      <c r="L4" s="68" t="s">
        <v>486</v>
      </c>
      <c r="M4" s="68" t="s">
        <v>512</v>
      </c>
      <c r="N4" s="68" t="s">
        <v>513</v>
      </c>
      <c r="O4" s="68" t="s">
        <v>572</v>
      </c>
      <c r="P4" s="68" t="s">
        <v>514</v>
      </c>
      <c r="Q4" s="68" t="s">
        <v>492</v>
      </c>
      <c r="R4" s="68" t="s">
        <v>516</v>
      </c>
      <c r="S4" s="68" t="s">
        <v>492</v>
      </c>
      <c r="T4" s="68" t="s">
        <v>517</v>
      </c>
      <c r="U4" s="68" t="s">
        <v>518</v>
      </c>
      <c r="V4" s="68" t="s">
        <v>519</v>
      </c>
      <c r="W4" s="68" t="s">
        <v>492</v>
      </c>
      <c r="X4" s="68" t="s">
        <v>504</v>
      </c>
      <c r="Y4" s="68" t="s">
        <v>492</v>
      </c>
      <c r="Z4" s="68" t="s">
        <v>520</v>
      </c>
      <c r="AA4" s="68" t="s">
        <v>492</v>
      </c>
      <c r="AB4" s="175"/>
    </row>
    <row r="5" spans="1:28" ht="11.25" customHeight="1" x14ac:dyDescent="0.25">
      <c r="A5" s="177" t="s">
        <v>38</v>
      </c>
      <c r="B5" s="177" t="s">
        <v>77</v>
      </c>
      <c r="C5" s="177" t="s">
        <v>25</v>
      </c>
      <c r="D5" s="177" t="s">
        <v>25</v>
      </c>
      <c r="E5" s="177" t="s">
        <v>25</v>
      </c>
      <c r="F5" s="177" t="s">
        <v>25</v>
      </c>
      <c r="G5" s="66" t="s">
        <v>79</v>
      </c>
      <c r="H5" s="66" t="s">
        <v>78</v>
      </c>
      <c r="I5" s="66">
        <f>'MERCADO TE'!$U$2</f>
        <v>1223.6420000000003</v>
      </c>
      <c r="J5" s="16"/>
      <c r="L5" s="64">
        <v>1</v>
      </c>
      <c r="M5" s="64">
        <v>1</v>
      </c>
      <c r="N5" s="64">
        <v>1</v>
      </c>
      <c r="O5" s="64">
        <v>1</v>
      </c>
      <c r="P5" s="64">
        <v>1</v>
      </c>
      <c r="Q5" s="64"/>
      <c r="R5" s="64">
        <v>1.72</v>
      </c>
      <c r="S5" s="64"/>
      <c r="T5" s="64">
        <v>1</v>
      </c>
      <c r="U5" s="64">
        <v>1</v>
      </c>
      <c r="V5" s="64">
        <v>1</v>
      </c>
      <c r="W5" s="64"/>
      <c r="X5" s="64"/>
      <c r="Y5" s="64"/>
      <c r="Z5" s="64">
        <v>1</v>
      </c>
      <c r="AA5" s="64"/>
      <c r="AB5" s="64"/>
    </row>
    <row r="6" spans="1:28" ht="11.25" customHeight="1" x14ac:dyDescent="0.25">
      <c r="A6" s="177"/>
      <c r="B6" s="177"/>
      <c r="C6" s="177"/>
      <c r="D6" s="177"/>
      <c r="E6" s="177"/>
      <c r="F6" s="177"/>
      <c r="G6" s="66" t="s">
        <v>80</v>
      </c>
      <c r="H6" s="66" t="s">
        <v>78</v>
      </c>
      <c r="I6" s="66">
        <f>'MERCADO TE'!$U$3</f>
        <v>15134.961000000001</v>
      </c>
      <c r="J6" s="16"/>
      <c r="L6" s="64">
        <v>1</v>
      </c>
      <c r="M6" s="64">
        <v>1</v>
      </c>
      <c r="N6" s="64">
        <v>1</v>
      </c>
      <c r="O6" s="64">
        <v>1</v>
      </c>
      <c r="P6" s="64">
        <v>1</v>
      </c>
      <c r="Q6" s="64"/>
      <c r="R6" s="64">
        <v>1</v>
      </c>
      <c r="S6" s="64"/>
      <c r="T6" s="64">
        <v>1</v>
      </c>
      <c r="U6" s="64">
        <v>1</v>
      </c>
      <c r="V6" s="64">
        <v>1</v>
      </c>
      <c r="W6" s="64"/>
      <c r="X6" s="64"/>
      <c r="Y6" s="64"/>
      <c r="Z6" s="64">
        <v>1</v>
      </c>
      <c r="AA6" s="64"/>
      <c r="AB6" s="64"/>
    </row>
    <row r="7" spans="1:28" ht="11.25" customHeight="1" x14ac:dyDescent="0.25">
      <c r="A7" s="177"/>
      <c r="B7" s="67" t="s">
        <v>81</v>
      </c>
      <c r="C7" s="67" t="s">
        <v>25</v>
      </c>
      <c r="D7" s="67" t="s">
        <v>25</v>
      </c>
      <c r="E7" s="67" t="s">
        <v>25</v>
      </c>
      <c r="F7" s="67" t="s">
        <v>25</v>
      </c>
      <c r="G7" s="66" t="s">
        <v>82</v>
      </c>
      <c r="H7" s="66" t="s">
        <v>78</v>
      </c>
      <c r="I7" s="66">
        <f>'MERCADO TE'!$U$4</f>
        <v>0</v>
      </c>
      <c r="J7" s="16"/>
      <c r="L7" s="64">
        <v>1</v>
      </c>
      <c r="M7" s="64">
        <v>1</v>
      </c>
      <c r="N7" s="64">
        <v>1</v>
      </c>
      <c r="O7" s="64">
        <v>1</v>
      </c>
      <c r="P7" s="64">
        <v>1</v>
      </c>
      <c r="Q7" s="64"/>
      <c r="R7" s="64">
        <v>1.06</v>
      </c>
      <c r="S7" s="64"/>
      <c r="T7" s="64">
        <v>1</v>
      </c>
      <c r="U7" s="64">
        <v>1</v>
      </c>
      <c r="V7" s="64">
        <v>1</v>
      </c>
      <c r="W7" s="64"/>
      <c r="X7" s="64"/>
      <c r="Y7" s="64"/>
      <c r="Z7" s="64">
        <v>1</v>
      </c>
      <c r="AA7" s="64"/>
      <c r="AB7" s="64"/>
    </row>
    <row r="8" spans="1:28" ht="11.25" customHeight="1" x14ac:dyDescent="0.25">
      <c r="A8" s="177"/>
      <c r="B8" s="67" t="s">
        <v>87</v>
      </c>
      <c r="C8" s="67" t="s">
        <v>25</v>
      </c>
      <c r="D8" s="67" t="s">
        <v>25</v>
      </c>
      <c r="E8" s="67" t="s">
        <v>88</v>
      </c>
      <c r="F8" s="67" t="s">
        <v>25</v>
      </c>
      <c r="G8" s="66" t="s">
        <v>82</v>
      </c>
      <c r="H8" s="66" t="s">
        <v>78</v>
      </c>
      <c r="I8" s="66">
        <f>'MERCADO TE'!$U$5</f>
        <v>0</v>
      </c>
      <c r="J8" s="16"/>
      <c r="L8" s="64">
        <v>1</v>
      </c>
      <c r="M8" s="64">
        <v>1</v>
      </c>
      <c r="N8" s="64">
        <v>1</v>
      </c>
      <c r="O8" s="64">
        <v>1</v>
      </c>
      <c r="P8" s="64">
        <v>1</v>
      </c>
      <c r="Q8" s="64"/>
      <c r="R8" s="64">
        <v>1.06</v>
      </c>
      <c r="S8" s="64"/>
      <c r="T8" s="64">
        <v>1</v>
      </c>
      <c r="U8" s="64">
        <v>1</v>
      </c>
      <c r="V8" s="64">
        <v>1</v>
      </c>
      <c r="W8" s="64"/>
      <c r="X8" s="64"/>
      <c r="Y8" s="64"/>
      <c r="Z8" s="64">
        <v>1</v>
      </c>
      <c r="AA8" s="64"/>
      <c r="AB8" s="64"/>
    </row>
    <row r="9" spans="1:28" ht="11.25" customHeight="1" x14ac:dyDescent="0.25">
      <c r="A9" s="177" t="s">
        <v>22</v>
      </c>
      <c r="B9" s="177" t="s">
        <v>77</v>
      </c>
      <c r="C9" s="177" t="s">
        <v>24</v>
      </c>
      <c r="D9" s="177" t="s">
        <v>24</v>
      </c>
      <c r="E9" s="177" t="s">
        <v>25</v>
      </c>
      <c r="F9" s="177" t="s">
        <v>25</v>
      </c>
      <c r="G9" s="66" t="s">
        <v>79</v>
      </c>
      <c r="H9" s="66" t="s">
        <v>78</v>
      </c>
      <c r="I9" s="66">
        <f>'MERCADO TE'!$U$6</f>
        <v>2.7580000000000005</v>
      </c>
      <c r="J9" s="16"/>
      <c r="L9" s="64">
        <v>1</v>
      </c>
      <c r="M9" s="64">
        <v>1</v>
      </c>
      <c r="N9" s="64">
        <v>1</v>
      </c>
      <c r="O9" s="64">
        <v>1</v>
      </c>
      <c r="P9" s="64">
        <v>1</v>
      </c>
      <c r="Q9" s="64"/>
      <c r="R9" s="64">
        <v>1.72</v>
      </c>
      <c r="S9" s="64"/>
      <c r="T9" s="64">
        <v>1</v>
      </c>
      <c r="U9" s="64">
        <v>1</v>
      </c>
      <c r="V9" s="64">
        <v>1</v>
      </c>
      <c r="W9" s="64"/>
      <c r="X9" s="64"/>
      <c r="Y9" s="64"/>
      <c r="Z9" s="64">
        <v>1</v>
      </c>
      <c r="AA9" s="64"/>
      <c r="AB9" s="64"/>
    </row>
    <row r="10" spans="1:28" ht="11.25" customHeight="1" x14ac:dyDescent="0.25">
      <c r="A10" s="177"/>
      <c r="B10" s="177"/>
      <c r="C10" s="177"/>
      <c r="D10" s="177"/>
      <c r="E10" s="177"/>
      <c r="F10" s="177"/>
      <c r="G10" s="66" t="s">
        <v>92</v>
      </c>
      <c r="H10" s="66" t="s">
        <v>78</v>
      </c>
      <c r="I10" s="66">
        <f>'MERCADO TE'!$U$7</f>
        <v>1.9870000000000001</v>
      </c>
      <c r="J10" s="16"/>
      <c r="L10" s="64">
        <v>1</v>
      </c>
      <c r="M10" s="64">
        <v>1</v>
      </c>
      <c r="N10" s="64">
        <v>1</v>
      </c>
      <c r="O10" s="64">
        <v>1</v>
      </c>
      <c r="P10" s="64">
        <v>1</v>
      </c>
      <c r="Q10" s="64"/>
      <c r="R10" s="64">
        <v>1</v>
      </c>
      <c r="S10" s="64"/>
      <c r="T10" s="64">
        <v>1</v>
      </c>
      <c r="U10" s="64">
        <v>1</v>
      </c>
      <c r="V10" s="64">
        <v>1</v>
      </c>
      <c r="W10" s="64"/>
      <c r="X10" s="64"/>
      <c r="Y10" s="64"/>
      <c r="Z10" s="64">
        <v>1</v>
      </c>
      <c r="AA10" s="64"/>
      <c r="AB10" s="64"/>
    </row>
    <row r="11" spans="1:28" ht="11.25" customHeight="1" x14ac:dyDescent="0.25">
      <c r="A11" s="177"/>
      <c r="B11" s="177"/>
      <c r="C11" s="177"/>
      <c r="D11" s="177"/>
      <c r="E11" s="177"/>
      <c r="F11" s="177"/>
      <c r="G11" s="66" t="s">
        <v>80</v>
      </c>
      <c r="H11" s="66" t="s">
        <v>78</v>
      </c>
      <c r="I11" s="66">
        <f>'MERCADO TE'!$U$8</f>
        <v>16.794</v>
      </c>
      <c r="J11" s="16"/>
      <c r="L11" s="64">
        <v>1</v>
      </c>
      <c r="M11" s="64">
        <v>1</v>
      </c>
      <c r="N11" s="64">
        <v>1</v>
      </c>
      <c r="O11" s="64">
        <v>1</v>
      </c>
      <c r="P11" s="64">
        <v>1</v>
      </c>
      <c r="Q11" s="64"/>
      <c r="R11" s="64">
        <v>1</v>
      </c>
      <c r="S11" s="64"/>
      <c r="T11" s="64">
        <v>1</v>
      </c>
      <c r="U11" s="64">
        <v>1</v>
      </c>
      <c r="V11" s="64">
        <v>1</v>
      </c>
      <c r="W11" s="64"/>
      <c r="X11" s="64"/>
      <c r="Y11" s="64"/>
      <c r="Z11" s="64">
        <v>1</v>
      </c>
      <c r="AA11" s="64"/>
      <c r="AB11" s="64"/>
    </row>
    <row r="12" spans="1:28" ht="11.25" customHeight="1" x14ac:dyDescent="0.25">
      <c r="A12" s="177"/>
      <c r="B12" s="177" t="s">
        <v>81</v>
      </c>
      <c r="C12" s="177" t="s">
        <v>24</v>
      </c>
      <c r="D12" s="67" t="s">
        <v>24</v>
      </c>
      <c r="E12" s="67" t="s">
        <v>25</v>
      </c>
      <c r="F12" s="67" t="s">
        <v>25</v>
      </c>
      <c r="G12" s="66" t="s">
        <v>82</v>
      </c>
      <c r="H12" s="66" t="s">
        <v>78</v>
      </c>
      <c r="I12" s="66">
        <f>'MERCADO TE'!$U$9</f>
        <v>38061.052999999993</v>
      </c>
      <c r="J12" s="16"/>
      <c r="L12" s="64">
        <v>1</v>
      </c>
      <c r="M12" s="64">
        <v>1</v>
      </c>
      <c r="N12" s="64">
        <v>1</v>
      </c>
      <c r="O12" s="64">
        <v>1</v>
      </c>
      <c r="P12" s="64">
        <v>1</v>
      </c>
      <c r="Q12" s="64"/>
      <c r="R12" s="64">
        <v>1.06</v>
      </c>
      <c r="S12" s="64"/>
      <c r="T12" s="64">
        <v>1</v>
      </c>
      <c r="U12" s="64">
        <v>1</v>
      </c>
      <c r="V12" s="64">
        <v>1</v>
      </c>
      <c r="W12" s="64"/>
      <c r="X12" s="64"/>
      <c r="Y12" s="64"/>
      <c r="Z12" s="64">
        <v>1</v>
      </c>
      <c r="AA12" s="64"/>
      <c r="AB12" s="64"/>
    </row>
    <row r="13" spans="1:28" ht="11.25" customHeight="1" x14ac:dyDescent="0.25">
      <c r="A13" s="177"/>
      <c r="B13" s="177"/>
      <c r="C13" s="177"/>
      <c r="D13" s="67" t="s">
        <v>28</v>
      </c>
      <c r="E13" s="67" t="s">
        <v>25</v>
      </c>
      <c r="F13" s="67" t="s">
        <v>25</v>
      </c>
      <c r="G13" s="66" t="s">
        <v>82</v>
      </c>
      <c r="H13" s="66" t="s">
        <v>78</v>
      </c>
      <c r="I13" s="66">
        <f>'MERCADO TE'!$U$10</f>
        <v>264.92899999999997</v>
      </c>
      <c r="J13" s="16"/>
      <c r="L13" s="64">
        <f>1 - CUSTOS!$M$24</f>
        <v>1</v>
      </c>
      <c r="M13" s="64">
        <f>1 - CUSTOS!$M$24</f>
        <v>1</v>
      </c>
      <c r="N13" s="64">
        <f>1 - CUSTOS!$M$24</f>
        <v>1</v>
      </c>
      <c r="O13" s="64">
        <f>1 - CUSTOS!$M$24</f>
        <v>1</v>
      </c>
      <c r="P13" s="64">
        <f>1 - CUSTOS!$M$24</f>
        <v>1</v>
      </c>
      <c r="Q13" s="64"/>
      <c r="R13" s="64">
        <f>(1 - CUSTOS!$M$24)*1.06</f>
        <v>1.06</v>
      </c>
      <c r="S13" s="64"/>
      <c r="T13" s="64">
        <f>1 - CUSTOS!$M$24</f>
        <v>1</v>
      </c>
      <c r="U13" s="64">
        <f>1 - CUSTOS!$M$24</f>
        <v>1</v>
      </c>
      <c r="V13" s="64">
        <f>1 - CUSTOS!$M$24</f>
        <v>1</v>
      </c>
      <c r="W13" s="64"/>
      <c r="X13" s="64"/>
      <c r="Y13" s="64"/>
      <c r="Z13" s="64">
        <f>1 - CUSTOS!$M$24</f>
        <v>1</v>
      </c>
      <c r="AA13" s="64"/>
      <c r="AB13" s="64"/>
    </row>
    <row r="14" spans="1:28" ht="11.25" customHeight="1" x14ac:dyDescent="0.25">
      <c r="A14" s="177"/>
      <c r="B14" s="177"/>
      <c r="C14" s="177"/>
      <c r="D14" s="67" t="s">
        <v>29</v>
      </c>
      <c r="E14" s="67" t="s">
        <v>25</v>
      </c>
      <c r="F14" s="67" t="s">
        <v>25</v>
      </c>
      <c r="G14" s="66" t="s">
        <v>82</v>
      </c>
      <c r="H14" s="66" t="s">
        <v>78</v>
      </c>
      <c r="I14" s="66">
        <f>'MERCADO TE'!$U$11</f>
        <v>546.98300000000006</v>
      </c>
      <c r="J14" s="16"/>
      <c r="L14" s="64">
        <f>1 - CUSTOS!$M$25</f>
        <v>1</v>
      </c>
      <c r="M14" s="64">
        <f>1 - CUSTOS!$M$25</f>
        <v>1</v>
      </c>
      <c r="N14" s="64">
        <f>1 - CUSTOS!$M$25</f>
        <v>1</v>
      </c>
      <c r="O14" s="64">
        <f>1 - CUSTOS!$M$25</f>
        <v>1</v>
      </c>
      <c r="P14" s="64">
        <f>1 - CUSTOS!$M$25</f>
        <v>1</v>
      </c>
      <c r="Q14" s="64"/>
      <c r="R14" s="64">
        <f>(1 - CUSTOS!$M$25)*1.06</f>
        <v>1.06</v>
      </c>
      <c r="S14" s="64"/>
      <c r="T14" s="64">
        <f>1 - CUSTOS!$M$25</f>
        <v>1</v>
      </c>
      <c r="U14" s="64">
        <f>1 - CUSTOS!$M$25</f>
        <v>1</v>
      </c>
      <c r="V14" s="64">
        <f>1 - CUSTOS!$M$25</f>
        <v>1</v>
      </c>
      <c r="W14" s="64"/>
      <c r="X14" s="64"/>
      <c r="Y14" s="64"/>
      <c r="Z14" s="64">
        <f>1 - CUSTOS!$M$25</f>
        <v>1</v>
      </c>
      <c r="AA14" s="64"/>
      <c r="AB14" s="64"/>
    </row>
    <row r="15" spans="1:28" ht="11.25" customHeight="1" x14ac:dyDescent="0.25">
      <c r="A15" s="177"/>
      <c r="B15" s="177"/>
      <c r="C15" s="177"/>
      <c r="D15" s="67" t="s">
        <v>30</v>
      </c>
      <c r="E15" s="67" t="s">
        <v>25</v>
      </c>
      <c r="F15" s="67" t="s">
        <v>25</v>
      </c>
      <c r="G15" s="66" t="s">
        <v>82</v>
      </c>
      <c r="H15" s="66" t="s">
        <v>78</v>
      </c>
      <c r="I15" s="66">
        <f>'MERCADO TE'!$U$12</f>
        <v>480.18299999999999</v>
      </c>
      <c r="J15" s="16"/>
      <c r="L15" s="64">
        <f>1 - CUSTOS!$M$26</f>
        <v>1</v>
      </c>
      <c r="M15" s="64">
        <f>1 - CUSTOS!$M$26</f>
        <v>1</v>
      </c>
      <c r="N15" s="64">
        <f>1 - CUSTOS!$M$26</f>
        <v>1</v>
      </c>
      <c r="O15" s="64">
        <f>1 - CUSTOS!$M$26</f>
        <v>1</v>
      </c>
      <c r="P15" s="64">
        <f>1 - CUSTOS!$M$26</f>
        <v>1</v>
      </c>
      <c r="Q15" s="64"/>
      <c r="R15" s="64">
        <f>(1 - CUSTOS!$M$26)*1.06</f>
        <v>1.06</v>
      </c>
      <c r="S15" s="64"/>
      <c r="T15" s="64">
        <f>1 - CUSTOS!$M$26</f>
        <v>1</v>
      </c>
      <c r="U15" s="64">
        <f>1 - CUSTOS!$M$26</f>
        <v>1</v>
      </c>
      <c r="V15" s="64">
        <f>1 - CUSTOS!$M$26</f>
        <v>1</v>
      </c>
      <c r="W15" s="64"/>
      <c r="X15" s="64"/>
      <c r="Y15" s="64"/>
      <c r="Z15" s="64">
        <f>1 - CUSTOS!$M$26</f>
        <v>1</v>
      </c>
      <c r="AA15" s="64"/>
      <c r="AB15" s="64"/>
    </row>
    <row r="16" spans="1:28" ht="11.25" customHeight="1" x14ac:dyDescent="0.25">
      <c r="A16" s="177"/>
      <c r="B16" s="177"/>
      <c r="C16" s="177"/>
      <c r="D16" s="67" t="s">
        <v>31</v>
      </c>
      <c r="E16" s="67" t="s">
        <v>25</v>
      </c>
      <c r="F16" s="67" t="s">
        <v>25</v>
      </c>
      <c r="G16" s="66" t="s">
        <v>82</v>
      </c>
      <c r="H16" s="66" t="s">
        <v>78</v>
      </c>
      <c r="I16" s="66">
        <f>'MERCADO TE'!$U$13</f>
        <v>145.91099999999997</v>
      </c>
      <c r="J16" s="16"/>
      <c r="L16" s="64">
        <f>1 - CUSTOS!$M$27</f>
        <v>1</v>
      </c>
      <c r="M16" s="64">
        <f>1 - CUSTOS!$M$27</f>
        <v>1</v>
      </c>
      <c r="N16" s="64">
        <f>1 - CUSTOS!$M$27</f>
        <v>1</v>
      </c>
      <c r="O16" s="64">
        <f>1 - CUSTOS!$M$27</f>
        <v>1</v>
      </c>
      <c r="P16" s="64">
        <f>1 - CUSTOS!$M$27</f>
        <v>1</v>
      </c>
      <c r="Q16" s="64"/>
      <c r="R16" s="64">
        <f>(1 - CUSTOS!$M$27)*1.06</f>
        <v>1.06</v>
      </c>
      <c r="S16" s="64"/>
      <c r="T16" s="64">
        <f>1 - CUSTOS!$M$27</f>
        <v>1</v>
      </c>
      <c r="U16" s="64">
        <f>1 - CUSTOS!$M$27</f>
        <v>1</v>
      </c>
      <c r="V16" s="64">
        <f>1 - CUSTOS!$M$27</f>
        <v>1</v>
      </c>
      <c r="W16" s="64"/>
      <c r="X16" s="64"/>
      <c r="Y16" s="64"/>
      <c r="Z16" s="64">
        <f>1 - CUSTOS!$M$27</f>
        <v>1</v>
      </c>
      <c r="AA16" s="64"/>
      <c r="AB16" s="64"/>
    </row>
    <row r="17" spans="1:28" ht="11.25" customHeight="1" x14ac:dyDescent="0.25">
      <c r="A17" s="177"/>
      <c r="B17" s="177" t="s">
        <v>93</v>
      </c>
      <c r="C17" s="177" t="s">
        <v>24</v>
      </c>
      <c r="D17" s="67" t="s">
        <v>24</v>
      </c>
      <c r="E17" s="67" t="s">
        <v>25</v>
      </c>
      <c r="F17" s="67" t="s">
        <v>25</v>
      </c>
      <c r="G17" s="66" t="s">
        <v>82</v>
      </c>
      <c r="H17" s="66" t="s">
        <v>78</v>
      </c>
      <c r="I17" s="66">
        <f>'MERCADO TE'!$U$14</f>
        <v>0</v>
      </c>
      <c r="J17" s="16"/>
      <c r="L17" s="64">
        <v>1</v>
      </c>
      <c r="M17" s="64">
        <v>1</v>
      </c>
      <c r="N17" s="64">
        <v>1</v>
      </c>
      <c r="O17" s="64">
        <v>1</v>
      </c>
      <c r="P17" s="64">
        <v>1</v>
      </c>
      <c r="Q17" s="64"/>
      <c r="R17" s="64">
        <v>1.06</v>
      </c>
      <c r="S17" s="64"/>
      <c r="T17" s="64">
        <v>1</v>
      </c>
      <c r="U17" s="64">
        <v>1</v>
      </c>
      <c r="V17" s="64">
        <v>1</v>
      </c>
      <c r="W17" s="64"/>
      <c r="X17" s="64"/>
      <c r="Y17" s="64"/>
      <c r="Z17" s="64">
        <v>1</v>
      </c>
      <c r="AA17" s="64"/>
      <c r="AB17" s="64"/>
    </row>
    <row r="18" spans="1:28" ht="11.25" customHeight="1" x14ac:dyDescent="0.25">
      <c r="A18" s="177"/>
      <c r="B18" s="177"/>
      <c r="C18" s="177"/>
      <c r="D18" s="67" t="s">
        <v>28</v>
      </c>
      <c r="E18" s="67" t="s">
        <v>25</v>
      </c>
      <c r="F18" s="67" t="s">
        <v>25</v>
      </c>
      <c r="G18" s="66" t="s">
        <v>82</v>
      </c>
      <c r="H18" s="66" t="s">
        <v>78</v>
      </c>
      <c r="I18" s="66">
        <f>'MERCADO TE'!$U$15</f>
        <v>0</v>
      </c>
      <c r="J18" s="16"/>
      <c r="L18" s="64">
        <f>1 - CUSTOS!$M$24</f>
        <v>1</v>
      </c>
      <c r="M18" s="64">
        <f>1 - CUSTOS!$M$24</f>
        <v>1</v>
      </c>
      <c r="N18" s="64">
        <f>1 - CUSTOS!$M$24</f>
        <v>1</v>
      </c>
      <c r="O18" s="64">
        <f>1 - CUSTOS!$M$24</f>
        <v>1</v>
      </c>
      <c r="P18" s="64">
        <f>1 - CUSTOS!$M$24</f>
        <v>1</v>
      </c>
      <c r="Q18" s="64"/>
      <c r="R18" s="64">
        <f>(1 - CUSTOS!$M$24)*1.06</f>
        <v>1.06</v>
      </c>
      <c r="S18" s="64"/>
      <c r="T18" s="64">
        <f>1 - CUSTOS!$M$24</f>
        <v>1</v>
      </c>
      <c r="U18" s="64">
        <f>1 - CUSTOS!$M$24</f>
        <v>1</v>
      </c>
      <c r="V18" s="64">
        <f>1 - CUSTOS!$M$24</f>
        <v>1</v>
      </c>
      <c r="W18" s="64"/>
      <c r="X18" s="64"/>
      <c r="Y18" s="64"/>
      <c r="Z18" s="64">
        <f>1 - CUSTOS!$M$24</f>
        <v>1</v>
      </c>
      <c r="AA18" s="64"/>
      <c r="AB18" s="64"/>
    </row>
    <row r="19" spans="1:28" ht="11.25" customHeight="1" x14ac:dyDescent="0.25">
      <c r="A19" s="177"/>
      <c r="B19" s="177"/>
      <c r="C19" s="177"/>
      <c r="D19" s="67" t="s">
        <v>29</v>
      </c>
      <c r="E19" s="67" t="s">
        <v>25</v>
      </c>
      <c r="F19" s="67" t="s">
        <v>25</v>
      </c>
      <c r="G19" s="66" t="s">
        <v>82</v>
      </c>
      <c r="H19" s="66" t="s">
        <v>78</v>
      </c>
      <c r="I19" s="66">
        <f>'MERCADO TE'!$U$16</f>
        <v>0</v>
      </c>
      <c r="J19" s="16"/>
      <c r="L19" s="64">
        <f>1 - CUSTOS!$M$25</f>
        <v>1</v>
      </c>
      <c r="M19" s="64">
        <f>1 - CUSTOS!$M$25</f>
        <v>1</v>
      </c>
      <c r="N19" s="64">
        <f>1 - CUSTOS!$M$25</f>
        <v>1</v>
      </c>
      <c r="O19" s="64">
        <f>1 - CUSTOS!$M$25</f>
        <v>1</v>
      </c>
      <c r="P19" s="64">
        <f>1 - CUSTOS!$M$25</f>
        <v>1</v>
      </c>
      <c r="Q19" s="64"/>
      <c r="R19" s="64">
        <f>(1 - CUSTOS!$M$25)*1.06</f>
        <v>1.06</v>
      </c>
      <c r="S19" s="64"/>
      <c r="T19" s="64">
        <f>1 - CUSTOS!$M$25</f>
        <v>1</v>
      </c>
      <c r="U19" s="64">
        <f>1 - CUSTOS!$M$25</f>
        <v>1</v>
      </c>
      <c r="V19" s="64">
        <f>1 - CUSTOS!$M$25</f>
        <v>1</v>
      </c>
      <c r="W19" s="64"/>
      <c r="X19" s="64"/>
      <c r="Y19" s="64"/>
      <c r="Z19" s="64">
        <f>1 - CUSTOS!$M$25</f>
        <v>1</v>
      </c>
      <c r="AA19" s="64"/>
      <c r="AB19" s="64"/>
    </row>
    <row r="20" spans="1:28" ht="11.25" customHeight="1" x14ac:dyDescent="0.25">
      <c r="A20" s="177"/>
      <c r="B20" s="177"/>
      <c r="C20" s="177"/>
      <c r="D20" s="67" t="s">
        <v>30</v>
      </c>
      <c r="E20" s="67" t="s">
        <v>25</v>
      </c>
      <c r="F20" s="67" t="s">
        <v>25</v>
      </c>
      <c r="G20" s="66" t="s">
        <v>82</v>
      </c>
      <c r="H20" s="66" t="s">
        <v>78</v>
      </c>
      <c r="I20" s="66">
        <f>'MERCADO TE'!$U$17</f>
        <v>0</v>
      </c>
      <c r="J20" s="16"/>
      <c r="L20" s="64">
        <f>1 - CUSTOS!$M$26</f>
        <v>1</v>
      </c>
      <c r="M20" s="64">
        <f>1 - CUSTOS!$M$26</f>
        <v>1</v>
      </c>
      <c r="N20" s="64">
        <f>1 - CUSTOS!$M$26</f>
        <v>1</v>
      </c>
      <c r="O20" s="64">
        <f>1 - CUSTOS!$M$26</f>
        <v>1</v>
      </c>
      <c r="P20" s="64">
        <f>1 - CUSTOS!$M$26</f>
        <v>1</v>
      </c>
      <c r="Q20" s="64"/>
      <c r="R20" s="64">
        <f>(1 - CUSTOS!$M$26)*1.06</f>
        <v>1.06</v>
      </c>
      <c r="S20" s="64"/>
      <c r="T20" s="64">
        <f>1 - CUSTOS!$M$26</f>
        <v>1</v>
      </c>
      <c r="U20" s="64">
        <f>1 - CUSTOS!$M$26</f>
        <v>1</v>
      </c>
      <c r="V20" s="64">
        <f>1 - CUSTOS!$M$26</f>
        <v>1</v>
      </c>
      <c r="W20" s="64"/>
      <c r="X20" s="64"/>
      <c r="Y20" s="64"/>
      <c r="Z20" s="64">
        <f>1 - CUSTOS!$M$26</f>
        <v>1</v>
      </c>
      <c r="AA20" s="64"/>
      <c r="AB20" s="64"/>
    </row>
    <row r="21" spans="1:28" ht="11.25" customHeight="1" x14ac:dyDescent="0.25">
      <c r="A21" s="177"/>
      <c r="B21" s="177"/>
      <c r="C21" s="177"/>
      <c r="D21" s="67" t="s">
        <v>31</v>
      </c>
      <c r="E21" s="67" t="s">
        <v>25</v>
      </c>
      <c r="F21" s="67" t="s">
        <v>25</v>
      </c>
      <c r="G21" s="66" t="s">
        <v>82</v>
      </c>
      <c r="H21" s="66" t="s">
        <v>78</v>
      </c>
      <c r="I21" s="66">
        <f>'MERCADO TE'!$U$18</f>
        <v>0</v>
      </c>
      <c r="J21" s="16"/>
      <c r="L21" s="64">
        <f>1 - CUSTOS!$M$27</f>
        <v>1</v>
      </c>
      <c r="M21" s="64">
        <f>1 - CUSTOS!$M$27</f>
        <v>1</v>
      </c>
      <c r="N21" s="64">
        <f>1 - CUSTOS!$M$27</f>
        <v>1</v>
      </c>
      <c r="O21" s="64">
        <f>1 - CUSTOS!$M$27</f>
        <v>1</v>
      </c>
      <c r="P21" s="64">
        <f>1 - CUSTOS!$M$27</f>
        <v>1</v>
      </c>
      <c r="Q21" s="64"/>
      <c r="R21" s="64">
        <f>(1 - CUSTOS!$M$27)*1.06</f>
        <v>1.06</v>
      </c>
      <c r="S21" s="64"/>
      <c r="T21" s="64">
        <f>1 - CUSTOS!$M$27</f>
        <v>1</v>
      </c>
      <c r="U21" s="64">
        <f>1 - CUSTOS!$M$27</f>
        <v>1</v>
      </c>
      <c r="V21" s="64">
        <f>1 - CUSTOS!$M$27</f>
        <v>1</v>
      </c>
      <c r="W21" s="64"/>
      <c r="X21" s="64"/>
      <c r="Y21" s="64"/>
      <c r="Z21" s="64">
        <f>1 - CUSTOS!$M$27</f>
        <v>1</v>
      </c>
      <c r="AA21" s="64"/>
      <c r="AB21" s="64"/>
    </row>
    <row r="22" spans="1:28" ht="11.25" customHeight="1" x14ac:dyDescent="0.25">
      <c r="A22" s="177" t="s">
        <v>42</v>
      </c>
      <c r="B22" s="177" t="s">
        <v>77</v>
      </c>
      <c r="C22" s="177" t="s">
        <v>43</v>
      </c>
      <c r="D22" s="177" t="s">
        <v>25</v>
      </c>
      <c r="E22" s="177" t="s">
        <v>25</v>
      </c>
      <c r="F22" s="177" t="s">
        <v>25</v>
      </c>
      <c r="G22" s="66" t="s">
        <v>79</v>
      </c>
      <c r="H22" s="66" t="s">
        <v>78</v>
      </c>
      <c r="I22" s="66">
        <f>'MERCADO TE'!$U$19</f>
        <v>0</v>
      </c>
      <c r="J22" s="16"/>
      <c r="L22" s="64">
        <f>1 - CUSTOS!$M$28</f>
        <v>1</v>
      </c>
      <c r="M22" s="64">
        <f>1 - CUSTOS!$M$28</f>
        <v>1</v>
      </c>
      <c r="N22" s="64">
        <f>1 - CUSTOS!$M$28</f>
        <v>1</v>
      </c>
      <c r="O22" s="64">
        <f>1 - CUSTOS!$M$28</f>
        <v>1</v>
      </c>
      <c r="P22" s="64">
        <f>1 - CUSTOS!$M$28</f>
        <v>1</v>
      </c>
      <c r="Q22" s="64"/>
      <c r="R22" s="64">
        <f>(1 - CUSTOS!$M$28)*1.72</f>
        <v>1.72</v>
      </c>
      <c r="S22" s="64"/>
      <c r="T22" s="64">
        <f>1 - CUSTOS!$M$28</f>
        <v>1</v>
      </c>
      <c r="U22" s="64">
        <f>1 - CUSTOS!$M$28</f>
        <v>1</v>
      </c>
      <c r="V22" s="64">
        <f>1 - CUSTOS!$M$28</f>
        <v>1</v>
      </c>
      <c r="W22" s="64"/>
      <c r="X22" s="64"/>
      <c r="Y22" s="64"/>
      <c r="Z22" s="64">
        <f>1 - CUSTOS!$M$28</f>
        <v>1</v>
      </c>
      <c r="AA22" s="64"/>
      <c r="AB22" s="64"/>
    </row>
    <row r="23" spans="1:28" ht="11.25" customHeight="1" x14ac:dyDescent="0.25">
      <c r="A23" s="177"/>
      <c r="B23" s="177"/>
      <c r="C23" s="177"/>
      <c r="D23" s="177"/>
      <c r="E23" s="177"/>
      <c r="F23" s="177"/>
      <c r="G23" s="66" t="s">
        <v>92</v>
      </c>
      <c r="H23" s="66" t="s">
        <v>78</v>
      </c>
      <c r="I23" s="66">
        <f>'MERCADO TE'!$U$20</f>
        <v>0</v>
      </c>
      <c r="J23" s="16"/>
      <c r="L23" s="64">
        <f>1 - CUSTOS!$M$28</f>
        <v>1</v>
      </c>
      <c r="M23" s="64">
        <f>1 - CUSTOS!$M$28</f>
        <v>1</v>
      </c>
      <c r="N23" s="64">
        <f>1 - CUSTOS!$M$28</f>
        <v>1</v>
      </c>
      <c r="O23" s="64">
        <f>1 - CUSTOS!$M$28</f>
        <v>1</v>
      </c>
      <c r="P23" s="64">
        <f>1 - CUSTOS!$M$28</f>
        <v>1</v>
      </c>
      <c r="Q23" s="64"/>
      <c r="R23" s="64">
        <f>(1 - CUSTOS!$M$28)*1</f>
        <v>1</v>
      </c>
      <c r="S23" s="64"/>
      <c r="T23" s="64">
        <f>1 - CUSTOS!$M$28</f>
        <v>1</v>
      </c>
      <c r="U23" s="64">
        <f>1 - CUSTOS!$M$28</f>
        <v>1</v>
      </c>
      <c r="V23" s="64">
        <f>1 - CUSTOS!$M$28</f>
        <v>1</v>
      </c>
      <c r="W23" s="64"/>
      <c r="X23" s="64"/>
      <c r="Y23" s="64"/>
      <c r="Z23" s="64">
        <f>1 - CUSTOS!$M$28</f>
        <v>1</v>
      </c>
      <c r="AA23" s="64"/>
      <c r="AB23" s="64"/>
    </row>
    <row r="24" spans="1:28" ht="11.25" customHeight="1" x14ac:dyDescent="0.25">
      <c r="A24" s="177"/>
      <c r="B24" s="177"/>
      <c r="C24" s="177"/>
      <c r="D24" s="177"/>
      <c r="E24" s="177"/>
      <c r="F24" s="177"/>
      <c r="G24" s="66" t="s">
        <v>80</v>
      </c>
      <c r="H24" s="66" t="s">
        <v>78</v>
      </c>
      <c r="I24" s="66">
        <f>'MERCADO TE'!$U$21</f>
        <v>0</v>
      </c>
      <c r="J24" s="16"/>
      <c r="L24" s="64">
        <f>1 - CUSTOS!$M$28</f>
        <v>1</v>
      </c>
      <c r="M24" s="64">
        <f>1 - CUSTOS!$M$28</f>
        <v>1</v>
      </c>
      <c r="N24" s="64">
        <f>1 - CUSTOS!$M$28</f>
        <v>1</v>
      </c>
      <c r="O24" s="64">
        <f>1 - CUSTOS!$M$28</f>
        <v>1</v>
      </c>
      <c r="P24" s="64">
        <f>1 - CUSTOS!$M$28</f>
        <v>1</v>
      </c>
      <c r="Q24" s="64"/>
      <c r="R24" s="64">
        <f>(1 - CUSTOS!$M$28)*1</f>
        <v>1</v>
      </c>
      <c r="S24" s="64"/>
      <c r="T24" s="64">
        <f>1 - CUSTOS!$M$28</f>
        <v>1</v>
      </c>
      <c r="U24" s="64">
        <f>1 - CUSTOS!$M$28</f>
        <v>1</v>
      </c>
      <c r="V24" s="64">
        <f>1 - CUSTOS!$M$28</f>
        <v>1</v>
      </c>
      <c r="W24" s="64"/>
      <c r="X24" s="64"/>
      <c r="Y24" s="64"/>
      <c r="Z24" s="64">
        <f>1 - CUSTOS!$M$28</f>
        <v>1</v>
      </c>
      <c r="AA24" s="64"/>
      <c r="AB24" s="64"/>
    </row>
    <row r="25" spans="1:28" ht="11.25" customHeight="1" x14ac:dyDescent="0.25">
      <c r="A25" s="177"/>
      <c r="B25" s="67" t="s">
        <v>81</v>
      </c>
      <c r="C25" s="67" t="s">
        <v>43</v>
      </c>
      <c r="D25" s="67" t="s">
        <v>25</v>
      </c>
      <c r="E25" s="67" t="s">
        <v>25</v>
      </c>
      <c r="F25" s="67" t="s">
        <v>25</v>
      </c>
      <c r="G25" s="66" t="s">
        <v>82</v>
      </c>
      <c r="H25" s="66" t="s">
        <v>78</v>
      </c>
      <c r="I25" s="66">
        <f>'MERCADO TE'!$U$22</f>
        <v>1694.7730000000001</v>
      </c>
      <c r="J25" s="16"/>
      <c r="L25" s="64">
        <f>1 - CUSTOS!$M$28</f>
        <v>1</v>
      </c>
      <c r="M25" s="64">
        <f>1 - CUSTOS!$M$28</f>
        <v>1</v>
      </c>
      <c r="N25" s="64">
        <f>1 - CUSTOS!$M$28</f>
        <v>1</v>
      </c>
      <c r="O25" s="64">
        <f>1 - CUSTOS!$M$28</f>
        <v>1</v>
      </c>
      <c r="P25" s="64">
        <f>1 - CUSTOS!$M$28</f>
        <v>1</v>
      </c>
      <c r="Q25" s="64"/>
      <c r="R25" s="64">
        <f>(1 - CUSTOS!$M$28)*1.06</f>
        <v>1.06</v>
      </c>
      <c r="S25" s="64"/>
      <c r="T25" s="64">
        <f>1 - CUSTOS!$M$28</f>
        <v>1</v>
      </c>
      <c r="U25" s="64">
        <f>1 - CUSTOS!$M$28</f>
        <v>1</v>
      </c>
      <c r="V25" s="64">
        <f>1 - CUSTOS!$M$28</f>
        <v>1</v>
      </c>
      <c r="W25" s="64"/>
      <c r="X25" s="64"/>
      <c r="Y25" s="64"/>
      <c r="Z25" s="64">
        <f>1 - CUSTOS!$M$28</f>
        <v>1</v>
      </c>
      <c r="AA25" s="64"/>
      <c r="AB25" s="64"/>
    </row>
    <row r="26" spans="1:28" ht="11.25" customHeight="1" x14ac:dyDescent="0.25">
      <c r="A26" s="177"/>
      <c r="B26" s="177" t="s">
        <v>77</v>
      </c>
      <c r="C26" s="177" t="s">
        <v>43</v>
      </c>
      <c r="D26" s="177" t="s">
        <v>95</v>
      </c>
      <c r="E26" s="177" t="s">
        <v>25</v>
      </c>
      <c r="F26" s="177" t="s">
        <v>25</v>
      </c>
      <c r="G26" s="66" t="s">
        <v>79</v>
      </c>
      <c r="H26" s="66" t="s">
        <v>78</v>
      </c>
      <c r="I26" s="66">
        <f>'MERCADO TE'!$U$23</f>
        <v>0</v>
      </c>
      <c r="J26" s="16"/>
      <c r="L26" s="64">
        <f>1 - CUSTOS!$M$29</f>
        <v>1</v>
      </c>
      <c r="M26" s="64">
        <f>1 - CUSTOS!$M$29</f>
        <v>1</v>
      </c>
      <c r="N26" s="64">
        <f>1 - CUSTOS!$M$29</f>
        <v>1</v>
      </c>
      <c r="O26" s="64">
        <f>1 - CUSTOS!$M$29</f>
        <v>1</v>
      </c>
      <c r="P26" s="64">
        <f>1 - CUSTOS!$M$29</f>
        <v>1</v>
      </c>
      <c r="Q26" s="64"/>
      <c r="R26" s="64">
        <f>(1 - CUSTOS!$M$29)*1.72</f>
        <v>1.72</v>
      </c>
      <c r="S26" s="64"/>
      <c r="T26" s="64">
        <f>1 - CUSTOS!$M$29</f>
        <v>1</v>
      </c>
      <c r="U26" s="64">
        <f>1 - CUSTOS!$M$29</f>
        <v>1</v>
      </c>
      <c r="V26" s="64">
        <f>1 - CUSTOS!$M$29</f>
        <v>1</v>
      </c>
      <c r="W26" s="64"/>
      <c r="X26" s="64"/>
      <c r="Y26" s="64"/>
      <c r="Z26" s="64">
        <f>1 - CUSTOS!$M$29</f>
        <v>1</v>
      </c>
      <c r="AA26" s="64"/>
      <c r="AB26" s="64"/>
    </row>
    <row r="27" spans="1:28" ht="11.25" customHeight="1" x14ac:dyDescent="0.25">
      <c r="A27" s="177"/>
      <c r="B27" s="177"/>
      <c r="C27" s="177"/>
      <c r="D27" s="177"/>
      <c r="E27" s="177"/>
      <c r="F27" s="177"/>
      <c r="G27" s="66" t="s">
        <v>92</v>
      </c>
      <c r="H27" s="66" t="s">
        <v>78</v>
      </c>
      <c r="I27" s="66">
        <f>'MERCADO TE'!$U$24</f>
        <v>0</v>
      </c>
      <c r="J27" s="16"/>
      <c r="L27" s="64">
        <f>1 - CUSTOS!$M$29</f>
        <v>1</v>
      </c>
      <c r="M27" s="64">
        <f>1 - CUSTOS!$M$29</f>
        <v>1</v>
      </c>
      <c r="N27" s="64">
        <f>1 - CUSTOS!$M$29</f>
        <v>1</v>
      </c>
      <c r="O27" s="64">
        <f>1 - CUSTOS!$M$29</f>
        <v>1</v>
      </c>
      <c r="P27" s="64">
        <f>1 - CUSTOS!$M$29</f>
        <v>1</v>
      </c>
      <c r="Q27" s="64"/>
      <c r="R27" s="64">
        <f>(1 - CUSTOS!$M$29)*1</f>
        <v>1</v>
      </c>
      <c r="S27" s="64"/>
      <c r="T27" s="64">
        <f>1 - CUSTOS!$M$29</f>
        <v>1</v>
      </c>
      <c r="U27" s="64">
        <f>1 - CUSTOS!$M$29</f>
        <v>1</v>
      </c>
      <c r="V27" s="64">
        <f>1 - CUSTOS!$M$29</f>
        <v>1</v>
      </c>
      <c r="W27" s="64"/>
      <c r="X27" s="64"/>
      <c r="Y27" s="64"/>
      <c r="Z27" s="64">
        <f>1 - CUSTOS!$M$29</f>
        <v>1</v>
      </c>
      <c r="AA27" s="64"/>
      <c r="AB27" s="64"/>
    </row>
    <row r="28" spans="1:28" ht="11.25" customHeight="1" x14ac:dyDescent="0.25">
      <c r="A28" s="177"/>
      <c r="B28" s="177"/>
      <c r="C28" s="177"/>
      <c r="D28" s="177"/>
      <c r="E28" s="177"/>
      <c r="F28" s="177"/>
      <c r="G28" s="66" t="s">
        <v>80</v>
      </c>
      <c r="H28" s="66" t="s">
        <v>78</v>
      </c>
      <c r="I28" s="66">
        <f>'MERCADO TE'!$U$25</f>
        <v>0</v>
      </c>
      <c r="J28" s="16"/>
      <c r="L28" s="64">
        <f>1 - CUSTOS!$M$29</f>
        <v>1</v>
      </c>
      <c r="M28" s="64">
        <f>1 - CUSTOS!$M$29</f>
        <v>1</v>
      </c>
      <c r="N28" s="64">
        <f>1 - CUSTOS!$M$29</f>
        <v>1</v>
      </c>
      <c r="O28" s="64">
        <f>1 - CUSTOS!$M$29</f>
        <v>1</v>
      </c>
      <c r="P28" s="64">
        <f>1 - CUSTOS!$M$29</f>
        <v>1</v>
      </c>
      <c r="Q28" s="64"/>
      <c r="R28" s="64">
        <f>(1 - CUSTOS!$M$29)*1</f>
        <v>1</v>
      </c>
      <c r="S28" s="64"/>
      <c r="T28" s="64">
        <f>1 - CUSTOS!$M$29</f>
        <v>1</v>
      </c>
      <c r="U28" s="64">
        <f>1 - CUSTOS!$M$29</f>
        <v>1</v>
      </c>
      <c r="V28" s="64">
        <f>1 - CUSTOS!$M$29</f>
        <v>1</v>
      </c>
      <c r="W28" s="64"/>
      <c r="X28" s="64"/>
      <c r="Y28" s="64"/>
      <c r="Z28" s="64">
        <f>1 - CUSTOS!$M$29</f>
        <v>1</v>
      </c>
      <c r="AA28" s="64"/>
      <c r="AB28" s="64"/>
    </row>
    <row r="29" spans="1:28" ht="11.25" customHeight="1" x14ac:dyDescent="0.25">
      <c r="A29" s="177"/>
      <c r="B29" s="67" t="s">
        <v>81</v>
      </c>
      <c r="C29" s="67" t="s">
        <v>43</v>
      </c>
      <c r="D29" s="67" t="s">
        <v>95</v>
      </c>
      <c r="E29" s="67" t="s">
        <v>25</v>
      </c>
      <c r="F29" s="67" t="s">
        <v>25</v>
      </c>
      <c r="G29" s="66" t="s">
        <v>82</v>
      </c>
      <c r="H29" s="66" t="s">
        <v>78</v>
      </c>
      <c r="I29" s="66">
        <f>'MERCADO TE'!$U$26</f>
        <v>0</v>
      </c>
      <c r="J29" s="16"/>
      <c r="L29" s="64">
        <f>1 - CUSTOS!$M$29</f>
        <v>1</v>
      </c>
      <c r="M29" s="64">
        <f>1 - CUSTOS!$M$29</f>
        <v>1</v>
      </c>
      <c r="N29" s="64">
        <f>1 - CUSTOS!$M$29</f>
        <v>1</v>
      </c>
      <c r="O29" s="64">
        <f>1 - CUSTOS!$M$29</f>
        <v>1</v>
      </c>
      <c r="P29" s="64">
        <f>1 - CUSTOS!$M$29</f>
        <v>1</v>
      </c>
      <c r="Q29" s="64"/>
      <c r="R29" s="64">
        <f>(1 - CUSTOS!$M$29)*1.06</f>
        <v>1.06</v>
      </c>
      <c r="S29" s="64"/>
      <c r="T29" s="64">
        <f>1 - CUSTOS!$M$29</f>
        <v>1</v>
      </c>
      <c r="U29" s="64">
        <f>1 - CUSTOS!$M$29</f>
        <v>1</v>
      </c>
      <c r="V29" s="64">
        <f>1 - CUSTOS!$M$29</f>
        <v>1</v>
      </c>
      <c r="W29" s="64"/>
      <c r="X29" s="64"/>
      <c r="Y29" s="64"/>
      <c r="Z29" s="64">
        <f>1 - CUSTOS!$M$29</f>
        <v>1</v>
      </c>
      <c r="AA29" s="64"/>
      <c r="AB29" s="64"/>
    </row>
    <row r="30" spans="1:28" ht="11.25" customHeight="1" x14ac:dyDescent="0.25">
      <c r="A30" s="177"/>
      <c r="B30" s="177" t="s">
        <v>77</v>
      </c>
      <c r="C30" s="177" t="s">
        <v>43</v>
      </c>
      <c r="D30" s="177" t="s">
        <v>96</v>
      </c>
      <c r="E30" s="177" t="s">
        <v>25</v>
      </c>
      <c r="F30" s="177" t="s">
        <v>25</v>
      </c>
      <c r="G30" s="66" t="s">
        <v>79</v>
      </c>
      <c r="H30" s="66" t="s">
        <v>78</v>
      </c>
      <c r="I30" s="66">
        <f>'MERCADO TE'!$U$27</f>
        <v>0</v>
      </c>
      <c r="J30" s="16"/>
      <c r="L30" s="64">
        <f>1 - CUSTOS!$M$30</f>
        <v>1</v>
      </c>
      <c r="M30" s="64">
        <f>1 - CUSTOS!$M$30</f>
        <v>1</v>
      </c>
      <c r="N30" s="64">
        <f>1 - CUSTOS!$M$30</f>
        <v>1</v>
      </c>
      <c r="O30" s="64">
        <f>1 - CUSTOS!$M$30</f>
        <v>1</v>
      </c>
      <c r="P30" s="64">
        <f>1 - CUSTOS!$M$30</f>
        <v>1</v>
      </c>
      <c r="Q30" s="64"/>
      <c r="R30" s="64">
        <f>(1 - CUSTOS!$M$30)*1.72</f>
        <v>1.72</v>
      </c>
      <c r="S30" s="64"/>
      <c r="T30" s="64">
        <f>1 - CUSTOS!$M$30</f>
        <v>1</v>
      </c>
      <c r="U30" s="64">
        <f>1 - CUSTOS!$M$30</f>
        <v>1</v>
      </c>
      <c r="V30" s="64">
        <f>1 - CUSTOS!$M$30</f>
        <v>1</v>
      </c>
      <c r="W30" s="64"/>
      <c r="X30" s="64"/>
      <c r="Y30" s="64"/>
      <c r="Z30" s="64">
        <f>1 - CUSTOS!$M$30</f>
        <v>1</v>
      </c>
      <c r="AA30" s="64"/>
      <c r="AB30" s="64"/>
    </row>
    <row r="31" spans="1:28" ht="11.25" customHeight="1" x14ac:dyDescent="0.25">
      <c r="A31" s="177"/>
      <c r="B31" s="177"/>
      <c r="C31" s="177"/>
      <c r="D31" s="177"/>
      <c r="E31" s="177"/>
      <c r="F31" s="177"/>
      <c r="G31" s="66" t="s">
        <v>92</v>
      </c>
      <c r="H31" s="66" t="s">
        <v>78</v>
      </c>
      <c r="I31" s="66">
        <f>'MERCADO TE'!$U$28</f>
        <v>0</v>
      </c>
      <c r="J31" s="16"/>
      <c r="L31" s="64">
        <f>1 - CUSTOS!$M$30</f>
        <v>1</v>
      </c>
      <c r="M31" s="64">
        <f>1 - CUSTOS!$M$30</f>
        <v>1</v>
      </c>
      <c r="N31" s="64">
        <f>1 - CUSTOS!$M$30</f>
        <v>1</v>
      </c>
      <c r="O31" s="64">
        <f>1 - CUSTOS!$M$30</f>
        <v>1</v>
      </c>
      <c r="P31" s="64">
        <f>1 - CUSTOS!$M$30</f>
        <v>1</v>
      </c>
      <c r="Q31" s="64"/>
      <c r="R31" s="64">
        <f>(1 - CUSTOS!$M$30)*1</f>
        <v>1</v>
      </c>
      <c r="S31" s="64"/>
      <c r="T31" s="64">
        <f>1 - CUSTOS!$M$30</f>
        <v>1</v>
      </c>
      <c r="U31" s="64">
        <f>1 - CUSTOS!$M$30</f>
        <v>1</v>
      </c>
      <c r="V31" s="64">
        <f>1 - CUSTOS!$M$30</f>
        <v>1</v>
      </c>
      <c r="W31" s="64"/>
      <c r="X31" s="64"/>
      <c r="Y31" s="64"/>
      <c r="Z31" s="64">
        <f>1 - CUSTOS!$M$30</f>
        <v>1</v>
      </c>
      <c r="AA31" s="64"/>
      <c r="AB31" s="64"/>
    </row>
    <row r="32" spans="1:28" ht="11.25" customHeight="1" x14ac:dyDescent="0.25">
      <c r="A32" s="177"/>
      <c r="B32" s="177"/>
      <c r="C32" s="177"/>
      <c r="D32" s="177"/>
      <c r="E32" s="177"/>
      <c r="F32" s="177"/>
      <c r="G32" s="66" t="s">
        <v>80</v>
      </c>
      <c r="H32" s="66" t="s">
        <v>78</v>
      </c>
      <c r="I32" s="66">
        <f>'MERCADO TE'!$U$29</f>
        <v>0</v>
      </c>
      <c r="J32" s="16"/>
      <c r="L32" s="64">
        <f>1 - CUSTOS!$M$30</f>
        <v>1</v>
      </c>
      <c r="M32" s="64">
        <f>1 - CUSTOS!$M$30</f>
        <v>1</v>
      </c>
      <c r="N32" s="64">
        <f>1 - CUSTOS!$M$30</f>
        <v>1</v>
      </c>
      <c r="O32" s="64">
        <f>1 - CUSTOS!$M$30</f>
        <v>1</v>
      </c>
      <c r="P32" s="64">
        <f>1 - CUSTOS!$M$30</f>
        <v>1</v>
      </c>
      <c r="Q32" s="64"/>
      <c r="R32" s="64">
        <f>(1 - CUSTOS!$M$30)*1</f>
        <v>1</v>
      </c>
      <c r="S32" s="64"/>
      <c r="T32" s="64">
        <f>1 - CUSTOS!$M$30</f>
        <v>1</v>
      </c>
      <c r="U32" s="64">
        <f>1 - CUSTOS!$M$30</f>
        <v>1</v>
      </c>
      <c r="V32" s="64">
        <f>1 - CUSTOS!$M$30</f>
        <v>1</v>
      </c>
      <c r="W32" s="64"/>
      <c r="X32" s="64"/>
      <c r="Y32" s="64"/>
      <c r="Z32" s="64">
        <f>1 - CUSTOS!$M$30</f>
        <v>1</v>
      </c>
      <c r="AA32" s="64"/>
      <c r="AB32" s="64"/>
    </row>
    <row r="33" spans="1:28" ht="11.25" customHeight="1" x14ac:dyDescent="0.25">
      <c r="A33" s="177"/>
      <c r="B33" s="67" t="s">
        <v>81</v>
      </c>
      <c r="C33" s="67" t="s">
        <v>43</v>
      </c>
      <c r="D33" s="67" t="s">
        <v>96</v>
      </c>
      <c r="E33" s="67" t="s">
        <v>25</v>
      </c>
      <c r="F33" s="67" t="s">
        <v>25</v>
      </c>
      <c r="G33" s="66" t="s">
        <v>82</v>
      </c>
      <c r="H33" s="66" t="s">
        <v>78</v>
      </c>
      <c r="I33" s="66">
        <f>'MERCADO TE'!$U$30</f>
        <v>0</v>
      </c>
      <c r="J33" s="16"/>
      <c r="L33" s="64">
        <f>1 - CUSTOS!$M$30</f>
        <v>1</v>
      </c>
      <c r="M33" s="64">
        <f>1 - CUSTOS!$M$30</f>
        <v>1</v>
      </c>
      <c r="N33" s="64">
        <f>1 - CUSTOS!$M$30</f>
        <v>1</v>
      </c>
      <c r="O33" s="64">
        <f>1 - CUSTOS!$M$30</f>
        <v>1</v>
      </c>
      <c r="P33" s="64">
        <f>1 - CUSTOS!$M$30</f>
        <v>1</v>
      </c>
      <c r="Q33" s="64"/>
      <c r="R33" s="64">
        <f>(1 - CUSTOS!$M$30)*1.06</f>
        <v>1.06</v>
      </c>
      <c r="S33" s="64"/>
      <c r="T33" s="64">
        <f>1 - CUSTOS!$M$30</f>
        <v>1</v>
      </c>
      <c r="U33" s="64">
        <f>1 - CUSTOS!$M$30</f>
        <v>1</v>
      </c>
      <c r="V33" s="64">
        <f>1 - CUSTOS!$M$30</f>
        <v>1</v>
      </c>
      <c r="W33" s="64"/>
      <c r="X33" s="64"/>
      <c r="Y33" s="64"/>
      <c r="Z33" s="64">
        <f>1 - CUSTOS!$M$30</f>
        <v>1</v>
      </c>
      <c r="AA33" s="64"/>
      <c r="AB33" s="64"/>
    </row>
    <row r="34" spans="1:28" ht="11.25" customHeight="1" x14ac:dyDescent="0.25">
      <c r="A34" s="177"/>
      <c r="B34" s="177" t="s">
        <v>93</v>
      </c>
      <c r="C34" s="177" t="s">
        <v>43</v>
      </c>
      <c r="D34" s="67" t="s">
        <v>25</v>
      </c>
      <c r="E34" s="67" t="s">
        <v>25</v>
      </c>
      <c r="F34" s="67" t="s">
        <v>25</v>
      </c>
      <c r="G34" s="66" t="s">
        <v>82</v>
      </c>
      <c r="H34" s="66" t="s">
        <v>78</v>
      </c>
      <c r="I34" s="66">
        <f>'MERCADO TE'!$U$31</f>
        <v>0</v>
      </c>
      <c r="J34" s="16"/>
      <c r="L34" s="64">
        <f>1 - CUSTOS!$M$28</f>
        <v>1</v>
      </c>
      <c r="M34" s="64">
        <f>1 - CUSTOS!$M$28</f>
        <v>1</v>
      </c>
      <c r="N34" s="64">
        <f>1 - CUSTOS!$M$28</f>
        <v>1</v>
      </c>
      <c r="O34" s="64">
        <f>1 - CUSTOS!$M$28</f>
        <v>1</v>
      </c>
      <c r="P34" s="64">
        <f>1 - CUSTOS!$M$28</f>
        <v>1</v>
      </c>
      <c r="Q34" s="64"/>
      <c r="R34" s="64">
        <f>(1 - CUSTOS!$M$28)*1.06</f>
        <v>1.06</v>
      </c>
      <c r="S34" s="64"/>
      <c r="T34" s="64">
        <f>1 - CUSTOS!$M$28</f>
        <v>1</v>
      </c>
      <c r="U34" s="64">
        <f>1 - CUSTOS!$M$28</f>
        <v>1</v>
      </c>
      <c r="V34" s="64">
        <f>1 - CUSTOS!$M$28</f>
        <v>1</v>
      </c>
      <c r="W34" s="64"/>
      <c r="X34" s="64"/>
      <c r="Y34" s="64"/>
      <c r="Z34" s="64">
        <f>1 - CUSTOS!$M$28</f>
        <v>1</v>
      </c>
      <c r="AA34" s="64"/>
      <c r="AB34" s="64"/>
    </row>
    <row r="35" spans="1:28" ht="11.25" customHeight="1" x14ac:dyDescent="0.25">
      <c r="A35" s="177"/>
      <c r="B35" s="177"/>
      <c r="C35" s="177"/>
      <c r="D35" s="67" t="s">
        <v>95</v>
      </c>
      <c r="E35" s="67" t="s">
        <v>25</v>
      </c>
      <c r="F35" s="67" t="s">
        <v>25</v>
      </c>
      <c r="G35" s="66" t="s">
        <v>82</v>
      </c>
      <c r="H35" s="66" t="s">
        <v>78</v>
      </c>
      <c r="I35" s="66">
        <f>'MERCADO TE'!$U$32</f>
        <v>0</v>
      </c>
      <c r="J35" s="16"/>
      <c r="L35" s="64">
        <f>1 - CUSTOS!$M$29</f>
        <v>1</v>
      </c>
      <c r="M35" s="64">
        <f>1 - CUSTOS!$M$29</f>
        <v>1</v>
      </c>
      <c r="N35" s="64">
        <f>1 - CUSTOS!$M$29</f>
        <v>1</v>
      </c>
      <c r="O35" s="64">
        <f>1 - CUSTOS!$M$29</f>
        <v>1</v>
      </c>
      <c r="P35" s="64">
        <f>1 - CUSTOS!$M$29</f>
        <v>1</v>
      </c>
      <c r="Q35" s="64"/>
      <c r="R35" s="64">
        <f>(1 - CUSTOS!$M$29)*1.06</f>
        <v>1.06</v>
      </c>
      <c r="S35" s="64"/>
      <c r="T35" s="64">
        <f>1 - CUSTOS!$M$29</f>
        <v>1</v>
      </c>
      <c r="U35" s="64">
        <f>1 - CUSTOS!$M$29</f>
        <v>1</v>
      </c>
      <c r="V35" s="64">
        <f>1 - CUSTOS!$M$29</f>
        <v>1</v>
      </c>
      <c r="W35" s="64"/>
      <c r="X35" s="64"/>
      <c r="Y35" s="64"/>
      <c r="Z35" s="64">
        <f>1 - CUSTOS!$M$29</f>
        <v>1</v>
      </c>
      <c r="AA35" s="64"/>
      <c r="AB35" s="64"/>
    </row>
    <row r="36" spans="1:28" ht="11.25" customHeight="1" x14ac:dyDescent="0.25">
      <c r="A36" s="177"/>
      <c r="B36" s="177"/>
      <c r="C36" s="177"/>
      <c r="D36" s="67" t="s">
        <v>96</v>
      </c>
      <c r="E36" s="67" t="s">
        <v>25</v>
      </c>
      <c r="F36" s="67" t="s">
        <v>25</v>
      </c>
      <c r="G36" s="66" t="s">
        <v>82</v>
      </c>
      <c r="H36" s="66" t="s">
        <v>78</v>
      </c>
      <c r="I36" s="66">
        <f>'MERCADO TE'!$U$33</f>
        <v>0</v>
      </c>
      <c r="J36" s="16"/>
      <c r="L36" s="64">
        <f>1 - CUSTOS!$M$30</f>
        <v>1</v>
      </c>
      <c r="M36" s="64">
        <f>1 - CUSTOS!$M$30</f>
        <v>1</v>
      </c>
      <c r="N36" s="64">
        <f>1 - CUSTOS!$M$30</f>
        <v>1</v>
      </c>
      <c r="O36" s="64">
        <f>1 - CUSTOS!$M$30</f>
        <v>1</v>
      </c>
      <c r="P36" s="64">
        <f>1 - CUSTOS!$M$30</f>
        <v>1</v>
      </c>
      <c r="Q36" s="64"/>
      <c r="R36" s="64">
        <f>(1 - CUSTOS!$M$30)*1.06</f>
        <v>1.06</v>
      </c>
      <c r="S36" s="64"/>
      <c r="T36" s="64">
        <f>1 - CUSTOS!$M$30</f>
        <v>1</v>
      </c>
      <c r="U36" s="64">
        <f>1 - CUSTOS!$M$30</f>
        <v>1</v>
      </c>
      <c r="V36" s="64">
        <f>1 - CUSTOS!$M$30</f>
        <v>1</v>
      </c>
      <c r="W36" s="64"/>
      <c r="X36" s="64"/>
      <c r="Y36" s="64"/>
      <c r="Z36" s="64">
        <f>1 - CUSTOS!$M$30</f>
        <v>1</v>
      </c>
      <c r="AA36" s="64"/>
      <c r="AB36" s="64"/>
    </row>
    <row r="37" spans="1:28" ht="11.25" customHeight="1" x14ac:dyDescent="0.25">
      <c r="A37" s="177" t="s">
        <v>36</v>
      </c>
      <c r="B37" s="177" t="s">
        <v>77</v>
      </c>
      <c r="C37" s="177" t="s">
        <v>25</v>
      </c>
      <c r="D37" s="177" t="s">
        <v>25</v>
      </c>
      <c r="E37" s="177" t="s">
        <v>25</v>
      </c>
      <c r="F37" s="177" t="s">
        <v>25</v>
      </c>
      <c r="G37" s="66" t="s">
        <v>79</v>
      </c>
      <c r="H37" s="66" t="s">
        <v>78</v>
      </c>
      <c r="I37" s="66">
        <f>'MERCADO TE'!$U$34</f>
        <v>1.1140000000000001</v>
      </c>
      <c r="J37" s="16"/>
      <c r="L37" s="64">
        <f>1 - CUSTOS!$M$31</f>
        <v>1</v>
      </c>
      <c r="M37" s="64">
        <f>1 - CUSTOS!$M$31</f>
        <v>1</v>
      </c>
      <c r="N37" s="64">
        <f>1 - CUSTOS!$M$31</f>
        <v>1</v>
      </c>
      <c r="O37" s="64">
        <f>1 - CUSTOS!$M$31</f>
        <v>1</v>
      </c>
      <c r="P37" s="64">
        <f>1 - CUSTOS!$M$31</f>
        <v>1</v>
      </c>
      <c r="Q37" s="64"/>
      <c r="R37" s="64">
        <f>(1 - CUSTOS!$M$31)*1.72</f>
        <v>1.72</v>
      </c>
      <c r="S37" s="64"/>
      <c r="T37" s="64">
        <f>1 - CUSTOS!$M$31</f>
        <v>1</v>
      </c>
      <c r="U37" s="64">
        <f>1 - CUSTOS!$M$31</f>
        <v>1</v>
      </c>
      <c r="V37" s="64">
        <f>1 - CUSTOS!$M$31</f>
        <v>1</v>
      </c>
      <c r="W37" s="64"/>
      <c r="X37" s="64"/>
      <c r="Y37" s="64"/>
      <c r="Z37" s="64">
        <f>1 - CUSTOS!$M$31</f>
        <v>1</v>
      </c>
      <c r="AA37" s="64"/>
      <c r="AB37" s="64"/>
    </row>
    <row r="38" spans="1:28" ht="11.25" customHeight="1" x14ac:dyDescent="0.25">
      <c r="A38" s="177"/>
      <c r="B38" s="177"/>
      <c r="C38" s="177"/>
      <c r="D38" s="177"/>
      <c r="E38" s="177"/>
      <c r="F38" s="177"/>
      <c r="G38" s="66" t="s">
        <v>92</v>
      </c>
      <c r="H38" s="66" t="s">
        <v>78</v>
      </c>
      <c r="I38" s="66">
        <f>'MERCADO TE'!$U$35</f>
        <v>0.48499999999999999</v>
      </c>
      <c r="J38" s="16"/>
      <c r="L38" s="64">
        <f>1 - CUSTOS!$M$31</f>
        <v>1</v>
      </c>
      <c r="M38" s="64">
        <f>1 - CUSTOS!$M$31</f>
        <v>1</v>
      </c>
      <c r="N38" s="64">
        <f>1 - CUSTOS!$M$31</f>
        <v>1</v>
      </c>
      <c r="O38" s="64">
        <f>1 - CUSTOS!$M$31</f>
        <v>1</v>
      </c>
      <c r="P38" s="64">
        <f>1 - CUSTOS!$M$31</f>
        <v>1</v>
      </c>
      <c r="Q38" s="64"/>
      <c r="R38" s="64">
        <f>(1 - CUSTOS!$M$31)*1</f>
        <v>1</v>
      </c>
      <c r="S38" s="64"/>
      <c r="T38" s="64">
        <f>1 - CUSTOS!$M$31</f>
        <v>1</v>
      </c>
      <c r="U38" s="64">
        <f>1 - CUSTOS!$M$31</f>
        <v>1</v>
      </c>
      <c r="V38" s="64">
        <f>1 - CUSTOS!$M$31</f>
        <v>1</v>
      </c>
      <c r="W38" s="64"/>
      <c r="X38" s="64"/>
      <c r="Y38" s="64"/>
      <c r="Z38" s="64">
        <f>1 - CUSTOS!$M$31</f>
        <v>1</v>
      </c>
      <c r="AA38" s="64"/>
      <c r="AB38" s="64"/>
    </row>
    <row r="39" spans="1:28" ht="11.25" customHeight="1" x14ac:dyDescent="0.25">
      <c r="A39" s="177"/>
      <c r="B39" s="177"/>
      <c r="C39" s="177"/>
      <c r="D39" s="177"/>
      <c r="E39" s="177"/>
      <c r="F39" s="177"/>
      <c r="G39" s="66" t="s">
        <v>80</v>
      </c>
      <c r="H39" s="66" t="s">
        <v>78</v>
      </c>
      <c r="I39" s="66">
        <f>'MERCADO TE'!$U$36</f>
        <v>6.2670000000000003</v>
      </c>
      <c r="J39" s="16"/>
      <c r="L39" s="64">
        <f>1 - CUSTOS!$M$31</f>
        <v>1</v>
      </c>
      <c r="M39" s="64">
        <f>1 - CUSTOS!$M$31</f>
        <v>1</v>
      </c>
      <c r="N39" s="64">
        <f>1 - CUSTOS!$M$31</f>
        <v>1</v>
      </c>
      <c r="O39" s="64">
        <f>1 - CUSTOS!$M$31</f>
        <v>1</v>
      </c>
      <c r="P39" s="64">
        <f>1 - CUSTOS!$M$31</f>
        <v>1</v>
      </c>
      <c r="Q39" s="64"/>
      <c r="R39" s="64">
        <f>(1 - CUSTOS!$M$31)*1</f>
        <v>1</v>
      </c>
      <c r="S39" s="64"/>
      <c r="T39" s="64">
        <f>1 - CUSTOS!$M$31</f>
        <v>1</v>
      </c>
      <c r="U39" s="64">
        <f>1 - CUSTOS!$M$31</f>
        <v>1</v>
      </c>
      <c r="V39" s="64">
        <f>1 - CUSTOS!$M$31</f>
        <v>1</v>
      </c>
      <c r="W39" s="64"/>
      <c r="X39" s="64"/>
      <c r="Y39" s="64"/>
      <c r="Z39" s="64">
        <f>1 - CUSTOS!$M$31</f>
        <v>1</v>
      </c>
      <c r="AA39" s="64"/>
      <c r="AB39" s="64"/>
    </row>
    <row r="40" spans="1:28" ht="11.25" customHeight="1" x14ac:dyDescent="0.25">
      <c r="A40" s="177"/>
      <c r="B40" s="67" t="s">
        <v>81</v>
      </c>
      <c r="C40" s="67" t="s">
        <v>25</v>
      </c>
      <c r="D40" s="67" t="s">
        <v>25</v>
      </c>
      <c r="E40" s="67" t="s">
        <v>25</v>
      </c>
      <c r="F40" s="67" t="s">
        <v>25</v>
      </c>
      <c r="G40" s="66" t="s">
        <v>82</v>
      </c>
      <c r="H40" s="66" t="s">
        <v>78</v>
      </c>
      <c r="I40" s="66">
        <f>'MERCADO TE'!$U$37</f>
        <v>13646.102000000001</v>
      </c>
      <c r="J40" s="16"/>
      <c r="L40" s="64">
        <f>1 - CUSTOS!$M$31</f>
        <v>1</v>
      </c>
      <c r="M40" s="64">
        <f>1 - CUSTOS!$M$31</f>
        <v>1</v>
      </c>
      <c r="N40" s="64">
        <f>1 - CUSTOS!$M$31</f>
        <v>1</v>
      </c>
      <c r="O40" s="64">
        <f>1 - CUSTOS!$M$31</f>
        <v>1</v>
      </c>
      <c r="P40" s="64">
        <f>1 - CUSTOS!$M$31</f>
        <v>1</v>
      </c>
      <c r="Q40" s="64"/>
      <c r="R40" s="64">
        <f>(1 - CUSTOS!$M$31)*1.06</f>
        <v>1.06</v>
      </c>
      <c r="S40" s="64"/>
      <c r="T40" s="64">
        <f>1 - CUSTOS!$M$31</f>
        <v>1</v>
      </c>
      <c r="U40" s="64">
        <f>1 - CUSTOS!$M$31</f>
        <v>1</v>
      </c>
      <c r="V40" s="64">
        <f>1 - CUSTOS!$M$31</f>
        <v>1</v>
      </c>
      <c r="W40" s="64"/>
      <c r="X40" s="64"/>
      <c r="Y40" s="64"/>
      <c r="Z40" s="64">
        <f>1 - CUSTOS!$M$31</f>
        <v>1</v>
      </c>
      <c r="AA40" s="64"/>
      <c r="AB40" s="64"/>
    </row>
    <row r="41" spans="1:28" ht="11.25" customHeight="1" x14ac:dyDescent="0.25">
      <c r="A41" s="177"/>
      <c r="B41" s="67" t="s">
        <v>93</v>
      </c>
      <c r="C41" s="67" t="s">
        <v>25</v>
      </c>
      <c r="D41" s="67" t="s">
        <v>25</v>
      </c>
      <c r="E41" s="67" t="s">
        <v>25</v>
      </c>
      <c r="F41" s="67" t="s">
        <v>25</v>
      </c>
      <c r="G41" s="66" t="s">
        <v>82</v>
      </c>
      <c r="H41" s="66" t="s">
        <v>78</v>
      </c>
      <c r="I41" s="66">
        <f>'MERCADO TE'!$U$38</f>
        <v>0</v>
      </c>
      <c r="J41" s="16"/>
      <c r="L41" s="64">
        <f>1 - CUSTOS!$M$31</f>
        <v>1</v>
      </c>
      <c r="M41" s="64">
        <f>1 - CUSTOS!$M$31</f>
        <v>1</v>
      </c>
      <c r="N41" s="64">
        <f>1 - CUSTOS!$M$31</f>
        <v>1</v>
      </c>
      <c r="O41" s="64">
        <f>1 - CUSTOS!$M$31</f>
        <v>1</v>
      </c>
      <c r="P41" s="64">
        <f>1 - CUSTOS!$M$31</f>
        <v>1</v>
      </c>
      <c r="Q41" s="64"/>
      <c r="R41" s="64">
        <f>(1 - CUSTOS!$M$31)*1.06</f>
        <v>1.06</v>
      </c>
      <c r="S41" s="64"/>
      <c r="T41" s="64">
        <f>1 - CUSTOS!$M$31</f>
        <v>1</v>
      </c>
      <c r="U41" s="64">
        <f>1 - CUSTOS!$M$31</f>
        <v>1</v>
      </c>
      <c r="V41" s="64">
        <f>1 - CUSTOS!$M$31</f>
        <v>1</v>
      </c>
      <c r="W41" s="64"/>
      <c r="X41" s="64"/>
      <c r="Y41" s="64"/>
      <c r="Z41" s="64">
        <f>1 - CUSTOS!$M$31</f>
        <v>1</v>
      </c>
      <c r="AA41" s="64"/>
      <c r="AB41" s="64"/>
    </row>
    <row r="42" spans="1:28" ht="11.25" customHeight="1" x14ac:dyDescent="0.25">
      <c r="A42" s="177" t="s">
        <v>45</v>
      </c>
      <c r="B42" s="177" t="s">
        <v>81</v>
      </c>
      <c r="C42" s="177" t="s">
        <v>46</v>
      </c>
      <c r="D42" s="67" t="s">
        <v>47</v>
      </c>
      <c r="E42" s="67" t="s">
        <v>25</v>
      </c>
      <c r="F42" s="67" t="s">
        <v>25</v>
      </c>
      <c r="G42" s="66" t="s">
        <v>82</v>
      </c>
      <c r="H42" s="66" t="s">
        <v>78</v>
      </c>
      <c r="I42" s="66">
        <f>'MERCADO TE'!$U$39</f>
        <v>4914.0960000000005</v>
      </c>
      <c r="J42" s="16"/>
      <c r="L42" s="64">
        <f>1 - CUSTOS!$M$32</f>
        <v>0.55000000000000004</v>
      </c>
      <c r="M42" s="64">
        <f>1 - CUSTOS!$M$32</f>
        <v>0.55000000000000004</v>
      </c>
      <c r="N42" s="64">
        <f>1 - CUSTOS!$M$32</f>
        <v>0.55000000000000004</v>
      </c>
      <c r="O42" s="64">
        <f>1 - CUSTOS!$M$32</f>
        <v>0.55000000000000004</v>
      </c>
      <c r="P42" s="64">
        <f>1 - CUSTOS!$M$32</f>
        <v>0.55000000000000004</v>
      </c>
      <c r="Q42" s="64"/>
      <c r="R42" s="64">
        <f>(1 - CUSTOS!$M$32)*1.06</f>
        <v>0.58300000000000007</v>
      </c>
      <c r="S42" s="64"/>
      <c r="T42" s="64">
        <f>1 - CUSTOS!$M$32</f>
        <v>0.55000000000000004</v>
      </c>
      <c r="U42" s="64">
        <f>1 - CUSTOS!$M$32</f>
        <v>0.55000000000000004</v>
      </c>
      <c r="V42" s="64">
        <f>1 - CUSTOS!$M$32</f>
        <v>0.55000000000000004</v>
      </c>
      <c r="W42" s="64"/>
      <c r="X42" s="64"/>
      <c r="Y42" s="64"/>
      <c r="Z42" s="64">
        <f>1 - CUSTOS!$M$32</f>
        <v>0.55000000000000004</v>
      </c>
      <c r="AA42" s="64"/>
      <c r="AB42" s="64"/>
    </row>
    <row r="43" spans="1:28" ht="11.25" customHeight="1" x14ac:dyDescent="0.25">
      <c r="A43" s="177"/>
      <c r="B43" s="177"/>
      <c r="C43" s="177"/>
      <c r="D43" s="66" t="s">
        <v>97</v>
      </c>
      <c r="E43" s="66" t="s">
        <v>25</v>
      </c>
      <c r="F43" s="66" t="s">
        <v>25</v>
      </c>
      <c r="G43" s="66" t="s">
        <v>82</v>
      </c>
      <c r="H43" s="66" t="s">
        <v>78</v>
      </c>
      <c r="I43" s="66">
        <f>'MERCADO TE'!$U$40</f>
        <v>0</v>
      </c>
      <c r="J43" s="16"/>
      <c r="L43" s="64">
        <f>1 - CUSTOS!$M$33</f>
        <v>0.6</v>
      </c>
      <c r="M43" s="64">
        <f>1 - CUSTOS!$M$33</f>
        <v>0.6</v>
      </c>
      <c r="N43" s="64">
        <f>1 - CUSTOS!$M$33</f>
        <v>0.6</v>
      </c>
      <c r="O43" s="64">
        <f>1 - CUSTOS!$M$33</f>
        <v>0.6</v>
      </c>
      <c r="P43" s="64">
        <f>1 - CUSTOS!$M$33</f>
        <v>0.6</v>
      </c>
      <c r="Q43" s="64"/>
      <c r="R43" s="64">
        <f>(1 - CUSTOS!$M$33)*1.06</f>
        <v>0.63600000000000001</v>
      </c>
      <c r="S43" s="64"/>
      <c r="T43" s="64">
        <f>1 - CUSTOS!$M$33</f>
        <v>0.6</v>
      </c>
      <c r="U43" s="64">
        <f>1 - CUSTOS!$M$33</f>
        <v>0.6</v>
      </c>
      <c r="V43" s="64">
        <f>1 - CUSTOS!$M$33</f>
        <v>0.6</v>
      </c>
      <c r="W43" s="64"/>
      <c r="X43" s="64"/>
      <c r="Y43" s="64"/>
      <c r="Z43" s="64">
        <f>1 - CUSTOS!$M$33</f>
        <v>0.6</v>
      </c>
      <c r="AA43" s="64"/>
      <c r="AB43" s="64"/>
    </row>
    <row r="45" spans="1:28" ht="11.25" customHeight="1" x14ac:dyDescent="0.25">
      <c r="K45" s="69" t="s">
        <v>589</v>
      </c>
      <c r="L45" s="64">
        <f t="shared" ref="L45:AB45" si="0">SUMPRODUCT($I$5:$I$43,L$5:L$43)</f>
        <v>73930.694799999997</v>
      </c>
      <c r="M45" s="64">
        <f t="shared" si="0"/>
        <v>73930.694799999997</v>
      </c>
      <c r="N45" s="64">
        <f t="shared" si="0"/>
        <v>73930.694799999997</v>
      </c>
      <c r="O45" s="64">
        <f t="shared" si="0"/>
        <v>73930.694799999997</v>
      </c>
      <c r="P45" s="64">
        <f t="shared" si="0"/>
        <v>73930.694799999997</v>
      </c>
      <c r="Q45" s="64">
        <f t="shared" si="0"/>
        <v>0</v>
      </c>
      <c r="R45" s="64">
        <f t="shared" si="0"/>
        <v>78267.066087999992</v>
      </c>
      <c r="S45" s="64">
        <f t="shared" si="0"/>
        <v>0</v>
      </c>
      <c r="T45" s="64">
        <f t="shared" si="0"/>
        <v>73930.694799999997</v>
      </c>
      <c r="U45" s="64">
        <f t="shared" si="0"/>
        <v>73930.694799999997</v>
      </c>
      <c r="V45" s="64">
        <f t="shared" si="0"/>
        <v>73930.694799999997</v>
      </c>
      <c r="W45" s="64">
        <f t="shared" si="0"/>
        <v>0</v>
      </c>
      <c r="X45" s="64">
        <f t="shared" si="0"/>
        <v>0</v>
      </c>
      <c r="Y45" s="64">
        <f t="shared" si="0"/>
        <v>0</v>
      </c>
      <c r="Z45" s="64">
        <f t="shared" si="0"/>
        <v>73930.694799999997</v>
      </c>
      <c r="AA45" s="64">
        <f t="shared" si="0"/>
        <v>0</v>
      </c>
      <c r="AB45" s="64">
        <f t="shared" si="0"/>
        <v>0</v>
      </c>
    </row>
    <row r="46" spans="1:28" ht="11.25" customHeight="1" x14ac:dyDescent="0.25">
      <c r="K46" s="69" t="s">
        <v>525</v>
      </c>
      <c r="L46" s="64">
        <f>CUSTOS!$D$30</f>
        <v>217388.68030113468</v>
      </c>
      <c r="M46" s="64">
        <f>CUSTOS!$D$31</f>
        <v>0</v>
      </c>
      <c r="N46" s="64">
        <f>CUSTOS!$D$32</f>
        <v>0</v>
      </c>
      <c r="O46" s="64">
        <f>CUSTOS!$D$33</f>
        <v>640267.50349107874</v>
      </c>
      <c r="P46" s="64">
        <f>CUSTOS!$D$34</f>
        <v>0</v>
      </c>
      <c r="Q46" s="64">
        <f>CUSTOS!$D$35</f>
        <v>857656.18379221344</v>
      </c>
      <c r="R46" s="64">
        <f>CUSTOS!$D$36</f>
        <v>20389905.96487087</v>
      </c>
      <c r="S46" s="64">
        <f>CUSTOS!$D$37</f>
        <v>20389905.96487087</v>
      </c>
      <c r="T46" s="64">
        <f>CUSTOS!$D$38</f>
        <v>0</v>
      </c>
      <c r="U46" s="64">
        <f>CUSTOS!$D$39</f>
        <v>0</v>
      </c>
      <c r="V46" s="64">
        <f>CUSTOS!$D$40</f>
        <v>0</v>
      </c>
      <c r="W46" s="64">
        <f>CUSTOS!$D$41</f>
        <v>0</v>
      </c>
      <c r="X46" s="64">
        <f>CUSTOS!$D$42</f>
        <v>0</v>
      </c>
      <c r="Y46" s="64">
        <f>CUSTOS!$D$43</f>
        <v>0</v>
      </c>
      <c r="Z46" s="64">
        <f>CUSTOS!$D$44</f>
        <v>0</v>
      </c>
      <c r="AA46" s="64">
        <f>CUSTOS!$D$45</f>
        <v>0</v>
      </c>
      <c r="AB46" s="64">
        <f>CUSTOS!$D$46</f>
        <v>21247562.148663085</v>
      </c>
    </row>
    <row r="47" spans="1:28" ht="11.25" customHeight="1" x14ac:dyDescent="0.25">
      <c r="K47" s="69" t="s">
        <v>526</v>
      </c>
      <c r="L47" s="64">
        <f>CUSTOS!$E$30</f>
        <v>-8.8885204693480453E-3</v>
      </c>
      <c r="M47" s="64">
        <f>CUSTOS!$E$31</f>
        <v>0</v>
      </c>
      <c r="N47" s="64">
        <f>CUSTOS!$E$32</f>
        <v>0</v>
      </c>
      <c r="O47" s="64">
        <f>CUSTOS!$E$33</f>
        <v>-51214.334036968139</v>
      </c>
      <c r="P47" s="64">
        <f>CUSTOS!$E$34</f>
        <v>0</v>
      </c>
      <c r="Q47" s="64">
        <f>CUSTOS!$E$35</f>
        <v>-51214.342925488607</v>
      </c>
      <c r="R47" s="64">
        <f>CUSTOS!$E$36</f>
        <v>74842.048413565804</v>
      </c>
      <c r="S47" s="64">
        <f>CUSTOS!$E$37</f>
        <v>74842.048413565804</v>
      </c>
      <c r="T47" s="64">
        <f>CUSTOS!$E$38</f>
        <v>0</v>
      </c>
      <c r="U47" s="64">
        <f>CUSTOS!$E$39</f>
        <v>0</v>
      </c>
      <c r="V47" s="64">
        <f>CUSTOS!$E$40</f>
        <v>0</v>
      </c>
      <c r="W47" s="64">
        <f>CUSTOS!$E$41</f>
        <v>0</v>
      </c>
      <c r="X47" s="64">
        <f>CUSTOS!$E$42</f>
        <v>-3802746.9625408254</v>
      </c>
      <c r="Y47" s="64">
        <f>CUSTOS!$E$43</f>
        <v>-3802746.9625408254</v>
      </c>
      <c r="Z47" s="64">
        <f>CUSTOS!$E$44</f>
        <v>0</v>
      </c>
      <c r="AA47" s="64">
        <f>CUSTOS!$E$45</f>
        <v>0</v>
      </c>
      <c r="AB47" s="64">
        <f>CUSTOS!$E$46</f>
        <v>-3779119.257052748</v>
      </c>
    </row>
    <row r="48" spans="1:28" ht="11.25" customHeight="1" x14ac:dyDescent="0.25">
      <c r="K48" s="69" t="s">
        <v>527</v>
      </c>
      <c r="L48" s="64">
        <f>CUSTOS!$F$30</f>
        <v>0</v>
      </c>
      <c r="M48" s="64">
        <f>CUSTOS!$F$31</f>
        <v>0</v>
      </c>
      <c r="N48" s="64">
        <f>CUSTOS!$F$32</f>
        <v>0</v>
      </c>
      <c r="O48" s="64">
        <f>CUSTOS!$F$33</f>
        <v>42001.435756448831</v>
      </c>
      <c r="P48" s="64">
        <f>CUSTOS!$F$34</f>
        <v>0</v>
      </c>
      <c r="Q48" s="64">
        <f>CUSTOS!$F$35</f>
        <v>42001.435756448831</v>
      </c>
      <c r="R48" s="64">
        <f>CUSTOS!$F$36</f>
        <v>868156.7647220213</v>
      </c>
      <c r="S48" s="64">
        <f>CUSTOS!$F$37</f>
        <v>868156.7647220213</v>
      </c>
      <c r="T48" s="64">
        <f>CUSTOS!$F$38</f>
        <v>0</v>
      </c>
      <c r="U48" s="64">
        <f>CUSTOS!$F$39</f>
        <v>0</v>
      </c>
      <c r="V48" s="64">
        <f>CUSTOS!$F$40</f>
        <v>0</v>
      </c>
      <c r="W48" s="64">
        <f>CUSTOS!$F$41</f>
        <v>0</v>
      </c>
      <c r="X48" s="64">
        <f>CUSTOS!$F$42</f>
        <v>0</v>
      </c>
      <c r="Y48" s="64">
        <f>CUSTOS!$F$43</f>
        <v>0</v>
      </c>
      <c r="Z48" s="64">
        <f>CUSTOS!$F$44</f>
        <v>0</v>
      </c>
      <c r="AA48" s="64">
        <f>CUSTOS!$F$45</f>
        <v>0</v>
      </c>
      <c r="AB48" s="64">
        <f>CUSTOS!$F$46</f>
        <v>910158.20047847019</v>
      </c>
    </row>
    <row r="49" spans="11:28" ht="11.25" customHeight="1" x14ac:dyDescent="0.25">
      <c r="K49" s="69" t="s">
        <v>590</v>
      </c>
      <c r="L49" s="64">
        <f>IF(SUMPRODUCT($I$5:$I$43,$L$5:$L$43)&lt;&gt;0,L46/SUMPRODUCT($I$5:$I$43,$L$5:$L$43),0)</f>
        <v>2.9404387567196877</v>
      </c>
      <c r="M49" s="64">
        <f>IF(SUMPRODUCT($I$5:$I$43,$M$5:$M$43)&lt;&gt;0,M46/SUMPRODUCT($I$5:$I$43,$M$5:$M$43),0)</f>
        <v>0</v>
      </c>
      <c r="N49" s="64">
        <f>IF(SUMPRODUCT($I$5:$I$43,$N$5:$N$43)&lt;&gt;0,N46/SUMPRODUCT($I$5:$I$43,$N$5:$N$43),0)</f>
        <v>0</v>
      </c>
      <c r="O49" s="64">
        <f>IF(SUMPRODUCT($I$5:$I$43,$O$5:$O$43)&lt;&gt;0,O46/SUMPRODUCT($I$5:$I$43,$O$5:$O$43),0)</f>
        <v>8.6603744929376578</v>
      </c>
      <c r="P49" s="64">
        <f>IF(SUMPRODUCT($I$5:$I$43,$P$5:$P$43)&lt;&gt;0,P46/SUMPRODUCT($I$5:$I$43,$P$5:$P$43),0)</f>
        <v>0</v>
      </c>
      <c r="Q49" s="64"/>
      <c r="R49" s="64">
        <f>IF((CUSTOS!$M$12-CUSTOS!$M$13)&lt;&gt;0,(CUSTOS!$M$12*CUSTOS!$M$14)/(CUSTOS!$M$12-CUSTOS!$M$13),0)</f>
        <v>273.92</v>
      </c>
      <c r="S49" s="64"/>
      <c r="T49" s="64">
        <f>IF(SUMPRODUCT($I$5:$I$43,$T$5:$T$43)&lt;&gt;0,T46/SUMPRODUCT($I$5:$I$43,$T$5:$T$43),0)</f>
        <v>0</v>
      </c>
      <c r="U49" s="64">
        <f>IF(SUMPRODUCT($I$5:$I$43,$U$5:$U$43)&lt;&gt;0,U46/SUMPRODUCT($I$5:$I$43,$U$5:$U$43),0)</f>
        <v>0</v>
      </c>
      <c r="V49" s="64">
        <f>IF(SUMPRODUCT($I$5:$I$43,$V$5:$V$43)&lt;&gt;0,V46/SUMPRODUCT($I$5:$I$43,$V$5:$V$43),0)</f>
        <v>0</v>
      </c>
      <c r="W49" s="64"/>
      <c r="X49" s="64">
        <f>IF(SUMPRODUCT($I$5:$I$43,$X$5:$X$43)&lt;&gt;0,X46/SUMPRODUCT($I$5:$I$43,$X$5:$X$43),0)</f>
        <v>0</v>
      </c>
      <c r="Y49" s="64"/>
      <c r="Z49" s="64">
        <f>IF(SUMPRODUCT($I$5:$I$43,$Z$5:$Z$43)&lt;&gt;0,Z46/SUMPRODUCT($I$5:$I$43,$Z$5:$Z$43),0)</f>
        <v>0</v>
      </c>
      <c r="AA49" s="64"/>
      <c r="AB49" s="64"/>
    </row>
    <row r="50" spans="11:28" ht="11.25" customHeight="1" x14ac:dyDescent="0.25">
      <c r="K50" s="69" t="s">
        <v>591</v>
      </c>
      <c r="L50" s="64">
        <f>IF(L45&lt;&gt;0,(L46-L49*(+ $I$8*L$8))/(L45-(+ $I$8*L$8)),0)</f>
        <v>2.9404387567196877</v>
      </c>
      <c r="M50" s="64">
        <f>IF(M45&lt;&gt;0,(M46-M49*(+ $I$8*M$8))/(M45-(+ $I$8*M$8)),0)</f>
        <v>0</v>
      </c>
      <c r="N50" s="64">
        <f>IF(N45&lt;&gt;0,(N46-N49*(+ $I$8*N$8))/(N45-(+ $I$8*N$8)),0)</f>
        <v>0</v>
      </c>
      <c r="O50" s="64">
        <f>IF(O45&lt;&gt;0,(O46-O49*(+ $I$8*O$8))/(O45-(+ $I$8*O$8)),0)</f>
        <v>8.6603744929376578</v>
      </c>
      <c r="P50" s="64">
        <f>IF(P45&lt;&gt;0,(P46-P49*(+ $I$8*P$8))/(P45-(+ $I$8*P$8)),0)</f>
        <v>0</v>
      </c>
      <c r="Q50" s="64"/>
      <c r="R50" s="64">
        <f>IF(R45&lt;&gt;0,(R46-R49*(+ $I$8))/(R45-(+ $I$8*R$8)),0)</f>
        <v>260.51706016353506</v>
      </c>
      <c r="S50" s="64"/>
      <c r="T50" s="64">
        <f>IF(T45&lt;&gt;0,(T46-T49*(+ $I$8*T$8))/(T45-(+ $I$8*T$8)),0)</f>
        <v>0</v>
      </c>
      <c r="U50" s="64">
        <f>IF(U45&lt;&gt;0,(U46-U49*(+ $I$8*U$8))/(U45-(+ $I$8*U$8)),0)</f>
        <v>0</v>
      </c>
      <c r="V50" s="64">
        <f>IF(V45&lt;&gt;0,(V46-V49*(+ $I$8*V$8))/(V45-(+ $I$8*V$8)),0)</f>
        <v>0</v>
      </c>
      <c r="W50" s="64"/>
      <c r="X50" s="64">
        <f>IF(X45&lt;&gt;0,(X46-X49*(+ $I$8*X$8))/(X45-(+ $I$8*X$8)),0)</f>
        <v>0</v>
      </c>
      <c r="Y50" s="64"/>
      <c r="Z50" s="64">
        <f>IF(Z45&lt;&gt;0,(Z46-Z49*(+ $I$8*Z$8))/(Z45-(+ $I$8*Z$8)),0)</f>
        <v>0</v>
      </c>
      <c r="AA50" s="64"/>
      <c r="AB50" s="64"/>
    </row>
    <row r="51" spans="11:28" ht="11.25" customHeight="1" x14ac:dyDescent="0.25">
      <c r="K51" s="69" t="s">
        <v>592</v>
      </c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</row>
  </sheetData>
  <mergeCells count="61">
    <mergeCell ref="F5:F6"/>
    <mergeCell ref="A5:A8"/>
    <mergeCell ref="B5:B6"/>
    <mergeCell ref="C5:C6"/>
    <mergeCell ref="D5:D6"/>
    <mergeCell ref="E5:E6"/>
    <mergeCell ref="F9:F11"/>
    <mergeCell ref="B12:B16"/>
    <mergeCell ref="C12:C16"/>
    <mergeCell ref="B17:B21"/>
    <mergeCell ref="C17:C21"/>
    <mergeCell ref="A9:A21"/>
    <mergeCell ref="B9:B11"/>
    <mergeCell ref="C9:C11"/>
    <mergeCell ref="D9:D11"/>
    <mergeCell ref="E9:E11"/>
    <mergeCell ref="E30:E32"/>
    <mergeCell ref="F30:F32"/>
    <mergeCell ref="A22:A36"/>
    <mergeCell ref="B22:B24"/>
    <mergeCell ref="C22:C24"/>
    <mergeCell ref="D22:D24"/>
    <mergeCell ref="E22:E24"/>
    <mergeCell ref="F22:F24"/>
    <mergeCell ref="B26:B28"/>
    <mergeCell ref="C26:C28"/>
    <mergeCell ref="D26:D28"/>
    <mergeCell ref="E26:E28"/>
    <mergeCell ref="F1:F4"/>
    <mergeCell ref="E37:E39"/>
    <mergeCell ref="F37:F39"/>
    <mergeCell ref="A42:A43"/>
    <mergeCell ref="B42:B43"/>
    <mergeCell ref="C42:C43"/>
    <mergeCell ref="B34:B36"/>
    <mergeCell ref="C34:C36"/>
    <mergeCell ref="A37:A41"/>
    <mergeCell ref="B37:B39"/>
    <mergeCell ref="C37:C39"/>
    <mergeCell ref="D37:D39"/>
    <mergeCell ref="F26:F28"/>
    <mergeCell ref="B30:B32"/>
    <mergeCell ref="C30:C32"/>
    <mergeCell ref="D30:D32"/>
    <mergeCell ref="A1:A4"/>
    <mergeCell ref="B1:B4"/>
    <mergeCell ref="C1:C4"/>
    <mergeCell ref="D1:D4"/>
    <mergeCell ref="E1:E4"/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E9C10-235C-45C3-9B91-9E1CEB0F563A}">
  <sheetPr codeName="Planilha13"/>
  <dimension ref="A1:AB51"/>
  <sheetViews>
    <sheetView showGridLines="0" topLeftCell="Q37" workbookViewId="0">
      <selection activeCell="AB45" sqref="AB45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4" width="7.85546875" style="9" bestFit="1" customWidth="1"/>
    <col min="15" max="15" width="11.140625" style="9" bestFit="1" customWidth="1"/>
    <col min="16" max="16" width="8.140625" style="9" bestFit="1" customWidth="1"/>
    <col min="17" max="17" width="9.28515625" style="9" bestFit="1" customWidth="1"/>
    <col min="18" max="18" width="15" style="9" bestFit="1" customWidth="1"/>
    <col min="19" max="19" width="10.85546875" style="9" bestFit="1" customWidth="1"/>
    <col min="20" max="20" width="7.85546875" style="9" bestFit="1" customWidth="1"/>
    <col min="21" max="21" width="10.42578125" style="9" bestFit="1" customWidth="1"/>
    <col min="22" max="22" width="7.85546875" style="9" bestFit="1" customWidth="1"/>
    <col min="23" max="23" width="9.28515625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76" t="s">
        <v>68</v>
      </c>
      <c r="B1" s="176" t="s">
        <v>69</v>
      </c>
      <c r="C1" s="176" t="s">
        <v>70</v>
      </c>
      <c r="D1" s="176" t="s">
        <v>71</v>
      </c>
      <c r="E1" s="176" t="s">
        <v>72</v>
      </c>
      <c r="F1" s="176" t="s">
        <v>15</v>
      </c>
      <c r="G1" s="176" t="s">
        <v>74</v>
      </c>
      <c r="H1" s="176" t="s">
        <v>75</v>
      </c>
      <c r="I1" s="176" t="s">
        <v>573</v>
      </c>
      <c r="J1" s="155"/>
      <c r="L1" s="174" t="s">
        <v>593</v>
      </c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4"/>
      <c r="AA1" s="174"/>
      <c r="AB1" s="174"/>
    </row>
    <row r="2" spans="1:28" ht="11.25" customHeight="1" x14ac:dyDescent="0.25">
      <c r="A2" s="176"/>
      <c r="B2" s="176"/>
      <c r="C2" s="176"/>
      <c r="D2" s="176"/>
      <c r="E2" s="176"/>
      <c r="F2" s="176"/>
      <c r="G2" s="176"/>
      <c r="H2" s="176"/>
      <c r="I2" s="176"/>
      <c r="J2" s="155"/>
      <c r="L2" s="174" t="s">
        <v>511</v>
      </c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  <c r="AA2" s="174"/>
      <c r="AB2" s="174"/>
    </row>
    <row r="3" spans="1:28" ht="11.25" customHeight="1" x14ac:dyDescent="0.25">
      <c r="A3" s="176"/>
      <c r="B3" s="176"/>
      <c r="C3" s="176"/>
      <c r="D3" s="176"/>
      <c r="E3" s="176"/>
      <c r="F3" s="176"/>
      <c r="G3" s="176"/>
      <c r="H3" s="176"/>
      <c r="I3" s="176"/>
      <c r="J3" s="155"/>
      <c r="L3" s="174" t="s">
        <v>484</v>
      </c>
      <c r="M3" s="174"/>
      <c r="N3" s="174"/>
      <c r="O3" s="174"/>
      <c r="P3" s="174"/>
      <c r="Q3" s="174"/>
      <c r="R3" s="174" t="s">
        <v>515</v>
      </c>
      <c r="S3" s="174"/>
      <c r="T3" s="174" t="s">
        <v>493</v>
      </c>
      <c r="U3" s="174"/>
      <c r="V3" s="174"/>
      <c r="W3" s="174"/>
      <c r="X3" s="174" t="s">
        <v>503</v>
      </c>
      <c r="Y3" s="174"/>
      <c r="Z3" s="174" t="s">
        <v>506</v>
      </c>
      <c r="AA3" s="174"/>
      <c r="AB3" s="174" t="s">
        <v>492</v>
      </c>
    </row>
    <row r="4" spans="1:28" ht="11.25" customHeight="1" x14ac:dyDescent="0.25">
      <c r="A4" s="176"/>
      <c r="B4" s="176"/>
      <c r="C4" s="176"/>
      <c r="D4" s="176"/>
      <c r="E4" s="176"/>
      <c r="F4" s="176"/>
      <c r="G4" s="176"/>
      <c r="H4" s="176"/>
      <c r="I4" s="176"/>
      <c r="J4" s="155"/>
      <c r="L4" s="68" t="s">
        <v>486</v>
      </c>
      <c r="M4" s="68" t="s">
        <v>512</v>
      </c>
      <c r="N4" s="68" t="s">
        <v>513</v>
      </c>
      <c r="O4" s="68" t="s">
        <v>572</v>
      </c>
      <c r="P4" s="68" t="s">
        <v>514</v>
      </c>
      <c r="Q4" s="68" t="s">
        <v>492</v>
      </c>
      <c r="R4" s="68" t="s">
        <v>516</v>
      </c>
      <c r="S4" s="68" t="s">
        <v>492</v>
      </c>
      <c r="T4" s="68" t="s">
        <v>517</v>
      </c>
      <c r="U4" s="68" t="s">
        <v>518</v>
      </c>
      <c r="V4" s="68" t="s">
        <v>519</v>
      </c>
      <c r="W4" s="68" t="s">
        <v>492</v>
      </c>
      <c r="X4" s="68" t="s">
        <v>504</v>
      </c>
      <c r="Y4" s="68" t="s">
        <v>492</v>
      </c>
      <c r="Z4" s="68" t="s">
        <v>520</v>
      </c>
      <c r="AA4" s="68" t="s">
        <v>492</v>
      </c>
      <c r="AB4" s="175"/>
    </row>
    <row r="5" spans="1:28" ht="11.25" customHeight="1" x14ac:dyDescent="0.25">
      <c r="A5" s="177" t="s">
        <v>38</v>
      </c>
      <c r="B5" s="177" t="s">
        <v>77</v>
      </c>
      <c r="C5" s="177" t="s">
        <v>25</v>
      </c>
      <c r="D5" s="177" t="s">
        <v>25</v>
      </c>
      <c r="E5" s="177" t="s">
        <v>25</v>
      </c>
      <c r="F5" s="177" t="s">
        <v>25</v>
      </c>
      <c r="G5" s="66" t="s">
        <v>79</v>
      </c>
      <c r="H5" s="66" t="s">
        <v>78</v>
      </c>
      <c r="I5" s="66">
        <f>'MERCADO TE'!$U$2</f>
        <v>1223.6420000000003</v>
      </c>
      <c r="J5" s="16"/>
      <c r="L5" s="64">
        <f>'TR TE'!$L$5*'TR TE'!$L$50</f>
        <v>2.9404387567196877</v>
      </c>
      <c r="M5" s="64">
        <f>'TR TE'!$M$5*'TR TE'!$M$50</f>
        <v>0</v>
      </c>
      <c r="N5" s="64">
        <f>'TR TE'!$N$5*'TR TE'!$N$50</f>
        <v>0</v>
      </c>
      <c r="O5" s="64">
        <f>'TR TE'!$O$5*'TR TE'!$O$50</f>
        <v>8.6603744929376578</v>
      </c>
      <c r="P5" s="64">
        <f>'TR TE'!$P$5*'TR TE'!$P$50</f>
        <v>0</v>
      </c>
      <c r="Q5" s="64">
        <f>SUM($L$5:$P$5)</f>
        <v>11.600813249657346</v>
      </c>
      <c r="R5" s="64">
        <f>'TR TE'!$R$5*'TR TE'!$R$50</f>
        <v>448.08934348128031</v>
      </c>
      <c r="S5" s="64">
        <f>SUM($R$5:$R$5)</f>
        <v>448.08934348128031</v>
      </c>
      <c r="T5" s="64">
        <f>'TR TE'!$T$5*'TR TE'!$T$50</f>
        <v>0</v>
      </c>
      <c r="U5" s="64">
        <f>'TR TE'!$U$5*'TR TE'!$U$50</f>
        <v>0</v>
      </c>
      <c r="V5" s="64">
        <f>'TR TE'!$V$5*'TR TE'!$V$50</f>
        <v>0</v>
      </c>
      <c r="W5" s="64">
        <f>SUM($T$5:$V$5)</f>
        <v>0</v>
      </c>
      <c r="X5" s="64"/>
      <c r="Y5" s="64">
        <f>SUM($X$5:$X$5)</f>
        <v>0</v>
      </c>
      <c r="Z5" s="64">
        <f>'TR TE'!$Z$5*'TR TE'!$Z$50</f>
        <v>0</v>
      </c>
      <c r="AA5" s="64">
        <f>SUM($Z$5:$Z$5)</f>
        <v>0</v>
      </c>
      <c r="AB5" s="64">
        <f>SUMIF($L$4:$AA$4,"SUBTOTAL",$L$5:$AA$5)</f>
        <v>459.69015673093764</v>
      </c>
    </row>
    <row r="6" spans="1:28" ht="11.25" customHeight="1" x14ac:dyDescent="0.25">
      <c r="A6" s="177"/>
      <c r="B6" s="177"/>
      <c r="C6" s="177"/>
      <c r="D6" s="177"/>
      <c r="E6" s="177"/>
      <c r="F6" s="177"/>
      <c r="G6" s="66" t="s">
        <v>80</v>
      </c>
      <c r="H6" s="66" t="s">
        <v>78</v>
      </c>
      <c r="I6" s="66">
        <f>'MERCADO TE'!$U$3</f>
        <v>15134.961000000001</v>
      </c>
      <c r="J6" s="16"/>
      <c r="L6" s="64">
        <f>'TR TE'!$L$6*'TR TE'!$L$50</f>
        <v>2.9404387567196877</v>
      </c>
      <c r="M6" s="64">
        <f>'TR TE'!$M$6*'TR TE'!$M$50</f>
        <v>0</v>
      </c>
      <c r="N6" s="64">
        <f>'TR TE'!$N$6*'TR TE'!$N$50</f>
        <v>0</v>
      </c>
      <c r="O6" s="64">
        <f>'TR TE'!$O$6*'TR TE'!$O$50</f>
        <v>8.6603744929376578</v>
      </c>
      <c r="P6" s="64">
        <f>'TR TE'!$P$6*'TR TE'!$P$50</f>
        <v>0</v>
      </c>
      <c r="Q6" s="64">
        <f>SUM($L$6:$P$6)</f>
        <v>11.600813249657346</v>
      </c>
      <c r="R6" s="64">
        <f>'TR TE'!$R$6*'TR TE'!$R$50</f>
        <v>260.51706016353506</v>
      </c>
      <c r="S6" s="64">
        <f>SUM($R$6:$R$6)</f>
        <v>260.51706016353506</v>
      </c>
      <c r="T6" s="64">
        <f>'TR TE'!$T$6*'TR TE'!$T$50</f>
        <v>0</v>
      </c>
      <c r="U6" s="64">
        <f>'TR TE'!$U$6*'TR TE'!$U$50</f>
        <v>0</v>
      </c>
      <c r="V6" s="64">
        <f>'TR TE'!$V$6*'TR TE'!$V$50</f>
        <v>0</v>
      </c>
      <c r="W6" s="64">
        <f>SUM($T$6:$V$6)</f>
        <v>0</v>
      </c>
      <c r="X6" s="64"/>
      <c r="Y6" s="64">
        <f>SUM($X$6:$X$6)</f>
        <v>0</v>
      </c>
      <c r="Z6" s="64">
        <f>'TR TE'!$Z$6*'TR TE'!$Z$50</f>
        <v>0</v>
      </c>
      <c r="AA6" s="64">
        <f>SUM($Z$6:$Z$6)</f>
        <v>0</v>
      </c>
      <c r="AB6" s="64">
        <f>SUMIF($L$4:$AA$4,"SUBTOTAL",$L$6:$AA$6)</f>
        <v>272.1178734131924</v>
      </c>
    </row>
    <row r="7" spans="1:28" ht="11.25" customHeight="1" x14ac:dyDescent="0.25">
      <c r="A7" s="177"/>
      <c r="B7" s="67" t="s">
        <v>81</v>
      </c>
      <c r="C7" s="67" t="s">
        <v>25</v>
      </c>
      <c r="D7" s="67" t="s">
        <v>25</v>
      </c>
      <c r="E7" s="67" t="s">
        <v>25</v>
      </c>
      <c r="F7" s="67" t="s">
        <v>25</v>
      </c>
      <c r="G7" s="66" t="s">
        <v>82</v>
      </c>
      <c r="H7" s="66" t="s">
        <v>78</v>
      </c>
      <c r="I7" s="66">
        <f>'MERCADO TE'!$U$4</f>
        <v>0</v>
      </c>
      <c r="J7" s="16"/>
      <c r="L7" s="64">
        <f>'TR TE'!$L$7*'TR TE'!$L$50</f>
        <v>2.9404387567196877</v>
      </c>
      <c r="M7" s="64">
        <f>'TR TE'!$M$7*'TR TE'!$M$50</f>
        <v>0</v>
      </c>
      <c r="N7" s="64">
        <f>'TR TE'!$N$7*'TR TE'!$N$50</f>
        <v>0</v>
      </c>
      <c r="O7" s="64">
        <f>'TR TE'!$O$7*'TR TE'!$O$50</f>
        <v>8.6603744929376578</v>
      </c>
      <c r="P7" s="64">
        <f>'TR TE'!$P$7*'TR TE'!$P$50</f>
        <v>0</v>
      </c>
      <c r="Q7" s="64">
        <f>SUM($L$7:$P$7)</f>
        <v>11.600813249657346</v>
      </c>
      <c r="R7" s="64">
        <f>'TR TE'!$R$7*'TR TE'!$R$50</f>
        <v>276.1480837733472</v>
      </c>
      <c r="S7" s="64">
        <f>SUM($R$7:$R$7)</f>
        <v>276.1480837733472</v>
      </c>
      <c r="T7" s="64">
        <f>'TR TE'!$T$7*'TR TE'!$T$50</f>
        <v>0</v>
      </c>
      <c r="U7" s="64">
        <f>'TR TE'!$U$7*'TR TE'!$U$50</f>
        <v>0</v>
      </c>
      <c r="V7" s="64">
        <f>'TR TE'!$V$7*'TR TE'!$V$50</f>
        <v>0</v>
      </c>
      <c r="W7" s="64">
        <f>SUM($T$7:$V$7)</f>
        <v>0</v>
      </c>
      <c r="X7" s="64"/>
      <c r="Y7" s="64">
        <f>SUM($X$7:$X$7)</f>
        <v>0</v>
      </c>
      <c r="Z7" s="64">
        <f>'TR TE'!$Z$7*'TR TE'!$Z$50</f>
        <v>0</v>
      </c>
      <c r="AA7" s="64">
        <f>SUM($Z$7:$Z$7)</f>
        <v>0</v>
      </c>
      <c r="AB7" s="64">
        <f>SUMIF($L$4:$AA$4,"SUBTOTAL",$L$7:$AA$7)</f>
        <v>287.74889702300453</v>
      </c>
    </row>
    <row r="8" spans="1:28" ht="11.25" customHeight="1" x14ac:dyDescent="0.25">
      <c r="A8" s="177"/>
      <c r="B8" s="67" t="s">
        <v>87</v>
      </c>
      <c r="C8" s="67" t="s">
        <v>25</v>
      </c>
      <c r="D8" s="67" t="s">
        <v>25</v>
      </c>
      <c r="E8" s="67" t="s">
        <v>88</v>
      </c>
      <c r="F8" s="67" t="s">
        <v>25</v>
      </c>
      <c r="G8" s="66" t="s">
        <v>82</v>
      </c>
      <c r="H8" s="66" t="s">
        <v>78</v>
      </c>
      <c r="I8" s="66">
        <f>'MERCADO TE'!$U$5</f>
        <v>0</v>
      </c>
      <c r="J8" s="16"/>
      <c r="L8" s="64">
        <f>'TR TE'!$L$49</f>
        <v>2.9404387567196877</v>
      </c>
      <c r="M8" s="64">
        <f>'TR TE'!$M$49</f>
        <v>0</v>
      </c>
      <c r="N8" s="64">
        <f>'TR TE'!$N$49</f>
        <v>0</v>
      </c>
      <c r="O8" s="64">
        <f>'TR TE'!$O$49</f>
        <v>8.6603744929376578</v>
      </c>
      <c r="P8" s="64">
        <f>'TR TE'!$P$49</f>
        <v>0</v>
      </c>
      <c r="Q8" s="64">
        <f>SUM($L$8:$P$8)</f>
        <v>11.600813249657346</v>
      </c>
      <c r="R8" s="64">
        <f>'TR TE'!$R$49</f>
        <v>273.92</v>
      </c>
      <c r="S8" s="64">
        <f>SUM($R$8:$R$8)</f>
        <v>273.92</v>
      </c>
      <c r="T8" s="64">
        <f>'TR TE'!$T$49</f>
        <v>0</v>
      </c>
      <c r="U8" s="64">
        <f>'TR TE'!$U$49</f>
        <v>0</v>
      </c>
      <c r="V8" s="64">
        <f>'TR TE'!$V$49</f>
        <v>0</v>
      </c>
      <c r="W8" s="64">
        <f>SUM($T$8:$V$8)</f>
        <v>0</v>
      </c>
      <c r="X8" s="64"/>
      <c r="Y8" s="64">
        <f>SUM($X$8:$X$8)</f>
        <v>0</v>
      </c>
      <c r="Z8" s="64">
        <f>'TR TE'!$Z$49</f>
        <v>0</v>
      </c>
      <c r="AA8" s="64">
        <f>SUM($Z$8:$Z$8)</f>
        <v>0</v>
      </c>
      <c r="AB8" s="64">
        <f>SUMIF($L$4:$AA$4,"SUBTOTAL",$L$8:$AA$8)</f>
        <v>285.52081324965735</v>
      </c>
    </row>
    <row r="9" spans="1:28" ht="11.25" customHeight="1" x14ac:dyDescent="0.25">
      <c r="A9" s="177" t="s">
        <v>22</v>
      </c>
      <c r="B9" s="177" t="s">
        <v>77</v>
      </c>
      <c r="C9" s="177" t="s">
        <v>24</v>
      </c>
      <c r="D9" s="177" t="s">
        <v>24</v>
      </c>
      <c r="E9" s="177" t="s">
        <v>25</v>
      </c>
      <c r="F9" s="177" t="s">
        <v>25</v>
      </c>
      <c r="G9" s="66" t="s">
        <v>79</v>
      </c>
      <c r="H9" s="66" t="s">
        <v>78</v>
      </c>
      <c r="I9" s="66">
        <f>'MERCADO TE'!$U$6</f>
        <v>2.7580000000000005</v>
      </c>
      <c r="J9" s="16"/>
      <c r="L9" s="64">
        <f>'TR TE'!$L$9*'TR TE'!$L$50</f>
        <v>2.9404387567196877</v>
      </c>
      <c r="M9" s="64">
        <f>'TR TE'!$M$9*'TR TE'!$M$50</f>
        <v>0</v>
      </c>
      <c r="N9" s="64">
        <f>'TR TE'!$N$9*'TR TE'!$N$50</f>
        <v>0</v>
      </c>
      <c r="O9" s="64">
        <f>'TR TE'!$O$9*'TR TE'!$O$50</f>
        <v>8.6603744929376578</v>
      </c>
      <c r="P9" s="64">
        <f>'TR TE'!$P$9*'TR TE'!$P$50</f>
        <v>0</v>
      </c>
      <c r="Q9" s="64">
        <f>SUM($L$9:$P$9)</f>
        <v>11.600813249657346</v>
      </c>
      <c r="R9" s="64">
        <f>'TR TE'!$R$9*'TR TE'!$R$50</f>
        <v>448.08934348128031</v>
      </c>
      <c r="S9" s="64">
        <f>SUM($R$9:$R$9)</f>
        <v>448.08934348128031</v>
      </c>
      <c r="T9" s="64">
        <f>'TR TE'!$T$9*'TR TE'!$T$50</f>
        <v>0</v>
      </c>
      <c r="U9" s="64">
        <f>'TR TE'!$U$9*'TR TE'!$U$50</f>
        <v>0</v>
      </c>
      <c r="V9" s="64">
        <f>'TR TE'!$V$9*'TR TE'!$V$50</f>
        <v>0</v>
      </c>
      <c r="W9" s="64">
        <f>SUM($T$9:$V$9)</f>
        <v>0</v>
      </c>
      <c r="X9" s="64"/>
      <c r="Y9" s="64">
        <f>SUM($X$9:$X$9)</f>
        <v>0</v>
      </c>
      <c r="Z9" s="64">
        <f>'TR TE'!$Z$9*'TR TE'!$Z$50</f>
        <v>0</v>
      </c>
      <c r="AA9" s="64">
        <f>SUM($Z$9:$Z$9)</f>
        <v>0</v>
      </c>
      <c r="AB9" s="64">
        <f>SUMIF($L$4:$AA$4,"SUBTOTAL",$L$9:$AA$9)</f>
        <v>459.69015673093764</v>
      </c>
    </row>
    <row r="10" spans="1:28" ht="11.25" customHeight="1" x14ac:dyDescent="0.25">
      <c r="A10" s="177"/>
      <c r="B10" s="177"/>
      <c r="C10" s="177"/>
      <c r="D10" s="177"/>
      <c r="E10" s="177"/>
      <c r="F10" s="177"/>
      <c r="G10" s="66" t="s">
        <v>92</v>
      </c>
      <c r="H10" s="66" t="s">
        <v>78</v>
      </c>
      <c r="I10" s="66">
        <f>'MERCADO TE'!$U$7</f>
        <v>1.9870000000000001</v>
      </c>
      <c r="J10" s="16"/>
      <c r="L10" s="64">
        <f>'TR TE'!$L$10*'TR TE'!$L$50</f>
        <v>2.9404387567196877</v>
      </c>
      <c r="M10" s="64">
        <f>'TR TE'!$M$10*'TR TE'!$M$50</f>
        <v>0</v>
      </c>
      <c r="N10" s="64">
        <f>'TR TE'!$N$10*'TR TE'!$N$50</f>
        <v>0</v>
      </c>
      <c r="O10" s="64">
        <f>'TR TE'!$O$10*'TR TE'!$O$50</f>
        <v>8.6603744929376578</v>
      </c>
      <c r="P10" s="64">
        <f>'TR TE'!$P$10*'TR TE'!$P$50</f>
        <v>0</v>
      </c>
      <c r="Q10" s="64">
        <f>SUM($L$10:$P$10)</f>
        <v>11.600813249657346</v>
      </c>
      <c r="R10" s="64">
        <f>'TR TE'!$R$10*'TR TE'!$R$50</f>
        <v>260.51706016353506</v>
      </c>
      <c r="S10" s="64">
        <f>SUM($R$10:$R$10)</f>
        <v>260.51706016353506</v>
      </c>
      <c r="T10" s="64">
        <f>'TR TE'!$T$10*'TR TE'!$T$50</f>
        <v>0</v>
      </c>
      <c r="U10" s="64">
        <f>'TR TE'!$U$10*'TR TE'!$U$50</f>
        <v>0</v>
      </c>
      <c r="V10" s="64">
        <f>'TR TE'!$V$10*'TR TE'!$V$50</f>
        <v>0</v>
      </c>
      <c r="W10" s="64">
        <f>SUM($T$10:$V$10)</f>
        <v>0</v>
      </c>
      <c r="X10" s="64"/>
      <c r="Y10" s="64">
        <f>SUM($X$10:$X$10)</f>
        <v>0</v>
      </c>
      <c r="Z10" s="64">
        <f>'TR TE'!$Z$10*'TR TE'!$Z$50</f>
        <v>0</v>
      </c>
      <c r="AA10" s="64">
        <f>SUM($Z$10:$Z$10)</f>
        <v>0</v>
      </c>
      <c r="AB10" s="64">
        <f>SUMIF($L$4:$AA$4,"SUBTOTAL",$L$10:$AA$10)</f>
        <v>272.1178734131924</v>
      </c>
    </row>
    <row r="11" spans="1:28" ht="11.25" customHeight="1" x14ac:dyDescent="0.25">
      <c r="A11" s="177"/>
      <c r="B11" s="177"/>
      <c r="C11" s="177"/>
      <c r="D11" s="177"/>
      <c r="E11" s="177"/>
      <c r="F11" s="177"/>
      <c r="G11" s="66" t="s">
        <v>80</v>
      </c>
      <c r="H11" s="66" t="s">
        <v>78</v>
      </c>
      <c r="I11" s="66">
        <f>'MERCADO TE'!$U$8</f>
        <v>16.794</v>
      </c>
      <c r="J11" s="16"/>
      <c r="L11" s="64">
        <f>'TR TE'!$L$11*'TR TE'!$L$50</f>
        <v>2.9404387567196877</v>
      </c>
      <c r="M11" s="64">
        <f>'TR TE'!$M$11*'TR TE'!$M$50</f>
        <v>0</v>
      </c>
      <c r="N11" s="64">
        <f>'TR TE'!$N$11*'TR TE'!$N$50</f>
        <v>0</v>
      </c>
      <c r="O11" s="64">
        <f>'TR TE'!$O$11*'TR TE'!$O$50</f>
        <v>8.6603744929376578</v>
      </c>
      <c r="P11" s="64">
        <f>'TR TE'!$P$11*'TR TE'!$P$50</f>
        <v>0</v>
      </c>
      <c r="Q11" s="64">
        <f>SUM($L$11:$P$11)</f>
        <v>11.600813249657346</v>
      </c>
      <c r="R11" s="64">
        <f>'TR TE'!$R$11*'TR TE'!$R$50</f>
        <v>260.51706016353506</v>
      </c>
      <c r="S11" s="64">
        <f>SUM($R$11:$R$11)</f>
        <v>260.51706016353506</v>
      </c>
      <c r="T11" s="64">
        <f>'TR TE'!$T$11*'TR TE'!$T$50</f>
        <v>0</v>
      </c>
      <c r="U11" s="64">
        <f>'TR TE'!$U$11*'TR TE'!$U$50</f>
        <v>0</v>
      </c>
      <c r="V11" s="64">
        <f>'TR TE'!$V$11*'TR TE'!$V$50</f>
        <v>0</v>
      </c>
      <c r="W11" s="64">
        <f>SUM($T$11:$V$11)</f>
        <v>0</v>
      </c>
      <c r="X11" s="64"/>
      <c r="Y11" s="64">
        <f>SUM($X$11:$X$11)</f>
        <v>0</v>
      </c>
      <c r="Z11" s="64">
        <f>'TR TE'!$Z$11*'TR TE'!$Z$50</f>
        <v>0</v>
      </c>
      <c r="AA11" s="64">
        <f>SUM($Z$11:$Z$11)</f>
        <v>0</v>
      </c>
      <c r="AB11" s="64">
        <f>SUMIF($L$4:$AA$4,"SUBTOTAL",$L$11:$AA$11)</f>
        <v>272.1178734131924</v>
      </c>
    </row>
    <row r="12" spans="1:28" ht="11.25" customHeight="1" x14ac:dyDescent="0.25">
      <c r="A12" s="177"/>
      <c r="B12" s="177" t="s">
        <v>81</v>
      </c>
      <c r="C12" s="177" t="s">
        <v>24</v>
      </c>
      <c r="D12" s="67" t="s">
        <v>24</v>
      </c>
      <c r="E12" s="67" t="s">
        <v>25</v>
      </c>
      <c r="F12" s="67" t="s">
        <v>25</v>
      </c>
      <c r="G12" s="66" t="s">
        <v>82</v>
      </c>
      <c r="H12" s="66" t="s">
        <v>78</v>
      </c>
      <c r="I12" s="66">
        <f>'MERCADO TE'!$U$9</f>
        <v>38061.052999999993</v>
      </c>
      <c r="J12" s="16"/>
      <c r="L12" s="64">
        <f>'TR TE'!$L$12*'TR TE'!$L$50</f>
        <v>2.9404387567196877</v>
      </c>
      <c r="M12" s="64">
        <f>'TR TE'!$M$12*'TR TE'!$M$50</f>
        <v>0</v>
      </c>
      <c r="N12" s="64">
        <f>'TR TE'!$N$12*'TR TE'!$N$50</f>
        <v>0</v>
      </c>
      <c r="O12" s="64">
        <f>'TR TE'!$O$12*'TR TE'!$O$50</f>
        <v>8.6603744929376578</v>
      </c>
      <c r="P12" s="64">
        <f>'TR TE'!$P$12*'TR TE'!$P$50</f>
        <v>0</v>
      </c>
      <c r="Q12" s="64">
        <f>SUM($L$12:$P$12)</f>
        <v>11.600813249657346</v>
      </c>
      <c r="R12" s="64">
        <f>'TR TE'!$R$12*'TR TE'!$R$50</f>
        <v>276.1480837733472</v>
      </c>
      <c r="S12" s="64">
        <f>SUM($R$12:$R$12)</f>
        <v>276.1480837733472</v>
      </c>
      <c r="T12" s="64">
        <f>'TR TE'!$T$12*'TR TE'!$T$50</f>
        <v>0</v>
      </c>
      <c r="U12" s="64">
        <f>'TR TE'!$U$12*'TR TE'!$U$50</f>
        <v>0</v>
      </c>
      <c r="V12" s="64">
        <f>'TR TE'!$V$12*'TR TE'!$V$50</f>
        <v>0</v>
      </c>
      <c r="W12" s="64">
        <f>SUM($T$12:$V$12)</f>
        <v>0</v>
      </c>
      <c r="X12" s="64"/>
      <c r="Y12" s="64">
        <f>SUM($X$12:$X$12)</f>
        <v>0</v>
      </c>
      <c r="Z12" s="64">
        <f>'TR TE'!$Z$12*'TR TE'!$Z$50</f>
        <v>0</v>
      </c>
      <c r="AA12" s="64">
        <f>SUM($Z$12:$Z$12)</f>
        <v>0</v>
      </c>
      <c r="AB12" s="64">
        <f>SUMIF($L$4:$AA$4,"SUBTOTAL",$L$12:$AA$12)</f>
        <v>287.74889702300453</v>
      </c>
    </row>
    <row r="13" spans="1:28" ht="11.25" customHeight="1" x14ac:dyDescent="0.25">
      <c r="A13" s="177"/>
      <c r="B13" s="177"/>
      <c r="C13" s="177"/>
      <c r="D13" s="67" t="s">
        <v>28</v>
      </c>
      <c r="E13" s="67" t="s">
        <v>25</v>
      </c>
      <c r="F13" s="67" t="s">
        <v>25</v>
      </c>
      <c r="G13" s="66" t="s">
        <v>82</v>
      </c>
      <c r="H13" s="66" t="s">
        <v>78</v>
      </c>
      <c r="I13" s="66">
        <f>'MERCADO TE'!$U$10</f>
        <v>264.92899999999997</v>
      </c>
      <c r="J13" s="16"/>
      <c r="L13" s="64">
        <f>'TR TE'!$L$13*'TR TE'!$L$50</f>
        <v>2.9404387567196877</v>
      </c>
      <c r="M13" s="64">
        <f>'TR TE'!$M$13*'TR TE'!$M$50</f>
        <v>0</v>
      </c>
      <c r="N13" s="64">
        <f>'TR TE'!$N$13*'TR TE'!$N$50</f>
        <v>0</v>
      </c>
      <c r="O13" s="64">
        <f>'TR TE'!$O$13*'TR TE'!$O$50</f>
        <v>8.6603744929376578</v>
      </c>
      <c r="P13" s="64">
        <f>'TR TE'!$P$13*'TR TE'!$P$50</f>
        <v>0</v>
      </c>
      <c r="Q13" s="64">
        <f>SUM($L$13:$P$13)</f>
        <v>11.600813249657346</v>
      </c>
      <c r="R13" s="64">
        <f>'TR TE'!$R$13*'TR TE'!$R$50</f>
        <v>276.1480837733472</v>
      </c>
      <c r="S13" s="64">
        <f>SUM($R$13:$R$13)</f>
        <v>276.1480837733472</v>
      </c>
      <c r="T13" s="64">
        <f>'TR TE'!$T$13*'TR TE'!$T$50</f>
        <v>0</v>
      </c>
      <c r="U13" s="64">
        <f>'TR TE'!$U$13*'TR TE'!$U$50</f>
        <v>0</v>
      </c>
      <c r="V13" s="64">
        <f>'TR TE'!$V$13*'TR TE'!$V$50</f>
        <v>0</v>
      </c>
      <c r="W13" s="64">
        <f>SUM($T$13:$V$13)</f>
        <v>0</v>
      </c>
      <c r="X13" s="64"/>
      <c r="Y13" s="64">
        <f>SUM($X$13:$X$13)</f>
        <v>0</v>
      </c>
      <c r="Z13" s="64">
        <f>'TR TE'!$Z$13*'TR TE'!$Z$50</f>
        <v>0</v>
      </c>
      <c r="AA13" s="64">
        <f>SUM($Z$13:$Z$13)</f>
        <v>0</v>
      </c>
      <c r="AB13" s="64">
        <f>SUMIF($L$4:$AA$4,"SUBTOTAL",$L$13:$AA$13)</f>
        <v>287.74889702300453</v>
      </c>
    </row>
    <row r="14" spans="1:28" ht="11.25" customHeight="1" x14ac:dyDescent="0.25">
      <c r="A14" s="177"/>
      <c r="B14" s="177"/>
      <c r="C14" s="177"/>
      <c r="D14" s="67" t="s">
        <v>29</v>
      </c>
      <c r="E14" s="67" t="s">
        <v>25</v>
      </c>
      <c r="F14" s="67" t="s">
        <v>25</v>
      </c>
      <c r="G14" s="66" t="s">
        <v>82</v>
      </c>
      <c r="H14" s="66" t="s">
        <v>78</v>
      </c>
      <c r="I14" s="66">
        <f>'MERCADO TE'!$U$11</f>
        <v>546.98300000000006</v>
      </c>
      <c r="J14" s="16"/>
      <c r="L14" s="64">
        <f>'TR TE'!$L$14*'TR TE'!$L$50</f>
        <v>2.9404387567196877</v>
      </c>
      <c r="M14" s="64">
        <f>'TR TE'!$M$14*'TR TE'!$M$50</f>
        <v>0</v>
      </c>
      <c r="N14" s="64">
        <f>'TR TE'!$N$14*'TR TE'!$N$50</f>
        <v>0</v>
      </c>
      <c r="O14" s="64">
        <f>'TR TE'!$O$14*'TR TE'!$O$50</f>
        <v>8.6603744929376578</v>
      </c>
      <c r="P14" s="64">
        <f>'TR TE'!$P$14*'TR TE'!$P$50</f>
        <v>0</v>
      </c>
      <c r="Q14" s="64">
        <f>SUM($L$14:$P$14)</f>
        <v>11.600813249657346</v>
      </c>
      <c r="R14" s="64">
        <f>'TR TE'!$R$14*'TR TE'!$R$50</f>
        <v>276.1480837733472</v>
      </c>
      <c r="S14" s="64">
        <f>SUM($R$14:$R$14)</f>
        <v>276.1480837733472</v>
      </c>
      <c r="T14" s="64">
        <f>'TR TE'!$T$14*'TR TE'!$T$50</f>
        <v>0</v>
      </c>
      <c r="U14" s="64">
        <f>'TR TE'!$U$14*'TR TE'!$U$50</f>
        <v>0</v>
      </c>
      <c r="V14" s="64">
        <f>'TR TE'!$V$14*'TR TE'!$V$50</f>
        <v>0</v>
      </c>
      <c r="W14" s="64">
        <f>SUM($T$14:$V$14)</f>
        <v>0</v>
      </c>
      <c r="X14" s="64"/>
      <c r="Y14" s="64">
        <f>SUM($X$14:$X$14)</f>
        <v>0</v>
      </c>
      <c r="Z14" s="64">
        <f>'TR TE'!$Z$14*'TR TE'!$Z$50</f>
        <v>0</v>
      </c>
      <c r="AA14" s="64">
        <f>SUM($Z$14:$Z$14)</f>
        <v>0</v>
      </c>
      <c r="AB14" s="64">
        <f>SUMIF($L$4:$AA$4,"SUBTOTAL",$L$14:$AA$14)</f>
        <v>287.74889702300453</v>
      </c>
    </row>
    <row r="15" spans="1:28" ht="11.25" customHeight="1" x14ac:dyDescent="0.25">
      <c r="A15" s="177"/>
      <c r="B15" s="177"/>
      <c r="C15" s="177"/>
      <c r="D15" s="67" t="s">
        <v>30</v>
      </c>
      <c r="E15" s="67" t="s">
        <v>25</v>
      </c>
      <c r="F15" s="67" t="s">
        <v>25</v>
      </c>
      <c r="G15" s="66" t="s">
        <v>82</v>
      </c>
      <c r="H15" s="66" t="s">
        <v>78</v>
      </c>
      <c r="I15" s="66">
        <f>'MERCADO TE'!$U$12</f>
        <v>480.18299999999999</v>
      </c>
      <c r="J15" s="16"/>
      <c r="L15" s="64">
        <f>'TR TE'!$L$15*'TR TE'!$L$50</f>
        <v>2.9404387567196877</v>
      </c>
      <c r="M15" s="64">
        <f>'TR TE'!$M$15*'TR TE'!$M$50</f>
        <v>0</v>
      </c>
      <c r="N15" s="64">
        <f>'TR TE'!$N$15*'TR TE'!$N$50</f>
        <v>0</v>
      </c>
      <c r="O15" s="64">
        <f>'TR TE'!$O$15*'TR TE'!$O$50</f>
        <v>8.6603744929376578</v>
      </c>
      <c r="P15" s="64">
        <f>'TR TE'!$P$15*'TR TE'!$P$50</f>
        <v>0</v>
      </c>
      <c r="Q15" s="64">
        <f>SUM($L$15:$P$15)</f>
        <v>11.600813249657346</v>
      </c>
      <c r="R15" s="64">
        <f>'TR TE'!$R$15*'TR TE'!$R$50</f>
        <v>276.1480837733472</v>
      </c>
      <c r="S15" s="64">
        <f>SUM($R$15:$R$15)</f>
        <v>276.1480837733472</v>
      </c>
      <c r="T15" s="64">
        <f>'TR TE'!$T$15*'TR TE'!$T$50</f>
        <v>0</v>
      </c>
      <c r="U15" s="64">
        <f>'TR TE'!$U$15*'TR TE'!$U$50</f>
        <v>0</v>
      </c>
      <c r="V15" s="64">
        <f>'TR TE'!$V$15*'TR TE'!$V$50</f>
        <v>0</v>
      </c>
      <c r="W15" s="64">
        <f>SUM($T$15:$V$15)</f>
        <v>0</v>
      </c>
      <c r="X15" s="64"/>
      <c r="Y15" s="64">
        <f>SUM($X$15:$X$15)</f>
        <v>0</v>
      </c>
      <c r="Z15" s="64">
        <f>'TR TE'!$Z$15*'TR TE'!$Z$50</f>
        <v>0</v>
      </c>
      <c r="AA15" s="64">
        <f>SUM($Z$15:$Z$15)</f>
        <v>0</v>
      </c>
      <c r="AB15" s="64">
        <f>SUMIF($L$4:$AA$4,"SUBTOTAL",$L$15:$AA$15)</f>
        <v>287.74889702300453</v>
      </c>
    </row>
    <row r="16" spans="1:28" ht="11.25" customHeight="1" x14ac:dyDescent="0.25">
      <c r="A16" s="177"/>
      <c r="B16" s="177"/>
      <c r="C16" s="177"/>
      <c r="D16" s="67" t="s">
        <v>31</v>
      </c>
      <c r="E16" s="67" t="s">
        <v>25</v>
      </c>
      <c r="F16" s="67" t="s">
        <v>25</v>
      </c>
      <c r="G16" s="66" t="s">
        <v>82</v>
      </c>
      <c r="H16" s="66" t="s">
        <v>78</v>
      </c>
      <c r="I16" s="66">
        <f>'MERCADO TE'!$U$13</f>
        <v>145.91099999999997</v>
      </c>
      <c r="J16" s="16"/>
      <c r="L16" s="64">
        <f>'TR TE'!$L$16*'TR TE'!$L$50</f>
        <v>2.9404387567196877</v>
      </c>
      <c r="M16" s="64">
        <f>'TR TE'!$M$16*'TR TE'!$M$50</f>
        <v>0</v>
      </c>
      <c r="N16" s="64">
        <f>'TR TE'!$N$16*'TR TE'!$N$50</f>
        <v>0</v>
      </c>
      <c r="O16" s="64">
        <f>'TR TE'!$O$16*'TR TE'!$O$50</f>
        <v>8.6603744929376578</v>
      </c>
      <c r="P16" s="64">
        <f>'TR TE'!$P$16*'TR TE'!$P$50</f>
        <v>0</v>
      </c>
      <c r="Q16" s="64">
        <f>SUM($L$16:$P$16)</f>
        <v>11.600813249657346</v>
      </c>
      <c r="R16" s="64">
        <f>'TR TE'!$R$16*'TR TE'!$R$50</f>
        <v>276.1480837733472</v>
      </c>
      <c r="S16" s="64">
        <f>SUM($R$16:$R$16)</f>
        <v>276.1480837733472</v>
      </c>
      <c r="T16" s="64">
        <f>'TR TE'!$T$16*'TR TE'!$T$50</f>
        <v>0</v>
      </c>
      <c r="U16" s="64">
        <f>'TR TE'!$U$16*'TR TE'!$U$50</f>
        <v>0</v>
      </c>
      <c r="V16" s="64">
        <f>'TR TE'!$V$16*'TR TE'!$V$50</f>
        <v>0</v>
      </c>
      <c r="W16" s="64">
        <f>SUM($T$16:$V$16)</f>
        <v>0</v>
      </c>
      <c r="X16" s="64"/>
      <c r="Y16" s="64">
        <f>SUM($X$16:$X$16)</f>
        <v>0</v>
      </c>
      <c r="Z16" s="64">
        <f>'TR TE'!$Z$16*'TR TE'!$Z$50</f>
        <v>0</v>
      </c>
      <c r="AA16" s="64">
        <f>SUM($Z$16:$Z$16)</f>
        <v>0</v>
      </c>
      <c r="AB16" s="64">
        <f>SUMIF($L$4:$AA$4,"SUBTOTAL",$L$16:$AA$16)</f>
        <v>287.74889702300453</v>
      </c>
    </row>
    <row r="17" spans="1:28" ht="11.25" customHeight="1" x14ac:dyDescent="0.25">
      <c r="A17" s="177"/>
      <c r="B17" s="177" t="s">
        <v>93</v>
      </c>
      <c r="C17" s="177" t="s">
        <v>24</v>
      </c>
      <c r="D17" s="67" t="s">
        <v>24</v>
      </c>
      <c r="E17" s="67" t="s">
        <v>25</v>
      </c>
      <c r="F17" s="67" t="s">
        <v>25</v>
      </c>
      <c r="G17" s="66" t="s">
        <v>82</v>
      </c>
      <c r="H17" s="66" t="s">
        <v>78</v>
      </c>
      <c r="I17" s="66">
        <f>'MERCADO TE'!$U$14</f>
        <v>0</v>
      </c>
      <c r="J17" s="16"/>
      <c r="L17" s="64">
        <f>'TR TE'!$L$17*'TR TE'!$L$50</f>
        <v>2.9404387567196877</v>
      </c>
      <c r="M17" s="64">
        <f>'TR TE'!$M$17*'TR TE'!$M$50</f>
        <v>0</v>
      </c>
      <c r="N17" s="64">
        <f>'TR TE'!$N$17*'TR TE'!$N$50</f>
        <v>0</v>
      </c>
      <c r="O17" s="64">
        <f>'TR TE'!$O$17*'TR TE'!$O$50</f>
        <v>8.6603744929376578</v>
      </c>
      <c r="P17" s="64">
        <f>'TR TE'!$P$17*'TR TE'!$P$50</f>
        <v>0</v>
      </c>
      <c r="Q17" s="64">
        <f>SUM($L$17:$P$17)</f>
        <v>11.600813249657346</v>
      </c>
      <c r="R17" s="64">
        <f>'TR TE'!$R$17*'TR TE'!$R$50</f>
        <v>276.1480837733472</v>
      </c>
      <c r="S17" s="64">
        <f>SUM($R$17:$R$17)</f>
        <v>276.1480837733472</v>
      </c>
      <c r="T17" s="64">
        <f>'TR TE'!$T$17*'TR TE'!$T$50</f>
        <v>0</v>
      </c>
      <c r="U17" s="64">
        <f>'TR TE'!$U$17*'TR TE'!$U$50</f>
        <v>0</v>
      </c>
      <c r="V17" s="64">
        <f>'TR TE'!$V$17*'TR TE'!$V$50</f>
        <v>0</v>
      </c>
      <c r="W17" s="64">
        <f>SUM($T$17:$V$17)</f>
        <v>0</v>
      </c>
      <c r="X17" s="64"/>
      <c r="Y17" s="64">
        <f>SUM($X$17:$X$17)</f>
        <v>0</v>
      </c>
      <c r="Z17" s="64">
        <f>'TR TE'!$Z$17*'TR TE'!$Z$50</f>
        <v>0</v>
      </c>
      <c r="AA17" s="64">
        <f>SUM($Z$17:$Z$17)</f>
        <v>0</v>
      </c>
      <c r="AB17" s="64">
        <f>SUMIF($L$4:$AA$4,"SUBTOTAL",$L$17:$AA$17)</f>
        <v>287.74889702300453</v>
      </c>
    </row>
    <row r="18" spans="1:28" ht="11.25" customHeight="1" x14ac:dyDescent="0.25">
      <c r="A18" s="177"/>
      <c r="B18" s="177"/>
      <c r="C18" s="177"/>
      <c r="D18" s="67" t="s">
        <v>28</v>
      </c>
      <c r="E18" s="67" t="s">
        <v>25</v>
      </c>
      <c r="F18" s="67" t="s">
        <v>25</v>
      </c>
      <c r="G18" s="66" t="s">
        <v>82</v>
      </c>
      <c r="H18" s="66" t="s">
        <v>78</v>
      </c>
      <c r="I18" s="66">
        <f>'MERCADO TE'!$U$15</f>
        <v>0</v>
      </c>
      <c r="J18" s="16"/>
      <c r="L18" s="64">
        <f>'TR TE'!$L$18*'TR TE'!$L$50</f>
        <v>2.9404387567196877</v>
      </c>
      <c r="M18" s="64">
        <f>'TR TE'!$M$18*'TR TE'!$M$50</f>
        <v>0</v>
      </c>
      <c r="N18" s="64">
        <f>'TR TE'!$N$18*'TR TE'!$N$50</f>
        <v>0</v>
      </c>
      <c r="O18" s="64">
        <f>'TR TE'!$O$18*'TR TE'!$O$50</f>
        <v>8.6603744929376578</v>
      </c>
      <c r="P18" s="64">
        <f>'TR TE'!$P$18*'TR TE'!$P$50</f>
        <v>0</v>
      </c>
      <c r="Q18" s="64">
        <f>SUM($L$18:$P$18)</f>
        <v>11.600813249657346</v>
      </c>
      <c r="R18" s="64">
        <f>'TR TE'!$R$18*'TR TE'!$R$50</f>
        <v>276.1480837733472</v>
      </c>
      <c r="S18" s="64">
        <f>SUM($R$18:$R$18)</f>
        <v>276.1480837733472</v>
      </c>
      <c r="T18" s="64">
        <f>'TR TE'!$T$18*'TR TE'!$T$50</f>
        <v>0</v>
      </c>
      <c r="U18" s="64">
        <f>'TR TE'!$U$18*'TR TE'!$U$50</f>
        <v>0</v>
      </c>
      <c r="V18" s="64">
        <f>'TR TE'!$V$18*'TR TE'!$V$50</f>
        <v>0</v>
      </c>
      <c r="W18" s="64">
        <f>SUM($T$18:$V$18)</f>
        <v>0</v>
      </c>
      <c r="X18" s="64"/>
      <c r="Y18" s="64">
        <f>SUM($X$18:$X$18)</f>
        <v>0</v>
      </c>
      <c r="Z18" s="64">
        <f>'TR TE'!$Z$18*'TR TE'!$Z$50</f>
        <v>0</v>
      </c>
      <c r="AA18" s="64">
        <f>SUM($Z$18:$Z$18)</f>
        <v>0</v>
      </c>
      <c r="AB18" s="64">
        <f>SUMIF($L$4:$AA$4,"SUBTOTAL",$L$18:$AA$18)</f>
        <v>287.74889702300453</v>
      </c>
    </row>
    <row r="19" spans="1:28" ht="11.25" customHeight="1" x14ac:dyDescent="0.25">
      <c r="A19" s="177"/>
      <c r="B19" s="177"/>
      <c r="C19" s="177"/>
      <c r="D19" s="67" t="s">
        <v>29</v>
      </c>
      <c r="E19" s="67" t="s">
        <v>25</v>
      </c>
      <c r="F19" s="67" t="s">
        <v>25</v>
      </c>
      <c r="G19" s="66" t="s">
        <v>82</v>
      </c>
      <c r="H19" s="66" t="s">
        <v>78</v>
      </c>
      <c r="I19" s="66">
        <f>'MERCADO TE'!$U$16</f>
        <v>0</v>
      </c>
      <c r="J19" s="16"/>
      <c r="L19" s="64">
        <f>'TR TE'!$L$19*'TR TE'!$L$50</f>
        <v>2.9404387567196877</v>
      </c>
      <c r="M19" s="64">
        <f>'TR TE'!$M$19*'TR TE'!$M$50</f>
        <v>0</v>
      </c>
      <c r="N19" s="64">
        <f>'TR TE'!$N$19*'TR TE'!$N$50</f>
        <v>0</v>
      </c>
      <c r="O19" s="64">
        <f>'TR TE'!$O$19*'TR TE'!$O$50</f>
        <v>8.6603744929376578</v>
      </c>
      <c r="P19" s="64">
        <f>'TR TE'!$P$19*'TR TE'!$P$50</f>
        <v>0</v>
      </c>
      <c r="Q19" s="64">
        <f>SUM($L$19:$P$19)</f>
        <v>11.600813249657346</v>
      </c>
      <c r="R19" s="64">
        <f>'TR TE'!$R$19*'TR TE'!$R$50</f>
        <v>276.1480837733472</v>
      </c>
      <c r="S19" s="64">
        <f>SUM($R$19:$R$19)</f>
        <v>276.1480837733472</v>
      </c>
      <c r="T19" s="64">
        <f>'TR TE'!$T$19*'TR TE'!$T$50</f>
        <v>0</v>
      </c>
      <c r="U19" s="64">
        <f>'TR TE'!$U$19*'TR TE'!$U$50</f>
        <v>0</v>
      </c>
      <c r="V19" s="64">
        <f>'TR TE'!$V$19*'TR TE'!$V$50</f>
        <v>0</v>
      </c>
      <c r="W19" s="64">
        <f>SUM($T$19:$V$19)</f>
        <v>0</v>
      </c>
      <c r="X19" s="64"/>
      <c r="Y19" s="64">
        <f>SUM($X$19:$X$19)</f>
        <v>0</v>
      </c>
      <c r="Z19" s="64">
        <f>'TR TE'!$Z$19*'TR TE'!$Z$50</f>
        <v>0</v>
      </c>
      <c r="AA19" s="64">
        <f>SUM($Z$19:$Z$19)</f>
        <v>0</v>
      </c>
      <c r="AB19" s="64">
        <f>SUMIF($L$4:$AA$4,"SUBTOTAL",$L$19:$AA$19)</f>
        <v>287.74889702300453</v>
      </c>
    </row>
    <row r="20" spans="1:28" ht="11.25" customHeight="1" x14ac:dyDescent="0.25">
      <c r="A20" s="177"/>
      <c r="B20" s="177"/>
      <c r="C20" s="177"/>
      <c r="D20" s="67" t="s">
        <v>30</v>
      </c>
      <c r="E20" s="67" t="s">
        <v>25</v>
      </c>
      <c r="F20" s="67" t="s">
        <v>25</v>
      </c>
      <c r="G20" s="66" t="s">
        <v>82</v>
      </c>
      <c r="H20" s="66" t="s">
        <v>78</v>
      </c>
      <c r="I20" s="66">
        <f>'MERCADO TE'!$U$17</f>
        <v>0</v>
      </c>
      <c r="J20" s="16"/>
      <c r="L20" s="64">
        <f>'TR TE'!$L$20*'TR TE'!$L$50</f>
        <v>2.9404387567196877</v>
      </c>
      <c r="M20" s="64">
        <f>'TR TE'!$M$20*'TR TE'!$M$50</f>
        <v>0</v>
      </c>
      <c r="N20" s="64">
        <f>'TR TE'!$N$20*'TR TE'!$N$50</f>
        <v>0</v>
      </c>
      <c r="O20" s="64">
        <f>'TR TE'!$O$20*'TR TE'!$O$50</f>
        <v>8.6603744929376578</v>
      </c>
      <c r="P20" s="64">
        <f>'TR TE'!$P$20*'TR TE'!$P$50</f>
        <v>0</v>
      </c>
      <c r="Q20" s="64">
        <f>SUM($L$20:$P$20)</f>
        <v>11.600813249657346</v>
      </c>
      <c r="R20" s="64">
        <f>'TR TE'!$R$20*'TR TE'!$R$50</f>
        <v>276.1480837733472</v>
      </c>
      <c r="S20" s="64">
        <f>SUM($R$20:$R$20)</f>
        <v>276.1480837733472</v>
      </c>
      <c r="T20" s="64">
        <f>'TR TE'!$T$20*'TR TE'!$T$50</f>
        <v>0</v>
      </c>
      <c r="U20" s="64">
        <f>'TR TE'!$U$20*'TR TE'!$U$50</f>
        <v>0</v>
      </c>
      <c r="V20" s="64">
        <f>'TR TE'!$V$20*'TR TE'!$V$50</f>
        <v>0</v>
      </c>
      <c r="W20" s="64">
        <f>SUM($T$20:$V$20)</f>
        <v>0</v>
      </c>
      <c r="X20" s="64"/>
      <c r="Y20" s="64">
        <f>SUM($X$20:$X$20)</f>
        <v>0</v>
      </c>
      <c r="Z20" s="64">
        <f>'TR TE'!$Z$20*'TR TE'!$Z$50</f>
        <v>0</v>
      </c>
      <c r="AA20" s="64">
        <f>SUM($Z$20:$Z$20)</f>
        <v>0</v>
      </c>
      <c r="AB20" s="64">
        <f>SUMIF($L$4:$AA$4,"SUBTOTAL",$L$20:$AA$20)</f>
        <v>287.74889702300453</v>
      </c>
    </row>
    <row r="21" spans="1:28" ht="11.25" customHeight="1" x14ac:dyDescent="0.25">
      <c r="A21" s="177"/>
      <c r="B21" s="177"/>
      <c r="C21" s="177"/>
      <c r="D21" s="67" t="s">
        <v>31</v>
      </c>
      <c r="E21" s="67" t="s">
        <v>25</v>
      </c>
      <c r="F21" s="67" t="s">
        <v>25</v>
      </c>
      <c r="G21" s="66" t="s">
        <v>82</v>
      </c>
      <c r="H21" s="66" t="s">
        <v>78</v>
      </c>
      <c r="I21" s="66">
        <f>'MERCADO TE'!$U$18</f>
        <v>0</v>
      </c>
      <c r="J21" s="16"/>
      <c r="L21" s="64">
        <f>'TR TE'!$L$21*'TR TE'!$L$50</f>
        <v>2.9404387567196877</v>
      </c>
      <c r="M21" s="64">
        <f>'TR TE'!$M$21*'TR TE'!$M$50</f>
        <v>0</v>
      </c>
      <c r="N21" s="64">
        <f>'TR TE'!$N$21*'TR TE'!$N$50</f>
        <v>0</v>
      </c>
      <c r="O21" s="64">
        <f>'TR TE'!$O$21*'TR TE'!$O$50</f>
        <v>8.6603744929376578</v>
      </c>
      <c r="P21" s="64">
        <f>'TR TE'!$P$21*'TR TE'!$P$50</f>
        <v>0</v>
      </c>
      <c r="Q21" s="64">
        <f>SUM($L$21:$P$21)</f>
        <v>11.600813249657346</v>
      </c>
      <c r="R21" s="64">
        <f>'TR TE'!$R$21*'TR TE'!$R$50</f>
        <v>276.1480837733472</v>
      </c>
      <c r="S21" s="64">
        <f>SUM($R$21:$R$21)</f>
        <v>276.1480837733472</v>
      </c>
      <c r="T21" s="64">
        <f>'TR TE'!$T$21*'TR TE'!$T$50</f>
        <v>0</v>
      </c>
      <c r="U21" s="64">
        <f>'TR TE'!$U$21*'TR TE'!$U$50</f>
        <v>0</v>
      </c>
      <c r="V21" s="64">
        <f>'TR TE'!$V$21*'TR TE'!$V$50</f>
        <v>0</v>
      </c>
      <c r="W21" s="64">
        <f>SUM($T$21:$V$21)</f>
        <v>0</v>
      </c>
      <c r="X21" s="64"/>
      <c r="Y21" s="64">
        <f>SUM($X$21:$X$21)</f>
        <v>0</v>
      </c>
      <c r="Z21" s="64">
        <f>'TR TE'!$Z$21*'TR TE'!$Z$50</f>
        <v>0</v>
      </c>
      <c r="AA21" s="64">
        <f>SUM($Z$21:$Z$21)</f>
        <v>0</v>
      </c>
      <c r="AB21" s="64">
        <f>SUMIF($L$4:$AA$4,"SUBTOTAL",$L$21:$AA$21)</f>
        <v>287.74889702300453</v>
      </c>
    </row>
    <row r="22" spans="1:28" ht="11.25" customHeight="1" x14ac:dyDescent="0.25">
      <c r="A22" s="177" t="s">
        <v>42</v>
      </c>
      <c r="B22" s="177" t="s">
        <v>77</v>
      </c>
      <c r="C22" s="177" t="s">
        <v>43</v>
      </c>
      <c r="D22" s="177" t="s">
        <v>25</v>
      </c>
      <c r="E22" s="177" t="s">
        <v>25</v>
      </c>
      <c r="F22" s="177" t="s">
        <v>25</v>
      </c>
      <c r="G22" s="66" t="s">
        <v>79</v>
      </c>
      <c r="H22" s="66" t="s">
        <v>78</v>
      </c>
      <c r="I22" s="66">
        <f>'MERCADO TE'!$U$19</f>
        <v>0</v>
      </c>
      <c r="J22" s="16"/>
      <c r="L22" s="64">
        <f>'TR TE'!$L$22*'TR TE'!$L$50</f>
        <v>2.9404387567196877</v>
      </c>
      <c r="M22" s="64">
        <f>'TR TE'!$M$22*'TR TE'!$M$50</f>
        <v>0</v>
      </c>
      <c r="N22" s="64">
        <f>'TR TE'!$N$22*'TR TE'!$N$50</f>
        <v>0</v>
      </c>
      <c r="O22" s="64">
        <f>'TR TE'!$O$22*'TR TE'!$O$50</f>
        <v>8.6603744929376578</v>
      </c>
      <c r="P22" s="64">
        <f>'TR TE'!$P$22*'TR TE'!$P$50</f>
        <v>0</v>
      </c>
      <c r="Q22" s="64">
        <f>SUM($L$22:$P$22)</f>
        <v>11.600813249657346</v>
      </c>
      <c r="R22" s="64">
        <f>'TR TE'!$R$22*'TR TE'!$R$50</f>
        <v>448.08934348128031</v>
      </c>
      <c r="S22" s="64">
        <f>SUM($R$22:$R$22)</f>
        <v>448.08934348128031</v>
      </c>
      <c r="T22" s="64">
        <f>'TR TE'!$T$22*'TR TE'!$T$50</f>
        <v>0</v>
      </c>
      <c r="U22" s="64">
        <f>'TR TE'!$U$22*'TR TE'!$U$50</f>
        <v>0</v>
      </c>
      <c r="V22" s="64">
        <f>'TR TE'!$V$22*'TR TE'!$V$50</f>
        <v>0</v>
      </c>
      <c r="W22" s="64">
        <f>SUM($T$22:$V$22)</f>
        <v>0</v>
      </c>
      <c r="X22" s="64"/>
      <c r="Y22" s="64">
        <f>SUM($X$22:$X$22)</f>
        <v>0</v>
      </c>
      <c r="Z22" s="64">
        <f>'TR TE'!$Z$22*'TR TE'!$Z$50</f>
        <v>0</v>
      </c>
      <c r="AA22" s="64">
        <f>SUM($Z$22:$Z$22)</f>
        <v>0</v>
      </c>
      <c r="AB22" s="64">
        <f>SUMIF($L$4:$AA$4,"SUBTOTAL",$L$22:$AA$22)</f>
        <v>459.69015673093764</v>
      </c>
    </row>
    <row r="23" spans="1:28" ht="11.25" customHeight="1" x14ac:dyDescent="0.25">
      <c r="A23" s="177"/>
      <c r="B23" s="177"/>
      <c r="C23" s="177"/>
      <c r="D23" s="177"/>
      <c r="E23" s="177"/>
      <c r="F23" s="177"/>
      <c r="G23" s="66" t="s">
        <v>92</v>
      </c>
      <c r="H23" s="66" t="s">
        <v>78</v>
      </c>
      <c r="I23" s="66">
        <f>'MERCADO TE'!$U$20</f>
        <v>0</v>
      </c>
      <c r="J23" s="16"/>
      <c r="L23" s="64">
        <f>'TR TE'!$L$23*'TR TE'!$L$50</f>
        <v>2.9404387567196877</v>
      </c>
      <c r="M23" s="64">
        <f>'TR TE'!$M$23*'TR TE'!$M$50</f>
        <v>0</v>
      </c>
      <c r="N23" s="64">
        <f>'TR TE'!$N$23*'TR TE'!$N$50</f>
        <v>0</v>
      </c>
      <c r="O23" s="64">
        <f>'TR TE'!$O$23*'TR TE'!$O$50</f>
        <v>8.6603744929376578</v>
      </c>
      <c r="P23" s="64">
        <f>'TR TE'!$P$23*'TR TE'!$P$50</f>
        <v>0</v>
      </c>
      <c r="Q23" s="64">
        <f>SUM($L$23:$P$23)</f>
        <v>11.600813249657346</v>
      </c>
      <c r="R23" s="64">
        <f>'TR TE'!$R$23*'TR TE'!$R$50</f>
        <v>260.51706016353506</v>
      </c>
      <c r="S23" s="64">
        <f>SUM($R$23:$R$23)</f>
        <v>260.51706016353506</v>
      </c>
      <c r="T23" s="64">
        <f>'TR TE'!$T$23*'TR TE'!$T$50</f>
        <v>0</v>
      </c>
      <c r="U23" s="64">
        <f>'TR TE'!$U$23*'TR TE'!$U$50</f>
        <v>0</v>
      </c>
      <c r="V23" s="64">
        <f>'TR TE'!$V$23*'TR TE'!$V$50</f>
        <v>0</v>
      </c>
      <c r="W23" s="64">
        <f>SUM($T$23:$V$23)</f>
        <v>0</v>
      </c>
      <c r="X23" s="64"/>
      <c r="Y23" s="64">
        <f>SUM($X$23:$X$23)</f>
        <v>0</v>
      </c>
      <c r="Z23" s="64">
        <f>'TR TE'!$Z$23*'TR TE'!$Z$50</f>
        <v>0</v>
      </c>
      <c r="AA23" s="64">
        <f>SUM($Z$23:$Z$23)</f>
        <v>0</v>
      </c>
      <c r="AB23" s="64">
        <f>SUMIF($L$4:$AA$4,"SUBTOTAL",$L$23:$AA$23)</f>
        <v>272.1178734131924</v>
      </c>
    </row>
    <row r="24" spans="1:28" ht="11.25" customHeight="1" x14ac:dyDescent="0.25">
      <c r="A24" s="177"/>
      <c r="B24" s="177"/>
      <c r="C24" s="177"/>
      <c r="D24" s="177"/>
      <c r="E24" s="177"/>
      <c r="F24" s="177"/>
      <c r="G24" s="66" t="s">
        <v>80</v>
      </c>
      <c r="H24" s="66" t="s">
        <v>78</v>
      </c>
      <c r="I24" s="66">
        <f>'MERCADO TE'!$U$21</f>
        <v>0</v>
      </c>
      <c r="J24" s="16"/>
      <c r="L24" s="64">
        <f>'TR TE'!$L$24*'TR TE'!$L$50</f>
        <v>2.9404387567196877</v>
      </c>
      <c r="M24" s="64">
        <f>'TR TE'!$M$24*'TR TE'!$M$50</f>
        <v>0</v>
      </c>
      <c r="N24" s="64">
        <f>'TR TE'!$N$24*'TR TE'!$N$50</f>
        <v>0</v>
      </c>
      <c r="O24" s="64">
        <f>'TR TE'!$O$24*'TR TE'!$O$50</f>
        <v>8.6603744929376578</v>
      </c>
      <c r="P24" s="64">
        <f>'TR TE'!$P$24*'TR TE'!$P$50</f>
        <v>0</v>
      </c>
      <c r="Q24" s="64">
        <f>SUM($L$24:$P$24)</f>
        <v>11.600813249657346</v>
      </c>
      <c r="R24" s="64">
        <f>'TR TE'!$R$24*'TR TE'!$R$50</f>
        <v>260.51706016353506</v>
      </c>
      <c r="S24" s="64">
        <f>SUM($R$24:$R$24)</f>
        <v>260.51706016353506</v>
      </c>
      <c r="T24" s="64">
        <f>'TR TE'!$T$24*'TR TE'!$T$50</f>
        <v>0</v>
      </c>
      <c r="U24" s="64">
        <f>'TR TE'!$U$24*'TR TE'!$U$50</f>
        <v>0</v>
      </c>
      <c r="V24" s="64">
        <f>'TR TE'!$V$24*'TR TE'!$V$50</f>
        <v>0</v>
      </c>
      <c r="W24" s="64">
        <f>SUM($T$24:$V$24)</f>
        <v>0</v>
      </c>
      <c r="X24" s="64"/>
      <c r="Y24" s="64">
        <f>SUM($X$24:$X$24)</f>
        <v>0</v>
      </c>
      <c r="Z24" s="64">
        <f>'TR TE'!$Z$24*'TR TE'!$Z$50</f>
        <v>0</v>
      </c>
      <c r="AA24" s="64">
        <f>SUM($Z$24:$Z$24)</f>
        <v>0</v>
      </c>
      <c r="AB24" s="64">
        <f>SUMIF($L$4:$AA$4,"SUBTOTAL",$L$24:$AA$24)</f>
        <v>272.1178734131924</v>
      </c>
    </row>
    <row r="25" spans="1:28" ht="11.25" customHeight="1" x14ac:dyDescent="0.25">
      <c r="A25" s="177"/>
      <c r="B25" s="67" t="s">
        <v>81</v>
      </c>
      <c r="C25" s="67" t="s">
        <v>43</v>
      </c>
      <c r="D25" s="67" t="s">
        <v>25</v>
      </c>
      <c r="E25" s="67" t="s">
        <v>25</v>
      </c>
      <c r="F25" s="67" t="s">
        <v>25</v>
      </c>
      <c r="G25" s="66" t="s">
        <v>82</v>
      </c>
      <c r="H25" s="66" t="s">
        <v>78</v>
      </c>
      <c r="I25" s="66">
        <f>'MERCADO TE'!$U$22</f>
        <v>1694.7730000000001</v>
      </c>
      <c r="J25" s="16"/>
      <c r="L25" s="64">
        <f>'TR TE'!$L$25*'TR TE'!$L$50</f>
        <v>2.9404387567196877</v>
      </c>
      <c r="M25" s="64">
        <f>'TR TE'!$M$25*'TR TE'!$M$50</f>
        <v>0</v>
      </c>
      <c r="N25" s="64">
        <f>'TR TE'!$N$25*'TR TE'!$N$50</f>
        <v>0</v>
      </c>
      <c r="O25" s="64">
        <f>'TR TE'!$O$25*'TR TE'!$O$50</f>
        <v>8.6603744929376578</v>
      </c>
      <c r="P25" s="64">
        <f>'TR TE'!$P$25*'TR TE'!$P$50</f>
        <v>0</v>
      </c>
      <c r="Q25" s="64">
        <f>SUM($L$25:$P$25)</f>
        <v>11.600813249657346</v>
      </c>
      <c r="R25" s="64">
        <f>'TR TE'!$R$25*'TR TE'!$R$50</f>
        <v>276.1480837733472</v>
      </c>
      <c r="S25" s="64">
        <f>SUM($R$25:$R$25)</f>
        <v>276.1480837733472</v>
      </c>
      <c r="T25" s="64">
        <f>'TR TE'!$T$25*'TR TE'!$T$50</f>
        <v>0</v>
      </c>
      <c r="U25" s="64">
        <f>'TR TE'!$U$25*'TR TE'!$U$50</f>
        <v>0</v>
      </c>
      <c r="V25" s="64">
        <f>'TR TE'!$V$25*'TR TE'!$V$50</f>
        <v>0</v>
      </c>
      <c r="W25" s="64">
        <f>SUM($T$25:$V$25)</f>
        <v>0</v>
      </c>
      <c r="X25" s="64"/>
      <c r="Y25" s="64">
        <f>SUM($X$25:$X$25)</f>
        <v>0</v>
      </c>
      <c r="Z25" s="64">
        <f>'TR TE'!$Z$25*'TR TE'!$Z$50</f>
        <v>0</v>
      </c>
      <c r="AA25" s="64">
        <f>SUM($Z$25:$Z$25)</f>
        <v>0</v>
      </c>
      <c r="AB25" s="64">
        <f>SUMIF($L$4:$AA$4,"SUBTOTAL",$L$25:$AA$25)</f>
        <v>287.74889702300453</v>
      </c>
    </row>
    <row r="26" spans="1:28" ht="11.25" customHeight="1" x14ac:dyDescent="0.25">
      <c r="A26" s="177"/>
      <c r="B26" s="177" t="s">
        <v>77</v>
      </c>
      <c r="C26" s="177" t="s">
        <v>43</v>
      </c>
      <c r="D26" s="177" t="s">
        <v>95</v>
      </c>
      <c r="E26" s="177" t="s">
        <v>25</v>
      </c>
      <c r="F26" s="177" t="s">
        <v>25</v>
      </c>
      <c r="G26" s="66" t="s">
        <v>79</v>
      </c>
      <c r="H26" s="66" t="s">
        <v>78</v>
      </c>
      <c r="I26" s="66">
        <f>'MERCADO TE'!$U$23</f>
        <v>0</v>
      </c>
      <c r="J26" s="16"/>
      <c r="L26" s="64">
        <f>'TR TE'!$L$26*'TR TE'!$L$50</f>
        <v>2.9404387567196877</v>
      </c>
      <c r="M26" s="64">
        <f>'TR TE'!$M$26*'TR TE'!$M$50</f>
        <v>0</v>
      </c>
      <c r="N26" s="64">
        <f>'TR TE'!$N$26*'TR TE'!$N$50</f>
        <v>0</v>
      </c>
      <c r="O26" s="64">
        <f>'TR TE'!$O$26*'TR TE'!$O$50</f>
        <v>8.6603744929376578</v>
      </c>
      <c r="P26" s="64">
        <f>'TR TE'!$P$26*'TR TE'!$P$50</f>
        <v>0</v>
      </c>
      <c r="Q26" s="64">
        <f>SUM($L$26:$P$26)</f>
        <v>11.600813249657346</v>
      </c>
      <c r="R26" s="64">
        <f>'TR TE'!$R$26*'TR TE'!$R$50</f>
        <v>448.08934348128031</v>
      </c>
      <c r="S26" s="64">
        <f>SUM($R$26:$R$26)</f>
        <v>448.08934348128031</v>
      </c>
      <c r="T26" s="64">
        <f>'TR TE'!$T$26*'TR TE'!$T$50</f>
        <v>0</v>
      </c>
      <c r="U26" s="64">
        <f>'TR TE'!$U$26*'TR TE'!$U$50</f>
        <v>0</v>
      </c>
      <c r="V26" s="64">
        <f>'TR TE'!$V$26*'TR TE'!$V$50</f>
        <v>0</v>
      </c>
      <c r="W26" s="64">
        <f>SUM($T$26:$V$26)</f>
        <v>0</v>
      </c>
      <c r="X26" s="64"/>
      <c r="Y26" s="64">
        <f>SUM($X$26:$X$26)</f>
        <v>0</v>
      </c>
      <c r="Z26" s="64">
        <f>'TR TE'!$Z$26*'TR TE'!$Z$50</f>
        <v>0</v>
      </c>
      <c r="AA26" s="64">
        <f>SUM($Z$26:$Z$26)</f>
        <v>0</v>
      </c>
      <c r="AB26" s="64">
        <f>SUMIF($L$4:$AA$4,"SUBTOTAL",$L$26:$AA$26)</f>
        <v>459.69015673093764</v>
      </c>
    </row>
    <row r="27" spans="1:28" ht="11.25" customHeight="1" x14ac:dyDescent="0.25">
      <c r="A27" s="177"/>
      <c r="B27" s="177"/>
      <c r="C27" s="177"/>
      <c r="D27" s="177"/>
      <c r="E27" s="177"/>
      <c r="F27" s="177"/>
      <c r="G27" s="66" t="s">
        <v>92</v>
      </c>
      <c r="H27" s="66" t="s">
        <v>78</v>
      </c>
      <c r="I27" s="66">
        <f>'MERCADO TE'!$U$24</f>
        <v>0</v>
      </c>
      <c r="J27" s="16"/>
      <c r="L27" s="64">
        <f>'TR TE'!$L$27*'TR TE'!$L$50</f>
        <v>2.9404387567196877</v>
      </c>
      <c r="M27" s="64">
        <f>'TR TE'!$M$27*'TR TE'!$M$50</f>
        <v>0</v>
      </c>
      <c r="N27" s="64">
        <f>'TR TE'!$N$27*'TR TE'!$N$50</f>
        <v>0</v>
      </c>
      <c r="O27" s="64">
        <f>'TR TE'!$O$27*'TR TE'!$O$50</f>
        <v>8.6603744929376578</v>
      </c>
      <c r="P27" s="64">
        <f>'TR TE'!$P$27*'TR TE'!$P$50</f>
        <v>0</v>
      </c>
      <c r="Q27" s="64">
        <f>SUM($L$27:$P$27)</f>
        <v>11.600813249657346</v>
      </c>
      <c r="R27" s="64">
        <f>'TR TE'!$R$27*'TR TE'!$R$50</f>
        <v>260.51706016353506</v>
      </c>
      <c r="S27" s="64">
        <f>SUM($R$27:$R$27)</f>
        <v>260.51706016353506</v>
      </c>
      <c r="T27" s="64">
        <f>'TR TE'!$T$27*'TR TE'!$T$50</f>
        <v>0</v>
      </c>
      <c r="U27" s="64">
        <f>'TR TE'!$U$27*'TR TE'!$U$50</f>
        <v>0</v>
      </c>
      <c r="V27" s="64">
        <f>'TR TE'!$V$27*'TR TE'!$V$50</f>
        <v>0</v>
      </c>
      <c r="W27" s="64">
        <f>SUM($T$27:$V$27)</f>
        <v>0</v>
      </c>
      <c r="X27" s="64"/>
      <c r="Y27" s="64">
        <f>SUM($X$27:$X$27)</f>
        <v>0</v>
      </c>
      <c r="Z27" s="64">
        <f>'TR TE'!$Z$27*'TR TE'!$Z$50</f>
        <v>0</v>
      </c>
      <c r="AA27" s="64">
        <f>SUM($Z$27:$Z$27)</f>
        <v>0</v>
      </c>
      <c r="AB27" s="64">
        <f>SUMIF($L$4:$AA$4,"SUBTOTAL",$L$27:$AA$27)</f>
        <v>272.1178734131924</v>
      </c>
    </row>
    <row r="28" spans="1:28" ht="11.25" customHeight="1" x14ac:dyDescent="0.25">
      <c r="A28" s="177"/>
      <c r="B28" s="177"/>
      <c r="C28" s="177"/>
      <c r="D28" s="177"/>
      <c r="E28" s="177"/>
      <c r="F28" s="177"/>
      <c r="G28" s="66" t="s">
        <v>80</v>
      </c>
      <c r="H28" s="66" t="s">
        <v>78</v>
      </c>
      <c r="I28" s="66">
        <f>'MERCADO TE'!$U$25</f>
        <v>0</v>
      </c>
      <c r="J28" s="16"/>
      <c r="L28" s="64">
        <f>'TR TE'!$L$28*'TR TE'!$L$50</f>
        <v>2.9404387567196877</v>
      </c>
      <c r="M28" s="64">
        <f>'TR TE'!$M$28*'TR TE'!$M$50</f>
        <v>0</v>
      </c>
      <c r="N28" s="64">
        <f>'TR TE'!$N$28*'TR TE'!$N$50</f>
        <v>0</v>
      </c>
      <c r="O28" s="64">
        <f>'TR TE'!$O$28*'TR TE'!$O$50</f>
        <v>8.6603744929376578</v>
      </c>
      <c r="P28" s="64">
        <f>'TR TE'!$P$28*'TR TE'!$P$50</f>
        <v>0</v>
      </c>
      <c r="Q28" s="64">
        <f>SUM($L$28:$P$28)</f>
        <v>11.600813249657346</v>
      </c>
      <c r="R28" s="64">
        <f>'TR TE'!$R$28*'TR TE'!$R$50</f>
        <v>260.51706016353506</v>
      </c>
      <c r="S28" s="64">
        <f>SUM($R$28:$R$28)</f>
        <v>260.51706016353506</v>
      </c>
      <c r="T28" s="64">
        <f>'TR TE'!$T$28*'TR TE'!$T$50</f>
        <v>0</v>
      </c>
      <c r="U28" s="64">
        <f>'TR TE'!$U$28*'TR TE'!$U$50</f>
        <v>0</v>
      </c>
      <c r="V28" s="64">
        <f>'TR TE'!$V$28*'TR TE'!$V$50</f>
        <v>0</v>
      </c>
      <c r="W28" s="64">
        <f>SUM($T$28:$V$28)</f>
        <v>0</v>
      </c>
      <c r="X28" s="64"/>
      <c r="Y28" s="64">
        <f>SUM($X$28:$X$28)</f>
        <v>0</v>
      </c>
      <c r="Z28" s="64">
        <f>'TR TE'!$Z$28*'TR TE'!$Z$50</f>
        <v>0</v>
      </c>
      <c r="AA28" s="64">
        <f>SUM($Z$28:$Z$28)</f>
        <v>0</v>
      </c>
      <c r="AB28" s="64">
        <f>SUMIF($L$4:$AA$4,"SUBTOTAL",$L$28:$AA$28)</f>
        <v>272.1178734131924</v>
      </c>
    </row>
    <row r="29" spans="1:28" ht="11.25" customHeight="1" x14ac:dyDescent="0.25">
      <c r="A29" s="177"/>
      <c r="B29" s="67" t="s">
        <v>81</v>
      </c>
      <c r="C29" s="67" t="s">
        <v>43</v>
      </c>
      <c r="D29" s="67" t="s">
        <v>95</v>
      </c>
      <c r="E29" s="67" t="s">
        <v>25</v>
      </c>
      <c r="F29" s="67" t="s">
        <v>25</v>
      </c>
      <c r="G29" s="66" t="s">
        <v>82</v>
      </c>
      <c r="H29" s="66" t="s">
        <v>78</v>
      </c>
      <c r="I29" s="66">
        <f>'MERCADO TE'!$U$26</f>
        <v>0</v>
      </c>
      <c r="J29" s="16"/>
      <c r="L29" s="64">
        <f>'TR TE'!$L$29*'TR TE'!$L$50</f>
        <v>2.9404387567196877</v>
      </c>
      <c r="M29" s="64">
        <f>'TR TE'!$M$29*'TR TE'!$M$50</f>
        <v>0</v>
      </c>
      <c r="N29" s="64">
        <f>'TR TE'!$N$29*'TR TE'!$N$50</f>
        <v>0</v>
      </c>
      <c r="O29" s="64">
        <f>'TR TE'!$O$29*'TR TE'!$O$50</f>
        <v>8.6603744929376578</v>
      </c>
      <c r="P29" s="64">
        <f>'TR TE'!$P$29*'TR TE'!$P$50</f>
        <v>0</v>
      </c>
      <c r="Q29" s="64">
        <f>SUM($L$29:$P$29)</f>
        <v>11.600813249657346</v>
      </c>
      <c r="R29" s="64">
        <f>'TR TE'!$R$29*'TR TE'!$R$50</f>
        <v>276.1480837733472</v>
      </c>
      <c r="S29" s="64">
        <f>SUM($R$29:$R$29)</f>
        <v>276.1480837733472</v>
      </c>
      <c r="T29" s="64">
        <f>'TR TE'!$T$29*'TR TE'!$T$50</f>
        <v>0</v>
      </c>
      <c r="U29" s="64">
        <f>'TR TE'!$U$29*'TR TE'!$U$50</f>
        <v>0</v>
      </c>
      <c r="V29" s="64">
        <f>'TR TE'!$V$29*'TR TE'!$V$50</f>
        <v>0</v>
      </c>
      <c r="W29" s="64">
        <f>SUM($T$29:$V$29)</f>
        <v>0</v>
      </c>
      <c r="X29" s="64"/>
      <c r="Y29" s="64">
        <f>SUM($X$29:$X$29)</f>
        <v>0</v>
      </c>
      <c r="Z29" s="64">
        <f>'TR TE'!$Z$29*'TR TE'!$Z$50</f>
        <v>0</v>
      </c>
      <c r="AA29" s="64">
        <f>SUM($Z$29:$Z$29)</f>
        <v>0</v>
      </c>
      <c r="AB29" s="64">
        <f>SUMIF($L$4:$AA$4,"SUBTOTAL",$L$29:$AA$29)</f>
        <v>287.74889702300453</v>
      </c>
    </row>
    <row r="30" spans="1:28" ht="11.25" customHeight="1" x14ac:dyDescent="0.25">
      <c r="A30" s="177"/>
      <c r="B30" s="177" t="s">
        <v>77</v>
      </c>
      <c r="C30" s="177" t="s">
        <v>43</v>
      </c>
      <c r="D30" s="177" t="s">
        <v>96</v>
      </c>
      <c r="E30" s="177" t="s">
        <v>25</v>
      </c>
      <c r="F30" s="177" t="s">
        <v>25</v>
      </c>
      <c r="G30" s="66" t="s">
        <v>79</v>
      </c>
      <c r="H30" s="66" t="s">
        <v>78</v>
      </c>
      <c r="I30" s="66">
        <f>'MERCADO TE'!$U$27</f>
        <v>0</v>
      </c>
      <c r="J30" s="16"/>
      <c r="L30" s="64">
        <f>'TR TE'!$L$30*'TR TE'!$L$50</f>
        <v>2.9404387567196877</v>
      </c>
      <c r="M30" s="64">
        <f>'TR TE'!$M$30*'TR TE'!$M$50</f>
        <v>0</v>
      </c>
      <c r="N30" s="64">
        <f>'TR TE'!$N$30*'TR TE'!$N$50</f>
        <v>0</v>
      </c>
      <c r="O30" s="64">
        <f>'TR TE'!$O$30*'TR TE'!$O$50</f>
        <v>8.6603744929376578</v>
      </c>
      <c r="P30" s="64">
        <f>'TR TE'!$P$30*'TR TE'!$P$50</f>
        <v>0</v>
      </c>
      <c r="Q30" s="64">
        <f>SUM($L$30:$P$30)</f>
        <v>11.600813249657346</v>
      </c>
      <c r="R30" s="64">
        <f>'TR TE'!$R$30*'TR TE'!$R$50</f>
        <v>448.08934348128031</v>
      </c>
      <c r="S30" s="64">
        <f>SUM($R$30:$R$30)</f>
        <v>448.08934348128031</v>
      </c>
      <c r="T30" s="64">
        <f>'TR TE'!$T$30*'TR TE'!$T$50</f>
        <v>0</v>
      </c>
      <c r="U30" s="64">
        <f>'TR TE'!$U$30*'TR TE'!$U$50</f>
        <v>0</v>
      </c>
      <c r="V30" s="64">
        <f>'TR TE'!$V$30*'TR TE'!$V$50</f>
        <v>0</v>
      </c>
      <c r="W30" s="64">
        <f>SUM($T$30:$V$30)</f>
        <v>0</v>
      </c>
      <c r="X30" s="64"/>
      <c r="Y30" s="64">
        <f>SUM($X$30:$X$30)</f>
        <v>0</v>
      </c>
      <c r="Z30" s="64">
        <f>'TR TE'!$Z$30*'TR TE'!$Z$50</f>
        <v>0</v>
      </c>
      <c r="AA30" s="64">
        <f>SUM($Z$30:$Z$30)</f>
        <v>0</v>
      </c>
      <c r="AB30" s="64">
        <f>SUMIF($L$4:$AA$4,"SUBTOTAL",$L$30:$AA$30)</f>
        <v>459.69015673093764</v>
      </c>
    </row>
    <row r="31" spans="1:28" ht="11.25" customHeight="1" x14ac:dyDescent="0.25">
      <c r="A31" s="177"/>
      <c r="B31" s="177"/>
      <c r="C31" s="177"/>
      <c r="D31" s="177"/>
      <c r="E31" s="177"/>
      <c r="F31" s="177"/>
      <c r="G31" s="66" t="s">
        <v>92</v>
      </c>
      <c r="H31" s="66" t="s">
        <v>78</v>
      </c>
      <c r="I31" s="66">
        <f>'MERCADO TE'!$U$28</f>
        <v>0</v>
      </c>
      <c r="J31" s="16"/>
      <c r="L31" s="64">
        <f>'TR TE'!$L$31*'TR TE'!$L$50</f>
        <v>2.9404387567196877</v>
      </c>
      <c r="M31" s="64">
        <f>'TR TE'!$M$31*'TR TE'!$M$50</f>
        <v>0</v>
      </c>
      <c r="N31" s="64">
        <f>'TR TE'!$N$31*'TR TE'!$N$50</f>
        <v>0</v>
      </c>
      <c r="O31" s="64">
        <f>'TR TE'!$O$31*'TR TE'!$O$50</f>
        <v>8.6603744929376578</v>
      </c>
      <c r="P31" s="64">
        <f>'TR TE'!$P$31*'TR TE'!$P$50</f>
        <v>0</v>
      </c>
      <c r="Q31" s="64">
        <f>SUM($L$31:$P$31)</f>
        <v>11.600813249657346</v>
      </c>
      <c r="R31" s="64">
        <f>'TR TE'!$R$31*'TR TE'!$R$50</f>
        <v>260.51706016353506</v>
      </c>
      <c r="S31" s="64">
        <f>SUM($R$31:$R$31)</f>
        <v>260.51706016353506</v>
      </c>
      <c r="T31" s="64">
        <f>'TR TE'!$T$31*'TR TE'!$T$50</f>
        <v>0</v>
      </c>
      <c r="U31" s="64">
        <f>'TR TE'!$U$31*'TR TE'!$U$50</f>
        <v>0</v>
      </c>
      <c r="V31" s="64">
        <f>'TR TE'!$V$31*'TR TE'!$V$50</f>
        <v>0</v>
      </c>
      <c r="W31" s="64">
        <f>SUM($T$31:$V$31)</f>
        <v>0</v>
      </c>
      <c r="X31" s="64"/>
      <c r="Y31" s="64">
        <f>SUM($X$31:$X$31)</f>
        <v>0</v>
      </c>
      <c r="Z31" s="64">
        <f>'TR TE'!$Z$31*'TR TE'!$Z$50</f>
        <v>0</v>
      </c>
      <c r="AA31" s="64">
        <f>SUM($Z$31:$Z$31)</f>
        <v>0</v>
      </c>
      <c r="AB31" s="64">
        <f>SUMIF($L$4:$AA$4,"SUBTOTAL",$L$31:$AA$31)</f>
        <v>272.1178734131924</v>
      </c>
    </row>
    <row r="32" spans="1:28" ht="11.25" customHeight="1" x14ac:dyDescent="0.25">
      <c r="A32" s="177"/>
      <c r="B32" s="177"/>
      <c r="C32" s="177"/>
      <c r="D32" s="177"/>
      <c r="E32" s="177"/>
      <c r="F32" s="177"/>
      <c r="G32" s="66" t="s">
        <v>80</v>
      </c>
      <c r="H32" s="66" t="s">
        <v>78</v>
      </c>
      <c r="I32" s="66">
        <f>'MERCADO TE'!$U$29</f>
        <v>0</v>
      </c>
      <c r="J32" s="16"/>
      <c r="L32" s="64">
        <f>'TR TE'!$L$32*'TR TE'!$L$50</f>
        <v>2.9404387567196877</v>
      </c>
      <c r="M32" s="64">
        <f>'TR TE'!$M$32*'TR TE'!$M$50</f>
        <v>0</v>
      </c>
      <c r="N32" s="64">
        <f>'TR TE'!$N$32*'TR TE'!$N$50</f>
        <v>0</v>
      </c>
      <c r="O32" s="64">
        <f>'TR TE'!$O$32*'TR TE'!$O$50</f>
        <v>8.6603744929376578</v>
      </c>
      <c r="P32" s="64">
        <f>'TR TE'!$P$32*'TR TE'!$P$50</f>
        <v>0</v>
      </c>
      <c r="Q32" s="64">
        <f>SUM($L$32:$P$32)</f>
        <v>11.600813249657346</v>
      </c>
      <c r="R32" s="64">
        <f>'TR TE'!$R$32*'TR TE'!$R$50</f>
        <v>260.51706016353506</v>
      </c>
      <c r="S32" s="64">
        <f>SUM($R$32:$R$32)</f>
        <v>260.51706016353506</v>
      </c>
      <c r="T32" s="64">
        <f>'TR TE'!$T$32*'TR TE'!$T$50</f>
        <v>0</v>
      </c>
      <c r="U32" s="64">
        <f>'TR TE'!$U$32*'TR TE'!$U$50</f>
        <v>0</v>
      </c>
      <c r="V32" s="64">
        <f>'TR TE'!$V$32*'TR TE'!$V$50</f>
        <v>0</v>
      </c>
      <c r="W32" s="64">
        <f>SUM($T$32:$V$32)</f>
        <v>0</v>
      </c>
      <c r="X32" s="64"/>
      <c r="Y32" s="64">
        <f>SUM($X$32:$X$32)</f>
        <v>0</v>
      </c>
      <c r="Z32" s="64">
        <f>'TR TE'!$Z$32*'TR TE'!$Z$50</f>
        <v>0</v>
      </c>
      <c r="AA32" s="64">
        <f>SUM($Z$32:$Z$32)</f>
        <v>0</v>
      </c>
      <c r="AB32" s="64">
        <f>SUMIF($L$4:$AA$4,"SUBTOTAL",$L$32:$AA$32)</f>
        <v>272.1178734131924</v>
      </c>
    </row>
    <row r="33" spans="1:28" ht="11.25" customHeight="1" x14ac:dyDescent="0.25">
      <c r="A33" s="177"/>
      <c r="B33" s="67" t="s">
        <v>81</v>
      </c>
      <c r="C33" s="67" t="s">
        <v>43</v>
      </c>
      <c r="D33" s="67" t="s">
        <v>96</v>
      </c>
      <c r="E33" s="67" t="s">
        <v>25</v>
      </c>
      <c r="F33" s="67" t="s">
        <v>25</v>
      </c>
      <c r="G33" s="66" t="s">
        <v>82</v>
      </c>
      <c r="H33" s="66" t="s">
        <v>78</v>
      </c>
      <c r="I33" s="66">
        <f>'MERCADO TE'!$U$30</f>
        <v>0</v>
      </c>
      <c r="J33" s="16"/>
      <c r="L33" s="64">
        <f>'TR TE'!$L$33*'TR TE'!$L$50</f>
        <v>2.9404387567196877</v>
      </c>
      <c r="M33" s="64">
        <f>'TR TE'!$M$33*'TR TE'!$M$50</f>
        <v>0</v>
      </c>
      <c r="N33" s="64">
        <f>'TR TE'!$N$33*'TR TE'!$N$50</f>
        <v>0</v>
      </c>
      <c r="O33" s="64">
        <f>'TR TE'!$O$33*'TR TE'!$O$50</f>
        <v>8.6603744929376578</v>
      </c>
      <c r="P33" s="64">
        <f>'TR TE'!$P$33*'TR TE'!$P$50</f>
        <v>0</v>
      </c>
      <c r="Q33" s="64">
        <f>SUM($L$33:$P$33)</f>
        <v>11.600813249657346</v>
      </c>
      <c r="R33" s="64">
        <f>'TR TE'!$R$33*'TR TE'!$R$50</f>
        <v>276.1480837733472</v>
      </c>
      <c r="S33" s="64">
        <f>SUM($R$33:$R$33)</f>
        <v>276.1480837733472</v>
      </c>
      <c r="T33" s="64">
        <f>'TR TE'!$T$33*'TR TE'!$T$50</f>
        <v>0</v>
      </c>
      <c r="U33" s="64">
        <f>'TR TE'!$U$33*'TR TE'!$U$50</f>
        <v>0</v>
      </c>
      <c r="V33" s="64">
        <f>'TR TE'!$V$33*'TR TE'!$V$50</f>
        <v>0</v>
      </c>
      <c r="W33" s="64">
        <f>SUM($T$33:$V$33)</f>
        <v>0</v>
      </c>
      <c r="X33" s="64"/>
      <c r="Y33" s="64">
        <f>SUM($X$33:$X$33)</f>
        <v>0</v>
      </c>
      <c r="Z33" s="64">
        <f>'TR TE'!$Z$33*'TR TE'!$Z$50</f>
        <v>0</v>
      </c>
      <c r="AA33" s="64">
        <f>SUM($Z$33:$Z$33)</f>
        <v>0</v>
      </c>
      <c r="AB33" s="64">
        <f>SUMIF($L$4:$AA$4,"SUBTOTAL",$L$33:$AA$33)</f>
        <v>287.74889702300453</v>
      </c>
    </row>
    <row r="34" spans="1:28" ht="11.25" customHeight="1" x14ac:dyDescent="0.25">
      <c r="A34" s="177"/>
      <c r="B34" s="177" t="s">
        <v>93</v>
      </c>
      <c r="C34" s="177" t="s">
        <v>43</v>
      </c>
      <c r="D34" s="67" t="s">
        <v>25</v>
      </c>
      <c r="E34" s="67" t="s">
        <v>25</v>
      </c>
      <c r="F34" s="67" t="s">
        <v>25</v>
      </c>
      <c r="G34" s="66" t="s">
        <v>82</v>
      </c>
      <c r="H34" s="66" t="s">
        <v>78</v>
      </c>
      <c r="I34" s="66">
        <f>'MERCADO TE'!$U$31</f>
        <v>0</v>
      </c>
      <c r="J34" s="16"/>
      <c r="L34" s="64">
        <f>'TR TE'!$L$34*'TR TE'!$L$50</f>
        <v>2.9404387567196877</v>
      </c>
      <c r="M34" s="64">
        <f>'TR TE'!$M$34*'TR TE'!$M$50</f>
        <v>0</v>
      </c>
      <c r="N34" s="64">
        <f>'TR TE'!$N$34*'TR TE'!$N$50</f>
        <v>0</v>
      </c>
      <c r="O34" s="64">
        <f>'TR TE'!$O$34*'TR TE'!$O$50</f>
        <v>8.6603744929376578</v>
      </c>
      <c r="P34" s="64">
        <f>'TR TE'!$P$34*'TR TE'!$P$50</f>
        <v>0</v>
      </c>
      <c r="Q34" s="64">
        <f>SUM($L$34:$P$34)</f>
        <v>11.600813249657346</v>
      </c>
      <c r="R34" s="64">
        <f>'TR TE'!$R$34*'TR TE'!$R$50</f>
        <v>276.1480837733472</v>
      </c>
      <c r="S34" s="64">
        <f>SUM($R$34:$R$34)</f>
        <v>276.1480837733472</v>
      </c>
      <c r="T34" s="64">
        <f>'TR TE'!$T$34*'TR TE'!$T$50</f>
        <v>0</v>
      </c>
      <c r="U34" s="64">
        <f>'TR TE'!$U$34*'TR TE'!$U$50</f>
        <v>0</v>
      </c>
      <c r="V34" s="64">
        <f>'TR TE'!$V$34*'TR TE'!$V$50</f>
        <v>0</v>
      </c>
      <c r="W34" s="64">
        <f>SUM($T$34:$V$34)</f>
        <v>0</v>
      </c>
      <c r="X34" s="64"/>
      <c r="Y34" s="64">
        <f>SUM($X$34:$X$34)</f>
        <v>0</v>
      </c>
      <c r="Z34" s="64">
        <f>'TR TE'!$Z$34*'TR TE'!$Z$50</f>
        <v>0</v>
      </c>
      <c r="AA34" s="64">
        <f>SUM($Z$34:$Z$34)</f>
        <v>0</v>
      </c>
      <c r="AB34" s="64">
        <f>SUMIF($L$4:$AA$4,"SUBTOTAL",$L$34:$AA$34)</f>
        <v>287.74889702300453</v>
      </c>
    </row>
    <row r="35" spans="1:28" ht="11.25" customHeight="1" x14ac:dyDescent="0.25">
      <c r="A35" s="177"/>
      <c r="B35" s="177"/>
      <c r="C35" s="177"/>
      <c r="D35" s="67" t="s">
        <v>95</v>
      </c>
      <c r="E35" s="67" t="s">
        <v>25</v>
      </c>
      <c r="F35" s="67" t="s">
        <v>25</v>
      </c>
      <c r="G35" s="66" t="s">
        <v>82</v>
      </c>
      <c r="H35" s="66" t="s">
        <v>78</v>
      </c>
      <c r="I35" s="66">
        <f>'MERCADO TE'!$U$32</f>
        <v>0</v>
      </c>
      <c r="J35" s="16"/>
      <c r="L35" s="64">
        <f>'TR TE'!$L$35*'TR TE'!$L$50</f>
        <v>2.9404387567196877</v>
      </c>
      <c r="M35" s="64">
        <f>'TR TE'!$M$35*'TR TE'!$M$50</f>
        <v>0</v>
      </c>
      <c r="N35" s="64">
        <f>'TR TE'!$N$35*'TR TE'!$N$50</f>
        <v>0</v>
      </c>
      <c r="O35" s="64">
        <f>'TR TE'!$O$35*'TR TE'!$O$50</f>
        <v>8.6603744929376578</v>
      </c>
      <c r="P35" s="64">
        <f>'TR TE'!$P$35*'TR TE'!$P$50</f>
        <v>0</v>
      </c>
      <c r="Q35" s="64">
        <f>SUM($L$35:$P$35)</f>
        <v>11.600813249657346</v>
      </c>
      <c r="R35" s="64">
        <f>'TR TE'!$R$35*'TR TE'!$R$50</f>
        <v>276.1480837733472</v>
      </c>
      <c r="S35" s="64">
        <f>SUM($R$35:$R$35)</f>
        <v>276.1480837733472</v>
      </c>
      <c r="T35" s="64">
        <f>'TR TE'!$T$35*'TR TE'!$T$50</f>
        <v>0</v>
      </c>
      <c r="U35" s="64">
        <f>'TR TE'!$U$35*'TR TE'!$U$50</f>
        <v>0</v>
      </c>
      <c r="V35" s="64">
        <f>'TR TE'!$V$35*'TR TE'!$V$50</f>
        <v>0</v>
      </c>
      <c r="W35" s="64">
        <f>SUM($T$35:$V$35)</f>
        <v>0</v>
      </c>
      <c r="X35" s="64"/>
      <c r="Y35" s="64">
        <f>SUM($X$35:$X$35)</f>
        <v>0</v>
      </c>
      <c r="Z35" s="64">
        <f>'TR TE'!$Z$35*'TR TE'!$Z$50</f>
        <v>0</v>
      </c>
      <c r="AA35" s="64">
        <f>SUM($Z$35:$Z$35)</f>
        <v>0</v>
      </c>
      <c r="AB35" s="64">
        <f>SUMIF($L$4:$AA$4,"SUBTOTAL",$L$35:$AA$35)</f>
        <v>287.74889702300453</v>
      </c>
    </row>
    <row r="36" spans="1:28" ht="11.25" customHeight="1" x14ac:dyDescent="0.25">
      <c r="A36" s="177"/>
      <c r="B36" s="177"/>
      <c r="C36" s="177"/>
      <c r="D36" s="67" t="s">
        <v>96</v>
      </c>
      <c r="E36" s="67" t="s">
        <v>25</v>
      </c>
      <c r="F36" s="67" t="s">
        <v>25</v>
      </c>
      <c r="G36" s="66" t="s">
        <v>82</v>
      </c>
      <c r="H36" s="66" t="s">
        <v>78</v>
      </c>
      <c r="I36" s="66">
        <f>'MERCADO TE'!$U$33</f>
        <v>0</v>
      </c>
      <c r="J36" s="16"/>
      <c r="L36" s="64">
        <f>'TR TE'!$L$36*'TR TE'!$L$50</f>
        <v>2.9404387567196877</v>
      </c>
      <c r="M36" s="64">
        <f>'TR TE'!$M$36*'TR TE'!$M$50</f>
        <v>0</v>
      </c>
      <c r="N36" s="64">
        <f>'TR TE'!$N$36*'TR TE'!$N$50</f>
        <v>0</v>
      </c>
      <c r="O36" s="64">
        <f>'TR TE'!$O$36*'TR TE'!$O$50</f>
        <v>8.6603744929376578</v>
      </c>
      <c r="P36" s="64">
        <f>'TR TE'!$P$36*'TR TE'!$P$50</f>
        <v>0</v>
      </c>
      <c r="Q36" s="64">
        <f>SUM($L$36:$P$36)</f>
        <v>11.600813249657346</v>
      </c>
      <c r="R36" s="64">
        <f>'TR TE'!$R$36*'TR TE'!$R$50</f>
        <v>276.1480837733472</v>
      </c>
      <c r="S36" s="64">
        <f>SUM($R$36:$R$36)</f>
        <v>276.1480837733472</v>
      </c>
      <c r="T36" s="64">
        <f>'TR TE'!$T$36*'TR TE'!$T$50</f>
        <v>0</v>
      </c>
      <c r="U36" s="64">
        <f>'TR TE'!$U$36*'TR TE'!$U$50</f>
        <v>0</v>
      </c>
      <c r="V36" s="64">
        <f>'TR TE'!$V$36*'TR TE'!$V$50</f>
        <v>0</v>
      </c>
      <c r="W36" s="64">
        <f>SUM($T$36:$V$36)</f>
        <v>0</v>
      </c>
      <c r="X36" s="64"/>
      <c r="Y36" s="64">
        <f>SUM($X$36:$X$36)</f>
        <v>0</v>
      </c>
      <c r="Z36" s="64">
        <f>'TR TE'!$Z$36*'TR TE'!$Z$50</f>
        <v>0</v>
      </c>
      <c r="AA36" s="64">
        <f>SUM($Z$36:$Z$36)</f>
        <v>0</v>
      </c>
      <c r="AB36" s="64">
        <f>SUMIF($L$4:$AA$4,"SUBTOTAL",$L$36:$AA$36)</f>
        <v>287.74889702300453</v>
      </c>
    </row>
    <row r="37" spans="1:28" ht="11.25" customHeight="1" x14ac:dyDescent="0.25">
      <c r="A37" s="177" t="s">
        <v>36</v>
      </c>
      <c r="B37" s="177" t="s">
        <v>77</v>
      </c>
      <c r="C37" s="177" t="s">
        <v>25</v>
      </c>
      <c r="D37" s="177" t="s">
        <v>25</v>
      </c>
      <c r="E37" s="177" t="s">
        <v>25</v>
      </c>
      <c r="F37" s="177" t="s">
        <v>25</v>
      </c>
      <c r="G37" s="66" t="s">
        <v>79</v>
      </c>
      <c r="H37" s="66" t="s">
        <v>78</v>
      </c>
      <c r="I37" s="66">
        <f>'MERCADO TE'!$U$34</f>
        <v>1.1140000000000001</v>
      </c>
      <c r="J37" s="16"/>
      <c r="L37" s="64">
        <f>'TR TE'!$L$37*'TR TE'!$L$50</f>
        <v>2.9404387567196877</v>
      </c>
      <c r="M37" s="64">
        <f>'TR TE'!$M$37*'TR TE'!$M$50</f>
        <v>0</v>
      </c>
      <c r="N37" s="64">
        <f>'TR TE'!$N$37*'TR TE'!$N$50</f>
        <v>0</v>
      </c>
      <c r="O37" s="64">
        <f>'TR TE'!$O$37*'TR TE'!$O$50</f>
        <v>8.6603744929376578</v>
      </c>
      <c r="P37" s="64">
        <f>'TR TE'!$P$37*'TR TE'!$P$50</f>
        <v>0</v>
      </c>
      <c r="Q37" s="64">
        <f>SUM($L$37:$P$37)</f>
        <v>11.600813249657346</v>
      </c>
      <c r="R37" s="64">
        <f>'TR TE'!$R$37*'TR TE'!$R$50</f>
        <v>448.08934348128031</v>
      </c>
      <c r="S37" s="64">
        <f>SUM($R$37:$R$37)</f>
        <v>448.08934348128031</v>
      </c>
      <c r="T37" s="64">
        <f>'TR TE'!$T$37*'TR TE'!$T$50</f>
        <v>0</v>
      </c>
      <c r="U37" s="64">
        <f>'TR TE'!$U$37*'TR TE'!$U$50</f>
        <v>0</v>
      </c>
      <c r="V37" s="64">
        <f>'TR TE'!$V$37*'TR TE'!$V$50</f>
        <v>0</v>
      </c>
      <c r="W37" s="64">
        <f>SUM($T$37:$V$37)</f>
        <v>0</v>
      </c>
      <c r="X37" s="64"/>
      <c r="Y37" s="64">
        <f>SUM($X$37:$X$37)</f>
        <v>0</v>
      </c>
      <c r="Z37" s="64">
        <f>'TR TE'!$Z$37*'TR TE'!$Z$50</f>
        <v>0</v>
      </c>
      <c r="AA37" s="64">
        <f>SUM($Z$37:$Z$37)</f>
        <v>0</v>
      </c>
      <c r="AB37" s="64">
        <f>SUMIF($L$4:$AA$4,"SUBTOTAL",$L$37:$AA$37)</f>
        <v>459.69015673093764</v>
      </c>
    </row>
    <row r="38" spans="1:28" ht="11.25" customHeight="1" x14ac:dyDescent="0.25">
      <c r="A38" s="177"/>
      <c r="B38" s="177"/>
      <c r="C38" s="177"/>
      <c r="D38" s="177"/>
      <c r="E38" s="177"/>
      <c r="F38" s="177"/>
      <c r="G38" s="66" t="s">
        <v>92</v>
      </c>
      <c r="H38" s="66" t="s">
        <v>78</v>
      </c>
      <c r="I38" s="66">
        <f>'MERCADO TE'!$U$35</f>
        <v>0.48499999999999999</v>
      </c>
      <c r="J38" s="16"/>
      <c r="L38" s="64">
        <f>'TR TE'!$L$38*'TR TE'!$L$50</f>
        <v>2.9404387567196877</v>
      </c>
      <c r="M38" s="64">
        <f>'TR TE'!$M$38*'TR TE'!$M$50</f>
        <v>0</v>
      </c>
      <c r="N38" s="64">
        <f>'TR TE'!$N$38*'TR TE'!$N$50</f>
        <v>0</v>
      </c>
      <c r="O38" s="64">
        <f>'TR TE'!$O$38*'TR TE'!$O$50</f>
        <v>8.6603744929376578</v>
      </c>
      <c r="P38" s="64">
        <f>'TR TE'!$P$38*'TR TE'!$P$50</f>
        <v>0</v>
      </c>
      <c r="Q38" s="64">
        <f>SUM($L$38:$P$38)</f>
        <v>11.600813249657346</v>
      </c>
      <c r="R38" s="64">
        <f>'TR TE'!$R$38*'TR TE'!$R$50</f>
        <v>260.51706016353506</v>
      </c>
      <c r="S38" s="64">
        <f>SUM($R$38:$R$38)</f>
        <v>260.51706016353506</v>
      </c>
      <c r="T38" s="64">
        <f>'TR TE'!$T$38*'TR TE'!$T$50</f>
        <v>0</v>
      </c>
      <c r="U38" s="64">
        <f>'TR TE'!$U$38*'TR TE'!$U$50</f>
        <v>0</v>
      </c>
      <c r="V38" s="64">
        <f>'TR TE'!$V$38*'TR TE'!$V$50</f>
        <v>0</v>
      </c>
      <c r="W38" s="64">
        <f>SUM($T$38:$V$38)</f>
        <v>0</v>
      </c>
      <c r="X38" s="64"/>
      <c r="Y38" s="64">
        <f>SUM($X$38:$X$38)</f>
        <v>0</v>
      </c>
      <c r="Z38" s="64">
        <f>'TR TE'!$Z$38*'TR TE'!$Z$50</f>
        <v>0</v>
      </c>
      <c r="AA38" s="64">
        <f>SUM($Z$38:$Z$38)</f>
        <v>0</v>
      </c>
      <c r="AB38" s="64">
        <f>SUMIF($L$4:$AA$4,"SUBTOTAL",$L$38:$AA$38)</f>
        <v>272.1178734131924</v>
      </c>
    </row>
    <row r="39" spans="1:28" ht="11.25" customHeight="1" x14ac:dyDescent="0.25">
      <c r="A39" s="177"/>
      <c r="B39" s="177"/>
      <c r="C39" s="177"/>
      <c r="D39" s="177"/>
      <c r="E39" s="177"/>
      <c r="F39" s="177"/>
      <c r="G39" s="66" t="s">
        <v>80</v>
      </c>
      <c r="H39" s="66" t="s">
        <v>78</v>
      </c>
      <c r="I39" s="66">
        <f>'MERCADO TE'!$U$36</f>
        <v>6.2670000000000003</v>
      </c>
      <c r="J39" s="16"/>
      <c r="L39" s="64">
        <f>'TR TE'!$L$39*'TR TE'!$L$50</f>
        <v>2.9404387567196877</v>
      </c>
      <c r="M39" s="64">
        <f>'TR TE'!$M$39*'TR TE'!$M$50</f>
        <v>0</v>
      </c>
      <c r="N39" s="64">
        <f>'TR TE'!$N$39*'TR TE'!$N$50</f>
        <v>0</v>
      </c>
      <c r="O39" s="64">
        <f>'TR TE'!$O$39*'TR TE'!$O$50</f>
        <v>8.6603744929376578</v>
      </c>
      <c r="P39" s="64">
        <f>'TR TE'!$P$39*'TR TE'!$P$50</f>
        <v>0</v>
      </c>
      <c r="Q39" s="64">
        <f>SUM($L$39:$P$39)</f>
        <v>11.600813249657346</v>
      </c>
      <c r="R39" s="64">
        <f>'TR TE'!$R$39*'TR TE'!$R$50</f>
        <v>260.51706016353506</v>
      </c>
      <c r="S39" s="64">
        <f>SUM($R$39:$R$39)</f>
        <v>260.51706016353506</v>
      </c>
      <c r="T39" s="64">
        <f>'TR TE'!$T$39*'TR TE'!$T$50</f>
        <v>0</v>
      </c>
      <c r="U39" s="64">
        <f>'TR TE'!$U$39*'TR TE'!$U$50</f>
        <v>0</v>
      </c>
      <c r="V39" s="64">
        <f>'TR TE'!$V$39*'TR TE'!$V$50</f>
        <v>0</v>
      </c>
      <c r="W39" s="64">
        <f>SUM($T$39:$V$39)</f>
        <v>0</v>
      </c>
      <c r="X39" s="64"/>
      <c r="Y39" s="64">
        <f>SUM($X$39:$X$39)</f>
        <v>0</v>
      </c>
      <c r="Z39" s="64">
        <f>'TR TE'!$Z$39*'TR TE'!$Z$50</f>
        <v>0</v>
      </c>
      <c r="AA39" s="64">
        <f>SUM($Z$39:$Z$39)</f>
        <v>0</v>
      </c>
      <c r="AB39" s="64">
        <f>SUMIF($L$4:$AA$4,"SUBTOTAL",$L$39:$AA$39)</f>
        <v>272.1178734131924</v>
      </c>
    </row>
    <row r="40" spans="1:28" ht="11.25" customHeight="1" x14ac:dyDescent="0.25">
      <c r="A40" s="177"/>
      <c r="B40" s="67" t="s">
        <v>81</v>
      </c>
      <c r="C40" s="67" t="s">
        <v>25</v>
      </c>
      <c r="D40" s="67" t="s">
        <v>25</v>
      </c>
      <c r="E40" s="67" t="s">
        <v>25</v>
      </c>
      <c r="F40" s="67" t="s">
        <v>25</v>
      </c>
      <c r="G40" s="66" t="s">
        <v>82</v>
      </c>
      <c r="H40" s="66" t="s">
        <v>78</v>
      </c>
      <c r="I40" s="66">
        <f>'MERCADO TE'!$U$37</f>
        <v>13646.102000000001</v>
      </c>
      <c r="J40" s="16"/>
      <c r="L40" s="64">
        <f>'TR TE'!$L$40*'TR TE'!$L$50</f>
        <v>2.9404387567196877</v>
      </c>
      <c r="M40" s="64">
        <f>'TR TE'!$M$40*'TR TE'!$M$50</f>
        <v>0</v>
      </c>
      <c r="N40" s="64">
        <f>'TR TE'!$N$40*'TR TE'!$N$50</f>
        <v>0</v>
      </c>
      <c r="O40" s="64">
        <f>'TR TE'!$O$40*'TR TE'!$O$50</f>
        <v>8.6603744929376578</v>
      </c>
      <c r="P40" s="64">
        <f>'TR TE'!$P$40*'TR TE'!$P$50</f>
        <v>0</v>
      </c>
      <c r="Q40" s="64">
        <f>SUM($L$40:$P$40)</f>
        <v>11.600813249657346</v>
      </c>
      <c r="R40" s="64">
        <f>'TR TE'!$R$40*'TR TE'!$R$50</f>
        <v>276.1480837733472</v>
      </c>
      <c r="S40" s="64">
        <f>SUM($R$40:$R$40)</f>
        <v>276.1480837733472</v>
      </c>
      <c r="T40" s="64">
        <f>'TR TE'!$T$40*'TR TE'!$T$50</f>
        <v>0</v>
      </c>
      <c r="U40" s="64">
        <f>'TR TE'!$U$40*'TR TE'!$U$50</f>
        <v>0</v>
      </c>
      <c r="V40" s="64">
        <f>'TR TE'!$V$40*'TR TE'!$V$50</f>
        <v>0</v>
      </c>
      <c r="W40" s="64">
        <f>SUM($T$40:$V$40)</f>
        <v>0</v>
      </c>
      <c r="X40" s="64"/>
      <c r="Y40" s="64">
        <f>SUM($X$40:$X$40)</f>
        <v>0</v>
      </c>
      <c r="Z40" s="64">
        <f>'TR TE'!$Z$40*'TR TE'!$Z$50</f>
        <v>0</v>
      </c>
      <c r="AA40" s="64">
        <f>SUM($Z$40:$Z$40)</f>
        <v>0</v>
      </c>
      <c r="AB40" s="64">
        <f>SUMIF($L$4:$AA$4,"SUBTOTAL",$L$40:$AA$40)</f>
        <v>287.74889702300453</v>
      </c>
    </row>
    <row r="41" spans="1:28" ht="11.25" customHeight="1" x14ac:dyDescent="0.25">
      <c r="A41" s="177"/>
      <c r="B41" s="67" t="s">
        <v>93</v>
      </c>
      <c r="C41" s="67" t="s">
        <v>25</v>
      </c>
      <c r="D41" s="67" t="s">
        <v>25</v>
      </c>
      <c r="E41" s="67" t="s">
        <v>25</v>
      </c>
      <c r="F41" s="67" t="s">
        <v>25</v>
      </c>
      <c r="G41" s="66" t="s">
        <v>82</v>
      </c>
      <c r="H41" s="66" t="s">
        <v>78</v>
      </c>
      <c r="I41" s="66">
        <f>'MERCADO TE'!$U$38</f>
        <v>0</v>
      </c>
      <c r="J41" s="16"/>
      <c r="L41" s="64">
        <f>'TR TE'!$L$41*'TR TE'!$L$50</f>
        <v>2.9404387567196877</v>
      </c>
      <c r="M41" s="64">
        <f>'TR TE'!$M$41*'TR TE'!$M$50</f>
        <v>0</v>
      </c>
      <c r="N41" s="64">
        <f>'TR TE'!$N$41*'TR TE'!$N$50</f>
        <v>0</v>
      </c>
      <c r="O41" s="64">
        <f>'TR TE'!$O$41*'TR TE'!$O$50</f>
        <v>8.6603744929376578</v>
      </c>
      <c r="P41" s="64">
        <f>'TR TE'!$P$41*'TR TE'!$P$50</f>
        <v>0</v>
      </c>
      <c r="Q41" s="64">
        <f>SUM($L$41:$P$41)</f>
        <v>11.600813249657346</v>
      </c>
      <c r="R41" s="64">
        <f>'TR TE'!$R$41*'TR TE'!$R$50</f>
        <v>276.1480837733472</v>
      </c>
      <c r="S41" s="64">
        <f>SUM($R$41:$R$41)</f>
        <v>276.1480837733472</v>
      </c>
      <c r="T41" s="64">
        <f>'TR TE'!$T$41*'TR TE'!$T$50</f>
        <v>0</v>
      </c>
      <c r="U41" s="64">
        <f>'TR TE'!$U$41*'TR TE'!$U$50</f>
        <v>0</v>
      </c>
      <c r="V41" s="64">
        <f>'TR TE'!$V$41*'TR TE'!$V$50</f>
        <v>0</v>
      </c>
      <c r="W41" s="64">
        <f>SUM($T$41:$V$41)</f>
        <v>0</v>
      </c>
      <c r="X41" s="64"/>
      <c r="Y41" s="64">
        <f>SUM($X$41:$X$41)</f>
        <v>0</v>
      </c>
      <c r="Z41" s="64">
        <f>'TR TE'!$Z$41*'TR TE'!$Z$50</f>
        <v>0</v>
      </c>
      <c r="AA41" s="64">
        <f>SUM($Z$41:$Z$41)</f>
        <v>0</v>
      </c>
      <c r="AB41" s="64">
        <f>SUMIF($L$4:$AA$4,"SUBTOTAL",$L$41:$AA$41)</f>
        <v>287.74889702300453</v>
      </c>
    </row>
    <row r="42" spans="1:28" ht="11.25" customHeight="1" x14ac:dyDescent="0.25">
      <c r="A42" s="177" t="s">
        <v>45</v>
      </c>
      <c r="B42" s="177" t="s">
        <v>81</v>
      </c>
      <c r="C42" s="177" t="s">
        <v>46</v>
      </c>
      <c r="D42" s="67" t="s">
        <v>47</v>
      </c>
      <c r="E42" s="67" t="s">
        <v>25</v>
      </c>
      <c r="F42" s="67" t="s">
        <v>25</v>
      </c>
      <c r="G42" s="66" t="s">
        <v>82</v>
      </c>
      <c r="H42" s="66" t="s">
        <v>78</v>
      </c>
      <c r="I42" s="66">
        <f>'MERCADO TE'!$U$39</f>
        <v>4914.0960000000005</v>
      </c>
      <c r="J42" s="16"/>
      <c r="L42" s="64">
        <f>'TR TE'!$L$42*'TR TE'!$L$50</f>
        <v>1.6172413161958283</v>
      </c>
      <c r="M42" s="64">
        <f>'TR TE'!$M$42*'TR TE'!$M$50</f>
        <v>0</v>
      </c>
      <c r="N42" s="64">
        <f>'TR TE'!$N$42*'TR TE'!$N$50</f>
        <v>0</v>
      </c>
      <c r="O42" s="64">
        <f>'TR TE'!$O$42*'TR TE'!$O$50</f>
        <v>4.7632059711157124</v>
      </c>
      <c r="P42" s="64">
        <f>'TR TE'!$P$42*'TR TE'!$P$50</f>
        <v>0</v>
      </c>
      <c r="Q42" s="64">
        <f>SUM($L$42:$P$42)</f>
        <v>6.380447287311541</v>
      </c>
      <c r="R42" s="64">
        <f>'TR TE'!$R$42*'TR TE'!$R$50</f>
        <v>151.88144607534096</v>
      </c>
      <c r="S42" s="64">
        <f>SUM($R$42:$R$42)</f>
        <v>151.88144607534096</v>
      </c>
      <c r="T42" s="64">
        <f>'TR TE'!$T$42*'TR TE'!$T$50</f>
        <v>0</v>
      </c>
      <c r="U42" s="64">
        <f>'TR TE'!$U$42*'TR TE'!$U$50</f>
        <v>0</v>
      </c>
      <c r="V42" s="64">
        <f>'TR TE'!$V$42*'TR TE'!$V$50</f>
        <v>0</v>
      </c>
      <c r="W42" s="64">
        <f>SUM($T$42:$V$42)</f>
        <v>0</v>
      </c>
      <c r="X42" s="64"/>
      <c r="Y42" s="64">
        <f>SUM($X$42:$X$42)</f>
        <v>0</v>
      </c>
      <c r="Z42" s="64">
        <f>'TR TE'!$Z$42*'TR TE'!$Z$50</f>
        <v>0</v>
      </c>
      <c r="AA42" s="64">
        <f>SUM($Z$42:$Z$42)</f>
        <v>0</v>
      </c>
      <c r="AB42" s="64">
        <f>SUMIF($L$4:$AA$4,"SUBTOTAL",$L$42:$AA$42)</f>
        <v>158.2618933626525</v>
      </c>
    </row>
    <row r="43" spans="1:28" ht="11.25" customHeight="1" x14ac:dyDescent="0.25">
      <c r="A43" s="177"/>
      <c r="B43" s="177"/>
      <c r="C43" s="177"/>
      <c r="D43" s="66" t="s">
        <v>97</v>
      </c>
      <c r="E43" s="66" t="s">
        <v>25</v>
      </c>
      <c r="F43" s="66" t="s">
        <v>25</v>
      </c>
      <c r="G43" s="66" t="s">
        <v>82</v>
      </c>
      <c r="H43" s="66" t="s">
        <v>78</v>
      </c>
      <c r="I43" s="66">
        <f>'MERCADO TE'!$U$40</f>
        <v>0</v>
      </c>
      <c r="J43" s="16"/>
      <c r="L43" s="64">
        <f>'TR TE'!$L$43*'TR TE'!$L$50</f>
        <v>1.7642632540318126</v>
      </c>
      <c r="M43" s="64">
        <f>'TR TE'!$M$43*'TR TE'!$M$50</f>
        <v>0</v>
      </c>
      <c r="N43" s="64">
        <f>'TR TE'!$N$43*'TR TE'!$N$50</f>
        <v>0</v>
      </c>
      <c r="O43" s="64">
        <f>'TR TE'!$O$43*'TR TE'!$O$50</f>
        <v>5.1962246957625942</v>
      </c>
      <c r="P43" s="64">
        <f>'TR TE'!$P$43*'TR TE'!$P$50</f>
        <v>0</v>
      </c>
      <c r="Q43" s="64">
        <f>SUM($L$43:$P$43)</f>
        <v>6.9604879497944072</v>
      </c>
      <c r="R43" s="64">
        <f>'TR TE'!$R$43*'TR TE'!$R$50</f>
        <v>165.68885026400829</v>
      </c>
      <c r="S43" s="64">
        <f>SUM($R$43:$R$43)</f>
        <v>165.68885026400829</v>
      </c>
      <c r="T43" s="64">
        <f>'TR TE'!$T$43*'TR TE'!$T$50</f>
        <v>0</v>
      </c>
      <c r="U43" s="64">
        <f>'TR TE'!$U$43*'TR TE'!$U$50</f>
        <v>0</v>
      </c>
      <c r="V43" s="64">
        <f>'TR TE'!$V$43*'TR TE'!$V$50</f>
        <v>0</v>
      </c>
      <c r="W43" s="64">
        <f>SUM($T$43:$V$43)</f>
        <v>0</v>
      </c>
      <c r="X43" s="64"/>
      <c r="Y43" s="64">
        <f>SUM($X$43:$X$43)</f>
        <v>0</v>
      </c>
      <c r="Z43" s="64">
        <f>'TR TE'!$Z$43*'TR TE'!$Z$50</f>
        <v>0</v>
      </c>
      <c r="AA43" s="64">
        <f>SUM($Z$43:$Z$43)</f>
        <v>0</v>
      </c>
      <c r="AB43" s="64">
        <f>SUMIF($L$4:$AA$4,"SUBTOTAL",$L$43:$AA$43)</f>
        <v>172.64933821380271</v>
      </c>
    </row>
    <row r="45" spans="1:28" ht="11.25" customHeight="1" x14ac:dyDescent="0.25">
      <c r="K45" s="69" t="s">
        <v>589</v>
      </c>
      <c r="L45" s="64">
        <f t="shared" ref="L45:AB45" si="0">SUMPRODUCT($I$5:$I$43,L$5:L$43)</f>
        <v>217388.68030113465</v>
      </c>
      <c r="M45" s="64">
        <f t="shared" si="0"/>
        <v>0</v>
      </c>
      <c r="N45" s="64">
        <f t="shared" si="0"/>
        <v>0</v>
      </c>
      <c r="O45" s="64">
        <f t="shared" si="0"/>
        <v>640267.50349107874</v>
      </c>
      <c r="P45" s="64">
        <f t="shared" si="0"/>
        <v>0</v>
      </c>
      <c r="Q45" s="64">
        <f t="shared" si="0"/>
        <v>857656.18379221344</v>
      </c>
      <c r="R45" s="64">
        <f t="shared" si="0"/>
        <v>20389905.964870866</v>
      </c>
      <c r="S45" s="64">
        <f t="shared" si="0"/>
        <v>20389905.964870866</v>
      </c>
      <c r="T45" s="64">
        <f t="shared" si="0"/>
        <v>0</v>
      </c>
      <c r="U45" s="64">
        <f t="shared" si="0"/>
        <v>0</v>
      </c>
      <c r="V45" s="64">
        <f t="shared" si="0"/>
        <v>0</v>
      </c>
      <c r="W45" s="64">
        <f t="shared" si="0"/>
        <v>0</v>
      </c>
      <c r="X45" s="64">
        <f t="shared" si="0"/>
        <v>0</v>
      </c>
      <c r="Y45" s="64">
        <f t="shared" si="0"/>
        <v>0</v>
      </c>
      <c r="Z45" s="64">
        <f t="shared" si="0"/>
        <v>0</v>
      </c>
      <c r="AA45" s="64">
        <f t="shared" si="0"/>
        <v>0</v>
      </c>
      <c r="AB45" s="64">
        <f t="shared" si="0"/>
        <v>21247562.148663089</v>
      </c>
    </row>
    <row r="46" spans="1:28" ht="11.25" customHeight="1" x14ac:dyDescent="0.25">
      <c r="K46" s="69" t="s">
        <v>525</v>
      </c>
      <c r="L46" s="64">
        <f>CUSTOS!$D$30</f>
        <v>217388.68030113468</v>
      </c>
      <c r="M46" s="64">
        <f>CUSTOS!$D$31</f>
        <v>0</v>
      </c>
      <c r="N46" s="64">
        <f>CUSTOS!$D$32</f>
        <v>0</v>
      </c>
      <c r="O46" s="64">
        <f>CUSTOS!$D$33</f>
        <v>640267.50349107874</v>
      </c>
      <c r="P46" s="64">
        <f>CUSTOS!$D$34</f>
        <v>0</v>
      </c>
      <c r="Q46" s="64">
        <f>CUSTOS!$D$35</f>
        <v>857656.18379221344</v>
      </c>
      <c r="R46" s="64">
        <f>CUSTOS!$D$36</f>
        <v>20389905.96487087</v>
      </c>
      <c r="S46" s="64">
        <f>CUSTOS!$D$37</f>
        <v>20389905.96487087</v>
      </c>
      <c r="T46" s="64">
        <f>CUSTOS!$D$38</f>
        <v>0</v>
      </c>
      <c r="U46" s="64">
        <f>CUSTOS!$D$39</f>
        <v>0</v>
      </c>
      <c r="V46" s="64">
        <f>CUSTOS!$D$40</f>
        <v>0</v>
      </c>
      <c r="W46" s="64">
        <f>CUSTOS!$D$41</f>
        <v>0</v>
      </c>
      <c r="X46" s="64">
        <f>CUSTOS!$D$42</f>
        <v>0</v>
      </c>
      <c r="Y46" s="64">
        <f>CUSTOS!$D$43</f>
        <v>0</v>
      </c>
      <c r="Z46" s="64">
        <f>CUSTOS!$D$44</f>
        <v>0</v>
      </c>
      <c r="AA46" s="64">
        <f>CUSTOS!$D$45</f>
        <v>0</v>
      </c>
      <c r="AB46" s="64">
        <f>CUSTOS!$D$46</f>
        <v>21247562.148663085</v>
      </c>
    </row>
    <row r="47" spans="1:28" ht="11.25" customHeight="1" x14ac:dyDescent="0.25">
      <c r="K47" s="69" t="s">
        <v>526</v>
      </c>
      <c r="L47" s="64">
        <f>CUSTOS!$E$30</f>
        <v>-8.8885204693480453E-3</v>
      </c>
      <c r="M47" s="64">
        <f>CUSTOS!$E$31</f>
        <v>0</v>
      </c>
      <c r="N47" s="64">
        <f>CUSTOS!$E$32</f>
        <v>0</v>
      </c>
      <c r="O47" s="64">
        <f>CUSTOS!$E$33</f>
        <v>-51214.334036968139</v>
      </c>
      <c r="P47" s="64">
        <f>CUSTOS!$E$34</f>
        <v>0</v>
      </c>
      <c r="Q47" s="64">
        <f>CUSTOS!$E$35</f>
        <v>-51214.342925488607</v>
      </c>
      <c r="R47" s="64">
        <f>CUSTOS!$E$36</f>
        <v>74842.048413565804</v>
      </c>
      <c r="S47" s="64">
        <f>CUSTOS!$E$37</f>
        <v>74842.048413565804</v>
      </c>
      <c r="T47" s="64">
        <f>CUSTOS!$E$38</f>
        <v>0</v>
      </c>
      <c r="U47" s="64">
        <f>CUSTOS!$E$39</f>
        <v>0</v>
      </c>
      <c r="V47" s="64">
        <f>CUSTOS!$E$40</f>
        <v>0</v>
      </c>
      <c r="W47" s="64">
        <f>CUSTOS!$E$41</f>
        <v>0</v>
      </c>
      <c r="X47" s="64">
        <f>CUSTOS!$E$42</f>
        <v>-3802746.9625408254</v>
      </c>
      <c r="Y47" s="64">
        <f>CUSTOS!$E$43</f>
        <v>-3802746.9625408254</v>
      </c>
      <c r="Z47" s="64">
        <f>CUSTOS!$E$44</f>
        <v>0</v>
      </c>
      <c r="AA47" s="64">
        <f>CUSTOS!$E$45</f>
        <v>0</v>
      </c>
      <c r="AB47" s="64">
        <f>CUSTOS!$E$46</f>
        <v>-3779119.257052748</v>
      </c>
    </row>
    <row r="48" spans="1:28" ht="11.25" customHeight="1" x14ac:dyDescent="0.25">
      <c r="K48" s="69" t="s">
        <v>527</v>
      </c>
      <c r="L48" s="64">
        <f>CUSTOS!$F$30</f>
        <v>0</v>
      </c>
      <c r="M48" s="64">
        <f>CUSTOS!$F$31</f>
        <v>0</v>
      </c>
      <c r="N48" s="64">
        <f>CUSTOS!$F$32</f>
        <v>0</v>
      </c>
      <c r="O48" s="64">
        <f>CUSTOS!$F$33</f>
        <v>42001.435756448831</v>
      </c>
      <c r="P48" s="64">
        <f>CUSTOS!$F$34</f>
        <v>0</v>
      </c>
      <c r="Q48" s="64">
        <f>CUSTOS!$F$35</f>
        <v>42001.435756448831</v>
      </c>
      <c r="R48" s="64">
        <f>CUSTOS!$F$36</f>
        <v>868156.7647220213</v>
      </c>
      <c r="S48" s="64">
        <f>CUSTOS!$F$37</f>
        <v>868156.7647220213</v>
      </c>
      <c r="T48" s="64">
        <f>CUSTOS!$F$38</f>
        <v>0</v>
      </c>
      <c r="U48" s="64">
        <f>CUSTOS!$F$39</f>
        <v>0</v>
      </c>
      <c r="V48" s="64">
        <f>CUSTOS!$F$40</f>
        <v>0</v>
      </c>
      <c r="W48" s="64">
        <f>CUSTOS!$F$41</f>
        <v>0</v>
      </c>
      <c r="X48" s="64">
        <f>CUSTOS!$F$42</f>
        <v>0</v>
      </c>
      <c r="Y48" s="64">
        <f>CUSTOS!$F$43</f>
        <v>0</v>
      </c>
      <c r="Z48" s="64">
        <f>CUSTOS!$F$44</f>
        <v>0</v>
      </c>
      <c r="AA48" s="64">
        <f>CUSTOS!$F$45</f>
        <v>0</v>
      </c>
      <c r="AB48" s="64">
        <f>CUSTOS!$F$46</f>
        <v>910158.20047847019</v>
      </c>
    </row>
    <row r="49" spans="11:28" ht="11.25" customHeight="1" x14ac:dyDescent="0.25">
      <c r="K49" s="69" t="s">
        <v>590</v>
      </c>
      <c r="L49" s="64">
        <f>'TR TE'!$L$49*L50</f>
        <v>-1.2022774158140397E-7</v>
      </c>
      <c r="M49" s="64">
        <f>'TR TE'!$M$49*M50</f>
        <v>0</v>
      </c>
      <c r="N49" s="64">
        <f>'TR TE'!$N$49*N50</f>
        <v>0</v>
      </c>
      <c r="O49" s="64">
        <f>'TR TE'!$O$49*O50</f>
        <v>-0.69273438015853928</v>
      </c>
      <c r="P49" s="64">
        <f>'TR TE'!$P$49*P50</f>
        <v>0</v>
      </c>
      <c r="Q49" s="64"/>
      <c r="R49" s="64">
        <f>'TR TE'!$R$49*R50</f>
        <v>1.0054354314710434</v>
      </c>
      <c r="S49" s="64"/>
      <c r="T49" s="64">
        <f>'TR TE'!$T$49*T50</f>
        <v>0</v>
      </c>
      <c r="U49" s="64">
        <f>'TR TE'!$U$49*U50</f>
        <v>0</v>
      </c>
      <c r="V49" s="64">
        <f>'TR TE'!$V$49*V50</f>
        <v>0</v>
      </c>
      <c r="W49" s="64"/>
      <c r="X49" s="64"/>
      <c r="Y49" s="64"/>
      <c r="Z49" s="64">
        <f>'TR TE'!$Z$49*Z50</f>
        <v>0</v>
      </c>
      <c r="AA49" s="64"/>
      <c r="AB49" s="64"/>
    </row>
    <row r="50" spans="11:28" ht="11.25" customHeight="1" x14ac:dyDescent="0.25">
      <c r="K50" s="69" t="s">
        <v>583</v>
      </c>
      <c r="L50" s="64">
        <f>IF(L46&lt;&gt;0,L47/L46,0)</f>
        <v>-4.0887687698528482E-8</v>
      </c>
      <c r="M50" s="64">
        <f>IF(M46&lt;&gt;0,M47/M46,0)</f>
        <v>0</v>
      </c>
      <c r="N50" s="64">
        <f>IF(N46&lt;&gt;0,N47/N46,0)</f>
        <v>0</v>
      </c>
      <c r="O50" s="64">
        <f>IF(O46&lt;&gt;0,O47/O46,0)</f>
        <v>-7.9988963609304506E-2</v>
      </c>
      <c r="P50" s="64">
        <f>IF(P46&lt;&gt;0,P47/P46,0)</f>
        <v>0</v>
      </c>
      <c r="Q50" s="64"/>
      <c r="R50" s="64">
        <f>IF(R46&lt;&gt;0,R47/R46,0)</f>
        <v>3.6705440693306198E-3</v>
      </c>
      <c r="S50" s="64"/>
      <c r="T50" s="64">
        <f>IF(T46&lt;&gt;0,T47/T46,0)</f>
        <v>0</v>
      </c>
      <c r="U50" s="64">
        <f>IF(U46&lt;&gt;0,U47/U46,0)</f>
        <v>0</v>
      </c>
      <c r="V50" s="64">
        <f>IF(V46&lt;&gt;0,V47/V46,0)</f>
        <v>0</v>
      </c>
      <c r="W50" s="64"/>
      <c r="X50" s="64">
        <f>IF(($AB46-(+ $I$8*$AB$8))&lt;&gt;0,X47/($AB46-(+ $I$8*$AB$8)),0)</f>
        <v>-0.17897333049006273</v>
      </c>
      <c r="Y50" s="64"/>
      <c r="Z50" s="64">
        <f>IF(Z46&lt;&gt;0,Z47/Z46,0)</f>
        <v>0</v>
      </c>
      <c r="AA50" s="64"/>
      <c r="AB50" s="64"/>
    </row>
    <row r="51" spans="11:28" ht="11.25" customHeight="1" x14ac:dyDescent="0.25">
      <c r="K51" s="69" t="s">
        <v>592</v>
      </c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</row>
  </sheetData>
  <mergeCells count="61">
    <mergeCell ref="E37:E39"/>
    <mergeCell ref="F37:F39"/>
    <mergeCell ref="A42:A43"/>
    <mergeCell ref="B42:B43"/>
    <mergeCell ref="C42:C43"/>
    <mergeCell ref="D37:D39"/>
    <mergeCell ref="B34:B36"/>
    <mergeCell ref="C34:C36"/>
    <mergeCell ref="A37:A41"/>
    <mergeCell ref="B37:B39"/>
    <mergeCell ref="C37:C39"/>
    <mergeCell ref="A22:A36"/>
    <mergeCell ref="B22:B24"/>
    <mergeCell ref="C22:C24"/>
    <mergeCell ref="B30:B32"/>
    <mergeCell ref="C30:C32"/>
    <mergeCell ref="B26:B28"/>
    <mergeCell ref="C26:C28"/>
    <mergeCell ref="D30:D32"/>
    <mergeCell ref="E30:E32"/>
    <mergeCell ref="F30:F32"/>
    <mergeCell ref="D22:D24"/>
    <mergeCell ref="E22:E24"/>
    <mergeCell ref="F22:F24"/>
    <mergeCell ref="D26:D28"/>
    <mergeCell ref="E26:E28"/>
    <mergeCell ref="F26:F28"/>
    <mergeCell ref="A9:A21"/>
    <mergeCell ref="B9:B11"/>
    <mergeCell ref="C9:C11"/>
    <mergeCell ref="D9:D11"/>
    <mergeCell ref="E9:E11"/>
    <mergeCell ref="F9:F11"/>
    <mergeCell ref="B12:B16"/>
    <mergeCell ref="C12:C16"/>
    <mergeCell ref="B17:B21"/>
    <mergeCell ref="C17:C21"/>
    <mergeCell ref="Z3:AA3"/>
    <mergeCell ref="AB3:AB4"/>
    <mergeCell ref="A5:A8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5">
    <cfRule type="cellIs" dxfId="985" priority="33" operator="notEqual">
      <formula>$L$46</formula>
    </cfRule>
    <cfRule type="cellIs" dxfId="984" priority="34" operator="equal">
      <formula>$L$46</formula>
    </cfRule>
  </conditionalFormatting>
  <conditionalFormatting sqref="M45">
    <cfRule type="cellIs" dxfId="983" priority="31" operator="notEqual">
      <formula>$M$46</formula>
    </cfRule>
    <cfRule type="cellIs" dxfId="982" priority="32" operator="equal">
      <formula>$M$46</formula>
    </cfRule>
  </conditionalFormatting>
  <conditionalFormatting sqref="N45">
    <cfRule type="cellIs" dxfId="981" priority="29" operator="notEqual">
      <formula>$N$46</formula>
    </cfRule>
    <cfRule type="cellIs" dxfId="980" priority="30" operator="equal">
      <formula>$N$46</formula>
    </cfRule>
  </conditionalFormatting>
  <conditionalFormatting sqref="O45">
    <cfRule type="cellIs" dxfId="979" priority="27" operator="notEqual">
      <formula>$O$46</formula>
    </cfRule>
    <cfRule type="cellIs" dxfId="978" priority="28" operator="equal">
      <formula>$O$46</formula>
    </cfRule>
  </conditionalFormatting>
  <conditionalFormatting sqref="P45">
    <cfRule type="cellIs" dxfId="977" priority="25" operator="notEqual">
      <formula>$P$46</formula>
    </cfRule>
    <cfRule type="cellIs" dxfId="976" priority="26" operator="equal">
      <formula>$P$46</formula>
    </cfRule>
  </conditionalFormatting>
  <conditionalFormatting sqref="Q45">
    <cfRule type="cellIs" dxfId="975" priority="23" operator="notEqual">
      <formula>$Q$46</formula>
    </cfRule>
    <cfRule type="cellIs" dxfId="974" priority="24" operator="equal">
      <formula>$Q$46</formula>
    </cfRule>
  </conditionalFormatting>
  <conditionalFormatting sqref="R45">
    <cfRule type="cellIs" dxfId="973" priority="21" operator="notEqual">
      <formula>$R$46</formula>
    </cfRule>
    <cfRule type="cellIs" dxfId="972" priority="22" operator="equal">
      <formula>$R$46</formula>
    </cfRule>
  </conditionalFormatting>
  <conditionalFormatting sqref="S45">
    <cfRule type="cellIs" dxfId="971" priority="19" operator="notEqual">
      <formula>$S$46</formula>
    </cfRule>
    <cfRule type="cellIs" dxfId="970" priority="20" operator="equal">
      <formula>$S$46</formula>
    </cfRule>
  </conditionalFormatting>
  <conditionalFormatting sqref="T45">
    <cfRule type="cellIs" dxfId="969" priority="17" operator="notEqual">
      <formula>$T$46</formula>
    </cfRule>
    <cfRule type="cellIs" dxfId="968" priority="18" operator="equal">
      <formula>$T$46</formula>
    </cfRule>
  </conditionalFormatting>
  <conditionalFormatting sqref="U45">
    <cfRule type="cellIs" dxfId="967" priority="15" operator="notEqual">
      <formula>$U$46</formula>
    </cfRule>
    <cfRule type="cellIs" dxfId="966" priority="16" operator="equal">
      <formula>$U$46</formula>
    </cfRule>
  </conditionalFormatting>
  <conditionalFormatting sqref="V45">
    <cfRule type="cellIs" dxfId="965" priority="13" operator="notEqual">
      <formula>$V$46</formula>
    </cfRule>
    <cfRule type="cellIs" dxfId="964" priority="14" operator="equal">
      <formula>$V$46</formula>
    </cfRule>
  </conditionalFormatting>
  <conditionalFormatting sqref="W45">
    <cfRule type="cellIs" dxfId="963" priority="11" operator="notEqual">
      <formula>$W$46</formula>
    </cfRule>
    <cfRule type="cellIs" dxfId="962" priority="12" operator="equal">
      <formula>$W$46</formula>
    </cfRule>
  </conditionalFormatting>
  <conditionalFormatting sqref="X45">
    <cfRule type="cellIs" dxfId="961" priority="9" operator="notEqual">
      <formula>$X$46</formula>
    </cfRule>
    <cfRule type="cellIs" dxfId="960" priority="10" operator="equal">
      <formula>$X$46</formula>
    </cfRule>
  </conditionalFormatting>
  <conditionalFormatting sqref="Y45">
    <cfRule type="cellIs" dxfId="959" priority="7" operator="notEqual">
      <formula>$Y$46</formula>
    </cfRule>
    <cfRule type="cellIs" dxfId="958" priority="8" operator="equal">
      <formula>$Y$46</formula>
    </cfRule>
  </conditionalFormatting>
  <conditionalFormatting sqref="Z45">
    <cfRule type="cellIs" dxfId="957" priority="5" operator="notEqual">
      <formula>$Z$46</formula>
    </cfRule>
    <cfRule type="cellIs" dxfId="956" priority="6" operator="equal">
      <formula>$Z$46</formula>
    </cfRule>
  </conditionalFormatting>
  <conditionalFormatting sqref="AA45">
    <cfRule type="cellIs" dxfId="955" priority="3" operator="notEqual">
      <formula>$AA$46</formula>
    </cfRule>
    <cfRule type="cellIs" dxfId="954" priority="4" operator="equal">
      <formula>$AA$46</formula>
    </cfRule>
  </conditionalFormatting>
  <conditionalFormatting sqref="AB45">
    <cfRule type="cellIs" dxfId="953" priority="1" operator="notEqual">
      <formula>$AB$46</formula>
    </cfRule>
    <cfRule type="cellIs" dxfId="952" priority="2" operator="equal">
      <formula>$AB$46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1A96F-7865-4EED-BEEB-20DD25EE18C9}">
  <sheetPr codeName="Planilha14"/>
  <dimension ref="A1:AB51"/>
  <sheetViews>
    <sheetView showGridLines="0" topLeftCell="Q37" workbookViewId="0">
      <selection activeCell="AB45" sqref="AB45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4" width="7.85546875" style="9" bestFit="1" customWidth="1"/>
    <col min="15" max="15" width="11.140625" style="9" bestFit="1" customWidth="1"/>
    <col min="16" max="16" width="8.140625" style="9" bestFit="1" customWidth="1"/>
    <col min="17" max="17" width="9.28515625" style="9" bestFit="1" customWidth="1"/>
    <col min="18" max="18" width="15" style="9" bestFit="1" customWidth="1"/>
    <col min="19" max="19" width="10.85546875" style="9" bestFit="1" customWidth="1"/>
    <col min="20" max="20" width="7.85546875" style="9" bestFit="1" customWidth="1"/>
    <col min="21" max="21" width="10.42578125" style="9" bestFit="1" customWidth="1"/>
    <col min="22" max="22" width="7.85546875" style="9" bestFit="1" customWidth="1"/>
    <col min="23" max="23" width="9.28515625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76" t="s">
        <v>68</v>
      </c>
      <c r="B1" s="176" t="s">
        <v>69</v>
      </c>
      <c r="C1" s="176" t="s">
        <v>70</v>
      </c>
      <c r="D1" s="176" t="s">
        <v>71</v>
      </c>
      <c r="E1" s="176" t="s">
        <v>72</v>
      </c>
      <c r="F1" s="176" t="s">
        <v>15</v>
      </c>
      <c r="G1" s="176" t="s">
        <v>74</v>
      </c>
      <c r="H1" s="176" t="s">
        <v>75</v>
      </c>
      <c r="I1" s="176" t="s">
        <v>573</v>
      </c>
      <c r="J1" s="155"/>
      <c r="L1" s="174" t="s">
        <v>594</v>
      </c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4"/>
      <c r="AA1" s="174"/>
      <c r="AB1" s="174"/>
    </row>
    <row r="2" spans="1:28" ht="11.25" customHeight="1" x14ac:dyDescent="0.25">
      <c r="A2" s="176"/>
      <c r="B2" s="176"/>
      <c r="C2" s="176"/>
      <c r="D2" s="176"/>
      <c r="E2" s="176"/>
      <c r="F2" s="176"/>
      <c r="G2" s="176"/>
      <c r="H2" s="176"/>
      <c r="I2" s="176"/>
      <c r="J2" s="155"/>
      <c r="L2" s="174" t="s">
        <v>511</v>
      </c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  <c r="AA2" s="174"/>
      <c r="AB2" s="174"/>
    </row>
    <row r="3" spans="1:28" ht="11.25" customHeight="1" x14ac:dyDescent="0.25">
      <c r="A3" s="176"/>
      <c r="B3" s="176"/>
      <c r="C3" s="176"/>
      <c r="D3" s="176"/>
      <c r="E3" s="176"/>
      <c r="F3" s="176"/>
      <c r="G3" s="176"/>
      <c r="H3" s="176"/>
      <c r="I3" s="176"/>
      <c r="J3" s="155"/>
      <c r="L3" s="174" t="s">
        <v>484</v>
      </c>
      <c r="M3" s="174"/>
      <c r="N3" s="174"/>
      <c r="O3" s="174"/>
      <c r="P3" s="174"/>
      <c r="Q3" s="174"/>
      <c r="R3" s="174" t="s">
        <v>515</v>
      </c>
      <c r="S3" s="174"/>
      <c r="T3" s="174" t="s">
        <v>493</v>
      </c>
      <c r="U3" s="174"/>
      <c r="V3" s="174"/>
      <c r="W3" s="174"/>
      <c r="X3" s="174" t="s">
        <v>503</v>
      </c>
      <c r="Y3" s="174"/>
      <c r="Z3" s="174" t="s">
        <v>506</v>
      </c>
      <c r="AA3" s="174"/>
      <c r="AB3" s="174" t="s">
        <v>492</v>
      </c>
    </row>
    <row r="4" spans="1:28" ht="11.25" customHeight="1" x14ac:dyDescent="0.25">
      <c r="A4" s="176"/>
      <c r="B4" s="176"/>
      <c r="C4" s="176"/>
      <c r="D4" s="176"/>
      <c r="E4" s="176"/>
      <c r="F4" s="176"/>
      <c r="G4" s="176"/>
      <c r="H4" s="176"/>
      <c r="I4" s="176"/>
      <c r="J4" s="155"/>
      <c r="L4" s="70" t="s">
        <v>486</v>
      </c>
      <c r="M4" s="70" t="s">
        <v>512</v>
      </c>
      <c r="N4" s="70" t="s">
        <v>513</v>
      </c>
      <c r="O4" s="70" t="s">
        <v>572</v>
      </c>
      <c r="P4" s="70" t="s">
        <v>514</v>
      </c>
      <c r="Q4" s="70" t="s">
        <v>492</v>
      </c>
      <c r="R4" s="70" t="s">
        <v>516</v>
      </c>
      <c r="S4" s="70" t="s">
        <v>492</v>
      </c>
      <c r="T4" s="70" t="s">
        <v>517</v>
      </c>
      <c r="U4" s="70" t="s">
        <v>518</v>
      </c>
      <c r="V4" s="70" t="s">
        <v>519</v>
      </c>
      <c r="W4" s="70" t="s">
        <v>492</v>
      </c>
      <c r="X4" s="70" t="s">
        <v>504</v>
      </c>
      <c r="Y4" s="70" t="s">
        <v>492</v>
      </c>
      <c r="Z4" s="70" t="s">
        <v>520</v>
      </c>
      <c r="AA4" s="70" t="s">
        <v>492</v>
      </c>
      <c r="AB4" s="175"/>
    </row>
    <row r="5" spans="1:28" ht="11.25" customHeight="1" x14ac:dyDescent="0.25">
      <c r="A5" s="177" t="s">
        <v>38</v>
      </c>
      <c r="B5" s="177" t="s">
        <v>77</v>
      </c>
      <c r="C5" s="177" t="s">
        <v>25</v>
      </c>
      <c r="D5" s="177" t="s">
        <v>25</v>
      </c>
      <c r="E5" s="177" t="s">
        <v>25</v>
      </c>
      <c r="F5" s="177" t="s">
        <v>25</v>
      </c>
      <c r="G5" s="66" t="s">
        <v>79</v>
      </c>
      <c r="H5" s="66" t="s">
        <v>78</v>
      </c>
      <c r="I5" s="66">
        <f>'MERCADO TE'!$U$2</f>
        <v>1223.6420000000003</v>
      </c>
      <c r="J5" s="16"/>
      <c r="L5" s="64">
        <f>'TE BE'!$L$5*'TE BE'!$L$50</f>
        <v>-1.2022774158140397E-7</v>
      </c>
      <c r="M5" s="64">
        <f>'TE BE'!$M$5*'TE BE'!$M$50</f>
        <v>0</v>
      </c>
      <c r="N5" s="64">
        <f>'TE BE'!$N$5*'TE BE'!$N$50</f>
        <v>0</v>
      </c>
      <c r="O5" s="64">
        <f>'TE BE'!$O$5*'TE BE'!$O$50</f>
        <v>-0.69273438015853928</v>
      </c>
      <c r="P5" s="64">
        <f>'TE BE'!$P$5*'TE BE'!$P$50</f>
        <v>0</v>
      </c>
      <c r="Q5" s="64">
        <f>SUM($L$5:$P$5)</f>
        <v>-0.69273450038628082</v>
      </c>
      <c r="R5" s="64">
        <f>'TE BE'!$R$5*'TE BE'!$R$50</f>
        <v>1.6447316822454645</v>
      </c>
      <c r="S5" s="64">
        <f>SUM($R$5:$R$5)</f>
        <v>1.6447316822454645</v>
      </c>
      <c r="T5" s="64">
        <f>'TE BE'!$T$5*'TE BE'!$T$50</f>
        <v>0</v>
      </c>
      <c r="U5" s="64">
        <f>'TE BE'!$U$5*'TE BE'!$U$50</f>
        <v>0</v>
      </c>
      <c r="V5" s="64">
        <f>'TE BE'!$V$5*'TE BE'!$V$50</f>
        <v>0</v>
      </c>
      <c r="W5" s="64">
        <f>SUM($T$5:$V$5)</f>
        <v>0</v>
      </c>
      <c r="X5" s="64">
        <f>'TE BE'!$AB$5*'TE BE'!$X$50</f>
        <v>-82.272278343634838</v>
      </c>
      <c r="Y5" s="64">
        <f>SUM($X$5:$X$5)</f>
        <v>-82.272278343634838</v>
      </c>
      <c r="Z5" s="64">
        <f>'TE BE'!$Z$5*'TE BE'!$Z$50</f>
        <v>0</v>
      </c>
      <c r="AA5" s="64">
        <f>SUM($Z$5:$Z$5)</f>
        <v>0</v>
      </c>
      <c r="AB5" s="64">
        <f>SUMIF($L$4:$AA$4,"SUBTOTAL",$L$5:$AA$5)</f>
        <v>-81.320281161775654</v>
      </c>
    </row>
    <row r="6" spans="1:28" ht="11.25" customHeight="1" x14ac:dyDescent="0.25">
      <c r="A6" s="177"/>
      <c r="B6" s="177"/>
      <c r="C6" s="177"/>
      <c r="D6" s="177"/>
      <c r="E6" s="177"/>
      <c r="F6" s="177"/>
      <c r="G6" s="66" t="s">
        <v>80</v>
      </c>
      <c r="H6" s="66" t="s">
        <v>78</v>
      </c>
      <c r="I6" s="66">
        <f>'MERCADO TE'!$U$3</f>
        <v>15134.961000000001</v>
      </c>
      <c r="J6" s="16"/>
      <c r="L6" s="64">
        <f>'TE BE'!$L$6*'TE BE'!$L$50</f>
        <v>-1.2022774158140397E-7</v>
      </c>
      <c r="M6" s="64">
        <f>'TE BE'!$M$6*'TE BE'!$M$50</f>
        <v>0</v>
      </c>
      <c r="N6" s="64">
        <f>'TE BE'!$N$6*'TE BE'!$N$50</f>
        <v>0</v>
      </c>
      <c r="O6" s="64">
        <f>'TE BE'!$O$6*'TE BE'!$O$50</f>
        <v>-0.69273438015853928</v>
      </c>
      <c r="P6" s="64">
        <f>'TE BE'!$P$6*'TE BE'!$P$50</f>
        <v>0</v>
      </c>
      <c r="Q6" s="64">
        <f>SUM($L$6:$P$6)</f>
        <v>-0.69273450038628082</v>
      </c>
      <c r="R6" s="64">
        <f>'TE BE'!$R$6*'TE BE'!$R$50</f>
        <v>0.95623935014271189</v>
      </c>
      <c r="S6" s="64">
        <f>SUM($R$6:$R$6)</f>
        <v>0.95623935014271189</v>
      </c>
      <c r="T6" s="64">
        <f>'TE BE'!$T$6*'TE BE'!$T$50</f>
        <v>0</v>
      </c>
      <c r="U6" s="64">
        <f>'TE BE'!$U$6*'TE BE'!$U$50</f>
        <v>0</v>
      </c>
      <c r="V6" s="64">
        <f>'TE BE'!$V$6*'TE BE'!$V$50</f>
        <v>0</v>
      </c>
      <c r="W6" s="64">
        <f>SUM($T$6:$V$6)</f>
        <v>0</v>
      </c>
      <c r="X6" s="64">
        <f>'TE BE'!$AB$6*'TE BE'!$X$50</f>
        <v>-48.70184209063234</v>
      </c>
      <c r="Y6" s="64">
        <f>SUM($X$6:$X$6)</f>
        <v>-48.70184209063234</v>
      </c>
      <c r="Z6" s="64">
        <f>'TE BE'!$Z$6*'TE BE'!$Z$50</f>
        <v>0</v>
      </c>
      <c r="AA6" s="64">
        <f>SUM($Z$6:$Z$6)</f>
        <v>0</v>
      </c>
      <c r="AB6" s="64">
        <f>SUMIF($L$4:$AA$4,"SUBTOTAL",$L$6:$AA$6)</f>
        <v>-48.43833724087591</v>
      </c>
    </row>
    <row r="7" spans="1:28" ht="11.25" customHeight="1" x14ac:dyDescent="0.25">
      <c r="A7" s="177"/>
      <c r="B7" s="72" t="s">
        <v>81</v>
      </c>
      <c r="C7" s="72" t="s">
        <v>25</v>
      </c>
      <c r="D7" s="72" t="s">
        <v>25</v>
      </c>
      <c r="E7" s="72" t="s">
        <v>25</v>
      </c>
      <c r="F7" s="72" t="s">
        <v>25</v>
      </c>
      <c r="G7" s="66" t="s">
        <v>82</v>
      </c>
      <c r="H7" s="66" t="s">
        <v>78</v>
      </c>
      <c r="I7" s="66">
        <f>'MERCADO TE'!$U$4</f>
        <v>0</v>
      </c>
      <c r="J7" s="16"/>
      <c r="L7" s="64">
        <f>'TE BE'!$L$7*'TE BE'!$L$50</f>
        <v>-1.2022774158140397E-7</v>
      </c>
      <c r="M7" s="64">
        <f>'TE BE'!$M$7*'TE BE'!$M$50</f>
        <v>0</v>
      </c>
      <c r="N7" s="64">
        <f>'TE BE'!$N$7*'TE BE'!$N$50</f>
        <v>0</v>
      </c>
      <c r="O7" s="64">
        <f>'TE BE'!$O$7*'TE BE'!$O$50</f>
        <v>-0.69273438015853928</v>
      </c>
      <c r="P7" s="64">
        <f>'TE BE'!$P$7*'TE BE'!$P$50</f>
        <v>0</v>
      </c>
      <c r="Q7" s="64">
        <f>SUM($L$7:$P$7)</f>
        <v>-0.69273450038628082</v>
      </c>
      <c r="R7" s="64">
        <f>'TE BE'!$R$7*'TE BE'!$R$50</f>
        <v>1.0136137111512746</v>
      </c>
      <c r="S7" s="64">
        <f>SUM($R$7:$R$7)</f>
        <v>1.0136137111512746</v>
      </c>
      <c r="T7" s="64">
        <f>'TE BE'!$T$7*'TE BE'!$T$50</f>
        <v>0</v>
      </c>
      <c r="U7" s="64">
        <f>'TE BE'!$U$7*'TE BE'!$U$50</f>
        <v>0</v>
      </c>
      <c r="V7" s="64">
        <f>'TE BE'!$V$7*'TE BE'!$V$50</f>
        <v>0</v>
      </c>
      <c r="W7" s="64">
        <f>SUM($T$7:$V$7)</f>
        <v>0</v>
      </c>
      <c r="X7" s="64">
        <f>'TE BE'!$AB$7*'TE BE'!$X$50</f>
        <v>-51.499378445049217</v>
      </c>
      <c r="Y7" s="64">
        <f>SUM($X$7:$X$7)</f>
        <v>-51.499378445049217</v>
      </c>
      <c r="Z7" s="64">
        <f>'TE BE'!$Z$7*'TE BE'!$Z$50</f>
        <v>0</v>
      </c>
      <c r="AA7" s="64">
        <f>SUM($Z$7:$Z$7)</f>
        <v>0</v>
      </c>
      <c r="AB7" s="64">
        <f>SUMIF($L$4:$AA$4,"SUBTOTAL",$L$7:$AA$7)</f>
        <v>-51.178499234284224</v>
      </c>
    </row>
    <row r="8" spans="1:28" ht="11.25" customHeight="1" x14ac:dyDescent="0.25">
      <c r="A8" s="177"/>
      <c r="B8" s="72" t="s">
        <v>87</v>
      </c>
      <c r="C8" s="72" t="s">
        <v>25</v>
      </c>
      <c r="D8" s="72" t="s">
        <v>25</v>
      </c>
      <c r="E8" s="72" t="s">
        <v>88</v>
      </c>
      <c r="F8" s="72" t="s">
        <v>25</v>
      </c>
      <c r="G8" s="66" t="s">
        <v>82</v>
      </c>
      <c r="H8" s="66" t="s">
        <v>78</v>
      </c>
      <c r="I8" s="66">
        <f>'MERCADO TE'!$U$5</f>
        <v>0</v>
      </c>
      <c r="J8" s="16"/>
      <c r="L8" s="64">
        <f>'TE BE'!$L$8*'TE BE'!$L$50</f>
        <v>-1.2022774158140397E-7</v>
      </c>
      <c r="M8" s="64">
        <f>'TE BE'!$M$8*'TE BE'!$M$50</f>
        <v>0</v>
      </c>
      <c r="N8" s="64">
        <f>'TE BE'!$N$8*'TE BE'!$N$50</f>
        <v>0</v>
      </c>
      <c r="O8" s="64">
        <f>'TE BE'!$O$8*'TE BE'!$O$50</f>
        <v>-0.69273438015853928</v>
      </c>
      <c r="P8" s="64">
        <f>'TE BE'!$P$8*'TE BE'!$P$50</f>
        <v>0</v>
      </c>
      <c r="Q8" s="64">
        <f>SUM($L$8:$P$8)</f>
        <v>-0.69273450038628082</v>
      </c>
      <c r="R8" s="64">
        <f>'TE BE'!$R$8*'TE BE'!$R$50</f>
        <v>1.0054354314710434</v>
      </c>
      <c r="S8" s="64">
        <f>SUM($R$8:$R$8)</f>
        <v>1.0054354314710434</v>
      </c>
      <c r="T8" s="64">
        <f>'TE BE'!$T$8*'TE BE'!$T$50</f>
        <v>0</v>
      </c>
      <c r="U8" s="64">
        <f>'TE BE'!$U$8*'TE BE'!$U$50</f>
        <v>0</v>
      </c>
      <c r="V8" s="64">
        <f>'TE BE'!$V$8*'TE BE'!$V$50</f>
        <v>0</v>
      </c>
      <c r="W8" s="64">
        <f>SUM($T$8:$V$8)</f>
        <v>0</v>
      </c>
      <c r="X8" s="64">
        <v>0</v>
      </c>
      <c r="Y8" s="64">
        <f>SUM($X$8:$X$8)</f>
        <v>0</v>
      </c>
      <c r="Z8" s="64">
        <f>'TE BE'!$Z$8*'TE BE'!$Z$50</f>
        <v>0</v>
      </c>
      <c r="AA8" s="64">
        <f>SUM($Z$8:$Z$8)</f>
        <v>0</v>
      </c>
      <c r="AB8" s="64">
        <f>SUMIF($L$4:$AA$4,"SUBTOTAL",$L$8:$AA$8)</f>
        <v>0.3127009310847626</v>
      </c>
    </row>
    <row r="9" spans="1:28" ht="11.25" customHeight="1" x14ac:dyDescent="0.25">
      <c r="A9" s="177" t="s">
        <v>22</v>
      </c>
      <c r="B9" s="177" t="s">
        <v>77</v>
      </c>
      <c r="C9" s="177" t="s">
        <v>24</v>
      </c>
      <c r="D9" s="177" t="s">
        <v>24</v>
      </c>
      <c r="E9" s="177" t="s">
        <v>25</v>
      </c>
      <c r="F9" s="177" t="s">
        <v>25</v>
      </c>
      <c r="G9" s="66" t="s">
        <v>79</v>
      </c>
      <c r="H9" s="66" t="s">
        <v>78</v>
      </c>
      <c r="I9" s="66">
        <f>'MERCADO TE'!$U$6</f>
        <v>2.7580000000000005</v>
      </c>
      <c r="J9" s="16"/>
      <c r="L9" s="64">
        <f>'TE BE'!$L$9*'TE BE'!$L$50</f>
        <v>-1.2022774158140397E-7</v>
      </c>
      <c r="M9" s="64">
        <f>'TE BE'!$M$9*'TE BE'!$M$50</f>
        <v>0</v>
      </c>
      <c r="N9" s="64">
        <f>'TE BE'!$N$9*'TE BE'!$N$50</f>
        <v>0</v>
      </c>
      <c r="O9" s="64">
        <f>'TE BE'!$O$9*'TE BE'!$O$50</f>
        <v>-0.69273438015853928</v>
      </c>
      <c r="P9" s="64">
        <f>'TE BE'!$P$9*'TE BE'!$P$50</f>
        <v>0</v>
      </c>
      <c r="Q9" s="64">
        <f>SUM($L$9:$P$9)</f>
        <v>-0.69273450038628082</v>
      </c>
      <c r="R9" s="64">
        <f>'TE BE'!$R$9*'TE BE'!$R$50</f>
        <v>1.6447316822454645</v>
      </c>
      <c r="S9" s="64">
        <f>SUM($R$9:$R$9)</f>
        <v>1.6447316822454645</v>
      </c>
      <c r="T9" s="64">
        <f>'TE BE'!$T$9*'TE BE'!$T$50</f>
        <v>0</v>
      </c>
      <c r="U9" s="64">
        <f>'TE BE'!$U$9*'TE BE'!$U$50</f>
        <v>0</v>
      </c>
      <c r="V9" s="64">
        <f>'TE BE'!$V$9*'TE BE'!$V$50</f>
        <v>0</v>
      </c>
      <c r="W9" s="64">
        <f>SUM($T$9:$V$9)</f>
        <v>0</v>
      </c>
      <c r="X9" s="64">
        <f>'TE BE'!$AB$9*'TE BE'!$X$50</f>
        <v>-82.272278343634838</v>
      </c>
      <c r="Y9" s="64">
        <f>SUM($X$9:$X$9)</f>
        <v>-82.272278343634838</v>
      </c>
      <c r="Z9" s="64">
        <f>'TE BE'!$Z$9*'TE BE'!$Z$50</f>
        <v>0</v>
      </c>
      <c r="AA9" s="64">
        <f>SUM($Z$9:$Z$9)</f>
        <v>0</v>
      </c>
      <c r="AB9" s="64">
        <f>SUMIF($L$4:$AA$4,"SUBTOTAL",$L$9:$AA$9)</f>
        <v>-81.320281161775654</v>
      </c>
    </row>
    <row r="10" spans="1:28" ht="11.25" customHeight="1" x14ac:dyDescent="0.25">
      <c r="A10" s="177"/>
      <c r="B10" s="177"/>
      <c r="C10" s="177"/>
      <c r="D10" s="177"/>
      <c r="E10" s="177"/>
      <c r="F10" s="177"/>
      <c r="G10" s="66" t="s">
        <v>92</v>
      </c>
      <c r="H10" s="66" t="s">
        <v>78</v>
      </c>
      <c r="I10" s="66">
        <f>'MERCADO TE'!$U$7</f>
        <v>1.9870000000000001</v>
      </c>
      <c r="J10" s="16"/>
      <c r="L10" s="64">
        <f>'TE BE'!$L$10*'TE BE'!$L$50</f>
        <v>-1.2022774158140397E-7</v>
      </c>
      <c r="M10" s="64">
        <f>'TE BE'!$M$10*'TE BE'!$M$50</f>
        <v>0</v>
      </c>
      <c r="N10" s="64">
        <f>'TE BE'!$N$10*'TE BE'!$N$50</f>
        <v>0</v>
      </c>
      <c r="O10" s="64">
        <f>'TE BE'!$O$10*'TE BE'!$O$50</f>
        <v>-0.69273438015853928</v>
      </c>
      <c r="P10" s="64">
        <f>'TE BE'!$P$10*'TE BE'!$P$50</f>
        <v>0</v>
      </c>
      <c r="Q10" s="64">
        <f>SUM($L$10:$P$10)</f>
        <v>-0.69273450038628082</v>
      </c>
      <c r="R10" s="64">
        <f>'TE BE'!$R$10*'TE BE'!$R$50</f>
        <v>0.95623935014271189</v>
      </c>
      <c r="S10" s="64">
        <f>SUM($R$10:$R$10)</f>
        <v>0.95623935014271189</v>
      </c>
      <c r="T10" s="64">
        <f>'TE BE'!$T$10*'TE BE'!$T$50</f>
        <v>0</v>
      </c>
      <c r="U10" s="64">
        <f>'TE BE'!$U$10*'TE BE'!$U$50</f>
        <v>0</v>
      </c>
      <c r="V10" s="64">
        <f>'TE BE'!$V$10*'TE BE'!$V$50</f>
        <v>0</v>
      </c>
      <c r="W10" s="64">
        <f>SUM($T$10:$V$10)</f>
        <v>0</v>
      </c>
      <c r="X10" s="64">
        <f>'TE BE'!$AB$10*'TE BE'!$X$50</f>
        <v>-48.70184209063234</v>
      </c>
      <c r="Y10" s="64">
        <f>SUM($X$10:$X$10)</f>
        <v>-48.70184209063234</v>
      </c>
      <c r="Z10" s="64">
        <f>'TE BE'!$Z$10*'TE BE'!$Z$50</f>
        <v>0</v>
      </c>
      <c r="AA10" s="64">
        <f>SUM($Z$10:$Z$10)</f>
        <v>0</v>
      </c>
      <c r="AB10" s="64">
        <f>SUMIF($L$4:$AA$4,"SUBTOTAL",$L$10:$AA$10)</f>
        <v>-48.43833724087591</v>
      </c>
    </row>
    <row r="11" spans="1:28" ht="11.25" customHeight="1" x14ac:dyDescent="0.25">
      <c r="A11" s="177"/>
      <c r="B11" s="177"/>
      <c r="C11" s="177"/>
      <c r="D11" s="177"/>
      <c r="E11" s="177"/>
      <c r="F11" s="177"/>
      <c r="G11" s="66" t="s">
        <v>80</v>
      </c>
      <c r="H11" s="66" t="s">
        <v>78</v>
      </c>
      <c r="I11" s="66">
        <f>'MERCADO TE'!$U$8</f>
        <v>16.794</v>
      </c>
      <c r="J11" s="16"/>
      <c r="L11" s="64">
        <f>'TE BE'!$L$11*'TE BE'!$L$50</f>
        <v>-1.2022774158140397E-7</v>
      </c>
      <c r="M11" s="64">
        <f>'TE BE'!$M$11*'TE BE'!$M$50</f>
        <v>0</v>
      </c>
      <c r="N11" s="64">
        <f>'TE BE'!$N$11*'TE BE'!$N$50</f>
        <v>0</v>
      </c>
      <c r="O11" s="64">
        <f>'TE BE'!$O$11*'TE BE'!$O$50</f>
        <v>-0.69273438015853928</v>
      </c>
      <c r="P11" s="64">
        <f>'TE BE'!$P$11*'TE BE'!$P$50</f>
        <v>0</v>
      </c>
      <c r="Q11" s="64">
        <f>SUM($L$11:$P$11)</f>
        <v>-0.69273450038628082</v>
      </c>
      <c r="R11" s="64">
        <f>'TE BE'!$R$11*'TE BE'!$R$50</f>
        <v>0.95623935014271189</v>
      </c>
      <c r="S11" s="64">
        <f>SUM($R$11:$R$11)</f>
        <v>0.95623935014271189</v>
      </c>
      <c r="T11" s="64">
        <f>'TE BE'!$T$11*'TE BE'!$T$50</f>
        <v>0</v>
      </c>
      <c r="U11" s="64">
        <f>'TE BE'!$U$11*'TE BE'!$U$50</f>
        <v>0</v>
      </c>
      <c r="V11" s="64">
        <f>'TE BE'!$V$11*'TE BE'!$V$50</f>
        <v>0</v>
      </c>
      <c r="W11" s="64">
        <f>SUM($T$11:$V$11)</f>
        <v>0</v>
      </c>
      <c r="X11" s="64">
        <f>'TE BE'!$AB$11*'TE BE'!$X$50</f>
        <v>-48.70184209063234</v>
      </c>
      <c r="Y11" s="64">
        <f>SUM($X$11:$X$11)</f>
        <v>-48.70184209063234</v>
      </c>
      <c r="Z11" s="64">
        <f>'TE BE'!$Z$11*'TE BE'!$Z$50</f>
        <v>0</v>
      </c>
      <c r="AA11" s="64">
        <f>SUM($Z$11:$Z$11)</f>
        <v>0</v>
      </c>
      <c r="AB11" s="64">
        <f>SUMIF($L$4:$AA$4,"SUBTOTAL",$L$11:$AA$11)</f>
        <v>-48.43833724087591</v>
      </c>
    </row>
    <row r="12" spans="1:28" ht="11.25" customHeight="1" x14ac:dyDescent="0.25">
      <c r="A12" s="177"/>
      <c r="B12" s="177" t="s">
        <v>81</v>
      </c>
      <c r="C12" s="177" t="s">
        <v>24</v>
      </c>
      <c r="D12" s="72" t="s">
        <v>24</v>
      </c>
      <c r="E12" s="72" t="s">
        <v>25</v>
      </c>
      <c r="F12" s="72" t="s">
        <v>25</v>
      </c>
      <c r="G12" s="66" t="s">
        <v>82</v>
      </c>
      <c r="H12" s="66" t="s">
        <v>78</v>
      </c>
      <c r="I12" s="66">
        <f>'MERCADO TE'!$U$9</f>
        <v>38061.052999999993</v>
      </c>
      <c r="J12" s="16"/>
      <c r="L12" s="64">
        <f>'TE BE'!$L$12*'TE BE'!$L$50</f>
        <v>-1.2022774158140397E-7</v>
      </c>
      <c r="M12" s="64">
        <f>'TE BE'!$M$12*'TE BE'!$M$50</f>
        <v>0</v>
      </c>
      <c r="N12" s="64">
        <f>'TE BE'!$N$12*'TE BE'!$N$50</f>
        <v>0</v>
      </c>
      <c r="O12" s="64">
        <f>'TE BE'!$O$12*'TE BE'!$O$50</f>
        <v>-0.69273438015853928</v>
      </c>
      <c r="P12" s="64">
        <f>'TE BE'!$P$12*'TE BE'!$P$50</f>
        <v>0</v>
      </c>
      <c r="Q12" s="64">
        <f>SUM($L$12:$P$12)</f>
        <v>-0.69273450038628082</v>
      </c>
      <c r="R12" s="64">
        <f>'TE BE'!$R$12*'TE BE'!$R$50</f>
        <v>1.0136137111512746</v>
      </c>
      <c r="S12" s="64">
        <f>SUM($R$12:$R$12)</f>
        <v>1.0136137111512746</v>
      </c>
      <c r="T12" s="64">
        <f>'TE BE'!$T$12*'TE BE'!$T$50</f>
        <v>0</v>
      </c>
      <c r="U12" s="64">
        <f>'TE BE'!$U$12*'TE BE'!$U$50</f>
        <v>0</v>
      </c>
      <c r="V12" s="64">
        <f>'TE BE'!$V$12*'TE BE'!$V$50</f>
        <v>0</v>
      </c>
      <c r="W12" s="64">
        <f>SUM($T$12:$V$12)</f>
        <v>0</v>
      </c>
      <c r="X12" s="64">
        <f>'TE BE'!$AB$12*'TE BE'!$X$50</f>
        <v>-51.499378445049217</v>
      </c>
      <c r="Y12" s="64">
        <f>SUM($X$12:$X$12)</f>
        <v>-51.499378445049217</v>
      </c>
      <c r="Z12" s="64">
        <f>'TE BE'!$Z$12*'TE BE'!$Z$50</f>
        <v>0</v>
      </c>
      <c r="AA12" s="64">
        <f>SUM($Z$12:$Z$12)</f>
        <v>0</v>
      </c>
      <c r="AB12" s="64">
        <f>SUMIF($L$4:$AA$4,"SUBTOTAL",$L$12:$AA$12)</f>
        <v>-51.178499234284224</v>
      </c>
    </row>
    <row r="13" spans="1:28" ht="11.25" customHeight="1" x14ac:dyDescent="0.25">
      <c r="A13" s="177"/>
      <c r="B13" s="177"/>
      <c r="C13" s="177"/>
      <c r="D13" s="72" t="s">
        <v>28</v>
      </c>
      <c r="E13" s="72" t="s">
        <v>25</v>
      </c>
      <c r="F13" s="72" t="s">
        <v>25</v>
      </c>
      <c r="G13" s="66" t="s">
        <v>82</v>
      </c>
      <c r="H13" s="66" t="s">
        <v>78</v>
      </c>
      <c r="I13" s="66">
        <f>'MERCADO TE'!$U$10</f>
        <v>264.92899999999997</v>
      </c>
      <c r="J13" s="16"/>
      <c r="L13" s="64">
        <f>'TE BE'!$L$13*'TE BE'!$L$50</f>
        <v>-1.2022774158140397E-7</v>
      </c>
      <c r="M13" s="64">
        <f>'TE BE'!$M$13*'TE BE'!$M$50</f>
        <v>0</v>
      </c>
      <c r="N13" s="64">
        <f>'TE BE'!$N$13*'TE BE'!$N$50</f>
        <v>0</v>
      </c>
      <c r="O13" s="64">
        <f>'TE BE'!$O$13*'TE BE'!$O$50</f>
        <v>-0.69273438015853928</v>
      </c>
      <c r="P13" s="64">
        <f>'TE BE'!$P$13*'TE BE'!$P$50</f>
        <v>0</v>
      </c>
      <c r="Q13" s="64">
        <f>SUM($L$13:$P$13)</f>
        <v>-0.69273450038628082</v>
      </c>
      <c r="R13" s="64">
        <f>'TE BE'!$R$13*'TE BE'!$R$50</f>
        <v>1.0136137111512746</v>
      </c>
      <c r="S13" s="64">
        <f>SUM($R$13:$R$13)</f>
        <v>1.0136137111512746</v>
      </c>
      <c r="T13" s="64">
        <f>'TE BE'!$T$13*'TE BE'!$T$50</f>
        <v>0</v>
      </c>
      <c r="U13" s="64">
        <f>'TE BE'!$U$13*'TE BE'!$U$50</f>
        <v>0</v>
      </c>
      <c r="V13" s="64">
        <f>'TE BE'!$V$13*'TE BE'!$V$50</f>
        <v>0</v>
      </c>
      <c r="W13" s="64">
        <f>SUM($T$13:$V$13)</f>
        <v>0</v>
      </c>
      <c r="X13" s="64">
        <f>'TE BE'!$AB$13*'TE BE'!$X$50</f>
        <v>-51.499378445049217</v>
      </c>
      <c r="Y13" s="64">
        <f>SUM($X$13:$X$13)</f>
        <v>-51.499378445049217</v>
      </c>
      <c r="Z13" s="64">
        <f>'TE BE'!$Z$13*'TE BE'!$Z$50</f>
        <v>0</v>
      </c>
      <c r="AA13" s="64">
        <f>SUM($Z$13:$Z$13)</f>
        <v>0</v>
      </c>
      <c r="AB13" s="64">
        <f>SUMIF($L$4:$AA$4,"SUBTOTAL",$L$13:$AA$13)</f>
        <v>-51.178499234284224</v>
      </c>
    </row>
    <row r="14" spans="1:28" ht="11.25" customHeight="1" x14ac:dyDescent="0.25">
      <c r="A14" s="177"/>
      <c r="B14" s="177"/>
      <c r="C14" s="177"/>
      <c r="D14" s="72" t="s">
        <v>29</v>
      </c>
      <c r="E14" s="72" t="s">
        <v>25</v>
      </c>
      <c r="F14" s="72" t="s">
        <v>25</v>
      </c>
      <c r="G14" s="66" t="s">
        <v>82</v>
      </c>
      <c r="H14" s="66" t="s">
        <v>78</v>
      </c>
      <c r="I14" s="66">
        <f>'MERCADO TE'!$U$11</f>
        <v>546.98300000000006</v>
      </c>
      <c r="J14" s="16"/>
      <c r="L14" s="64">
        <f>'TE BE'!$L$14*'TE BE'!$L$50</f>
        <v>-1.2022774158140397E-7</v>
      </c>
      <c r="M14" s="64">
        <f>'TE BE'!$M$14*'TE BE'!$M$50</f>
        <v>0</v>
      </c>
      <c r="N14" s="64">
        <f>'TE BE'!$N$14*'TE BE'!$N$50</f>
        <v>0</v>
      </c>
      <c r="O14" s="64">
        <f>'TE BE'!$O$14*'TE BE'!$O$50</f>
        <v>-0.69273438015853928</v>
      </c>
      <c r="P14" s="64">
        <f>'TE BE'!$P$14*'TE BE'!$P$50</f>
        <v>0</v>
      </c>
      <c r="Q14" s="64">
        <f>SUM($L$14:$P$14)</f>
        <v>-0.69273450038628082</v>
      </c>
      <c r="R14" s="64">
        <f>'TE BE'!$R$14*'TE BE'!$R$50</f>
        <v>1.0136137111512746</v>
      </c>
      <c r="S14" s="64">
        <f>SUM($R$14:$R$14)</f>
        <v>1.0136137111512746</v>
      </c>
      <c r="T14" s="64">
        <f>'TE BE'!$T$14*'TE BE'!$T$50</f>
        <v>0</v>
      </c>
      <c r="U14" s="64">
        <f>'TE BE'!$U$14*'TE BE'!$U$50</f>
        <v>0</v>
      </c>
      <c r="V14" s="64">
        <f>'TE BE'!$V$14*'TE BE'!$V$50</f>
        <v>0</v>
      </c>
      <c r="W14" s="64">
        <f>SUM($T$14:$V$14)</f>
        <v>0</v>
      </c>
      <c r="X14" s="64">
        <f>'TE BE'!$AB$14*'TE BE'!$X$50</f>
        <v>-51.499378445049217</v>
      </c>
      <c r="Y14" s="64">
        <f>SUM($X$14:$X$14)</f>
        <v>-51.499378445049217</v>
      </c>
      <c r="Z14" s="64">
        <f>'TE BE'!$Z$14*'TE BE'!$Z$50</f>
        <v>0</v>
      </c>
      <c r="AA14" s="64">
        <f>SUM($Z$14:$Z$14)</f>
        <v>0</v>
      </c>
      <c r="AB14" s="64">
        <f>SUMIF($L$4:$AA$4,"SUBTOTAL",$L$14:$AA$14)</f>
        <v>-51.178499234284224</v>
      </c>
    </row>
    <row r="15" spans="1:28" ht="11.25" customHeight="1" x14ac:dyDescent="0.25">
      <c r="A15" s="177"/>
      <c r="B15" s="177"/>
      <c r="C15" s="177"/>
      <c r="D15" s="72" t="s">
        <v>30</v>
      </c>
      <c r="E15" s="72" t="s">
        <v>25</v>
      </c>
      <c r="F15" s="72" t="s">
        <v>25</v>
      </c>
      <c r="G15" s="66" t="s">
        <v>82</v>
      </c>
      <c r="H15" s="66" t="s">
        <v>78</v>
      </c>
      <c r="I15" s="66">
        <f>'MERCADO TE'!$U$12</f>
        <v>480.18299999999999</v>
      </c>
      <c r="J15" s="16"/>
      <c r="L15" s="64">
        <f>'TE BE'!$L$15*'TE BE'!$L$50</f>
        <v>-1.2022774158140397E-7</v>
      </c>
      <c r="M15" s="64">
        <f>'TE BE'!$M$15*'TE BE'!$M$50</f>
        <v>0</v>
      </c>
      <c r="N15" s="64">
        <f>'TE BE'!$N$15*'TE BE'!$N$50</f>
        <v>0</v>
      </c>
      <c r="O15" s="64">
        <f>'TE BE'!$O$15*'TE BE'!$O$50</f>
        <v>-0.69273438015853928</v>
      </c>
      <c r="P15" s="64">
        <f>'TE BE'!$P$15*'TE BE'!$P$50</f>
        <v>0</v>
      </c>
      <c r="Q15" s="64">
        <f>SUM($L$15:$P$15)</f>
        <v>-0.69273450038628082</v>
      </c>
      <c r="R15" s="64">
        <f>'TE BE'!$R$15*'TE BE'!$R$50</f>
        <v>1.0136137111512746</v>
      </c>
      <c r="S15" s="64">
        <f>SUM($R$15:$R$15)</f>
        <v>1.0136137111512746</v>
      </c>
      <c r="T15" s="64">
        <f>'TE BE'!$T$15*'TE BE'!$T$50</f>
        <v>0</v>
      </c>
      <c r="U15" s="64">
        <f>'TE BE'!$U$15*'TE BE'!$U$50</f>
        <v>0</v>
      </c>
      <c r="V15" s="64">
        <f>'TE BE'!$V$15*'TE BE'!$V$50</f>
        <v>0</v>
      </c>
      <c r="W15" s="64">
        <f>SUM($T$15:$V$15)</f>
        <v>0</v>
      </c>
      <c r="X15" s="64">
        <f>'TE BE'!$AB$15*'TE BE'!$X$50</f>
        <v>-51.499378445049217</v>
      </c>
      <c r="Y15" s="64">
        <f>SUM($X$15:$X$15)</f>
        <v>-51.499378445049217</v>
      </c>
      <c r="Z15" s="64">
        <f>'TE BE'!$Z$15*'TE BE'!$Z$50</f>
        <v>0</v>
      </c>
      <c r="AA15" s="64">
        <f>SUM($Z$15:$Z$15)</f>
        <v>0</v>
      </c>
      <c r="AB15" s="64">
        <f>SUMIF($L$4:$AA$4,"SUBTOTAL",$L$15:$AA$15)</f>
        <v>-51.178499234284224</v>
      </c>
    </row>
    <row r="16" spans="1:28" ht="11.25" customHeight="1" x14ac:dyDescent="0.25">
      <c r="A16" s="177"/>
      <c r="B16" s="177"/>
      <c r="C16" s="177"/>
      <c r="D16" s="72" t="s">
        <v>31</v>
      </c>
      <c r="E16" s="72" t="s">
        <v>25</v>
      </c>
      <c r="F16" s="72" t="s">
        <v>25</v>
      </c>
      <c r="G16" s="66" t="s">
        <v>82</v>
      </c>
      <c r="H16" s="66" t="s">
        <v>78</v>
      </c>
      <c r="I16" s="66">
        <f>'MERCADO TE'!$U$13</f>
        <v>145.91099999999997</v>
      </c>
      <c r="J16" s="16"/>
      <c r="L16" s="64">
        <f>'TE BE'!$L$16*'TE BE'!$L$50</f>
        <v>-1.2022774158140397E-7</v>
      </c>
      <c r="M16" s="64">
        <f>'TE BE'!$M$16*'TE BE'!$M$50</f>
        <v>0</v>
      </c>
      <c r="N16" s="64">
        <f>'TE BE'!$N$16*'TE BE'!$N$50</f>
        <v>0</v>
      </c>
      <c r="O16" s="64">
        <f>'TE BE'!$O$16*'TE BE'!$O$50</f>
        <v>-0.69273438015853928</v>
      </c>
      <c r="P16" s="64">
        <f>'TE BE'!$P$16*'TE BE'!$P$50</f>
        <v>0</v>
      </c>
      <c r="Q16" s="64">
        <f>SUM($L$16:$P$16)</f>
        <v>-0.69273450038628082</v>
      </c>
      <c r="R16" s="64">
        <f>'TE BE'!$R$16*'TE BE'!$R$50</f>
        <v>1.0136137111512746</v>
      </c>
      <c r="S16" s="64">
        <f>SUM($R$16:$R$16)</f>
        <v>1.0136137111512746</v>
      </c>
      <c r="T16" s="64">
        <f>'TE BE'!$T$16*'TE BE'!$T$50</f>
        <v>0</v>
      </c>
      <c r="U16" s="64">
        <f>'TE BE'!$U$16*'TE BE'!$U$50</f>
        <v>0</v>
      </c>
      <c r="V16" s="64">
        <f>'TE BE'!$V$16*'TE BE'!$V$50</f>
        <v>0</v>
      </c>
      <c r="W16" s="64">
        <f>SUM($T$16:$V$16)</f>
        <v>0</v>
      </c>
      <c r="X16" s="64">
        <f>'TE BE'!$AB$16*'TE BE'!$X$50</f>
        <v>-51.499378445049217</v>
      </c>
      <c r="Y16" s="64">
        <f>SUM($X$16:$X$16)</f>
        <v>-51.499378445049217</v>
      </c>
      <c r="Z16" s="64">
        <f>'TE BE'!$Z$16*'TE BE'!$Z$50</f>
        <v>0</v>
      </c>
      <c r="AA16" s="64">
        <f>SUM($Z$16:$Z$16)</f>
        <v>0</v>
      </c>
      <c r="AB16" s="64">
        <f>SUMIF($L$4:$AA$4,"SUBTOTAL",$L$16:$AA$16)</f>
        <v>-51.178499234284224</v>
      </c>
    </row>
    <row r="17" spans="1:28" ht="11.25" customHeight="1" x14ac:dyDescent="0.25">
      <c r="A17" s="177"/>
      <c r="B17" s="177" t="s">
        <v>93</v>
      </c>
      <c r="C17" s="177" t="s">
        <v>24</v>
      </c>
      <c r="D17" s="72" t="s">
        <v>24</v>
      </c>
      <c r="E17" s="72" t="s">
        <v>25</v>
      </c>
      <c r="F17" s="72" t="s">
        <v>25</v>
      </c>
      <c r="G17" s="66" t="s">
        <v>82</v>
      </c>
      <c r="H17" s="66" t="s">
        <v>78</v>
      </c>
      <c r="I17" s="66">
        <f>'MERCADO TE'!$U$14</f>
        <v>0</v>
      </c>
      <c r="J17" s="16"/>
      <c r="L17" s="64">
        <f>'TE BE'!$L$17*'TE BE'!$L$50</f>
        <v>-1.2022774158140397E-7</v>
      </c>
      <c r="M17" s="64">
        <f>'TE BE'!$M$17*'TE BE'!$M$50</f>
        <v>0</v>
      </c>
      <c r="N17" s="64">
        <f>'TE BE'!$N$17*'TE BE'!$N$50</f>
        <v>0</v>
      </c>
      <c r="O17" s="64">
        <f>'TE BE'!$O$17*'TE BE'!$O$50</f>
        <v>-0.69273438015853928</v>
      </c>
      <c r="P17" s="64">
        <f>'TE BE'!$P$17*'TE BE'!$P$50</f>
        <v>0</v>
      </c>
      <c r="Q17" s="64">
        <f>SUM($L$17:$P$17)</f>
        <v>-0.69273450038628082</v>
      </c>
      <c r="R17" s="64">
        <f>'TE BE'!$R$17*'TE BE'!$R$50</f>
        <v>1.0136137111512746</v>
      </c>
      <c r="S17" s="64">
        <f>SUM($R$17:$R$17)</f>
        <v>1.0136137111512746</v>
      </c>
      <c r="T17" s="64">
        <f>'TE BE'!$T$17*'TE BE'!$T$50</f>
        <v>0</v>
      </c>
      <c r="U17" s="64">
        <f>'TE BE'!$U$17*'TE BE'!$U$50</f>
        <v>0</v>
      </c>
      <c r="V17" s="64">
        <f>'TE BE'!$V$17*'TE BE'!$V$50</f>
        <v>0</v>
      </c>
      <c r="W17" s="64">
        <f>SUM($T$17:$V$17)</f>
        <v>0</v>
      </c>
      <c r="X17" s="64">
        <f>'TE BE'!$AB$17*'TE BE'!$X$50</f>
        <v>-51.499378445049217</v>
      </c>
      <c r="Y17" s="64">
        <f>SUM($X$17:$X$17)</f>
        <v>-51.499378445049217</v>
      </c>
      <c r="Z17" s="64">
        <f>'TE BE'!$Z$17*'TE BE'!$Z$50</f>
        <v>0</v>
      </c>
      <c r="AA17" s="64">
        <f>SUM($Z$17:$Z$17)</f>
        <v>0</v>
      </c>
      <c r="AB17" s="64">
        <f>SUMIF($L$4:$AA$4,"SUBTOTAL",$L$17:$AA$17)</f>
        <v>-51.178499234284224</v>
      </c>
    </row>
    <row r="18" spans="1:28" ht="11.25" customHeight="1" x14ac:dyDescent="0.25">
      <c r="A18" s="177"/>
      <c r="B18" s="177"/>
      <c r="C18" s="177"/>
      <c r="D18" s="72" t="s">
        <v>28</v>
      </c>
      <c r="E18" s="72" t="s">
        <v>25</v>
      </c>
      <c r="F18" s="72" t="s">
        <v>25</v>
      </c>
      <c r="G18" s="66" t="s">
        <v>82</v>
      </c>
      <c r="H18" s="66" t="s">
        <v>78</v>
      </c>
      <c r="I18" s="66">
        <f>'MERCADO TE'!$U$15</f>
        <v>0</v>
      </c>
      <c r="J18" s="16"/>
      <c r="L18" s="64">
        <f>'TE BE'!$L$18*'TE BE'!$L$50</f>
        <v>-1.2022774158140397E-7</v>
      </c>
      <c r="M18" s="64">
        <f>'TE BE'!$M$18*'TE BE'!$M$50</f>
        <v>0</v>
      </c>
      <c r="N18" s="64">
        <f>'TE BE'!$N$18*'TE BE'!$N$50</f>
        <v>0</v>
      </c>
      <c r="O18" s="64">
        <f>'TE BE'!$O$18*'TE BE'!$O$50</f>
        <v>-0.69273438015853928</v>
      </c>
      <c r="P18" s="64">
        <f>'TE BE'!$P$18*'TE BE'!$P$50</f>
        <v>0</v>
      </c>
      <c r="Q18" s="64">
        <f>SUM($L$18:$P$18)</f>
        <v>-0.69273450038628082</v>
      </c>
      <c r="R18" s="64">
        <f>'TE BE'!$R$18*'TE BE'!$R$50</f>
        <v>1.0136137111512746</v>
      </c>
      <c r="S18" s="64">
        <f>SUM($R$18:$R$18)</f>
        <v>1.0136137111512746</v>
      </c>
      <c r="T18" s="64">
        <f>'TE BE'!$T$18*'TE BE'!$T$50</f>
        <v>0</v>
      </c>
      <c r="U18" s="64">
        <f>'TE BE'!$U$18*'TE BE'!$U$50</f>
        <v>0</v>
      </c>
      <c r="V18" s="64">
        <f>'TE BE'!$V$18*'TE BE'!$V$50</f>
        <v>0</v>
      </c>
      <c r="W18" s="64">
        <f>SUM($T$18:$V$18)</f>
        <v>0</v>
      </c>
      <c r="X18" s="64">
        <f>'TE BE'!$AB$18*'TE BE'!$X$50</f>
        <v>-51.499378445049217</v>
      </c>
      <c r="Y18" s="64">
        <f>SUM($X$18:$X$18)</f>
        <v>-51.499378445049217</v>
      </c>
      <c r="Z18" s="64">
        <f>'TE BE'!$Z$18*'TE BE'!$Z$50</f>
        <v>0</v>
      </c>
      <c r="AA18" s="64">
        <f>SUM($Z$18:$Z$18)</f>
        <v>0</v>
      </c>
      <c r="AB18" s="64">
        <f>SUMIF($L$4:$AA$4,"SUBTOTAL",$L$18:$AA$18)</f>
        <v>-51.178499234284224</v>
      </c>
    </row>
    <row r="19" spans="1:28" ht="11.25" customHeight="1" x14ac:dyDescent="0.25">
      <c r="A19" s="177"/>
      <c r="B19" s="177"/>
      <c r="C19" s="177"/>
      <c r="D19" s="72" t="s">
        <v>29</v>
      </c>
      <c r="E19" s="72" t="s">
        <v>25</v>
      </c>
      <c r="F19" s="72" t="s">
        <v>25</v>
      </c>
      <c r="G19" s="66" t="s">
        <v>82</v>
      </c>
      <c r="H19" s="66" t="s">
        <v>78</v>
      </c>
      <c r="I19" s="66">
        <f>'MERCADO TE'!$U$16</f>
        <v>0</v>
      </c>
      <c r="J19" s="16"/>
      <c r="L19" s="64">
        <f>'TE BE'!$L$19*'TE BE'!$L$50</f>
        <v>-1.2022774158140397E-7</v>
      </c>
      <c r="M19" s="64">
        <f>'TE BE'!$M$19*'TE BE'!$M$50</f>
        <v>0</v>
      </c>
      <c r="N19" s="64">
        <f>'TE BE'!$N$19*'TE BE'!$N$50</f>
        <v>0</v>
      </c>
      <c r="O19" s="64">
        <f>'TE BE'!$O$19*'TE BE'!$O$50</f>
        <v>-0.69273438015853928</v>
      </c>
      <c r="P19" s="64">
        <f>'TE BE'!$P$19*'TE BE'!$P$50</f>
        <v>0</v>
      </c>
      <c r="Q19" s="64">
        <f>SUM($L$19:$P$19)</f>
        <v>-0.69273450038628082</v>
      </c>
      <c r="R19" s="64">
        <f>'TE BE'!$R$19*'TE BE'!$R$50</f>
        <v>1.0136137111512746</v>
      </c>
      <c r="S19" s="64">
        <f>SUM($R$19:$R$19)</f>
        <v>1.0136137111512746</v>
      </c>
      <c r="T19" s="64">
        <f>'TE BE'!$T$19*'TE BE'!$T$50</f>
        <v>0</v>
      </c>
      <c r="U19" s="64">
        <f>'TE BE'!$U$19*'TE BE'!$U$50</f>
        <v>0</v>
      </c>
      <c r="V19" s="64">
        <f>'TE BE'!$V$19*'TE BE'!$V$50</f>
        <v>0</v>
      </c>
      <c r="W19" s="64">
        <f>SUM($T$19:$V$19)</f>
        <v>0</v>
      </c>
      <c r="X19" s="64">
        <f>'TE BE'!$AB$19*'TE BE'!$X$50</f>
        <v>-51.499378445049217</v>
      </c>
      <c r="Y19" s="64">
        <f>SUM($X$19:$X$19)</f>
        <v>-51.499378445049217</v>
      </c>
      <c r="Z19" s="64">
        <f>'TE BE'!$Z$19*'TE BE'!$Z$50</f>
        <v>0</v>
      </c>
      <c r="AA19" s="64">
        <f>SUM($Z$19:$Z$19)</f>
        <v>0</v>
      </c>
      <c r="AB19" s="64">
        <f>SUMIF($L$4:$AA$4,"SUBTOTAL",$L$19:$AA$19)</f>
        <v>-51.178499234284224</v>
      </c>
    </row>
    <row r="20" spans="1:28" ht="11.25" customHeight="1" x14ac:dyDescent="0.25">
      <c r="A20" s="177"/>
      <c r="B20" s="177"/>
      <c r="C20" s="177"/>
      <c r="D20" s="72" t="s">
        <v>30</v>
      </c>
      <c r="E20" s="72" t="s">
        <v>25</v>
      </c>
      <c r="F20" s="72" t="s">
        <v>25</v>
      </c>
      <c r="G20" s="66" t="s">
        <v>82</v>
      </c>
      <c r="H20" s="66" t="s">
        <v>78</v>
      </c>
      <c r="I20" s="66">
        <f>'MERCADO TE'!$U$17</f>
        <v>0</v>
      </c>
      <c r="J20" s="16"/>
      <c r="L20" s="64">
        <f>'TE BE'!$L$20*'TE BE'!$L$50</f>
        <v>-1.2022774158140397E-7</v>
      </c>
      <c r="M20" s="64">
        <f>'TE BE'!$M$20*'TE BE'!$M$50</f>
        <v>0</v>
      </c>
      <c r="N20" s="64">
        <f>'TE BE'!$N$20*'TE BE'!$N$50</f>
        <v>0</v>
      </c>
      <c r="O20" s="64">
        <f>'TE BE'!$O$20*'TE BE'!$O$50</f>
        <v>-0.69273438015853928</v>
      </c>
      <c r="P20" s="64">
        <f>'TE BE'!$P$20*'TE BE'!$P$50</f>
        <v>0</v>
      </c>
      <c r="Q20" s="64">
        <f>SUM($L$20:$P$20)</f>
        <v>-0.69273450038628082</v>
      </c>
      <c r="R20" s="64">
        <f>'TE BE'!$R$20*'TE BE'!$R$50</f>
        <v>1.0136137111512746</v>
      </c>
      <c r="S20" s="64">
        <f>SUM($R$20:$R$20)</f>
        <v>1.0136137111512746</v>
      </c>
      <c r="T20" s="64">
        <f>'TE BE'!$T$20*'TE BE'!$T$50</f>
        <v>0</v>
      </c>
      <c r="U20" s="64">
        <f>'TE BE'!$U$20*'TE BE'!$U$50</f>
        <v>0</v>
      </c>
      <c r="V20" s="64">
        <f>'TE BE'!$V$20*'TE BE'!$V$50</f>
        <v>0</v>
      </c>
      <c r="W20" s="64">
        <f>SUM($T$20:$V$20)</f>
        <v>0</v>
      </c>
      <c r="X20" s="64">
        <f>'TE BE'!$AB$20*'TE BE'!$X$50</f>
        <v>-51.499378445049217</v>
      </c>
      <c r="Y20" s="64">
        <f>SUM($X$20:$X$20)</f>
        <v>-51.499378445049217</v>
      </c>
      <c r="Z20" s="64">
        <f>'TE BE'!$Z$20*'TE BE'!$Z$50</f>
        <v>0</v>
      </c>
      <c r="AA20" s="64">
        <f>SUM($Z$20:$Z$20)</f>
        <v>0</v>
      </c>
      <c r="AB20" s="64">
        <f>SUMIF($L$4:$AA$4,"SUBTOTAL",$L$20:$AA$20)</f>
        <v>-51.178499234284224</v>
      </c>
    </row>
    <row r="21" spans="1:28" ht="11.25" customHeight="1" x14ac:dyDescent="0.25">
      <c r="A21" s="177"/>
      <c r="B21" s="177"/>
      <c r="C21" s="177"/>
      <c r="D21" s="72" t="s">
        <v>31</v>
      </c>
      <c r="E21" s="72" t="s">
        <v>25</v>
      </c>
      <c r="F21" s="72" t="s">
        <v>25</v>
      </c>
      <c r="G21" s="66" t="s">
        <v>82</v>
      </c>
      <c r="H21" s="66" t="s">
        <v>78</v>
      </c>
      <c r="I21" s="66">
        <f>'MERCADO TE'!$U$18</f>
        <v>0</v>
      </c>
      <c r="J21" s="16"/>
      <c r="L21" s="64">
        <f>'TE BE'!$L$21*'TE BE'!$L$50</f>
        <v>-1.2022774158140397E-7</v>
      </c>
      <c r="M21" s="64">
        <f>'TE BE'!$M$21*'TE BE'!$M$50</f>
        <v>0</v>
      </c>
      <c r="N21" s="64">
        <f>'TE BE'!$N$21*'TE BE'!$N$50</f>
        <v>0</v>
      </c>
      <c r="O21" s="64">
        <f>'TE BE'!$O$21*'TE BE'!$O$50</f>
        <v>-0.69273438015853928</v>
      </c>
      <c r="P21" s="64">
        <f>'TE BE'!$P$21*'TE BE'!$P$50</f>
        <v>0</v>
      </c>
      <c r="Q21" s="64">
        <f>SUM($L$21:$P$21)</f>
        <v>-0.69273450038628082</v>
      </c>
      <c r="R21" s="64">
        <f>'TE BE'!$R$21*'TE BE'!$R$50</f>
        <v>1.0136137111512746</v>
      </c>
      <c r="S21" s="64">
        <f>SUM($R$21:$R$21)</f>
        <v>1.0136137111512746</v>
      </c>
      <c r="T21" s="64">
        <f>'TE BE'!$T$21*'TE BE'!$T$50</f>
        <v>0</v>
      </c>
      <c r="U21" s="64">
        <f>'TE BE'!$U$21*'TE BE'!$U$50</f>
        <v>0</v>
      </c>
      <c r="V21" s="64">
        <f>'TE BE'!$V$21*'TE BE'!$V$50</f>
        <v>0</v>
      </c>
      <c r="W21" s="64">
        <f>SUM($T$21:$V$21)</f>
        <v>0</v>
      </c>
      <c r="X21" s="64">
        <f>'TE BE'!$AB$21*'TE BE'!$X$50</f>
        <v>-51.499378445049217</v>
      </c>
      <c r="Y21" s="64">
        <f>SUM($X$21:$X$21)</f>
        <v>-51.499378445049217</v>
      </c>
      <c r="Z21" s="64">
        <f>'TE BE'!$Z$21*'TE BE'!$Z$50</f>
        <v>0</v>
      </c>
      <c r="AA21" s="64">
        <f>SUM($Z$21:$Z$21)</f>
        <v>0</v>
      </c>
      <c r="AB21" s="64">
        <f>SUMIF($L$4:$AA$4,"SUBTOTAL",$L$21:$AA$21)</f>
        <v>-51.178499234284224</v>
      </c>
    </row>
    <row r="22" spans="1:28" ht="11.25" customHeight="1" x14ac:dyDescent="0.25">
      <c r="A22" s="177" t="s">
        <v>42</v>
      </c>
      <c r="B22" s="177" t="s">
        <v>77</v>
      </c>
      <c r="C22" s="177" t="s">
        <v>43</v>
      </c>
      <c r="D22" s="177" t="s">
        <v>25</v>
      </c>
      <c r="E22" s="177" t="s">
        <v>25</v>
      </c>
      <c r="F22" s="177" t="s">
        <v>25</v>
      </c>
      <c r="G22" s="66" t="s">
        <v>79</v>
      </c>
      <c r="H22" s="66" t="s">
        <v>78</v>
      </c>
      <c r="I22" s="66">
        <f>'MERCADO TE'!$U$19</f>
        <v>0</v>
      </c>
      <c r="J22" s="16"/>
      <c r="L22" s="64">
        <f>'TE BE'!$L$22*'TE BE'!$L$50</f>
        <v>-1.2022774158140397E-7</v>
      </c>
      <c r="M22" s="64">
        <f>'TE BE'!$M$22*'TE BE'!$M$50</f>
        <v>0</v>
      </c>
      <c r="N22" s="64">
        <f>'TE BE'!$N$22*'TE BE'!$N$50</f>
        <v>0</v>
      </c>
      <c r="O22" s="64">
        <f>'TE BE'!$O$22*'TE BE'!$O$50</f>
        <v>-0.69273438015853928</v>
      </c>
      <c r="P22" s="64">
        <f>'TE BE'!$P$22*'TE BE'!$P$50</f>
        <v>0</v>
      </c>
      <c r="Q22" s="64">
        <f>SUM($L$22:$P$22)</f>
        <v>-0.69273450038628082</v>
      </c>
      <c r="R22" s="64">
        <f>'TE BE'!$R$22*'TE BE'!$R$50</f>
        <v>1.6447316822454645</v>
      </c>
      <c r="S22" s="64">
        <f>SUM($R$22:$R$22)</f>
        <v>1.6447316822454645</v>
      </c>
      <c r="T22" s="64">
        <f>'TE BE'!$T$22*'TE BE'!$T$50</f>
        <v>0</v>
      </c>
      <c r="U22" s="64">
        <f>'TE BE'!$U$22*'TE BE'!$U$50</f>
        <v>0</v>
      </c>
      <c r="V22" s="64">
        <f>'TE BE'!$V$22*'TE BE'!$V$50</f>
        <v>0</v>
      </c>
      <c r="W22" s="64">
        <f>SUM($T$22:$V$22)</f>
        <v>0</v>
      </c>
      <c r="X22" s="64">
        <f>'TE BE'!$AB$22*'TE BE'!$X$50</f>
        <v>-82.272278343634838</v>
      </c>
      <c r="Y22" s="64">
        <f>SUM($X$22:$X$22)</f>
        <v>-82.272278343634838</v>
      </c>
      <c r="Z22" s="64">
        <f>'TE BE'!$Z$22*'TE BE'!$Z$50</f>
        <v>0</v>
      </c>
      <c r="AA22" s="64">
        <f>SUM($Z$22:$Z$22)</f>
        <v>0</v>
      </c>
      <c r="AB22" s="64">
        <f>SUMIF($L$4:$AA$4,"SUBTOTAL",$L$22:$AA$22)</f>
        <v>-81.320281161775654</v>
      </c>
    </row>
    <row r="23" spans="1:28" ht="11.25" customHeight="1" x14ac:dyDescent="0.25">
      <c r="A23" s="177"/>
      <c r="B23" s="177"/>
      <c r="C23" s="177"/>
      <c r="D23" s="177"/>
      <c r="E23" s="177"/>
      <c r="F23" s="177"/>
      <c r="G23" s="66" t="s">
        <v>92</v>
      </c>
      <c r="H23" s="66" t="s">
        <v>78</v>
      </c>
      <c r="I23" s="66">
        <f>'MERCADO TE'!$U$20</f>
        <v>0</v>
      </c>
      <c r="J23" s="16"/>
      <c r="L23" s="64">
        <f>'TE BE'!$L$23*'TE BE'!$L$50</f>
        <v>-1.2022774158140397E-7</v>
      </c>
      <c r="M23" s="64">
        <f>'TE BE'!$M$23*'TE BE'!$M$50</f>
        <v>0</v>
      </c>
      <c r="N23" s="64">
        <f>'TE BE'!$N$23*'TE BE'!$N$50</f>
        <v>0</v>
      </c>
      <c r="O23" s="64">
        <f>'TE BE'!$O$23*'TE BE'!$O$50</f>
        <v>-0.69273438015853928</v>
      </c>
      <c r="P23" s="64">
        <f>'TE BE'!$P$23*'TE BE'!$P$50</f>
        <v>0</v>
      </c>
      <c r="Q23" s="64">
        <f>SUM($L$23:$P$23)</f>
        <v>-0.69273450038628082</v>
      </c>
      <c r="R23" s="64">
        <f>'TE BE'!$R$23*'TE BE'!$R$50</f>
        <v>0.95623935014271189</v>
      </c>
      <c r="S23" s="64">
        <f>SUM($R$23:$R$23)</f>
        <v>0.95623935014271189</v>
      </c>
      <c r="T23" s="64">
        <f>'TE BE'!$T$23*'TE BE'!$T$50</f>
        <v>0</v>
      </c>
      <c r="U23" s="64">
        <f>'TE BE'!$U$23*'TE BE'!$U$50</f>
        <v>0</v>
      </c>
      <c r="V23" s="64">
        <f>'TE BE'!$V$23*'TE BE'!$V$50</f>
        <v>0</v>
      </c>
      <c r="W23" s="64">
        <f>SUM($T$23:$V$23)</f>
        <v>0</v>
      </c>
      <c r="X23" s="64">
        <f>'TE BE'!$AB$23*'TE BE'!$X$50</f>
        <v>-48.70184209063234</v>
      </c>
      <c r="Y23" s="64">
        <f>SUM($X$23:$X$23)</f>
        <v>-48.70184209063234</v>
      </c>
      <c r="Z23" s="64">
        <f>'TE BE'!$Z$23*'TE BE'!$Z$50</f>
        <v>0</v>
      </c>
      <c r="AA23" s="64">
        <f>SUM($Z$23:$Z$23)</f>
        <v>0</v>
      </c>
      <c r="AB23" s="64">
        <f>SUMIF($L$4:$AA$4,"SUBTOTAL",$L$23:$AA$23)</f>
        <v>-48.43833724087591</v>
      </c>
    </row>
    <row r="24" spans="1:28" ht="11.25" customHeight="1" x14ac:dyDescent="0.25">
      <c r="A24" s="177"/>
      <c r="B24" s="177"/>
      <c r="C24" s="177"/>
      <c r="D24" s="177"/>
      <c r="E24" s="177"/>
      <c r="F24" s="177"/>
      <c r="G24" s="66" t="s">
        <v>80</v>
      </c>
      <c r="H24" s="66" t="s">
        <v>78</v>
      </c>
      <c r="I24" s="66">
        <f>'MERCADO TE'!$U$21</f>
        <v>0</v>
      </c>
      <c r="J24" s="16"/>
      <c r="L24" s="64">
        <f>'TE BE'!$L$24*'TE BE'!$L$50</f>
        <v>-1.2022774158140397E-7</v>
      </c>
      <c r="M24" s="64">
        <f>'TE BE'!$M$24*'TE BE'!$M$50</f>
        <v>0</v>
      </c>
      <c r="N24" s="64">
        <f>'TE BE'!$N$24*'TE BE'!$N$50</f>
        <v>0</v>
      </c>
      <c r="O24" s="64">
        <f>'TE BE'!$O$24*'TE BE'!$O$50</f>
        <v>-0.69273438015853928</v>
      </c>
      <c r="P24" s="64">
        <f>'TE BE'!$P$24*'TE BE'!$P$50</f>
        <v>0</v>
      </c>
      <c r="Q24" s="64">
        <f>SUM($L$24:$P$24)</f>
        <v>-0.69273450038628082</v>
      </c>
      <c r="R24" s="64">
        <f>'TE BE'!$R$24*'TE BE'!$R$50</f>
        <v>0.95623935014271189</v>
      </c>
      <c r="S24" s="64">
        <f>SUM($R$24:$R$24)</f>
        <v>0.95623935014271189</v>
      </c>
      <c r="T24" s="64">
        <f>'TE BE'!$T$24*'TE BE'!$T$50</f>
        <v>0</v>
      </c>
      <c r="U24" s="64">
        <f>'TE BE'!$U$24*'TE BE'!$U$50</f>
        <v>0</v>
      </c>
      <c r="V24" s="64">
        <f>'TE BE'!$V$24*'TE BE'!$V$50</f>
        <v>0</v>
      </c>
      <c r="W24" s="64">
        <f>SUM($T$24:$V$24)</f>
        <v>0</v>
      </c>
      <c r="X24" s="64">
        <f>'TE BE'!$AB$24*'TE BE'!$X$50</f>
        <v>-48.70184209063234</v>
      </c>
      <c r="Y24" s="64">
        <f>SUM($X$24:$X$24)</f>
        <v>-48.70184209063234</v>
      </c>
      <c r="Z24" s="64">
        <f>'TE BE'!$Z$24*'TE BE'!$Z$50</f>
        <v>0</v>
      </c>
      <c r="AA24" s="64">
        <f>SUM($Z$24:$Z$24)</f>
        <v>0</v>
      </c>
      <c r="AB24" s="64">
        <f>SUMIF($L$4:$AA$4,"SUBTOTAL",$L$24:$AA$24)</f>
        <v>-48.43833724087591</v>
      </c>
    </row>
    <row r="25" spans="1:28" ht="11.25" customHeight="1" x14ac:dyDescent="0.25">
      <c r="A25" s="177"/>
      <c r="B25" s="72" t="s">
        <v>81</v>
      </c>
      <c r="C25" s="72" t="s">
        <v>43</v>
      </c>
      <c r="D25" s="72" t="s">
        <v>25</v>
      </c>
      <c r="E25" s="72" t="s">
        <v>25</v>
      </c>
      <c r="F25" s="72" t="s">
        <v>25</v>
      </c>
      <c r="G25" s="66" t="s">
        <v>82</v>
      </c>
      <c r="H25" s="66" t="s">
        <v>78</v>
      </c>
      <c r="I25" s="66">
        <f>'MERCADO TE'!$U$22</f>
        <v>1694.7730000000001</v>
      </c>
      <c r="J25" s="16"/>
      <c r="L25" s="64">
        <f>'TE BE'!$L$25*'TE BE'!$L$50</f>
        <v>-1.2022774158140397E-7</v>
      </c>
      <c r="M25" s="64">
        <f>'TE BE'!$M$25*'TE BE'!$M$50</f>
        <v>0</v>
      </c>
      <c r="N25" s="64">
        <f>'TE BE'!$N$25*'TE BE'!$N$50</f>
        <v>0</v>
      </c>
      <c r="O25" s="64">
        <f>'TE BE'!$O$25*'TE BE'!$O$50</f>
        <v>-0.69273438015853928</v>
      </c>
      <c r="P25" s="64">
        <f>'TE BE'!$P$25*'TE BE'!$P$50</f>
        <v>0</v>
      </c>
      <c r="Q25" s="64">
        <f>SUM($L$25:$P$25)</f>
        <v>-0.69273450038628082</v>
      </c>
      <c r="R25" s="64">
        <f>'TE BE'!$R$25*'TE BE'!$R$50</f>
        <v>1.0136137111512746</v>
      </c>
      <c r="S25" s="64">
        <f>SUM($R$25:$R$25)</f>
        <v>1.0136137111512746</v>
      </c>
      <c r="T25" s="64">
        <f>'TE BE'!$T$25*'TE BE'!$T$50</f>
        <v>0</v>
      </c>
      <c r="U25" s="64">
        <f>'TE BE'!$U$25*'TE BE'!$U$50</f>
        <v>0</v>
      </c>
      <c r="V25" s="64">
        <f>'TE BE'!$V$25*'TE BE'!$V$50</f>
        <v>0</v>
      </c>
      <c r="W25" s="64">
        <f>SUM($T$25:$V$25)</f>
        <v>0</v>
      </c>
      <c r="X25" s="64">
        <f>'TE BE'!$AB$25*'TE BE'!$X$50</f>
        <v>-51.499378445049217</v>
      </c>
      <c r="Y25" s="64">
        <f>SUM($X$25:$X$25)</f>
        <v>-51.499378445049217</v>
      </c>
      <c r="Z25" s="64">
        <f>'TE BE'!$Z$25*'TE BE'!$Z$50</f>
        <v>0</v>
      </c>
      <c r="AA25" s="64">
        <f>SUM($Z$25:$Z$25)</f>
        <v>0</v>
      </c>
      <c r="AB25" s="64">
        <f>SUMIF($L$4:$AA$4,"SUBTOTAL",$L$25:$AA$25)</f>
        <v>-51.178499234284224</v>
      </c>
    </row>
    <row r="26" spans="1:28" ht="11.25" customHeight="1" x14ac:dyDescent="0.25">
      <c r="A26" s="177"/>
      <c r="B26" s="177" t="s">
        <v>77</v>
      </c>
      <c r="C26" s="177" t="s">
        <v>43</v>
      </c>
      <c r="D26" s="177" t="s">
        <v>95</v>
      </c>
      <c r="E26" s="177" t="s">
        <v>25</v>
      </c>
      <c r="F26" s="177" t="s">
        <v>25</v>
      </c>
      <c r="G26" s="66" t="s">
        <v>79</v>
      </c>
      <c r="H26" s="66" t="s">
        <v>78</v>
      </c>
      <c r="I26" s="66">
        <f>'MERCADO TE'!$U$23</f>
        <v>0</v>
      </c>
      <c r="J26" s="16"/>
      <c r="L26" s="64">
        <f>'TE BE'!$L$26*'TE BE'!$L$50</f>
        <v>-1.2022774158140397E-7</v>
      </c>
      <c r="M26" s="64">
        <f>'TE BE'!$M$26*'TE BE'!$M$50</f>
        <v>0</v>
      </c>
      <c r="N26" s="64">
        <f>'TE BE'!$N$26*'TE BE'!$N$50</f>
        <v>0</v>
      </c>
      <c r="O26" s="64">
        <f>'TE BE'!$O$26*'TE BE'!$O$50</f>
        <v>-0.69273438015853928</v>
      </c>
      <c r="P26" s="64">
        <f>'TE BE'!$P$26*'TE BE'!$P$50</f>
        <v>0</v>
      </c>
      <c r="Q26" s="64">
        <f>SUM($L$26:$P$26)</f>
        <v>-0.69273450038628082</v>
      </c>
      <c r="R26" s="64">
        <f>'TE BE'!$R$26*'TE BE'!$R$50</f>
        <v>1.6447316822454645</v>
      </c>
      <c r="S26" s="64">
        <f>SUM($R$26:$R$26)</f>
        <v>1.6447316822454645</v>
      </c>
      <c r="T26" s="64">
        <f>'TE BE'!$T$26*'TE BE'!$T$50</f>
        <v>0</v>
      </c>
      <c r="U26" s="64">
        <f>'TE BE'!$U$26*'TE BE'!$U$50</f>
        <v>0</v>
      </c>
      <c r="V26" s="64">
        <f>'TE BE'!$V$26*'TE BE'!$V$50</f>
        <v>0</v>
      </c>
      <c r="W26" s="64">
        <f>SUM($T$26:$V$26)</f>
        <v>0</v>
      </c>
      <c r="X26" s="64">
        <f>'TE BE'!$AB$26*'TE BE'!$X$50</f>
        <v>-82.272278343634838</v>
      </c>
      <c r="Y26" s="64">
        <f>SUM($X$26:$X$26)</f>
        <v>-82.272278343634838</v>
      </c>
      <c r="Z26" s="64">
        <f>'TE BE'!$Z$26*'TE BE'!$Z$50</f>
        <v>0</v>
      </c>
      <c r="AA26" s="64">
        <f>SUM($Z$26:$Z$26)</f>
        <v>0</v>
      </c>
      <c r="AB26" s="64">
        <f>SUMIF($L$4:$AA$4,"SUBTOTAL",$L$26:$AA$26)</f>
        <v>-81.320281161775654</v>
      </c>
    </row>
    <row r="27" spans="1:28" ht="11.25" customHeight="1" x14ac:dyDescent="0.25">
      <c r="A27" s="177"/>
      <c r="B27" s="177"/>
      <c r="C27" s="177"/>
      <c r="D27" s="177"/>
      <c r="E27" s="177"/>
      <c r="F27" s="177"/>
      <c r="G27" s="66" t="s">
        <v>92</v>
      </c>
      <c r="H27" s="66" t="s">
        <v>78</v>
      </c>
      <c r="I27" s="66">
        <f>'MERCADO TE'!$U$24</f>
        <v>0</v>
      </c>
      <c r="J27" s="16"/>
      <c r="L27" s="64">
        <f>'TE BE'!$L$27*'TE BE'!$L$50</f>
        <v>-1.2022774158140397E-7</v>
      </c>
      <c r="M27" s="64">
        <f>'TE BE'!$M$27*'TE BE'!$M$50</f>
        <v>0</v>
      </c>
      <c r="N27" s="64">
        <f>'TE BE'!$N$27*'TE BE'!$N$50</f>
        <v>0</v>
      </c>
      <c r="O27" s="64">
        <f>'TE BE'!$O$27*'TE BE'!$O$50</f>
        <v>-0.69273438015853928</v>
      </c>
      <c r="P27" s="64">
        <f>'TE BE'!$P$27*'TE BE'!$P$50</f>
        <v>0</v>
      </c>
      <c r="Q27" s="64">
        <f>SUM($L$27:$P$27)</f>
        <v>-0.69273450038628082</v>
      </c>
      <c r="R27" s="64">
        <f>'TE BE'!$R$27*'TE BE'!$R$50</f>
        <v>0.95623935014271189</v>
      </c>
      <c r="S27" s="64">
        <f>SUM($R$27:$R$27)</f>
        <v>0.95623935014271189</v>
      </c>
      <c r="T27" s="64">
        <f>'TE BE'!$T$27*'TE BE'!$T$50</f>
        <v>0</v>
      </c>
      <c r="U27" s="64">
        <f>'TE BE'!$U$27*'TE BE'!$U$50</f>
        <v>0</v>
      </c>
      <c r="V27" s="64">
        <f>'TE BE'!$V$27*'TE BE'!$V$50</f>
        <v>0</v>
      </c>
      <c r="W27" s="64">
        <f>SUM($T$27:$V$27)</f>
        <v>0</v>
      </c>
      <c r="X27" s="64">
        <f>'TE BE'!$AB$27*'TE BE'!$X$50</f>
        <v>-48.70184209063234</v>
      </c>
      <c r="Y27" s="64">
        <f>SUM($X$27:$X$27)</f>
        <v>-48.70184209063234</v>
      </c>
      <c r="Z27" s="64">
        <f>'TE BE'!$Z$27*'TE BE'!$Z$50</f>
        <v>0</v>
      </c>
      <c r="AA27" s="64">
        <f>SUM($Z$27:$Z$27)</f>
        <v>0</v>
      </c>
      <c r="AB27" s="64">
        <f>SUMIF($L$4:$AA$4,"SUBTOTAL",$L$27:$AA$27)</f>
        <v>-48.43833724087591</v>
      </c>
    </row>
    <row r="28" spans="1:28" ht="11.25" customHeight="1" x14ac:dyDescent="0.25">
      <c r="A28" s="177"/>
      <c r="B28" s="177"/>
      <c r="C28" s="177"/>
      <c r="D28" s="177"/>
      <c r="E28" s="177"/>
      <c r="F28" s="177"/>
      <c r="G28" s="66" t="s">
        <v>80</v>
      </c>
      <c r="H28" s="66" t="s">
        <v>78</v>
      </c>
      <c r="I28" s="66">
        <f>'MERCADO TE'!$U$25</f>
        <v>0</v>
      </c>
      <c r="J28" s="16"/>
      <c r="L28" s="64">
        <f>'TE BE'!$L$28*'TE BE'!$L$50</f>
        <v>-1.2022774158140397E-7</v>
      </c>
      <c r="M28" s="64">
        <f>'TE BE'!$M$28*'TE BE'!$M$50</f>
        <v>0</v>
      </c>
      <c r="N28" s="64">
        <f>'TE BE'!$N$28*'TE BE'!$N$50</f>
        <v>0</v>
      </c>
      <c r="O28" s="64">
        <f>'TE BE'!$O$28*'TE BE'!$O$50</f>
        <v>-0.69273438015853928</v>
      </c>
      <c r="P28" s="64">
        <f>'TE BE'!$P$28*'TE BE'!$P$50</f>
        <v>0</v>
      </c>
      <c r="Q28" s="64">
        <f>SUM($L$28:$P$28)</f>
        <v>-0.69273450038628082</v>
      </c>
      <c r="R28" s="64">
        <f>'TE BE'!$R$28*'TE BE'!$R$50</f>
        <v>0.95623935014271189</v>
      </c>
      <c r="S28" s="64">
        <f>SUM($R$28:$R$28)</f>
        <v>0.95623935014271189</v>
      </c>
      <c r="T28" s="64">
        <f>'TE BE'!$T$28*'TE BE'!$T$50</f>
        <v>0</v>
      </c>
      <c r="U28" s="64">
        <f>'TE BE'!$U$28*'TE BE'!$U$50</f>
        <v>0</v>
      </c>
      <c r="V28" s="64">
        <f>'TE BE'!$V$28*'TE BE'!$V$50</f>
        <v>0</v>
      </c>
      <c r="W28" s="64">
        <f>SUM($T$28:$V$28)</f>
        <v>0</v>
      </c>
      <c r="X28" s="64">
        <f>'TE BE'!$AB$28*'TE BE'!$X$50</f>
        <v>-48.70184209063234</v>
      </c>
      <c r="Y28" s="64">
        <f>SUM($X$28:$X$28)</f>
        <v>-48.70184209063234</v>
      </c>
      <c r="Z28" s="64">
        <f>'TE BE'!$Z$28*'TE BE'!$Z$50</f>
        <v>0</v>
      </c>
      <c r="AA28" s="64">
        <f>SUM($Z$28:$Z$28)</f>
        <v>0</v>
      </c>
      <c r="AB28" s="64">
        <f>SUMIF($L$4:$AA$4,"SUBTOTAL",$L$28:$AA$28)</f>
        <v>-48.43833724087591</v>
      </c>
    </row>
    <row r="29" spans="1:28" ht="11.25" customHeight="1" x14ac:dyDescent="0.25">
      <c r="A29" s="177"/>
      <c r="B29" s="72" t="s">
        <v>81</v>
      </c>
      <c r="C29" s="72" t="s">
        <v>43</v>
      </c>
      <c r="D29" s="72" t="s">
        <v>95</v>
      </c>
      <c r="E29" s="72" t="s">
        <v>25</v>
      </c>
      <c r="F29" s="72" t="s">
        <v>25</v>
      </c>
      <c r="G29" s="66" t="s">
        <v>82</v>
      </c>
      <c r="H29" s="66" t="s">
        <v>78</v>
      </c>
      <c r="I29" s="66">
        <f>'MERCADO TE'!$U$26</f>
        <v>0</v>
      </c>
      <c r="J29" s="16"/>
      <c r="L29" s="64">
        <f>'TE BE'!$L$29*'TE BE'!$L$50</f>
        <v>-1.2022774158140397E-7</v>
      </c>
      <c r="M29" s="64">
        <f>'TE BE'!$M$29*'TE BE'!$M$50</f>
        <v>0</v>
      </c>
      <c r="N29" s="64">
        <f>'TE BE'!$N$29*'TE BE'!$N$50</f>
        <v>0</v>
      </c>
      <c r="O29" s="64">
        <f>'TE BE'!$O$29*'TE BE'!$O$50</f>
        <v>-0.69273438015853928</v>
      </c>
      <c r="P29" s="64">
        <f>'TE BE'!$P$29*'TE BE'!$P$50</f>
        <v>0</v>
      </c>
      <c r="Q29" s="64">
        <f>SUM($L$29:$P$29)</f>
        <v>-0.69273450038628082</v>
      </c>
      <c r="R29" s="64">
        <f>'TE BE'!$R$29*'TE BE'!$R$50</f>
        <v>1.0136137111512746</v>
      </c>
      <c r="S29" s="64">
        <f>SUM($R$29:$R$29)</f>
        <v>1.0136137111512746</v>
      </c>
      <c r="T29" s="64">
        <f>'TE BE'!$T$29*'TE BE'!$T$50</f>
        <v>0</v>
      </c>
      <c r="U29" s="64">
        <f>'TE BE'!$U$29*'TE BE'!$U$50</f>
        <v>0</v>
      </c>
      <c r="V29" s="64">
        <f>'TE BE'!$V$29*'TE BE'!$V$50</f>
        <v>0</v>
      </c>
      <c r="W29" s="64">
        <f>SUM($T$29:$V$29)</f>
        <v>0</v>
      </c>
      <c r="X29" s="64">
        <f>'TE BE'!$AB$29*'TE BE'!$X$50</f>
        <v>-51.499378445049217</v>
      </c>
      <c r="Y29" s="64">
        <f>SUM($X$29:$X$29)</f>
        <v>-51.499378445049217</v>
      </c>
      <c r="Z29" s="64">
        <f>'TE BE'!$Z$29*'TE BE'!$Z$50</f>
        <v>0</v>
      </c>
      <c r="AA29" s="64">
        <f>SUM($Z$29:$Z$29)</f>
        <v>0</v>
      </c>
      <c r="AB29" s="64">
        <f>SUMIF($L$4:$AA$4,"SUBTOTAL",$L$29:$AA$29)</f>
        <v>-51.178499234284224</v>
      </c>
    </row>
    <row r="30" spans="1:28" ht="11.25" customHeight="1" x14ac:dyDescent="0.25">
      <c r="A30" s="177"/>
      <c r="B30" s="177" t="s">
        <v>77</v>
      </c>
      <c r="C30" s="177" t="s">
        <v>43</v>
      </c>
      <c r="D30" s="177" t="s">
        <v>96</v>
      </c>
      <c r="E30" s="177" t="s">
        <v>25</v>
      </c>
      <c r="F30" s="177" t="s">
        <v>25</v>
      </c>
      <c r="G30" s="66" t="s">
        <v>79</v>
      </c>
      <c r="H30" s="66" t="s">
        <v>78</v>
      </c>
      <c r="I30" s="66">
        <f>'MERCADO TE'!$U$27</f>
        <v>0</v>
      </c>
      <c r="J30" s="16"/>
      <c r="L30" s="64">
        <f>'TE BE'!$L$30*'TE BE'!$L$50</f>
        <v>-1.2022774158140397E-7</v>
      </c>
      <c r="M30" s="64">
        <f>'TE BE'!$M$30*'TE BE'!$M$50</f>
        <v>0</v>
      </c>
      <c r="N30" s="64">
        <f>'TE BE'!$N$30*'TE BE'!$N$50</f>
        <v>0</v>
      </c>
      <c r="O30" s="64">
        <f>'TE BE'!$O$30*'TE BE'!$O$50</f>
        <v>-0.69273438015853928</v>
      </c>
      <c r="P30" s="64">
        <f>'TE BE'!$P$30*'TE BE'!$P$50</f>
        <v>0</v>
      </c>
      <c r="Q30" s="64">
        <f>SUM($L$30:$P$30)</f>
        <v>-0.69273450038628082</v>
      </c>
      <c r="R30" s="64">
        <f>'TE BE'!$R$30*'TE BE'!$R$50</f>
        <v>1.6447316822454645</v>
      </c>
      <c r="S30" s="64">
        <f>SUM($R$30:$R$30)</f>
        <v>1.6447316822454645</v>
      </c>
      <c r="T30" s="64">
        <f>'TE BE'!$T$30*'TE BE'!$T$50</f>
        <v>0</v>
      </c>
      <c r="U30" s="64">
        <f>'TE BE'!$U$30*'TE BE'!$U$50</f>
        <v>0</v>
      </c>
      <c r="V30" s="64">
        <f>'TE BE'!$V$30*'TE BE'!$V$50</f>
        <v>0</v>
      </c>
      <c r="W30" s="64">
        <f>SUM($T$30:$V$30)</f>
        <v>0</v>
      </c>
      <c r="X30" s="64">
        <f>'TE BE'!$AB$30*'TE BE'!$X$50</f>
        <v>-82.272278343634838</v>
      </c>
      <c r="Y30" s="64">
        <f>SUM($X$30:$X$30)</f>
        <v>-82.272278343634838</v>
      </c>
      <c r="Z30" s="64">
        <f>'TE BE'!$Z$30*'TE BE'!$Z$50</f>
        <v>0</v>
      </c>
      <c r="AA30" s="64">
        <f>SUM($Z$30:$Z$30)</f>
        <v>0</v>
      </c>
      <c r="AB30" s="64">
        <f>SUMIF($L$4:$AA$4,"SUBTOTAL",$L$30:$AA$30)</f>
        <v>-81.320281161775654</v>
      </c>
    </row>
    <row r="31" spans="1:28" ht="11.25" customHeight="1" x14ac:dyDescent="0.25">
      <c r="A31" s="177"/>
      <c r="B31" s="177"/>
      <c r="C31" s="177"/>
      <c r="D31" s="177"/>
      <c r="E31" s="177"/>
      <c r="F31" s="177"/>
      <c r="G31" s="66" t="s">
        <v>92</v>
      </c>
      <c r="H31" s="66" t="s">
        <v>78</v>
      </c>
      <c r="I31" s="66">
        <f>'MERCADO TE'!$U$28</f>
        <v>0</v>
      </c>
      <c r="J31" s="16"/>
      <c r="L31" s="64">
        <f>'TE BE'!$L$31*'TE BE'!$L$50</f>
        <v>-1.2022774158140397E-7</v>
      </c>
      <c r="M31" s="64">
        <f>'TE BE'!$M$31*'TE BE'!$M$50</f>
        <v>0</v>
      </c>
      <c r="N31" s="64">
        <f>'TE BE'!$N$31*'TE BE'!$N$50</f>
        <v>0</v>
      </c>
      <c r="O31" s="64">
        <f>'TE BE'!$O$31*'TE BE'!$O$50</f>
        <v>-0.69273438015853928</v>
      </c>
      <c r="P31" s="64">
        <f>'TE BE'!$P$31*'TE BE'!$P$50</f>
        <v>0</v>
      </c>
      <c r="Q31" s="64">
        <f>SUM($L$31:$P$31)</f>
        <v>-0.69273450038628082</v>
      </c>
      <c r="R31" s="64">
        <f>'TE BE'!$R$31*'TE BE'!$R$50</f>
        <v>0.95623935014271189</v>
      </c>
      <c r="S31" s="64">
        <f>SUM($R$31:$R$31)</f>
        <v>0.95623935014271189</v>
      </c>
      <c r="T31" s="64">
        <f>'TE BE'!$T$31*'TE BE'!$T$50</f>
        <v>0</v>
      </c>
      <c r="U31" s="64">
        <f>'TE BE'!$U$31*'TE BE'!$U$50</f>
        <v>0</v>
      </c>
      <c r="V31" s="64">
        <f>'TE BE'!$V$31*'TE BE'!$V$50</f>
        <v>0</v>
      </c>
      <c r="W31" s="64">
        <f>SUM($T$31:$V$31)</f>
        <v>0</v>
      </c>
      <c r="X31" s="64">
        <f>'TE BE'!$AB$31*'TE BE'!$X$50</f>
        <v>-48.70184209063234</v>
      </c>
      <c r="Y31" s="64">
        <f>SUM($X$31:$X$31)</f>
        <v>-48.70184209063234</v>
      </c>
      <c r="Z31" s="64">
        <f>'TE BE'!$Z$31*'TE BE'!$Z$50</f>
        <v>0</v>
      </c>
      <c r="AA31" s="64">
        <f>SUM($Z$31:$Z$31)</f>
        <v>0</v>
      </c>
      <c r="AB31" s="64">
        <f>SUMIF($L$4:$AA$4,"SUBTOTAL",$L$31:$AA$31)</f>
        <v>-48.43833724087591</v>
      </c>
    </row>
    <row r="32" spans="1:28" ht="11.25" customHeight="1" x14ac:dyDescent="0.25">
      <c r="A32" s="177"/>
      <c r="B32" s="177"/>
      <c r="C32" s="177"/>
      <c r="D32" s="177"/>
      <c r="E32" s="177"/>
      <c r="F32" s="177"/>
      <c r="G32" s="66" t="s">
        <v>80</v>
      </c>
      <c r="H32" s="66" t="s">
        <v>78</v>
      </c>
      <c r="I32" s="66">
        <f>'MERCADO TE'!$U$29</f>
        <v>0</v>
      </c>
      <c r="J32" s="16"/>
      <c r="L32" s="64">
        <f>'TE BE'!$L$32*'TE BE'!$L$50</f>
        <v>-1.2022774158140397E-7</v>
      </c>
      <c r="M32" s="64">
        <f>'TE BE'!$M$32*'TE BE'!$M$50</f>
        <v>0</v>
      </c>
      <c r="N32" s="64">
        <f>'TE BE'!$N$32*'TE BE'!$N$50</f>
        <v>0</v>
      </c>
      <c r="O32" s="64">
        <f>'TE BE'!$O$32*'TE BE'!$O$50</f>
        <v>-0.69273438015853928</v>
      </c>
      <c r="P32" s="64">
        <f>'TE BE'!$P$32*'TE BE'!$P$50</f>
        <v>0</v>
      </c>
      <c r="Q32" s="64">
        <f>SUM($L$32:$P$32)</f>
        <v>-0.69273450038628082</v>
      </c>
      <c r="R32" s="64">
        <f>'TE BE'!$R$32*'TE BE'!$R$50</f>
        <v>0.95623935014271189</v>
      </c>
      <c r="S32" s="64">
        <f>SUM($R$32:$R$32)</f>
        <v>0.95623935014271189</v>
      </c>
      <c r="T32" s="64">
        <f>'TE BE'!$T$32*'TE BE'!$T$50</f>
        <v>0</v>
      </c>
      <c r="U32" s="64">
        <f>'TE BE'!$U$32*'TE BE'!$U$50</f>
        <v>0</v>
      </c>
      <c r="V32" s="64">
        <f>'TE BE'!$V$32*'TE BE'!$V$50</f>
        <v>0</v>
      </c>
      <c r="W32" s="64">
        <f>SUM($T$32:$V$32)</f>
        <v>0</v>
      </c>
      <c r="X32" s="64">
        <f>'TE BE'!$AB$32*'TE BE'!$X$50</f>
        <v>-48.70184209063234</v>
      </c>
      <c r="Y32" s="64">
        <f>SUM($X$32:$X$32)</f>
        <v>-48.70184209063234</v>
      </c>
      <c r="Z32" s="64">
        <f>'TE BE'!$Z$32*'TE BE'!$Z$50</f>
        <v>0</v>
      </c>
      <c r="AA32" s="64">
        <f>SUM($Z$32:$Z$32)</f>
        <v>0</v>
      </c>
      <c r="AB32" s="64">
        <f>SUMIF($L$4:$AA$4,"SUBTOTAL",$L$32:$AA$32)</f>
        <v>-48.43833724087591</v>
      </c>
    </row>
    <row r="33" spans="1:28" ht="11.25" customHeight="1" x14ac:dyDescent="0.25">
      <c r="A33" s="177"/>
      <c r="B33" s="72" t="s">
        <v>81</v>
      </c>
      <c r="C33" s="72" t="s">
        <v>43</v>
      </c>
      <c r="D33" s="72" t="s">
        <v>96</v>
      </c>
      <c r="E33" s="72" t="s">
        <v>25</v>
      </c>
      <c r="F33" s="72" t="s">
        <v>25</v>
      </c>
      <c r="G33" s="66" t="s">
        <v>82</v>
      </c>
      <c r="H33" s="66" t="s">
        <v>78</v>
      </c>
      <c r="I33" s="66">
        <f>'MERCADO TE'!$U$30</f>
        <v>0</v>
      </c>
      <c r="J33" s="16"/>
      <c r="L33" s="64">
        <f>'TE BE'!$L$33*'TE BE'!$L$50</f>
        <v>-1.2022774158140397E-7</v>
      </c>
      <c r="M33" s="64">
        <f>'TE BE'!$M$33*'TE BE'!$M$50</f>
        <v>0</v>
      </c>
      <c r="N33" s="64">
        <f>'TE BE'!$N$33*'TE BE'!$N$50</f>
        <v>0</v>
      </c>
      <c r="O33" s="64">
        <f>'TE BE'!$O$33*'TE BE'!$O$50</f>
        <v>-0.69273438015853928</v>
      </c>
      <c r="P33" s="64">
        <f>'TE BE'!$P$33*'TE BE'!$P$50</f>
        <v>0</v>
      </c>
      <c r="Q33" s="64">
        <f>SUM($L$33:$P$33)</f>
        <v>-0.69273450038628082</v>
      </c>
      <c r="R33" s="64">
        <f>'TE BE'!$R$33*'TE BE'!$R$50</f>
        <v>1.0136137111512746</v>
      </c>
      <c r="S33" s="64">
        <f>SUM($R$33:$R$33)</f>
        <v>1.0136137111512746</v>
      </c>
      <c r="T33" s="64">
        <f>'TE BE'!$T$33*'TE BE'!$T$50</f>
        <v>0</v>
      </c>
      <c r="U33" s="64">
        <f>'TE BE'!$U$33*'TE BE'!$U$50</f>
        <v>0</v>
      </c>
      <c r="V33" s="64">
        <f>'TE BE'!$V$33*'TE BE'!$V$50</f>
        <v>0</v>
      </c>
      <c r="W33" s="64">
        <f>SUM($T$33:$V$33)</f>
        <v>0</v>
      </c>
      <c r="X33" s="64">
        <f>'TE BE'!$AB$33*'TE BE'!$X$50</f>
        <v>-51.499378445049217</v>
      </c>
      <c r="Y33" s="64">
        <f>SUM($X$33:$X$33)</f>
        <v>-51.499378445049217</v>
      </c>
      <c r="Z33" s="64">
        <f>'TE BE'!$Z$33*'TE BE'!$Z$50</f>
        <v>0</v>
      </c>
      <c r="AA33" s="64">
        <f>SUM($Z$33:$Z$33)</f>
        <v>0</v>
      </c>
      <c r="AB33" s="64">
        <f>SUMIF($L$4:$AA$4,"SUBTOTAL",$L$33:$AA$33)</f>
        <v>-51.178499234284224</v>
      </c>
    </row>
    <row r="34" spans="1:28" ht="11.25" customHeight="1" x14ac:dyDescent="0.25">
      <c r="A34" s="177"/>
      <c r="B34" s="177" t="s">
        <v>93</v>
      </c>
      <c r="C34" s="177" t="s">
        <v>43</v>
      </c>
      <c r="D34" s="72" t="s">
        <v>25</v>
      </c>
      <c r="E34" s="72" t="s">
        <v>25</v>
      </c>
      <c r="F34" s="72" t="s">
        <v>25</v>
      </c>
      <c r="G34" s="66" t="s">
        <v>82</v>
      </c>
      <c r="H34" s="66" t="s">
        <v>78</v>
      </c>
      <c r="I34" s="66">
        <f>'MERCADO TE'!$U$31</f>
        <v>0</v>
      </c>
      <c r="J34" s="16"/>
      <c r="L34" s="64">
        <f>'TE BE'!$L$34*'TE BE'!$L$50</f>
        <v>-1.2022774158140397E-7</v>
      </c>
      <c r="M34" s="64">
        <f>'TE BE'!$M$34*'TE BE'!$M$50</f>
        <v>0</v>
      </c>
      <c r="N34" s="64">
        <f>'TE BE'!$N$34*'TE BE'!$N$50</f>
        <v>0</v>
      </c>
      <c r="O34" s="64">
        <f>'TE BE'!$O$34*'TE BE'!$O$50</f>
        <v>-0.69273438015853928</v>
      </c>
      <c r="P34" s="64">
        <f>'TE BE'!$P$34*'TE BE'!$P$50</f>
        <v>0</v>
      </c>
      <c r="Q34" s="64">
        <f>SUM($L$34:$P$34)</f>
        <v>-0.69273450038628082</v>
      </c>
      <c r="R34" s="64">
        <f>'TE BE'!$R$34*'TE BE'!$R$50</f>
        <v>1.0136137111512746</v>
      </c>
      <c r="S34" s="64">
        <f>SUM($R$34:$R$34)</f>
        <v>1.0136137111512746</v>
      </c>
      <c r="T34" s="64">
        <f>'TE BE'!$T$34*'TE BE'!$T$50</f>
        <v>0</v>
      </c>
      <c r="U34" s="64">
        <f>'TE BE'!$U$34*'TE BE'!$U$50</f>
        <v>0</v>
      </c>
      <c r="V34" s="64">
        <f>'TE BE'!$V$34*'TE BE'!$V$50</f>
        <v>0</v>
      </c>
      <c r="W34" s="64">
        <f>SUM($T$34:$V$34)</f>
        <v>0</v>
      </c>
      <c r="X34" s="64">
        <f>'TE BE'!$AB$34*'TE BE'!$X$50</f>
        <v>-51.499378445049217</v>
      </c>
      <c r="Y34" s="64">
        <f>SUM($X$34:$X$34)</f>
        <v>-51.499378445049217</v>
      </c>
      <c r="Z34" s="64">
        <f>'TE BE'!$Z$34*'TE BE'!$Z$50</f>
        <v>0</v>
      </c>
      <c r="AA34" s="64">
        <f>SUM($Z$34:$Z$34)</f>
        <v>0</v>
      </c>
      <c r="AB34" s="64">
        <f>SUMIF($L$4:$AA$4,"SUBTOTAL",$L$34:$AA$34)</f>
        <v>-51.178499234284224</v>
      </c>
    </row>
    <row r="35" spans="1:28" ht="11.25" customHeight="1" x14ac:dyDescent="0.25">
      <c r="A35" s="177"/>
      <c r="B35" s="177"/>
      <c r="C35" s="177"/>
      <c r="D35" s="72" t="s">
        <v>95</v>
      </c>
      <c r="E35" s="72" t="s">
        <v>25</v>
      </c>
      <c r="F35" s="72" t="s">
        <v>25</v>
      </c>
      <c r="G35" s="66" t="s">
        <v>82</v>
      </c>
      <c r="H35" s="66" t="s">
        <v>78</v>
      </c>
      <c r="I35" s="66">
        <f>'MERCADO TE'!$U$32</f>
        <v>0</v>
      </c>
      <c r="J35" s="16"/>
      <c r="L35" s="64">
        <f>'TE BE'!$L$35*'TE BE'!$L$50</f>
        <v>-1.2022774158140397E-7</v>
      </c>
      <c r="M35" s="64">
        <f>'TE BE'!$M$35*'TE BE'!$M$50</f>
        <v>0</v>
      </c>
      <c r="N35" s="64">
        <f>'TE BE'!$N$35*'TE BE'!$N$50</f>
        <v>0</v>
      </c>
      <c r="O35" s="64">
        <f>'TE BE'!$O$35*'TE BE'!$O$50</f>
        <v>-0.69273438015853928</v>
      </c>
      <c r="P35" s="64">
        <f>'TE BE'!$P$35*'TE BE'!$P$50</f>
        <v>0</v>
      </c>
      <c r="Q35" s="64">
        <f>SUM($L$35:$P$35)</f>
        <v>-0.69273450038628082</v>
      </c>
      <c r="R35" s="64">
        <f>'TE BE'!$R$35*'TE BE'!$R$50</f>
        <v>1.0136137111512746</v>
      </c>
      <c r="S35" s="64">
        <f>SUM($R$35:$R$35)</f>
        <v>1.0136137111512746</v>
      </c>
      <c r="T35" s="64">
        <f>'TE BE'!$T$35*'TE BE'!$T$50</f>
        <v>0</v>
      </c>
      <c r="U35" s="64">
        <f>'TE BE'!$U$35*'TE BE'!$U$50</f>
        <v>0</v>
      </c>
      <c r="V35" s="64">
        <f>'TE BE'!$V$35*'TE BE'!$V$50</f>
        <v>0</v>
      </c>
      <c r="W35" s="64">
        <f>SUM($T$35:$V$35)</f>
        <v>0</v>
      </c>
      <c r="X35" s="64">
        <f>'TE BE'!$AB$35*'TE BE'!$X$50</f>
        <v>-51.499378445049217</v>
      </c>
      <c r="Y35" s="64">
        <f>SUM($X$35:$X$35)</f>
        <v>-51.499378445049217</v>
      </c>
      <c r="Z35" s="64">
        <f>'TE BE'!$Z$35*'TE BE'!$Z$50</f>
        <v>0</v>
      </c>
      <c r="AA35" s="64">
        <f>SUM($Z$35:$Z$35)</f>
        <v>0</v>
      </c>
      <c r="AB35" s="64">
        <f>SUMIF($L$4:$AA$4,"SUBTOTAL",$L$35:$AA$35)</f>
        <v>-51.178499234284224</v>
      </c>
    </row>
    <row r="36" spans="1:28" ht="11.25" customHeight="1" x14ac:dyDescent="0.25">
      <c r="A36" s="177"/>
      <c r="B36" s="177"/>
      <c r="C36" s="177"/>
      <c r="D36" s="72" t="s">
        <v>96</v>
      </c>
      <c r="E36" s="72" t="s">
        <v>25</v>
      </c>
      <c r="F36" s="72" t="s">
        <v>25</v>
      </c>
      <c r="G36" s="66" t="s">
        <v>82</v>
      </c>
      <c r="H36" s="66" t="s">
        <v>78</v>
      </c>
      <c r="I36" s="66">
        <f>'MERCADO TE'!$U$33</f>
        <v>0</v>
      </c>
      <c r="J36" s="16"/>
      <c r="L36" s="64">
        <f>'TE BE'!$L$36*'TE BE'!$L$50</f>
        <v>-1.2022774158140397E-7</v>
      </c>
      <c r="M36" s="64">
        <f>'TE BE'!$M$36*'TE BE'!$M$50</f>
        <v>0</v>
      </c>
      <c r="N36" s="64">
        <f>'TE BE'!$N$36*'TE BE'!$N$50</f>
        <v>0</v>
      </c>
      <c r="O36" s="64">
        <f>'TE BE'!$O$36*'TE BE'!$O$50</f>
        <v>-0.69273438015853928</v>
      </c>
      <c r="P36" s="64">
        <f>'TE BE'!$P$36*'TE BE'!$P$50</f>
        <v>0</v>
      </c>
      <c r="Q36" s="64">
        <f>SUM($L$36:$P$36)</f>
        <v>-0.69273450038628082</v>
      </c>
      <c r="R36" s="64">
        <f>'TE BE'!$R$36*'TE BE'!$R$50</f>
        <v>1.0136137111512746</v>
      </c>
      <c r="S36" s="64">
        <f>SUM($R$36:$R$36)</f>
        <v>1.0136137111512746</v>
      </c>
      <c r="T36" s="64">
        <f>'TE BE'!$T$36*'TE BE'!$T$50</f>
        <v>0</v>
      </c>
      <c r="U36" s="64">
        <f>'TE BE'!$U$36*'TE BE'!$U$50</f>
        <v>0</v>
      </c>
      <c r="V36" s="64">
        <f>'TE BE'!$V$36*'TE BE'!$V$50</f>
        <v>0</v>
      </c>
      <c r="W36" s="64">
        <f>SUM($T$36:$V$36)</f>
        <v>0</v>
      </c>
      <c r="X36" s="64">
        <f>'TE BE'!$AB$36*'TE BE'!$X$50</f>
        <v>-51.499378445049217</v>
      </c>
      <c r="Y36" s="64">
        <f>SUM($X$36:$X$36)</f>
        <v>-51.499378445049217</v>
      </c>
      <c r="Z36" s="64">
        <f>'TE BE'!$Z$36*'TE BE'!$Z$50</f>
        <v>0</v>
      </c>
      <c r="AA36" s="64">
        <f>SUM($Z$36:$Z$36)</f>
        <v>0</v>
      </c>
      <c r="AB36" s="64">
        <f>SUMIF($L$4:$AA$4,"SUBTOTAL",$L$36:$AA$36)</f>
        <v>-51.178499234284224</v>
      </c>
    </row>
    <row r="37" spans="1:28" ht="11.25" customHeight="1" x14ac:dyDescent="0.25">
      <c r="A37" s="177" t="s">
        <v>36</v>
      </c>
      <c r="B37" s="177" t="s">
        <v>77</v>
      </c>
      <c r="C37" s="177" t="s">
        <v>25</v>
      </c>
      <c r="D37" s="177" t="s">
        <v>25</v>
      </c>
      <c r="E37" s="177" t="s">
        <v>25</v>
      </c>
      <c r="F37" s="177" t="s">
        <v>25</v>
      </c>
      <c r="G37" s="66" t="s">
        <v>79</v>
      </c>
      <c r="H37" s="66" t="s">
        <v>78</v>
      </c>
      <c r="I37" s="66">
        <f>'MERCADO TE'!$U$34</f>
        <v>1.1140000000000001</v>
      </c>
      <c r="J37" s="16"/>
      <c r="L37" s="64">
        <f>'TE BE'!$L$37*'TE BE'!$L$50</f>
        <v>-1.2022774158140397E-7</v>
      </c>
      <c r="M37" s="64">
        <f>'TE BE'!$M$37*'TE BE'!$M$50</f>
        <v>0</v>
      </c>
      <c r="N37" s="64">
        <f>'TE BE'!$N$37*'TE BE'!$N$50</f>
        <v>0</v>
      </c>
      <c r="O37" s="64">
        <f>'TE BE'!$O$37*'TE BE'!$O$50</f>
        <v>-0.69273438015853928</v>
      </c>
      <c r="P37" s="64">
        <f>'TE BE'!$P$37*'TE BE'!$P$50</f>
        <v>0</v>
      </c>
      <c r="Q37" s="64">
        <f>SUM($L$37:$P$37)</f>
        <v>-0.69273450038628082</v>
      </c>
      <c r="R37" s="64">
        <f>'TE BE'!$R$37*'TE BE'!$R$50</f>
        <v>1.6447316822454645</v>
      </c>
      <c r="S37" s="64">
        <f>SUM($R$37:$R$37)</f>
        <v>1.6447316822454645</v>
      </c>
      <c r="T37" s="64">
        <f>'TE BE'!$T$37*'TE BE'!$T$50</f>
        <v>0</v>
      </c>
      <c r="U37" s="64">
        <f>'TE BE'!$U$37*'TE BE'!$U$50</f>
        <v>0</v>
      </c>
      <c r="V37" s="64">
        <f>'TE BE'!$V$37*'TE BE'!$V$50</f>
        <v>0</v>
      </c>
      <c r="W37" s="64">
        <f>SUM($T$37:$V$37)</f>
        <v>0</v>
      </c>
      <c r="X37" s="64">
        <f>'TE BE'!$AB$37*'TE BE'!$X$50</f>
        <v>-82.272278343634838</v>
      </c>
      <c r="Y37" s="64">
        <f>SUM($X$37:$X$37)</f>
        <v>-82.272278343634838</v>
      </c>
      <c r="Z37" s="64">
        <f>'TE BE'!$Z$37*'TE BE'!$Z$50</f>
        <v>0</v>
      </c>
      <c r="AA37" s="64">
        <f>SUM($Z$37:$Z$37)</f>
        <v>0</v>
      </c>
      <c r="AB37" s="64">
        <f>SUMIF($L$4:$AA$4,"SUBTOTAL",$L$37:$AA$37)</f>
        <v>-81.320281161775654</v>
      </c>
    </row>
    <row r="38" spans="1:28" ht="11.25" customHeight="1" x14ac:dyDescent="0.25">
      <c r="A38" s="177"/>
      <c r="B38" s="177"/>
      <c r="C38" s="177"/>
      <c r="D38" s="177"/>
      <c r="E38" s="177"/>
      <c r="F38" s="177"/>
      <c r="G38" s="66" t="s">
        <v>92</v>
      </c>
      <c r="H38" s="66" t="s">
        <v>78</v>
      </c>
      <c r="I38" s="66">
        <f>'MERCADO TE'!$U$35</f>
        <v>0.48499999999999999</v>
      </c>
      <c r="J38" s="16"/>
      <c r="L38" s="64">
        <f>'TE BE'!$L$38*'TE BE'!$L$50</f>
        <v>-1.2022774158140397E-7</v>
      </c>
      <c r="M38" s="64">
        <f>'TE BE'!$M$38*'TE BE'!$M$50</f>
        <v>0</v>
      </c>
      <c r="N38" s="64">
        <f>'TE BE'!$N$38*'TE BE'!$N$50</f>
        <v>0</v>
      </c>
      <c r="O38" s="64">
        <f>'TE BE'!$O$38*'TE BE'!$O$50</f>
        <v>-0.69273438015853928</v>
      </c>
      <c r="P38" s="64">
        <f>'TE BE'!$P$38*'TE BE'!$P$50</f>
        <v>0</v>
      </c>
      <c r="Q38" s="64">
        <f>SUM($L$38:$P$38)</f>
        <v>-0.69273450038628082</v>
      </c>
      <c r="R38" s="64">
        <f>'TE BE'!$R$38*'TE BE'!$R$50</f>
        <v>0.95623935014271189</v>
      </c>
      <c r="S38" s="64">
        <f>SUM($R$38:$R$38)</f>
        <v>0.95623935014271189</v>
      </c>
      <c r="T38" s="64">
        <f>'TE BE'!$T$38*'TE BE'!$T$50</f>
        <v>0</v>
      </c>
      <c r="U38" s="64">
        <f>'TE BE'!$U$38*'TE BE'!$U$50</f>
        <v>0</v>
      </c>
      <c r="V38" s="64">
        <f>'TE BE'!$V$38*'TE BE'!$V$50</f>
        <v>0</v>
      </c>
      <c r="W38" s="64">
        <f>SUM($T$38:$V$38)</f>
        <v>0</v>
      </c>
      <c r="X38" s="64">
        <f>'TE BE'!$AB$38*'TE BE'!$X$50</f>
        <v>-48.70184209063234</v>
      </c>
      <c r="Y38" s="64">
        <f>SUM($X$38:$X$38)</f>
        <v>-48.70184209063234</v>
      </c>
      <c r="Z38" s="64">
        <f>'TE BE'!$Z$38*'TE BE'!$Z$50</f>
        <v>0</v>
      </c>
      <c r="AA38" s="64">
        <f>SUM($Z$38:$Z$38)</f>
        <v>0</v>
      </c>
      <c r="AB38" s="64">
        <f>SUMIF($L$4:$AA$4,"SUBTOTAL",$L$38:$AA$38)</f>
        <v>-48.43833724087591</v>
      </c>
    </row>
    <row r="39" spans="1:28" ht="11.25" customHeight="1" x14ac:dyDescent="0.25">
      <c r="A39" s="177"/>
      <c r="B39" s="177"/>
      <c r="C39" s="177"/>
      <c r="D39" s="177"/>
      <c r="E39" s="177"/>
      <c r="F39" s="177"/>
      <c r="G39" s="66" t="s">
        <v>80</v>
      </c>
      <c r="H39" s="66" t="s">
        <v>78</v>
      </c>
      <c r="I39" s="66">
        <f>'MERCADO TE'!$U$36</f>
        <v>6.2670000000000003</v>
      </c>
      <c r="J39" s="16"/>
      <c r="L39" s="64">
        <f>'TE BE'!$L$39*'TE BE'!$L$50</f>
        <v>-1.2022774158140397E-7</v>
      </c>
      <c r="M39" s="64">
        <f>'TE BE'!$M$39*'TE BE'!$M$50</f>
        <v>0</v>
      </c>
      <c r="N39" s="64">
        <f>'TE BE'!$N$39*'TE BE'!$N$50</f>
        <v>0</v>
      </c>
      <c r="O39" s="64">
        <f>'TE BE'!$O$39*'TE BE'!$O$50</f>
        <v>-0.69273438015853928</v>
      </c>
      <c r="P39" s="64">
        <f>'TE BE'!$P$39*'TE BE'!$P$50</f>
        <v>0</v>
      </c>
      <c r="Q39" s="64">
        <f>SUM($L$39:$P$39)</f>
        <v>-0.69273450038628082</v>
      </c>
      <c r="R39" s="64">
        <f>'TE BE'!$R$39*'TE BE'!$R$50</f>
        <v>0.95623935014271189</v>
      </c>
      <c r="S39" s="64">
        <f>SUM($R$39:$R$39)</f>
        <v>0.95623935014271189</v>
      </c>
      <c r="T39" s="64">
        <f>'TE BE'!$T$39*'TE BE'!$T$50</f>
        <v>0</v>
      </c>
      <c r="U39" s="64">
        <f>'TE BE'!$U$39*'TE BE'!$U$50</f>
        <v>0</v>
      </c>
      <c r="V39" s="64">
        <f>'TE BE'!$V$39*'TE BE'!$V$50</f>
        <v>0</v>
      </c>
      <c r="W39" s="64">
        <f>SUM($T$39:$V$39)</f>
        <v>0</v>
      </c>
      <c r="X39" s="64">
        <f>'TE BE'!$AB$39*'TE BE'!$X$50</f>
        <v>-48.70184209063234</v>
      </c>
      <c r="Y39" s="64">
        <f>SUM($X$39:$X$39)</f>
        <v>-48.70184209063234</v>
      </c>
      <c r="Z39" s="64">
        <f>'TE BE'!$Z$39*'TE BE'!$Z$50</f>
        <v>0</v>
      </c>
      <c r="AA39" s="64">
        <f>SUM($Z$39:$Z$39)</f>
        <v>0</v>
      </c>
      <c r="AB39" s="64">
        <f>SUMIF($L$4:$AA$4,"SUBTOTAL",$L$39:$AA$39)</f>
        <v>-48.43833724087591</v>
      </c>
    </row>
    <row r="40" spans="1:28" ht="11.25" customHeight="1" x14ac:dyDescent="0.25">
      <c r="A40" s="177"/>
      <c r="B40" s="72" t="s">
        <v>81</v>
      </c>
      <c r="C40" s="72" t="s">
        <v>25</v>
      </c>
      <c r="D40" s="72" t="s">
        <v>25</v>
      </c>
      <c r="E40" s="72" t="s">
        <v>25</v>
      </c>
      <c r="F40" s="72" t="s">
        <v>25</v>
      </c>
      <c r="G40" s="66" t="s">
        <v>82</v>
      </c>
      <c r="H40" s="66" t="s">
        <v>78</v>
      </c>
      <c r="I40" s="66">
        <f>'MERCADO TE'!$U$37</f>
        <v>13646.102000000001</v>
      </c>
      <c r="J40" s="16"/>
      <c r="L40" s="64">
        <f>'TE BE'!$L$40*'TE BE'!$L$50</f>
        <v>-1.2022774158140397E-7</v>
      </c>
      <c r="M40" s="64">
        <f>'TE BE'!$M$40*'TE BE'!$M$50</f>
        <v>0</v>
      </c>
      <c r="N40" s="64">
        <f>'TE BE'!$N$40*'TE BE'!$N$50</f>
        <v>0</v>
      </c>
      <c r="O40" s="64">
        <f>'TE BE'!$O$40*'TE BE'!$O$50</f>
        <v>-0.69273438015853928</v>
      </c>
      <c r="P40" s="64">
        <f>'TE BE'!$P$40*'TE BE'!$P$50</f>
        <v>0</v>
      </c>
      <c r="Q40" s="64">
        <f>SUM($L$40:$P$40)</f>
        <v>-0.69273450038628082</v>
      </c>
      <c r="R40" s="64">
        <f>'TE BE'!$R$40*'TE BE'!$R$50</f>
        <v>1.0136137111512746</v>
      </c>
      <c r="S40" s="64">
        <f>SUM($R$40:$R$40)</f>
        <v>1.0136137111512746</v>
      </c>
      <c r="T40" s="64">
        <f>'TE BE'!$T$40*'TE BE'!$T$50</f>
        <v>0</v>
      </c>
      <c r="U40" s="64">
        <f>'TE BE'!$U$40*'TE BE'!$U$50</f>
        <v>0</v>
      </c>
      <c r="V40" s="64">
        <f>'TE BE'!$V$40*'TE BE'!$V$50</f>
        <v>0</v>
      </c>
      <c r="W40" s="64">
        <f>SUM($T$40:$V$40)</f>
        <v>0</v>
      </c>
      <c r="X40" s="64">
        <f>'TE BE'!$AB$40*'TE BE'!$X$50</f>
        <v>-51.499378445049217</v>
      </c>
      <c r="Y40" s="64">
        <f>SUM($X$40:$X$40)</f>
        <v>-51.499378445049217</v>
      </c>
      <c r="Z40" s="64">
        <f>'TE BE'!$Z$40*'TE BE'!$Z$50</f>
        <v>0</v>
      </c>
      <c r="AA40" s="64">
        <f>SUM($Z$40:$Z$40)</f>
        <v>0</v>
      </c>
      <c r="AB40" s="64">
        <f>SUMIF($L$4:$AA$4,"SUBTOTAL",$L$40:$AA$40)</f>
        <v>-51.178499234284224</v>
      </c>
    </row>
    <row r="41" spans="1:28" ht="11.25" customHeight="1" x14ac:dyDescent="0.25">
      <c r="A41" s="177"/>
      <c r="B41" s="72" t="s">
        <v>93</v>
      </c>
      <c r="C41" s="72" t="s">
        <v>25</v>
      </c>
      <c r="D41" s="72" t="s">
        <v>25</v>
      </c>
      <c r="E41" s="72" t="s">
        <v>25</v>
      </c>
      <c r="F41" s="72" t="s">
        <v>25</v>
      </c>
      <c r="G41" s="66" t="s">
        <v>82</v>
      </c>
      <c r="H41" s="66" t="s">
        <v>78</v>
      </c>
      <c r="I41" s="66">
        <f>'MERCADO TE'!$U$38</f>
        <v>0</v>
      </c>
      <c r="J41" s="16"/>
      <c r="L41" s="64">
        <f>'TE BE'!$L$41*'TE BE'!$L$50</f>
        <v>-1.2022774158140397E-7</v>
      </c>
      <c r="M41" s="64">
        <f>'TE BE'!$M$41*'TE BE'!$M$50</f>
        <v>0</v>
      </c>
      <c r="N41" s="64">
        <f>'TE BE'!$N$41*'TE BE'!$N$50</f>
        <v>0</v>
      </c>
      <c r="O41" s="64">
        <f>'TE BE'!$O$41*'TE BE'!$O$50</f>
        <v>-0.69273438015853928</v>
      </c>
      <c r="P41" s="64">
        <f>'TE BE'!$P$41*'TE BE'!$P$50</f>
        <v>0</v>
      </c>
      <c r="Q41" s="64">
        <f>SUM($L$41:$P$41)</f>
        <v>-0.69273450038628082</v>
      </c>
      <c r="R41" s="64">
        <f>'TE BE'!$R$41*'TE BE'!$R$50</f>
        <v>1.0136137111512746</v>
      </c>
      <c r="S41" s="64">
        <f>SUM($R$41:$R$41)</f>
        <v>1.0136137111512746</v>
      </c>
      <c r="T41" s="64">
        <f>'TE BE'!$T$41*'TE BE'!$T$50</f>
        <v>0</v>
      </c>
      <c r="U41" s="64">
        <f>'TE BE'!$U$41*'TE BE'!$U$50</f>
        <v>0</v>
      </c>
      <c r="V41" s="64">
        <f>'TE BE'!$V$41*'TE BE'!$V$50</f>
        <v>0</v>
      </c>
      <c r="W41" s="64">
        <f>SUM($T$41:$V$41)</f>
        <v>0</v>
      </c>
      <c r="X41" s="64">
        <f>'TE BE'!$AB$41*'TE BE'!$X$50</f>
        <v>-51.499378445049217</v>
      </c>
      <c r="Y41" s="64">
        <f>SUM($X$41:$X$41)</f>
        <v>-51.499378445049217</v>
      </c>
      <c r="Z41" s="64">
        <f>'TE BE'!$Z$41*'TE BE'!$Z$50</f>
        <v>0</v>
      </c>
      <c r="AA41" s="64">
        <f>SUM($Z$41:$Z$41)</f>
        <v>0</v>
      </c>
      <c r="AB41" s="64">
        <f>SUMIF($L$4:$AA$4,"SUBTOTAL",$L$41:$AA$41)</f>
        <v>-51.178499234284224</v>
      </c>
    </row>
    <row r="42" spans="1:28" ht="11.25" customHeight="1" x14ac:dyDescent="0.25">
      <c r="A42" s="177" t="s">
        <v>45</v>
      </c>
      <c r="B42" s="177" t="s">
        <v>81</v>
      </c>
      <c r="C42" s="177" t="s">
        <v>46</v>
      </c>
      <c r="D42" s="72" t="s">
        <v>47</v>
      </c>
      <c r="E42" s="72" t="s">
        <v>25</v>
      </c>
      <c r="F42" s="72" t="s">
        <v>25</v>
      </c>
      <c r="G42" s="66" t="s">
        <v>82</v>
      </c>
      <c r="H42" s="66" t="s">
        <v>78</v>
      </c>
      <c r="I42" s="66">
        <f>'MERCADO TE'!$U$39</f>
        <v>4914.0960000000005</v>
      </c>
      <c r="J42" s="16"/>
      <c r="L42" s="64">
        <f>'TE BE'!$L$42*'TE BE'!$L$50</f>
        <v>-6.6125257869772179E-8</v>
      </c>
      <c r="M42" s="64">
        <f>'TE BE'!$M$42*'TE BE'!$M$50</f>
        <v>0</v>
      </c>
      <c r="N42" s="64">
        <f>'TE BE'!$N$42*'TE BE'!$N$50</f>
        <v>0</v>
      </c>
      <c r="O42" s="64">
        <f>'TE BE'!$O$42*'TE BE'!$O$50</f>
        <v>-0.38100390908719667</v>
      </c>
      <c r="P42" s="64">
        <f>'TE BE'!$P$42*'TE BE'!$P$50</f>
        <v>0</v>
      </c>
      <c r="Q42" s="64">
        <f>SUM($L$42:$P$42)</f>
        <v>-0.38100397521245455</v>
      </c>
      <c r="R42" s="64">
        <f>'TE BE'!$R$42*'TE BE'!$R$50</f>
        <v>0.55748754113320109</v>
      </c>
      <c r="S42" s="64">
        <f>SUM($R$42:$R$42)</f>
        <v>0.55748754113320109</v>
      </c>
      <c r="T42" s="64">
        <f>'TE BE'!$T$42*'TE BE'!$T$50</f>
        <v>0</v>
      </c>
      <c r="U42" s="64">
        <f>'TE BE'!$U$42*'TE BE'!$U$50</f>
        <v>0</v>
      </c>
      <c r="V42" s="64">
        <f>'TE BE'!$V$42*'TE BE'!$V$50</f>
        <v>0</v>
      </c>
      <c r="W42" s="64">
        <f>SUM($T$42:$V$42)</f>
        <v>0</v>
      </c>
      <c r="X42" s="64">
        <f>'TE BE'!$AB$42*'TE BE'!$X$50</f>
        <v>-28.324658144777072</v>
      </c>
      <c r="Y42" s="64">
        <f>SUM($X$42:$X$42)</f>
        <v>-28.324658144777072</v>
      </c>
      <c r="Z42" s="64">
        <f>'TE BE'!$Z$42*'TE BE'!$Z$50</f>
        <v>0</v>
      </c>
      <c r="AA42" s="64">
        <f>SUM($Z$42:$Z$42)</f>
        <v>0</v>
      </c>
      <c r="AB42" s="64">
        <f>SUMIF($L$4:$AA$4,"SUBTOTAL",$L$42:$AA$42)</f>
        <v>-28.148174578856324</v>
      </c>
    </row>
    <row r="43" spans="1:28" ht="11.25" customHeight="1" x14ac:dyDescent="0.25">
      <c r="A43" s="177"/>
      <c r="B43" s="177"/>
      <c r="C43" s="177"/>
      <c r="D43" s="66" t="s">
        <v>97</v>
      </c>
      <c r="E43" s="66" t="s">
        <v>25</v>
      </c>
      <c r="F43" s="66" t="s">
        <v>25</v>
      </c>
      <c r="G43" s="66" t="s">
        <v>82</v>
      </c>
      <c r="H43" s="66" t="s">
        <v>78</v>
      </c>
      <c r="I43" s="66">
        <f>'MERCADO TE'!$U$40</f>
        <v>0</v>
      </c>
      <c r="J43" s="16"/>
      <c r="L43" s="64">
        <f>'TE BE'!$L$43*'TE BE'!$L$50</f>
        <v>-7.2136644948842375E-8</v>
      </c>
      <c r="M43" s="64">
        <f>'TE BE'!$M$43*'TE BE'!$M$50</f>
        <v>0</v>
      </c>
      <c r="N43" s="64">
        <f>'TE BE'!$N$43*'TE BE'!$N$50</f>
        <v>0</v>
      </c>
      <c r="O43" s="64">
        <f>'TE BE'!$O$43*'TE BE'!$O$50</f>
        <v>-0.41564062809512353</v>
      </c>
      <c r="P43" s="64">
        <f>'TE BE'!$P$43*'TE BE'!$P$50</f>
        <v>0</v>
      </c>
      <c r="Q43" s="64">
        <f>SUM($L$43:$P$43)</f>
        <v>-0.41564070023176847</v>
      </c>
      <c r="R43" s="64">
        <f>'TE BE'!$R$43*'TE BE'!$R$50</f>
        <v>0.60816822669076476</v>
      </c>
      <c r="S43" s="64">
        <f>SUM($R$43:$R$43)</f>
        <v>0.60816822669076476</v>
      </c>
      <c r="T43" s="64">
        <f>'TE BE'!$T$43*'TE BE'!$T$50</f>
        <v>0</v>
      </c>
      <c r="U43" s="64">
        <f>'TE BE'!$U$43*'TE BE'!$U$50</f>
        <v>0</v>
      </c>
      <c r="V43" s="64">
        <f>'TE BE'!$V$43*'TE BE'!$V$50</f>
        <v>0</v>
      </c>
      <c r="W43" s="64">
        <f>SUM($T$43:$V$43)</f>
        <v>0</v>
      </c>
      <c r="X43" s="64">
        <f>'TE BE'!$AB$43*'TE BE'!$X$50</f>
        <v>-30.899627067029527</v>
      </c>
      <c r="Y43" s="64">
        <f>SUM($X$43:$X$43)</f>
        <v>-30.899627067029527</v>
      </c>
      <c r="Z43" s="64">
        <f>'TE BE'!$Z$43*'TE BE'!$Z$50</f>
        <v>0</v>
      </c>
      <c r="AA43" s="64">
        <f>SUM($Z$43:$Z$43)</f>
        <v>0</v>
      </c>
      <c r="AB43" s="64">
        <f>SUMIF($L$4:$AA$4,"SUBTOTAL",$L$43:$AA$43)</f>
        <v>-30.707099540570532</v>
      </c>
    </row>
    <row r="45" spans="1:28" ht="11.25" customHeight="1" x14ac:dyDescent="0.25">
      <c r="K45" s="71" t="s">
        <v>589</v>
      </c>
      <c r="L45" s="64">
        <f t="shared" ref="L45:AB45" si="0">SUMPRODUCT($I$5:$I$43,L$5:L$43)</f>
        <v>-8.8885204693480453E-3</v>
      </c>
      <c r="M45" s="64">
        <f t="shared" si="0"/>
        <v>0</v>
      </c>
      <c r="N45" s="64">
        <f t="shared" si="0"/>
        <v>0</v>
      </c>
      <c r="O45" s="64">
        <f t="shared" si="0"/>
        <v>-51214.334036968146</v>
      </c>
      <c r="P45" s="64">
        <f t="shared" si="0"/>
        <v>0</v>
      </c>
      <c r="Q45" s="64">
        <f t="shared" si="0"/>
        <v>-51214.342925488592</v>
      </c>
      <c r="R45" s="64">
        <f t="shared" si="0"/>
        <v>74842.048413565804</v>
      </c>
      <c r="S45" s="64">
        <f t="shared" si="0"/>
        <v>74842.048413565804</v>
      </c>
      <c r="T45" s="64">
        <f t="shared" si="0"/>
        <v>0</v>
      </c>
      <c r="U45" s="64">
        <f t="shared" si="0"/>
        <v>0</v>
      </c>
      <c r="V45" s="64">
        <f t="shared" si="0"/>
        <v>0</v>
      </c>
      <c r="W45" s="64">
        <f t="shared" si="0"/>
        <v>0</v>
      </c>
      <c r="X45" s="64">
        <f t="shared" si="0"/>
        <v>-3802746.9625408254</v>
      </c>
      <c r="Y45" s="64">
        <f t="shared" si="0"/>
        <v>-3802746.9625408254</v>
      </c>
      <c r="Z45" s="64">
        <f t="shared" si="0"/>
        <v>0</v>
      </c>
      <c r="AA45" s="64">
        <f t="shared" si="0"/>
        <v>0</v>
      </c>
      <c r="AB45" s="64">
        <f t="shared" si="0"/>
        <v>-3779119.2570527485</v>
      </c>
    </row>
    <row r="46" spans="1:28" ht="11.25" customHeight="1" x14ac:dyDescent="0.25">
      <c r="K46" s="71" t="s">
        <v>525</v>
      </c>
      <c r="L46" s="64">
        <f>CUSTOS!$D$30</f>
        <v>217388.68030113468</v>
      </c>
      <c r="M46" s="64">
        <f>CUSTOS!$D$31</f>
        <v>0</v>
      </c>
      <c r="N46" s="64">
        <f>CUSTOS!$D$32</f>
        <v>0</v>
      </c>
      <c r="O46" s="64">
        <f>CUSTOS!$D$33</f>
        <v>640267.50349107874</v>
      </c>
      <c r="P46" s="64">
        <f>CUSTOS!$D$34</f>
        <v>0</v>
      </c>
      <c r="Q46" s="64">
        <f>CUSTOS!$D$35</f>
        <v>857656.18379221344</v>
      </c>
      <c r="R46" s="64">
        <f>CUSTOS!$D$36</f>
        <v>20389905.96487087</v>
      </c>
      <c r="S46" s="64">
        <f>CUSTOS!$D$37</f>
        <v>20389905.96487087</v>
      </c>
      <c r="T46" s="64">
        <f>CUSTOS!$D$38</f>
        <v>0</v>
      </c>
      <c r="U46" s="64">
        <f>CUSTOS!$D$39</f>
        <v>0</v>
      </c>
      <c r="V46" s="64">
        <f>CUSTOS!$D$40</f>
        <v>0</v>
      </c>
      <c r="W46" s="64">
        <f>CUSTOS!$D$41</f>
        <v>0</v>
      </c>
      <c r="X46" s="64">
        <f>CUSTOS!$D$42</f>
        <v>0</v>
      </c>
      <c r="Y46" s="64">
        <f>CUSTOS!$D$43</f>
        <v>0</v>
      </c>
      <c r="Z46" s="64">
        <f>CUSTOS!$D$44</f>
        <v>0</v>
      </c>
      <c r="AA46" s="64">
        <f>CUSTOS!$D$45</f>
        <v>0</v>
      </c>
      <c r="AB46" s="64">
        <f>CUSTOS!$D$46</f>
        <v>21247562.148663085</v>
      </c>
    </row>
    <row r="47" spans="1:28" ht="11.25" customHeight="1" x14ac:dyDescent="0.25">
      <c r="K47" s="71" t="s">
        <v>526</v>
      </c>
      <c r="L47" s="64">
        <f>CUSTOS!$E$30</f>
        <v>-8.8885204693480453E-3</v>
      </c>
      <c r="M47" s="64">
        <f>CUSTOS!$E$31</f>
        <v>0</v>
      </c>
      <c r="N47" s="64">
        <f>CUSTOS!$E$32</f>
        <v>0</v>
      </c>
      <c r="O47" s="64">
        <f>CUSTOS!$E$33</f>
        <v>-51214.334036968139</v>
      </c>
      <c r="P47" s="64">
        <f>CUSTOS!$E$34</f>
        <v>0</v>
      </c>
      <c r="Q47" s="64">
        <f>CUSTOS!$E$35</f>
        <v>-51214.342925488607</v>
      </c>
      <c r="R47" s="64">
        <f>CUSTOS!$E$36</f>
        <v>74842.048413565804</v>
      </c>
      <c r="S47" s="64">
        <f>CUSTOS!$E$37</f>
        <v>74842.048413565804</v>
      </c>
      <c r="T47" s="64">
        <f>CUSTOS!$E$38</f>
        <v>0</v>
      </c>
      <c r="U47" s="64">
        <f>CUSTOS!$E$39</f>
        <v>0</v>
      </c>
      <c r="V47" s="64">
        <f>CUSTOS!$E$40</f>
        <v>0</v>
      </c>
      <c r="W47" s="64">
        <f>CUSTOS!$E$41</f>
        <v>0</v>
      </c>
      <c r="X47" s="64">
        <f>CUSTOS!$E$42</f>
        <v>-3802746.9625408254</v>
      </c>
      <c r="Y47" s="64">
        <f>CUSTOS!$E$43</f>
        <v>-3802746.9625408254</v>
      </c>
      <c r="Z47" s="64">
        <f>CUSTOS!$E$44</f>
        <v>0</v>
      </c>
      <c r="AA47" s="64">
        <f>CUSTOS!$E$45</f>
        <v>0</v>
      </c>
      <c r="AB47" s="64">
        <f>CUSTOS!$E$46</f>
        <v>-3779119.257052748</v>
      </c>
    </row>
    <row r="48" spans="1:28" ht="11.25" customHeight="1" x14ac:dyDescent="0.25">
      <c r="K48" s="71" t="s">
        <v>527</v>
      </c>
      <c r="L48" s="64">
        <f>CUSTOS!$F$30</f>
        <v>0</v>
      </c>
      <c r="M48" s="64">
        <f>CUSTOS!$F$31</f>
        <v>0</v>
      </c>
      <c r="N48" s="64">
        <f>CUSTOS!$F$32</f>
        <v>0</v>
      </c>
      <c r="O48" s="64">
        <f>CUSTOS!$F$33</f>
        <v>42001.435756448831</v>
      </c>
      <c r="P48" s="64">
        <f>CUSTOS!$F$34</f>
        <v>0</v>
      </c>
      <c r="Q48" s="64">
        <f>CUSTOS!$F$35</f>
        <v>42001.435756448831</v>
      </c>
      <c r="R48" s="64">
        <f>CUSTOS!$F$36</f>
        <v>868156.7647220213</v>
      </c>
      <c r="S48" s="64">
        <f>CUSTOS!$F$37</f>
        <v>868156.7647220213</v>
      </c>
      <c r="T48" s="64">
        <f>CUSTOS!$F$38</f>
        <v>0</v>
      </c>
      <c r="U48" s="64">
        <f>CUSTOS!$F$39</f>
        <v>0</v>
      </c>
      <c r="V48" s="64">
        <f>CUSTOS!$F$40</f>
        <v>0</v>
      </c>
      <c r="W48" s="64">
        <f>CUSTOS!$F$41</f>
        <v>0</v>
      </c>
      <c r="X48" s="64">
        <f>CUSTOS!$F$42</f>
        <v>0</v>
      </c>
      <c r="Y48" s="64">
        <f>CUSTOS!$F$43</f>
        <v>0</v>
      </c>
      <c r="Z48" s="64">
        <f>CUSTOS!$F$44</f>
        <v>0</v>
      </c>
      <c r="AA48" s="64">
        <f>CUSTOS!$F$45</f>
        <v>0</v>
      </c>
      <c r="AB48" s="64">
        <f>CUSTOS!$F$46</f>
        <v>910158.20047847019</v>
      </c>
    </row>
    <row r="49" spans="11:28" ht="11.25" customHeight="1" x14ac:dyDescent="0.25">
      <c r="K49" s="71" t="s">
        <v>590</v>
      </c>
      <c r="L49" s="64">
        <f>'TR TE'!$L$49*L50</f>
        <v>0</v>
      </c>
      <c r="M49" s="64">
        <f>'TR TE'!$M$49*M50</f>
        <v>0</v>
      </c>
      <c r="N49" s="64">
        <f>'TR TE'!$N$49*N50</f>
        <v>0</v>
      </c>
      <c r="O49" s="64">
        <f>'TR TE'!$O$49*O50</f>
        <v>0.56811904541236413</v>
      </c>
      <c r="P49" s="64">
        <f>'TR TE'!$P$49*P50</f>
        <v>0</v>
      </c>
      <c r="Q49" s="64"/>
      <c r="R49" s="64">
        <f>'TR TE'!$R$49*R50</f>
        <v>11.662903271960337</v>
      </c>
      <c r="S49" s="64"/>
      <c r="T49" s="64">
        <f>'TR TE'!$T$49*T50</f>
        <v>0</v>
      </c>
      <c r="U49" s="64">
        <f>'TR TE'!$U$49*U50</f>
        <v>0</v>
      </c>
      <c r="V49" s="64">
        <f>'TR TE'!$V$49*V50</f>
        <v>0</v>
      </c>
      <c r="W49" s="64"/>
      <c r="X49" s="64"/>
      <c r="Y49" s="64"/>
      <c r="Z49" s="64">
        <f>'TR TE'!$Z$49*Z50</f>
        <v>0</v>
      </c>
      <c r="AA49" s="64"/>
      <c r="AB49" s="64"/>
    </row>
    <row r="50" spans="11:28" ht="11.25" customHeight="1" x14ac:dyDescent="0.25">
      <c r="K50" s="71" t="s">
        <v>585</v>
      </c>
      <c r="L50" s="64">
        <f>IF(L46&lt;&gt;0,L48/L46,0)</f>
        <v>0</v>
      </c>
      <c r="M50" s="64">
        <f>IF(M46&lt;&gt;0,M48/M46,0)</f>
        <v>0</v>
      </c>
      <c r="N50" s="64">
        <f>IF(N46&lt;&gt;0,N48/N46,0)</f>
        <v>0</v>
      </c>
      <c r="O50" s="64">
        <f>IF(O46&lt;&gt;0,O48/O46,0)</f>
        <v>6.559982433503915E-2</v>
      </c>
      <c r="P50" s="64">
        <f>IF(P46&lt;&gt;0,P48/P46,0)</f>
        <v>0</v>
      </c>
      <c r="Q50" s="64"/>
      <c r="R50" s="64">
        <f>IF(R46&lt;&gt;0,R48/R46,0)</f>
        <v>4.2577771874855203E-2</v>
      </c>
      <c r="S50" s="64"/>
      <c r="T50" s="64">
        <f>IF(T46&lt;&gt;0,T48/T46,0)</f>
        <v>0</v>
      </c>
      <c r="U50" s="64">
        <f>IF(U46&lt;&gt;0,U48/U46,0)</f>
        <v>0</v>
      </c>
      <c r="V50" s="64">
        <f>IF(V46&lt;&gt;0,V48/V46,0)</f>
        <v>0</v>
      </c>
      <c r="W50" s="64"/>
      <c r="X50" s="64">
        <f>IF($AB46&lt;&gt;0,X48/($AB46-SUM('TR TE'!$L49:'TR TE'!$AA49)*0),0)</f>
        <v>0</v>
      </c>
      <c r="Y50" s="64"/>
      <c r="Z50" s="64">
        <f>IF(Z46&lt;&gt;0,Z48/Z46,0)</f>
        <v>0</v>
      </c>
      <c r="AA50" s="64"/>
      <c r="AB50" s="64"/>
    </row>
    <row r="51" spans="11:28" ht="11.25" customHeight="1" x14ac:dyDescent="0.25"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8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9:F11"/>
    <mergeCell ref="B12:B16"/>
    <mergeCell ref="C12:C16"/>
    <mergeCell ref="B17:B21"/>
    <mergeCell ref="C17:C21"/>
    <mergeCell ref="A9:A21"/>
    <mergeCell ref="B9:B11"/>
    <mergeCell ref="C9:C11"/>
    <mergeCell ref="D9:D11"/>
    <mergeCell ref="E9:E11"/>
    <mergeCell ref="D30:D32"/>
    <mergeCell ref="E30:E32"/>
    <mergeCell ref="F30:F32"/>
    <mergeCell ref="D22:D24"/>
    <mergeCell ref="E22:E24"/>
    <mergeCell ref="F22:F24"/>
    <mergeCell ref="D26:D28"/>
    <mergeCell ref="E26:E28"/>
    <mergeCell ref="F26:F28"/>
    <mergeCell ref="B34:B36"/>
    <mergeCell ref="C34:C36"/>
    <mergeCell ref="A37:A41"/>
    <mergeCell ref="B37:B39"/>
    <mergeCell ref="C37:C39"/>
    <mergeCell ref="A22:A36"/>
    <mergeCell ref="B22:B24"/>
    <mergeCell ref="C22:C24"/>
    <mergeCell ref="B30:B32"/>
    <mergeCell ref="C30:C32"/>
    <mergeCell ref="B26:B28"/>
    <mergeCell ref="C26:C28"/>
    <mergeCell ref="E37:E39"/>
    <mergeCell ref="F37:F39"/>
    <mergeCell ref="A42:A43"/>
    <mergeCell ref="B42:B43"/>
    <mergeCell ref="C42:C43"/>
    <mergeCell ref="D37:D39"/>
  </mergeCells>
  <conditionalFormatting sqref="L45">
    <cfRule type="cellIs" dxfId="951" priority="33" operator="notEqual">
      <formula>$L$47</formula>
    </cfRule>
    <cfRule type="cellIs" dxfId="950" priority="34" operator="equal">
      <formula>$L$47</formula>
    </cfRule>
  </conditionalFormatting>
  <conditionalFormatting sqref="M45">
    <cfRule type="cellIs" dxfId="949" priority="31" operator="notEqual">
      <formula>$M$47</formula>
    </cfRule>
    <cfRule type="cellIs" dxfId="948" priority="32" operator="equal">
      <formula>$M$47</formula>
    </cfRule>
  </conditionalFormatting>
  <conditionalFormatting sqref="N45">
    <cfRule type="cellIs" dxfId="947" priority="29" operator="notEqual">
      <formula>$N$47</formula>
    </cfRule>
    <cfRule type="cellIs" dxfId="946" priority="30" operator="equal">
      <formula>$N$47</formula>
    </cfRule>
  </conditionalFormatting>
  <conditionalFormatting sqref="O45">
    <cfRule type="cellIs" dxfId="945" priority="27" operator="notEqual">
      <formula>$O$47</formula>
    </cfRule>
    <cfRule type="cellIs" dxfId="944" priority="28" operator="equal">
      <formula>$O$47</formula>
    </cfRule>
  </conditionalFormatting>
  <conditionalFormatting sqref="P45">
    <cfRule type="cellIs" dxfId="943" priority="25" operator="notEqual">
      <formula>$P$47</formula>
    </cfRule>
    <cfRule type="cellIs" dxfId="942" priority="26" operator="equal">
      <formula>$P$47</formula>
    </cfRule>
  </conditionalFormatting>
  <conditionalFormatting sqref="Q45">
    <cfRule type="cellIs" dxfId="941" priority="23" operator="notEqual">
      <formula>$Q$47</formula>
    </cfRule>
    <cfRule type="cellIs" dxfId="940" priority="24" operator="equal">
      <formula>$Q$47</formula>
    </cfRule>
  </conditionalFormatting>
  <conditionalFormatting sqref="R45">
    <cfRule type="cellIs" dxfId="939" priority="21" operator="notEqual">
      <formula>$R$47</formula>
    </cfRule>
    <cfRule type="cellIs" dxfId="938" priority="22" operator="equal">
      <formula>$R$47</formula>
    </cfRule>
  </conditionalFormatting>
  <conditionalFormatting sqref="S45">
    <cfRule type="cellIs" dxfId="937" priority="19" operator="notEqual">
      <formula>$S$47</formula>
    </cfRule>
    <cfRule type="cellIs" dxfId="936" priority="20" operator="equal">
      <formula>$S$47</formula>
    </cfRule>
  </conditionalFormatting>
  <conditionalFormatting sqref="T45">
    <cfRule type="cellIs" dxfId="935" priority="17" operator="notEqual">
      <formula>$T$47</formula>
    </cfRule>
    <cfRule type="cellIs" dxfId="934" priority="18" operator="equal">
      <formula>$T$47</formula>
    </cfRule>
  </conditionalFormatting>
  <conditionalFormatting sqref="U45">
    <cfRule type="cellIs" dxfId="933" priority="15" operator="notEqual">
      <formula>$U$47</formula>
    </cfRule>
    <cfRule type="cellIs" dxfId="932" priority="16" operator="equal">
      <formula>$U$47</formula>
    </cfRule>
  </conditionalFormatting>
  <conditionalFormatting sqref="V45">
    <cfRule type="cellIs" dxfId="931" priority="13" operator="notEqual">
      <formula>$V$47</formula>
    </cfRule>
    <cfRule type="cellIs" dxfId="930" priority="14" operator="equal">
      <formula>$V$47</formula>
    </cfRule>
  </conditionalFormatting>
  <conditionalFormatting sqref="W45">
    <cfRule type="cellIs" dxfId="929" priority="11" operator="notEqual">
      <formula>$W$47</formula>
    </cfRule>
    <cfRule type="cellIs" dxfId="928" priority="12" operator="equal">
      <formula>$W$47</formula>
    </cfRule>
  </conditionalFormatting>
  <conditionalFormatting sqref="X45">
    <cfRule type="cellIs" dxfId="927" priority="9" operator="notEqual">
      <formula>$X$47</formula>
    </cfRule>
    <cfRule type="cellIs" dxfId="926" priority="10" operator="equal">
      <formula>$X$47</formula>
    </cfRule>
  </conditionalFormatting>
  <conditionalFormatting sqref="Y45">
    <cfRule type="cellIs" dxfId="925" priority="7" operator="notEqual">
      <formula>$Y$47</formula>
    </cfRule>
    <cfRule type="cellIs" dxfId="924" priority="8" operator="equal">
      <formula>$Y$47</formula>
    </cfRule>
  </conditionalFormatting>
  <conditionalFormatting sqref="Z45">
    <cfRule type="cellIs" dxfId="923" priority="5" operator="notEqual">
      <formula>$Z$47</formula>
    </cfRule>
    <cfRule type="cellIs" dxfId="922" priority="6" operator="equal">
      <formula>$Z$47</formula>
    </cfRule>
  </conditionalFormatting>
  <conditionalFormatting sqref="AA45">
    <cfRule type="cellIs" dxfId="921" priority="3" operator="notEqual">
      <formula>$AA$47</formula>
    </cfRule>
    <cfRule type="cellIs" dxfId="920" priority="4" operator="equal">
      <formula>$AA$47</formula>
    </cfRule>
  </conditionalFormatting>
  <conditionalFormatting sqref="AB45">
    <cfRule type="cellIs" dxfId="919" priority="1" operator="notEqual">
      <formula>$AB$47</formula>
    </cfRule>
    <cfRule type="cellIs" dxfId="918" priority="2" operator="equal">
      <formula>$AB$47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453AD-259A-4782-8790-EF22E9618DBE}">
  <sheetPr codeName="Planilha15"/>
  <dimension ref="A1:AB51"/>
  <sheetViews>
    <sheetView showGridLines="0" topLeftCell="Q37" workbookViewId="0">
      <selection activeCell="AB45" sqref="AB45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14.28515625" style="9" bestFit="1" customWidth="1"/>
    <col min="12" max="12" width="8.7109375" style="9" bestFit="1" customWidth="1"/>
    <col min="13" max="14" width="7.85546875" style="9" bestFit="1" customWidth="1"/>
    <col min="15" max="15" width="11.140625" style="9" bestFit="1" customWidth="1"/>
    <col min="16" max="16" width="8.140625" style="9" bestFit="1" customWidth="1"/>
    <col min="17" max="17" width="9.28515625" style="9" bestFit="1" customWidth="1"/>
    <col min="18" max="18" width="15" style="9" bestFit="1" customWidth="1"/>
    <col min="19" max="19" width="10.85546875" style="9" bestFit="1" customWidth="1"/>
    <col min="20" max="20" width="7.85546875" style="9" bestFit="1" customWidth="1"/>
    <col min="21" max="21" width="10.42578125" style="9" bestFit="1" customWidth="1"/>
    <col min="22" max="22" width="7.85546875" style="9" bestFit="1" customWidth="1"/>
    <col min="23" max="23" width="9.28515625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28" ht="11.25" customHeight="1" x14ac:dyDescent="0.25">
      <c r="A1" s="176" t="s">
        <v>68</v>
      </c>
      <c r="B1" s="176" t="s">
        <v>69</v>
      </c>
      <c r="C1" s="176" t="s">
        <v>70</v>
      </c>
      <c r="D1" s="176" t="s">
        <v>71</v>
      </c>
      <c r="E1" s="176" t="s">
        <v>72</v>
      </c>
      <c r="F1" s="176" t="s">
        <v>15</v>
      </c>
      <c r="G1" s="176" t="s">
        <v>74</v>
      </c>
      <c r="H1" s="176" t="s">
        <v>75</v>
      </c>
      <c r="I1" s="176" t="s">
        <v>573</v>
      </c>
      <c r="J1" s="155"/>
      <c r="L1" s="174" t="s">
        <v>595</v>
      </c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4"/>
      <c r="AA1" s="174"/>
      <c r="AB1" s="174"/>
    </row>
    <row r="2" spans="1:28" ht="11.25" customHeight="1" x14ac:dyDescent="0.25">
      <c r="A2" s="176"/>
      <c r="B2" s="176"/>
      <c r="C2" s="176"/>
      <c r="D2" s="176"/>
      <c r="E2" s="176"/>
      <c r="F2" s="176"/>
      <c r="G2" s="176"/>
      <c r="H2" s="176"/>
      <c r="I2" s="176"/>
      <c r="J2" s="155"/>
      <c r="L2" s="174" t="s">
        <v>511</v>
      </c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  <c r="AA2" s="174"/>
      <c r="AB2" s="174"/>
    </row>
    <row r="3" spans="1:28" ht="11.25" customHeight="1" x14ac:dyDescent="0.25">
      <c r="A3" s="176"/>
      <c r="B3" s="176"/>
      <c r="C3" s="176"/>
      <c r="D3" s="176"/>
      <c r="E3" s="176"/>
      <c r="F3" s="176"/>
      <c r="G3" s="176"/>
      <c r="H3" s="176"/>
      <c r="I3" s="176"/>
      <c r="J3" s="155"/>
      <c r="L3" s="174" t="s">
        <v>484</v>
      </c>
      <c r="M3" s="174"/>
      <c r="N3" s="174"/>
      <c r="O3" s="174"/>
      <c r="P3" s="174"/>
      <c r="Q3" s="174"/>
      <c r="R3" s="174" t="s">
        <v>515</v>
      </c>
      <c r="S3" s="174"/>
      <c r="T3" s="174" t="s">
        <v>493</v>
      </c>
      <c r="U3" s="174"/>
      <c r="V3" s="174"/>
      <c r="W3" s="174"/>
      <c r="X3" s="174" t="s">
        <v>503</v>
      </c>
      <c r="Y3" s="174"/>
      <c r="Z3" s="174" t="s">
        <v>506</v>
      </c>
      <c r="AA3" s="174"/>
      <c r="AB3" s="174" t="s">
        <v>492</v>
      </c>
    </row>
    <row r="4" spans="1:28" ht="11.25" customHeight="1" x14ac:dyDescent="0.25">
      <c r="A4" s="176"/>
      <c r="B4" s="176"/>
      <c r="C4" s="176"/>
      <c r="D4" s="176"/>
      <c r="E4" s="176"/>
      <c r="F4" s="176"/>
      <c r="G4" s="176"/>
      <c r="H4" s="176"/>
      <c r="I4" s="176"/>
      <c r="J4" s="155"/>
      <c r="L4" s="70" t="s">
        <v>486</v>
      </c>
      <c r="M4" s="70" t="s">
        <v>512</v>
      </c>
      <c r="N4" s="70" t="s">
        <v>513</v>
      </c>
      <c r="O4" s="70" t="s">
        <v>572</v>
      </c>
      <c r="P4" s="70" t="s">
        <v>514</v>
      </c>
      <c r="Q4" s="70" t="s">
        <v>492</v>
      </c>
      <c r="R4" s="70" t="s">
        <v>516</v>
      </c>
      <c r="S4" s="70" t="s">
        <v>492</v>
      </c>
      <c r="T4" s="70" t="s">
        <v>517</v>
      </c>
      <c r="U4" s="70" t="s">
        <v>518</v>
      </c>
      <c r="V4" s="70" t="s">
        <v>519</v>
      </c>
      <c r="W4" s="70" t="s">
        <v>492</v>
      </c>
      <c r="X4" s="70" t="s">
        <v>504</v>
      </c>
      <c r="Y4" s="70" t="s">
        <v>492</v>
      </c>
      <c r="Z4" s="70" t="s">
        <v>520</v>
      </c>
      <c r="AA4" s="70" t="s">
        <v>492</v>
      </c>
      <c r="AB4" s="175"/>
    </row>
    <row r="5" spans="1:28" ht="11.25" customHeight="1" x14ac:dyDescent="0.25">
      <c r="A5" s="177" t="s">
        <v>38</v>
      </c>
      <c r="B5" s="177" t="s">
        <v>77</v>
      </c>
      <c r="C5" s="177" t="s">
        <v>25</v>
      </c>
      <c r="D5" s="177" t="s">
        <v>25</v>
      </c>
      <c r="E5" s="177" t="s">
        <v>25</v>
      </c>
      <c r="F5" s="177" t="s">
        <v>25</v>
      </c>
      <c r="G5" s="66" t="s">
        <v>79</v>
      </c>
      <c r="H5" s="66" t="s">
        <v>78</v>
      </c>
      <c r="I5" s="66">
        <f>'MERCADO TE'!$U$2</f>
        <v>1223.6420000000003</v>
      </c>
      <c r="J5" s="16"/>
      <c r="L5" s="64">
        <f>'TE BE'!$L$5*'TE BF'!$L$50</f>
        <v>0</v>
      </c>
      <c r="M5" s="64">
        <f>'TE BE'!$M$5*'TE BF'!$M$50</f>
        <v>0</v>
      </c>
      <c r="N5" s="64">
        <f>'TE BE'!$N$5*'TE BF'!$N$50</f>
        <v>0</v>
      </c>
      <c r="O5" s="64">
        <f>'TE BE'!$O$5*'TE BF'!$O$50</f>
        <v>0.56811904541236413</v>
      </c>
      <c r="P5" s="64">
        <f>'TE BE'!$P$5*'TE BF'!$P$50</f>
        <v>0</v>
      </c>
      <c r="Q5" s="64">
        <f>SUM($L$5:$P$5)</f>
        <v>0.56811904541236413</v>
      </c>
      <c r="R5" s="64">
        <f>'TE BE'!$R$5*'TE BF'!$R$50</f>
        <v>19.07864584629959</v>
      </c>
      <c r="S5" s="64">
        <f>SUM($R$5:$R$5)</f>
        <v>19.07864584629959</v>
      </c>
      <c r="T5" s="64">
        <f>'TE BE'!$T$5*'TE BF'!$T$50</f>
        <v>0</v>
      </c>
      <c r="U5" s="64">
        <f>'TE BE'!$U$5*'TE BF'!$U$50</f>
        <v>0</v>
      </c>
      <c r="V5" s="64">
        <f>'TE BE'!$V$5*'TE BF'!$V$50</f>
        <v>0</v>
      </c>
      <c r="W5" s="64">
        <f>SUM($T$5:$V$5)</f>
        <v>0</v>
      </c>
      <c r="X5" s="64">
        <f>'TE BE'!$AB$5*'TE BF'!$X$50</f>
        <v>0</v>
      </c>
      <c r="Y5" s="64">
        <f>SUM($X$5:$X$5)</f>
        <v>0</v>
      </c>
      <c r="Z5" s="64">
        <f>'TE BE'!$Z$5*'TE BF'!$Z$50</f>
        <v>0</v>
      </c>
      <c r="AA5" s="64">
        <f>SUM($Z$5:$Z$5)</f>
        <v>0</v>
      </c>
      <c r="AB5" s="64">
        <f>SUMIF($L$4:$AA$4,"SUBTOTAL",$L$5:$AA$5)</f>
        <v>19.646764891711953</v>
      </c>
    </row>
    <row r="6" spans="1:28" ht="11.25" customHeight="1" x14ac:dyDescent="0.25">
      <c r="A6" s="177"/>
      <c r="B6" s="177"/>
      <c r="C6" s="177"/>
      <c r="D6" s="177"/>
      <c r="E6" s="177"/>
      <c r="F6" s="177"/>
      <c r="G6" s="66" t="s">
        <v>80</v>
      </c>
      <c r="H6" s="66" t="s">
        <v>78</v>
      </c>
      <c r="I6" s="66">
        <f>'MERCADO TE'!$U$3</f>
        <v>15134.961000000001</v>
      </c>
      <c r="J6" s="16"/>
      <c r="L6" s="64">
        <f>'TE BE'!$L$6*'TE BF'!$L$50</f>
        <v>0</v>
      </c>
      <c r="M6" s="64">
        <f>'TE BE'!$M$6*'TE BF'!$M$50</f>
        <v>0</v>
      </c>
      <c r="N6" s="64">
        <f>'TE BE'!$N$6*'TE BF'!$N$50</f>
        <v>0</v>
      </c>
      <c r="O6" s="64">
        <f>'TE BE'!$O$6*'TE BF'!$O$50</f>
        <v>0.56811904541236413</v>
      </c>
      <c r="P6" s="64">
        <f>'TE BE'!$P$6*'TE BF'!$P$50</f>
        <v>0</v>
      </c>
      <c r="Q6" s="64">
        <f>SUM($L$6:$P$6)</f>
        <v>0.56811904541236413</v>
      </c>
      <c r="R6" s="64">
        <f>'TE BE'!$R$6*'TE BF'!$R$50</f>
        <v>11.092235957150924</v>
      </c>
      <c r="S6" s="64">
        <f>SUM($R$6:$R$6)</f>
        <v>11.092235957150924</v>
      </c>
      <c r="T6" s="64">
        <f>'TE BE'!$T$6*'TE BF'!$T$50</f>
        <v>0</v>
      </c>
      <c r="U6" s="64">
        <f>'TE BE'!$U$6*'TE BF'!$U$50</f>
        <v>0</v>
      </c>
      <c r="V6" s="64">
        <f>'TE BE'!$V$6*'TE BF'!$V$50</f>
        <v>0</v>
      </c>
      <c r="W6" s="64">
        <f>SUM($T$6:$V$6)</f>
        <v>0</v>
      </c>
      <c r="X6" s="64">
        <f>'TE BE'!$AB$6*'TE BF'!$X$50</f>
        <v>0</v>
      </c>
      <c r="Y6" s="64">
        <f>SUM($X$6:$X$6)</f>
        <v>0</v>
      </c>
      <c r="Z6" s="64">
        <f>'TE BE'!$Z$6*'TE BF'!$Z$50</f>
        <v>0</v>
      </c>
      <c r="AA6" s="64">
        <f>SUM($Z$6:$Z$6)</f>
        <v>0</v>
      </c>
      <c r="AB6" s="64">
        <f>SUMIF($L$4:$AA$4,"SUBTOTAL",$L$6:$AA$6)</f>
        <v>11.660355002563289</v>
      </c>
    </row>
    <row r="7" spans="1:28" ht="11.25" customHeight="1" x14ac:dyDescent="0.25">
      <c r="A7" s="177"/>
      <c r="B7" s="72" t="s">
        <v>81</v>
      </c>
      <c r="C7" s="72" t="s">
        <v>25</v>
      </c>
      <c r="D7" s="72" t="s">
        <v>25</v>
      </c>
      <c r="E7" s="72" t="s">
        <v>25</v>
      </c>
      <c r="F7" s="72" t="s">
        <v>25</v>
      </c>
      <c r="G7" s="66" t="s">
        <v>82</v>
      </c>
      <c r="H7" s="66" t="s">
        <v>78</v>
      </c>
      <c r="I7" s="66">
        <f>'MERCADO TE'!$U$4</f>
        <v>0</v>
      </c>
      <c r="J7" s="16"/>
      <c r="L7" s="64">
        <f>'TE BE'!$L$7*'TE BF'!$L$50</f>
        <v>0</v>
      </c>
      <c r="M7" s="64">
        <f>'TE BE'!$M$7*'TE BF'!$M$50</f>
        <v>0</v>
      </c>
      <c r="N7" s="64">
        <f>'TE BE'!$N$7*'TE BF'!$N$50</f>
        <v>0</v>
      </c>
      <c r="O7" s="64">
        <f>'TE BE'!$O$7*'TE BF'!$O$50</f>
        <v>0.56811904541236413</v>
      </c>
      <c r="P7" s="64">
        <f>'TE BE'!$P$7*'TE BF'!$P$50</f>
        <v>0</v>
      </c>
      <c r="Q7" s="64">
        <f>SUM($L$7:$P$7)</f>
        <v>0.56811904541236413</v>
      </c>
      <c r="R7" s="64">
        <f>'TE BE'!$R$7*'TE BF'!$R$50</f>
        <v>11.75777011457998</v>
      </c>
      <c r="S7" s="64">
        <f>SUM($R$7:$R$7)</f>
        <v>11.75777011457998</v>
      </c>
      <c r="T7" s="64">
        <f>'TE BE'!$T$7*'TE BF'!$T$50</f>
        <v>0</v>
      </c>
      <c r="U7" s="64">
        <f>'TE BE'!$U$7*'TE BF'!$U$50</f>
        <v>0</v>
      </c>
      <c r="V7" s="64">
        <f>'TE BE'!$V$7*'TE BF'!$V$50</f>
        <v>0</v>
      </c>
      <c r="W7" s="64">
        <f>SUM($T$7:$V$7)</f>
        <v>0</v>
      </c>
      <c r="X7" s="64">
        <f>'TE BE'!$AB$7*'TE BF'!$X$50</f>
        <v>0</v>
      </c>
      <c r="Y7" s="64">
        <f>SUM($X$7:$X$7)</f>
        <v>0</v>
      </c>
      <c r="Z7" s="64">
        <f>'TE BE'!$Z$7*'TE BF'!$Z$50</f>
        <v>0</v>
      </c>
      <c r="AA7" s="64">
        <f>SUM($Z$7:$Z$7)</f>
        <v>0</v>
      </c>
      <c r="AB7" s="64">
        <f>SUMIF($L$4:$AA$4,"SUBTOTAL",$L$7:$AA$7)</f>
        <v>12.325889159992345</v>
      </c>
    </row>
    <row r="8" spans="1:28" ht="11.25" customHeight="1" x14ac:dyDescent="0.25">
      <c r="A8" s="177"/>
      <c r="B8" s="72" t="s">
        <v>87</v>
      </c>
      <c r="C8" s="72" t="s">
        <v>25</v>
      </c>
      <c r="D8" s="72" t="s">
        <v>25</v>
      </c>
      <c r="E8" s="72" t="s">
        <v>88</v>
      </c>
      <c r="F8" s="72" t="s">
        <v>25</v>
      </c>
      <c r="G8" s="66" t="s">
        <v>82</v>
      </c>
      <c r="H8" s="66" t="s">
        <v>78</v>
      </c>
      <c r="I8" s="66">
        <f>'MERCADO TE'!$U$5</f>
        <v>0</v>
      </c>
      <c r="J8" s="16"/>
      <c r="L8" s="64">
        <f>'TE BE'!$L$8*'TE BF'!$L$50</f>
        <v>0</v>
      </c>
      <c r="M8" s="64">
        <f>'TE BE'!$M$8*'TE BF'!$M$50</f>
        <v>0</v>
      </c>
      <c r="N8" s="64">
        <f>'TE BE'!$N$8*'TE BF'!$N$50</f>
        <v>0</v>
      </c>
      <c r="O8" s="64">
        <f>'TE BE'!$O$8*'TE BF'!$O$50</f>
        <v>0.56811904541236413</v>
      </c>
      <c r="P8" s="64">
        <f>'TE BE'!$P$8*'TE BF'!$P$50</f>
        <v>0</v>
      </c>
      <c r="Q8" s="64">
        <f>SUM($L$8:$P$8)</f>
        <v>0.56811904541236413</v>
      </c>
      <c r="R8" s="64">
        <f>'TE BE'!$R$8*'TE BF'!$R$50</f>
        <v>11.662903271960337</v>
      </c>
      <c r="S8" s="64">
        <f>SUM($R$8:$R$8)</f>
        <v>11.662903271960337</v>
      </c>
      <c r="T8" s="64">
        <f>'TE BE'!$T$8*'TE BF'!$T$50</f>
        <v>0</v>
      </c>
      <c r="U8" s="64">
        <f>'TE BE'!$U$8*'TE BF'!$U$50</f>
        <v>0</v>
      </c>
      <c r="V8" s="64">
        <f>'TE BE'!$V$8*'TE BF'!$V$50</f>
        <v>0</v>
      </c>
      <c r="W8" s="64">
        <f>SUM($T$8:$V$8)</f>
        <v>0</v>
      </c>
      <c r="X8" s="64">
        <v>0</v>
      </c>
      <c r="Y8" s="64">
        <f>SUM($X$8:$X$8)</f>
        <v>0</v>
      </c>
      <c r="Z8" s="64">
        <f>'TE BE'!$Z$8*'TE BF'!$Z$50</f>
        <v>0</v>
      </c>
      <c r="AA8" s="64">
        <f>SUM($Z$8:$Z$8)</f>
        <v>0</v>
      </c>
      <c r="AB8" s="64">
        <f>SUMIF($L$4:$AA$4,"SUBTOTAL",$L$8:$AA$8)</f>
        <v>12.231022317372702</v>
      </c>
    </row>
    <row r="9" spans="1:28" ht="11.25" customHeight="1" x14ac:dyDescent="0.25">
      <c r="A9" s="177" t="s">
        <v>22</v>
      </c>
      <c r="B9" s="177" t="s">
        <v>77</v>
      </c>
      <c r="C9" s="177" t="s">
        <v>24</v>
      </c>
      <c r="D9" s="177" t="s">
        <v>24</v>
      </c>
      <c r="E9" s="177" t="s">
        <v>25</v>
      </c>
      <c r="F9" s="177" t="s">
        <v>25</v>
      </c>
      <c r="G9" s="66" t="s">
        <v>79</v>
      </c>
      <c r="H9" s="66" t="s">
        <v>78</v>
      </c>
      <c r="I9" s="66">
        <f>'MERCADO TE'!$U$6</f>
        <v>2.7580000000000005</v>
      </c>
      <c r="J9" s="16"/>
      <c r="L9" s="64">
        <f>'TE BE'!$L$9*'TE BF'!$L$50</f>
        <v>0</v>
      </c>
      <c r="M9" s="64">
        <f>'TE BE'!$M$9*'TE BF'!$M$50</f>
        <v>0</v>
      </c>
      <c r="N9" s="64">
        <f>'TE BE'!$N$9*'TE BF'!$N$50</f>
        <v>0</v>
      </c>
      <c r="O9" s="64">
        <f>'TE BE'!$O$9*'TE BF'!$O$50</f>
        <v>0.56811904541236413</v>
      </c>
      <c r="P9" s="64">
        <f>'TE BE'!$P$9*'TE BF'!$P$50</f>
        <v>0</v>
      </c>
      <c r="Q9" s="64">
        <f>SUM($L$9:$P$9)</f>
        <v>0.56811904541236413</v>
      </c>
      <c r="R9" s="64">
        <f>'TE BE'!$R$9*'TE BF'!$R$50</f>
        <v>19.07864584629959</v>
      </c>
      <c r="S9" s="64">
        <f>SUM($R$9:$R$9)</f>
        <v>19.07864584629959</v>
      </c>
      <c r="T9" s="64">
        <f>'TE BE'!$T$9*'TE BF'!$T$50</f>
        <v>0</v>
      </c>
      <c r="U9" s="64">
        <f>'TE BE'!$U$9*'TE BF'!$U$50</f>
        <v>0</v>
      </c>
      <c r="V9" s="64">
        <f>'TE BE'!$V$9*'TE BF'!$V$50</f>
        <v>0</v>
      </c>
      <c r="W9" s="64">
        <f>SUM($T$9:$V$9)</f>
        <v>0</v>
      </c>
      <c r="X9" s="64">
        <f>'TE BE'!$AB$9*'TE BF'!$X$50</f>
        <v>0</v>
      </c>
      <c r="Y9" s="64">
        <f>SUM($X$9:$X$9)</f>
        <v>0</v>
      </c>
      <c r="Z9" s="64">
        <f>'TE BE'!$Z$9*'TE BF'!$Z$50</f>
        <v>0</v>
      </c>
      <c r="AA9" s="64">
        <f>SUM($Z$9:$Z$9)</f>
        <v>0</v>
      </c>
      <c r="AB9" s="64">
        <f>SUMIF($L$4:$AA$4,"SUBTOTAL",$L$9:$AA$9)</f>
        <v>19.646764891711953</v>
      </c>
    </row>
    <row r="10" spans="1:28" ht="11.25" customHeight="1" x14ac:dyDescent="0.25">
      <c r="A10" s="177"/>
      <c r="B10" s="177"/>
      <c r="C10" s="177"/>
      <c r="D10" s="177"/>
      <c r="E10" s="177"/>
      <c r="F10" s="177"/>
      <c r="G10" s="66" t="s">
        <v>92</v>
      </c>
      <c r="H10" s="66" t="s">
        <v>78</v>
      </c>
      <c r="I10" s="66">
        <f>'MERCADO TE'!$U$7</f>
        <v>1.9870000000000001</v>
      </c>
      <c r="J10" s="16"/>
      <c r="L10" s="64">
        <f>'TE BE'!$L$10*'TE BF'!$L$50</f>
        <v>0</v>
      </c>
      <c r="M10" s="64">
        <f>'TE BE'!$M$10*'TE BF'!$M$50</f>
        <v>0</v>
      </c>
      <c r="N10" s="64">
        <f>'TE BE'!$N$10*'TE BF'!$N$50</f>
        <v>0</v>
      </c>
      <c r="O10" s="64">
        <f>'TE BE'!$O$10*'TE BF'!$O$50</f>
        <v>0.56811904541236413</v>
      </c>
      <c r="P10" s="64">
        <f>'TE BE'!$P$10*'TE BF'!$P$50</f>
        <v>0</v>
      </c>
      <c r="Q10" s="64">
        <f>SUM($L$10:$P$10)</f>
        <v>0.56811904541236413</v>
      </c>
      <c r="R10" s="64">
        <f>'TE BE'!$R$10*'TE BF'!$R$50</f>
        <v>11.092235957150924</v>
      </c>
      <c r="S10" s="64">
        <f>SUM($R$10:$R$10)</f>
        <v>11.092235957150924</v>
      </c>
      <c r="T10" s="64">
        <f>'TE BE'!$T$10*'TE BF'!$T$50</f>
        <v>0</v>
      </c>
      <c r="U10" s="64">
        <f>'TE BE'!$U$10*'TE BF'!$U$50</f>
        <v>0</v>
      </c>
      <c r="V10" s="64">
        <f>'TE BE'!$V$10*'TE BF'!$V$50</f>
        <v>0</v>
      </c>
      <c r="W10" s="64">
        <f>SUM($T$10:$V$10)</f>
        <v>0</v>
      </c>
      <c r="X10" s="64">
        <f>'TE BE'!$AB$10*'TE BF'!$X$50</f>
        <v>0</v>
      </c>
      <c r="Y10" s="64">
        <f>SUM($X$10:$X$10)</f>
        <v>0</v>
      </c>
      <c r="Z10" s="64">
        <f>'TE BE'!$Z$10*'TE BF'!$Z$50</f>
        <v>0</v>
      </c>
      <c r="AA10" s="64">
        <f>SUM($Z$10:$Z$10)</f>
        <v>0</v>
      </c>
      <c r="AB10" s="64">
        <f>SUMIF($L$4:$AA$4,"SUBTOTAL",$L$10:$AA$10)</f>
        <v>11.660355002563289</v>
      </c>
    </row>
    <row r="11" spans="1:28" ht="11.25" customHeight="1" x14ac:dyDescent="0.25">
      <c r="A11" s="177"/>
      <c r="B11" s="177"/>
      <c r="C11" s="177"/>
      <c r="D11" s="177"/>
      <c r="E11" s="177"/>
      <c r="F11" s="177"/>
      <c r="G11" s="66" t="s">
        <v>80</v>
      </c>
      <c r="H11" s="66" t="s">
        <v>78</v>
      </c>
      <c r="I11" s="66">
        <f>'MERCADO TE'!$U$8</f>
        <v>16.794</v>
      </c>
      <c r="J11" s="16"/>
      <c r="L11" s="64">
        <f>'TE BE'!$L$11*'TE BF'!$L$50</f>
        <v>0</v>
      </c>
      <c r="M11" s="64">
        <f>'TE BE'!$M$11*'TE BF'!$M$50</f>
        <v>0</v>
      </c>
      <c r="N11" s="64">
        <f>'TE BE'!$N$11*'TE BF'!$N$50</f>
        <v>0</v>
      </c>
      <c r="O11" s="64">
        <f>'TE BE'!$O$11*'TE BF'!$O$50</f>
        <v>0.56811904541236413</v>
      </c>
      <c r="P11" s="64">
        <f>'TE BE'!$P$11*'TE BF'!$P$50</f>
        <v>0</v>
      </c>
      <c r="Q11" s="64">
        <f>SUM($L$11:$P$11)</f>
        <v>0.56811904541236413</v>
      </c>
      <c r="R11" s="64">
        <f>'TE BE'!$R$11*'TE BF'!$R$50</f>
        <v>11.092235957150924</v>
      </c>
      <c r="S11" s="64">
        <f>SUM($R$11:$R$11)</f>
        <v>11.092235957150924</v>
      </c>
      <c r="T11" s="64">
        <f>'TE BE'!$T$11*'TE BF'!$T$50</f>
        <v>0</v>
      </c>
      <c r="U11" s="64">
        <f>'TE BE'!$U$11*'TE BF'!$U$50</f>
        <v>0</v>
      </c>
      <c r="V11" s="64">
        <f>'TE BE'!$V$11*'TE BF'!$V$50</f>
        <v>0</v>
      </c>
      <c r="W11" s="64">
        <f>SUM($T$11:$V$11)</f>
        <v>0</v>
      </c>
      <c r="X11" s="64">
        <f>'TE BE'!$AB$11*'TE BF'!$X$50</f>
        <v>0</v>
      </c>
      <c r="Y11" s="64">
        <f>SUM($X$11:$X$11)</f>
        <v>0</v>
      </c>
      <c r="Z11" s="64">
        <f>'TE BE'!$Z$11*'TE BF'!$Z$50</f>
        <v>0</v>
      </c>
      <c r="AA11" s="64">
        <f>SUM($Z$11:$Z$11)</f>
        <v>0</v>
      </c>
      <c r="AB11" s="64">
        <f>SUMIF($L$4:$AA$4,"SUBTOTAL",$L$11:$AA$11)</f>
        <v>11.660355002563289</v>
      </c>
    </row>
    <row r="12" spans="1:28" ht="11.25" customHeight="1" x14ac:dyDescent="0.25">
      <c r="A12" s="177"/>
      <c r="B12" s="177" t="s">
        <v>81</v>
      </c>
      <c r="C12" s="177" t="s">
        <v>24</v>
      </c>
      <c r="D12" s="72" t="s">
        <v>24</v>
      </c>
      <c r="E12" s="72" t="s">
        <v>25</v>
      </c>
      <c r="F12" s="72" t="s">
        <v>25</v>
      </c>
      <c r="G12" s="66" t="s">
        <v>82</v>
      </c>
      <c r="H12" s="66" t="s">
        <v>78</v>
      </c>
      <c r="I12" s="66">
        <f>'MERCADO TE'!$U$9</f>
        <v>38061.052999999993</v>
      </c>
      <c r="J12" s="16"/>
      <c r="L12" s="64">
        <f>'TE BE'!$L$12*'TE BF'!$L$50</f>
        <v>0</v>
      </c>
      <c r="M12" s="64">
        <f>'TE BE'!$M$12*'TE BF'!$M$50</f>
        <v>0</v>
      </c>
      <c r="N12" s="64">
        <f>'TE BE'!$N$12*'TE BF'!$N$50</f>
        <v>0</v>
      </c>
      <c r="O12" s="64">
        <f>'TE BE'!$O$12*'TE BF'!$O$50</f>
        <v>0.56811904541236413</v>
      </c>
      <c r="P12" s="64">
        <f>'TE BE'!$P$12*'TE BF'!$P$50</f>
        <v>0</v>
      </c>
      <c r="Q12" s="64">
        <f>SUM($L$12:$P$12)</f>
        <v>0.56811904541236413</v>
      </c>
      <c r="R12" s="64">
        <f>'TE BE'!$R$12*'TE BF'!$R$50</f>
        <v>11.75777011457998</v>
      </c>
      <c r="S12" s="64">
        <f>SUM($R$12:$R$12)</f>
        <v>11.75777011457998</v>
      </c>
      <c r="T12" s="64">
        <f>'TE BE'!$T$12*'TE BF'!$T$50</f>
        <v>0</v>
      </c>
      <c r="U12" s="64">
        <f>'TE BE'!$U$12*'TE BF'!$U$50</f>
        <v>0</v>
      </c>
      <c r="V12" s="64">
        <f>'TE BE'!$V$12*'TE BF'!$V$50</f>
        <v>0</v>
      </c>
      <c r="W12" s="64">
        <f>SUM($T$12:$V$12)</f>
        <v>0</v>
      </c>
      <c r="X12" s="64">
        <f>'TE BE'!$AB$12*'TE BF'!$X$50</f>
        <v>0</v>
      </c>
      <c r="Y12" s="64">
        <f>SUM($X$12:$X$12)</f>
        <v>0</v>
      </c>
      <c r="Z12" s="64">
        <f>'TE BE'!$Z$12*'TE BF'!$Z$50</f>
        <v>0</v>
      </c>
      <c r="AA12" s="64">
        <f>SUM($Z$12:$Z$12)</f>
        <v>0</v>
      </c>
      <c r="AB12" s="64">
        <f>SUMIF($L$4:$AA$4,"SUBTOTAL",$L$12:$AA$12)</f>
        <v>12.325889159992345</v>
      </c>
    </row>
    <row r="13" spans="1:28" ht="11.25" customHeight="1" x14ac:dyDescent="0.25">
      <c r="A13" s="177"/>
      <c r="B13" s="177"/>
      <c r="C13" s="177"/>
      <c r="D13" s="72" t="s">
        <v>28</v>
      </c>
      <c r="E13" s="72" t="s">
        <v>25</v>
      </c>
      <c r="F13" s="72" t="s">
        <v>25</v>
      </c>
      <c r="G13" s="66" t="s">
        <v>82</v>
      </c>
      <c r="H13" s="66" t="s">
        <v>78</v>
      </c>
      <c r="I13" s="66">
        <f>'MERCADO TE'!$U$10</f>
        <v>264.92899999999997</v>
      </c>
      <c r="J13" s="16"/>
      <c r="L13" s="64">
        <f>'TE BE'!$L$13*'TE BF'!$L$50</f>
        <v>0</v>
      </c>
      <c r="M13" s="64">
        <f>'TE BE'!$M$13*'TE BF'!$M$50</f>
        <v>0</v>
      </c>
      <c r="N13" s="64">
        <f>'TE BE'!$N$13*'TE BF'!$N$50</f>
        <v>0</v>
      </c>
      <c r="O13" s="64">
        <f>'TE BE'!$O$13*'TE BF'!$O$50</f>
        <v>0.56811904541236413</v>
      </c>
      <c r="P13" s="64">
        <f>'TE BE'!$P$13*'TE BF'!$P$50</f>
        <v>0</v>
      </c>
      <c r="Q13" s="64">
        <f>SUM($L$13:$P$13)</f>
        <v>0.56811904541236413</v>
      </c>
      <c r="R13" s="64">
        <f>'TE BE'!$R$13*'TE BF'!$R$50</f>
        <v>11.75777011457998</v>
      </c>
      <c r="S13" s="64">
        <f>SUM($R$13:$R$13)</f>
        <v>11.75777011457998</v>
      </c>
      <c r="T13" s="64">
        <f>'TE BE'!$T$13*'TE BF'!$T$50</f>
        <v>0</v>
      </c>
      <c r="U13" s="64">
        <f>'TE BE'!$U$13*'TE BF'!$U$50</f>
        <v>0</v>
      </c>
      <c r="V13" s="64">
        <f>'TE BE'!$V$13*'TE BF'!$V$50</f>
        <v>0</v>
      </c>
      <c r="W13" s="64">
        <f>SUM($T$13:$V$13)</f>
        <v>0</v>
      </c>
      <c r="X13" s="64">
        <f>'TE BE'!$AB$13*'TE BF'!$X$50</f>
        <v>0</v>
      </c>
      <c r="Y13" s="64">
        <f>SUM($X$13:$X$13)</f>
        <v>0</v>
      </c>
      <c r="Z13" s="64">
        <f>'TE BE'!$Z$13*'TE BF'!$Z$50</f>
        <v>0</v>
      </c>
      <c r="AA13" s="64">
        <f>SUM($Z$13:$Z$13)</f>
        <v>0</v>
      </c>
      <c r="AB13" s="64">
        <f>SUMIF($L$4:$AA$4,"SUBTOTAL",$L$13:$AA$13)</f>
        <v>12.325889159992345</v>
      </c>
    </row>
    <row r="14" spans="1:28" ht="11.25" customHeight="1" x14ac:dyDescent="0.25">
      <c r="A14" s="177"/>
      <c r="B14" s="177"/>
      <c r="C14" s="177"/>
      <c r="D14" s="72" t="s">
        <v>29</v>
      </c>
      <c r="E14" s="72" t="s">
        <v>25</v>
      </c>
      <c r="F14" s="72" t="s">
        <v>25</v>
      </c>
      <c r="G14" s="66" t="s">
        <v>82</v>
      </c>
      <c r="H14" s="66" t="s">
        <v>78</v>
      </c>
      <c r="I14" s="66">
        <f>'MERCADO TE'!$U$11</f>
        <v>546.98300000000006</v>
      </c>
      <c r="J14" s="16"/>
      <c r="L14" s="64">
        <f>'TE BE'!$L$14*'TE BF'!$L$50</f>
        <v>0</v>
      </c>
      <c r="M14" s="64">
        <f>'TE BE'!$M$14*'TE BF'!$M$50</f>
        <v>0</v>
      </c>
      <c r="N14" s="64">
        <f>'TE BE'!$N$14*'TE BF'!$N$50</f>
        <v>0</v>
      </c>
      <c r="O14" s="64">
        <f>'TE BE'!$O$14*'TE BF'!$O$50</f>
        <v>0.56811904541236413</v>
      </c>
      <c r="P14" s="64">
        <f>'TE BE'!$P$14*'TE BF'!$P$50</f>
        <v>0</v>
      </c>
      <c r="Q14" s="64">
        <f>SUM($L$14:$P$14)</f>
        <v>0.56811904541236413</v>
      </c>
      <c r="R14" s="64">
        <f>'TE BE'!$R$14*'TE BF'!$R$50</f>
        <v>11.75777011457998</v>
      </c>
      <c r="S14" s="64">
        <f>SUM($R$14:$R$14)</f>
        <v>11.75777011457998</v>
      </c>
      <c r="T14" s="64">
        <f>'TE BE'!$T$14*'TE BF'!$T$50</f>
        <v>0</v>
      </c>
      <c r="U14" s="64">
        <f>'TE BE'!$U$14*'TE BF'!$U$50</f>
        <v>0</v>
      </c>
      <c r="V14" s="64">
        <f>'TE BE'!$V$14*'TE BF'!$V$50</f>
        <v>0</v>
      </c>
      <c r="W14" s="64">
        <f>SUM($T$14:$V$14)</f>
        <v>0</v>
      </c>
      <c r="X14" s="64">
        <f>'TE BE'!$AB$14*'TE BF'!$X$50</f>
        <v>0</v>
      </c>
      <c r="Y14" s="64">
        <f>SUM($X$14:$X$14)</f>
        <v>0</v>
      </c>
      <c r="Z14" s="64">
        <f>'TE BE'!$Z$14*'TE BF'!$Z$50</f>
        <v>0</v>
      </c>
      <c r="AA14" s="64">
        <f>SUM($Z$14:$Z$14)</f>
        <v>0</v>
      </c>
      <c r="AB14" s="64">
        <f>SUMIF($L$4:$AA$4,"SUBTOTAL",$L$14:$AA$14)</f>
        <v>12.325889159992345</v>
      </c>
    </row>
    <row r="15" spans="1:28" ht="11.25" customHeight="1" x14ac:dyDescent="0.25">
      <c r="A15" s="177"/>
      <c r="B15" s="177"/>
      <c r="C15" s="177"/>
      <c r="D15" s="72" t="s">
        <v>30</v>
      </c>
      <c r="E15" s="72" t="s">
        <v>25</v>
      </c>
      <c r="F15" s="72" t="s">
        <v>25</v>
      </c>
      <c r="G15" s="66" t="s">
        <v>82</v>
      </c>
      <c r="H15" s="66" t="s">
        <v>78</v>
      </c>
      <c r="I15" s="66">
        <f>'MERCADO TE'!$U$12</f>
        <v>480.18299999999999</v>
      </c>
      <c r="J15" s="16"/>
      <c r="L15" s="64">
        <f>'TE BE'!$L$15*'TE BF'!$L$50</f>
        <v>0</v>
      </c>
      <c r="M15" s="64">
        <f>'TE BE'!$M$15*'TE BF'!$M$50</f>
        <v>0</v>
      </c>
      <c r="N15" s="64">
        <f>'TE BE'!$N$15*'TE BF'!$N$50</f>
        <v>0</v>
      </c>
      <c r="O15" s="64">
        <f>'TE BE'!$O$15*'TE BF'!$O$50</f>
        <v>0.56811904541236413</v>
      </c>
      <c r="P15" s="64">
        <f>'TE BE'!$P$15*'TE BF'!$P$50</f>
        <v>0</v>
      </c>
      <c r="Q15" s="64">
        <f>SUM($L$15:$P$15)</f>
        <v>0.56811904541236413</v>
      </c>
      <c r="R15" s="64">
        <f>'TE BE'!$R$15*'TE BF'!$R$50</f>
        <v>11.75777011457998</v>
      </c>
      <c r="S15" s="64">
        <f>SUM($R$15:$R$15)</f>
        <v>11.75777011457998</v>
      </c>
      <c r="T15" s="64">
        <f>'TE BE'!$T$15*'TE BF'!$T$50</f>
        <v>0</v>
      </c>
      <c r="U15" s="64">
        <f>'TE BE'!$U$15*'TE BF'!$U$50</f>
        <v>0</v>
      </c>
      <c r="V15" s="64">
        <f>'TE BE'!$V$15*'TE BF'!$V$50</f>
        <v>0</v>
      </c>
      <c r="W15" s="64">
        <f>SUM($T$15:$V$15)</f>
        <v>0</v>
      </c>
      <c r="X15" s="64">
        <f>'TE BE'!$AB$15*'TE BF'!$X$50</f>
        <v>0</v>
      </c>
      <c r="Y15" s="64">
        <f>SUM($X$15:$X$15)</f>
        <v>0</v>
      </c>
      <c r="Z15" s="64">
        <f>'TE BE'!$Z$15*'TE BF'!$Z$50</f>
        <v>0</v>
      </c>
      <c r="AA15" s="64">
        <f>SUM($Z$15:$Z$15)</f>
        <v>0</v>
      </c>
      <c r="AB15" s="64">
        <f>SUMIF($L$4:$AA$4,"SUBTOTAL",$L$15:$AA$15)</f>
        <v>12.325889159992345</v>
      </c>
    </row>
    <row r="16" spans="1:28" ht="11.25" customHeight="1" x14ac:dyDescent="0.25">
      <c r="A16" s="177"/>
      <c r="B16" s="177"/>
      <c r="C16" s="177"/>
      <c r="D16" s="72" t="s">
        <v>31</v>
      </c>
      <c r="E16" s="72" t="s">
        <v>25</v>
      </c>
      <c r="F16" s="72" t="s">
        <v>25</v>
      </c>
      <c r="G16" s="66" t="s">
        <v>82</v>
      </c>
      <c r="H16" s="66" t="s">
        <v>78</v>
      </c>
      <c r="I16" s="66">
        <f>'MERCADO TE'!$U$13</f>
        <v>145.91099999999997</v>
      </c>
      <c r="J16" s="16"/>
      <c r="L16" s="64">
        <f>'TE BE'!$L$16*'TE BF'!$L$50</f>
        <v>0</v>
      </c>
      <c r="M16" s="64">
        <f>'TE BE'!$M$16*'TE BF'!$M$50</f>
        <v>0</v>
      </c>
      <c r="N16" s="64">
        <f>'TE BE'!$N$16*'TE BF'!$N$50</f>
        <v>0</v>
      </c>
      <c r="O16" s="64">
        <f>'TE BE'!$O$16*'TE BF'!$O$50</f>
        <v>0.56811904541236413</v>
      </c>
      <c r="P16" s="64">
        <f>'TE BE'!$P$16*'TE BF'!$P$50</f>
        <v>0</v>
      </c>
      <c r="Q16" s="64">
        <f>SUM($L$16:$P$16)</f>
        <v>0.56811904541236413</v>
      </c>
      <c r="R16" s="64">
        <f>'TE BE'!$R$16*'TE BF'!$R$50</f>
        <v>11.75777011457998</v>
      </c>
      <c r="S16" s="64">
        <f>SUM($R$16:$R$16)</f>
        <v>11.75777011457998</v>
      </c>
      <c r="T16" s="64">
        <f>'TE BE'!$T$16*'TE BF'!$T$50</f>
        <v>0</v>
      </c>
      <c r="U16" s="64">
        <f>'TE BE'!$U$16*'TE BF'!$U$50</f>
        <v>0</v>
      </c>
      <c r="V16" s="64">
        <f>'TE BE'!$V$16*'TE BF'!$V$50</f>
        <v>0</v>
      </c>
      <c r="W16" s="64">
        <f>SUM($T$16:$V$16)</f>
        <v>0</v>
      </c>
      <c r="X16" s="64">
        <f>'TE BE'!$AB$16*'TE BF'!$X$50</f>
        <v>0</v>
      </c>
      <c r="Y16" s="64">
        <f>SUM($X$16:$X$16)</f>
        <v>0</v>
      </c>
      <c r="Z16" s="64">
        <f>'TE BE'!$Z$16*'TE BF'!$Z$50</f>
        <v>0</v>
      </c>
      <c r="AA16" s="64">
        <f>SUM($Z$16:$Z$16)</f>
        <v>0</v>
      </c>
      <c r="AB16" s="64">
        <f>SUMIF($L$4:$AA$4,"SUBTOTAL",$L$16:$AA$16)</f>
        <v>12.325889159992345</v>
      </c>
    </row>
    <row r="17" spans="1:28" ht="11.25" customHeight="1" x14ac:dyDescent="0.25">
      <c r="A17" s="177"/>
      <c r="B17" s="177" t="s">
        <v>93</v>
      </c>
      <c r="C17" s="177" t="s">
        <v>24</v>
      </c>
      <c r="D17" s="72" t="s">
        <v>24</v>
      </c>
      <c r="E17" s="72" t="s">
        <v>25</v>
      </c>
      <c r="F17" s="72" t="s">
        <v>25</v>
      </c>
      <c r="G17" s="66" t="s">
        <v>82</v>
      </c>
      <c r="H17" s="66" t="s">
        <v>78</v>
      </c>
      <c r="I17" s="66">
        <f>'MERCADO TE'!$U$14</f>
        <v>0</v>
      </c>
      <c r="J17" s="16"/>
      <c r="L17" s="64">
        <f>'TE BE'!$L$17*'TE BF'!$L$50</f>
        <v>0</v>
      </c>
      <c r="M17" s="64">
        <f>'TE BE'!$M$17*'TE BF'!$M$50</f>
        <v>0</v>
      </c>
      <c r="N17" s="64">
        <f>'TE BE'!$N$17*'TE BF'!$N$50</f>
        <v>0</v>
      </c>
      <c r="O17" s="64">
        <f>'TE BE'!$O$17*'TE BF'!$O$50</f>
        <v>0.56811904541236413</v>
      </c>
      <c r="P17" s="64">
        <f>'TE BE'!$P$17*'TE BF'!$P$50</f>
        <v>0</v>
      </c>
      <c r="Q17" s="64">
        <f>SUM($L$17:$P$17)</f>
        <v>0.56811904541236413</v>
      </c>
      <c r="R17" s="64">
        <f>'TE BE'!$R$17*'TE BF'!$R$50</f>
        <v>11.75777011457998</v>
      </c>
      <c r="S17" s="64">
        <f>SUM($R$17:$R$17)</f>
        <v>11.75777011457998</v>
      </c>
      <c r="T17" s="64">
        <f>'TE BE'!$T$17*'TE BF'!$T$50</f>
        <v>0</v>
      </c>
      <c r="U17" s="64">
        <f>'TE BE'!$U$17*'TE BF'!$U$50</f>
        <v>0</v>
      </c>
      <c r="V17" s="64">
        <f>'TE BE'!$V$17*'TE BF'!$V$50</f>
        <v>0</v>
      </c>
      <c r="W17" s="64">
        <f>SUM($T$17:$V$17)</f>
        <v>0</v>
      </c>
      <c r="X17" s="64">
        <f>'TE BE'!$AB$17*'TE BF'!$X$50</f>
        <v>0</v>
      </c>
      <c r="Y17" s="64">
        <f>SUM($X$17:$X$17)</f>
        <v>0</v>
      </c>
      <c r="Z17" s="64">
        <f>'TE BE'!$Z$17*'TE BF'!$Z$50</f>
        <v>0</v>
      </c>
      <c r="AA17" s="64">
        <f>SUM($Z$17:$Z$17)</f>
        <v>0</v>
      </c>
      <c r="AB17" s="64">
        <f>SUMIF($L$4:$AA$4,"SUBTOTAL",$L$17:$AA$17)</f>
        <v>12.325889159992345</v>
      </c>
    </row>
    <row r="18" spans="1:28" ht="11.25" customHeight="1" x14ac:dyDescent="0.25">
      <c r="A18" s="177"/>
      <c r="B18" s="177"/>
      <c r="C18" s="177"/>
      <c r="D18" s="72" t="s">
        <v>28</v>
      </c>
      <c r="E18" s="72" t="s">
        <v>25</v>
      </c>
      <c r="F18" s="72" t="s">
        <v>25</v>
      </c>
      <c r="G18" s="66" t="s">
        <v>82</v>
      </c>
      <c r="H18" s="66" t="s">
        <v>78</v>
      </c>
      <c r="I18" s="66">
        <f>'MERCADO TE'!$U$15</f>
        <v>0</v>
      </c>
      <c r="J18" s="16"/>
      <c r="L18" s="64">
        <f>'TE BE'!$L$18*'TE BF'!$L$50</f>
        <v>0</v>
      </c>
      <c r="M18" s="64">
        <f>'TE BE'!$M$18*'TE BF'!$M$50</f>
        <v>0</v>
      </c>
      <c r="N18" s="64">
        <f>'TE BE'!$N$18*'TE BF'!$N$50</f>
        <v>0</v>
      </c>
      <c r="O18" s="64">
        <f>'TE BE'!$O$18*'TE BF'!$O$50</f>
        <v>0.56811904541236413</v>
      </c>
      <c r="P18" s="64">
        <f>'TE BE'!$P$18*'TE BF'!$P$50</f>
        <v>0</v>
      </c>
      <c r="Q18" s="64">
        <f>SUM($L$18:$P$18)</f>
        <v>0.56811904541236413</v>
      </c>
      <c r="R18" s="64">
        <f>'TE BE'!$R$18*'TE BF'!$R$50</f>
        <v>11.75777011457998</v>
      </c>
      <c r="S18" s="64">
        <f>SUM($R$18:$R$18)</f>
        <v>11.75777011457998</v>
      </c>
      <c r="T18" s="64">
        <f>'TE BE'!$T$18*'TE BF'!$T$50</f>
        <v>0</v>
      </c>
      <c r="U18" s="64">
        <f>'TE BE'!$U$18*'TE BF'!$U$50</f>
        <v>0</v>
      </c>
      <c r="V18" s="64">
        <f>'TE BE'!$V$18*'TE BF'!$V$50</f>
        <v>0</v>
      </c>
      <c r="W18" s="64">
        <f>SUM($T$18:$V$18)</f>
        <v>0</v>
      </c>
      <c r="X18" s="64">
        <f>'TE BE'!$AB$18*'TE BF'!$X$50</f>
        <v>0</v>
      </c>
      <c r="Y18" s="64">
        <f>SUM($X$18:$X$18)</f>
        <v>0</v>
      </c>
      <c r="Z18" s="64">
        <f>'TE BE'!$Z$18*'TE BF'!$Z$50</f>
        <v>0</v>
      </c>
      <c r="AA18" s="64">
        <f>SUM($Z$18:$Z$18)</f>
        <v>0</v>
      </c>
      <c r="AB18" s="64">
        <f>SUMIF($L$4:$AA$4,"SUBTOTAL",$L$18:$AA$18)</f>
        <v>12.325889159992345</v>
      </c>
    </row>
    <row r="19" spans="1:28" ht="11.25" customHeight="1" x14ac:dyDescent="0.25">
      <c r="A19" s="177"/>
      <c r="B19" s="177"/>
      <c r="C19" s="177"/>
      <c r="D19" s="72" t="s">
        <v>29</v>
      </c>
      <c r="E19" s="72" t="s">
        <v>25</v>
      </c>
      <c r="F19" s="72" t="s">
        <v>25</v>
      </c>
      <c r="G19" s="66" t="s">
        <v>82</v>
      </c>
      <c r="H19" s="66" t="s">
        <v>78</v>
      </c>
      <c r="I19" s="66">
        <f>'MERCADO TE'!$U$16</f>
        <v>0</v>
      </c>
      <c r="J19" s="16"/>
      <c r="L19" s="64">
        <f>'TE BE'!$L$19*'TE BF'!$L$50</f>
        <v>0</v>
      </c>
      <c r="M19" s="64">
        <f>'TE BE'!$M$19*'TE BF'!$M$50</f>
        <v>0</v>
      </c>
      <c r="N19" s="64">
        <f>'TE BE'!$N$19*'TE BF'!$N$50</f>
        <v>0</v>
      </c>
      <c r="O19" s="64">
        <f>'TE BE'!$O$19*'TE BF'!$O$50</f>
        <v>0.56811904541236413</v>
      </c>
      <c r="P19" s="64">
        <f>'TE BE'!$P$19*'TE BF'!$P$50</f>
        <v>0</v>
      </c>
      <c r="Q19" s="64">
        <f>SUM($L$19:$P$19)</f>
        <v>0.56811904541236413</v>
      </c>
      <c r="R19" s="64">
        <f>'TE BE'!$R$19*'TE BF'!$R$50</f>
        <v>11.75777011457998</v>
      </c>
      <c r="S19" s="64">
        <f>SUM($R$19:$R$19)</f>
        <v>11.75777011457998</v>
      </c>
      <c r="T19" s="64">
        <f>'TE BE'!$T$19*'TE BF'!$T$50</f>
        <v>0</v>
      </c>
      <c r="U19" s="64">
        <f>'TE BE'!$U$19*'TE BF'!$U$50</f>
        <v>0</v>
      </c>
      <c r="V19" s="64">
        <f>'TE BE'!$V$19*'TE BF'!$V$50</f>
        <v>0</v>
      </c>
      <c r="W19" s="64">
        <f>SUM($T$19:$V$19)</f>
        <v>0</v>
      </c>
      <c r="X19" s="64">
        <f>'TE BE'!$AB$19*'TE BF'!$X$50</f>
        <v>0</v>
      </c>
      <c r="Y19" s="64">
        <f>SUM($X$19:$X$19)</f>
        <v>0</v>
      </c>
      <c r="Z19" s="64">
        <f>'TE BE'!$Z$19*'TE BF'!$Z$50</f>
        <v>0</v>
      </c>
      <c r="AA19" s="64">
        <f>SUM($Z$19:$Z$19)</f>
        <v>0</v>
      </c>
      <c r="AB19" s="64">
        <f>SUMIF($L$4:$AA$4,"SUBTOTAL",$L$19:$AA$19)</f>
        <v>12.325889159992345</v>
      </c>
    </row>
    <row r="20" spans="1:28" ht="11.25" customHeight="1" x14ac:dyDescent="0.25">
      <c r="A20" s="177"/>
      <c r="B20" s="177"/>
      <c r="C20" s="177"/>
      <c r="D20" s="72" t="s">
        <v>30</v>
      </c>
      <c r="E20" s="72" t="s">
        <v>25</v>
      </c>
      <c r="F20" s="72" t="s">
        <v>25</v>
      </c>
      <c r="G20" s="66" t="s">
        <v>82</v>
      </c>
      <c r="H20" s="66" t="s">
        <v>78</v>
      </c>
      <c r="I20" s="66">
        <f>'MERCADO TE'!$U$17</f>
        <v>0</v>
      </c>
      <c r="J20" s="16"/>
      <c r="L20" s="64">
        <f>'TE BE'!$L$20*'TE BF'!$L$50</f>
        <v>0</v>
      </c>
      <c r="M20" s="64">
        <f>'TE BE'!$M$20*'TE BF'!$M$50</f>
        <v>0</v>
      </c>
      <c r="N20" s="64">
        <f>'TE BE'!$N$20*'TE BF'!$N$50</f>
        <v>0</v>
      </c>
      <c r="O20" s="64">
        <f>'TE BE'!$O$20*'TE BF'!$O$50</f>
        <v>0.56811904541236413</v>
      </c>
      <c r="P20" s="64">
        <f>'TE BE'!$P$20*'TE BF'!$P$50</f>
        <v>0</v>
      </c>
      <c r="Q20" s="64">
        <f>SUM($L$20:$P$20)</f>
        <v>0.56811904541236413</v>
      </c>
      <c r="R20" s="64">
        <f>'TE BE'!$R$20*'TE BF'!$R$50</f>
        <v>11.75777011457998</v>
      </c>
      <c r="S20" s="64">
        <f>SUM($R$20:$R$20)</f>
        <v>11.75777011457998</v>
      </c>
      <c r="T20" s="64">
        <f>'TE BE'!$T$20*'TE BF'!$T$50</f>
        <v>0</v>
      </c>
      <c r="U20" s="64">
        <f>'TE BE'!$U$20*'TE BF'!$U$50</f>
        <v>0</v>
      </c>
      <c r="V20" s="64">
        <f>'TE BE'!$V$20*'TE BF'!$V$50</f>
        <v>0</v>
      </c>
      <c r="W20" s="64">
        <f>SUM($T$20:$V$20)</f>
        <v>0</v>
      </c>
      <c r="X20" s="64">
        <f>'TE BE'!$AB$20*'TE BF'!$X$50</f>
        <v>0</v>
      </c>
      <c r="Y20" s="64">
        <f>SUM($X$20:$X$20)</f>
        <v>0</v>
      </c>
      <c r="Z20" s="64">
        <f>'TE BE'!$Z$20*'TE BF'!$Z$50</f>
        <v>0</v>
      </c>
      <c r="AA20" s="64">
        <f>SUM($Z$20:$Z$20)</f>
        <v>0</v>
      </c>
      <c r="AB20" s="64">
        <f>SUMIF($L$4:$AA$4,"SUBTOTAL",$L$20:$AA$20)</f>
        <v>12.325889159992345</v>
      </c>
    </row>
    <row r="21" spans="1:28" ht="11.25" customHeight="1" x14ac:dyDescent="0.25">
      <c r="A21" s="177"/>
      <c r="B21" s="177"/>
      <c r="C21" s="177"/>
      <c r="D21" s="72" t="s">
        <v>31</v>
      </c>
      <c r="E21" s="72" t="s">
        <v>25</v>
      </c>
      <c r="F21" s="72" t="s">
        <v>25</v>
      </c>
      <c r="G21" s="66" t="s">
        <v>82</v>
      </c>
      <c r="H21" s="66" t="s">
        <v>78</v>
      </c>
      <c r="I21" s="66">
        <f>'MERCADO TE'!$U$18</f>
        <v>0</v>
      </c>
      <c r="J21" s="16"/>
      <c r="L21" s="64">
        <f>'TE BE'!$L$21*'TE BF'!$L$50</f>
        <v>0</v>
      </c>
      <c r="M21" s="64">
        <f>'TE BE'!$M$21*'TE BF'!$M$50</f>
        <v>0</v>
      </c>
      <c r="N21" s="64">
        <f>'TE BE'!$N$21*'TE BF'!$N$50</f>
        <v>0</v>
      </c>
      <c r="O21" s="64">
        <f>'TE BE'!$O$21*'TE BF'!$O$50</f>
        <v>0.56811904541236413</v>
      </c>
      <c r="P21" s="64">
        <f>'TE BE'!$P$21*'TE BF'!$P$50</f>
        <v>0</v>
      </c>
      <c r="Q21" s="64">
        <f>SUM($L$21:$P$21)</f>
        <v>0.56811904541236413</v>
      </c>
      <c r="R21" s="64">
        <f>'TE BE'!$R$21*'TE BF'!$R$50</f>
        <v>11.75777011457998</v>
      </c>
      <c r="S21" s="64">
        <f>SUM($R$21:$R$21)</f>
        <v>11.75777011457998</v>
      </c>
      <c r="T21" s="64">
        <f>'TE BE'!$T$21*'TE BF'!$T$50</f>
        <v>0</v>
      </c>
      <c r="U21" s="64">
        <f>'TE BE'!$U$21*'TE BF'!$U$50</f>
        <v>0</v>
      </c>
      <c r="V21" s="64">
        <f>'TE BE'!$V$21*'TE BF'!$V$50</f>
        <v>0</v>
      </c>
      <c r="W21" s="64">
        <f>SUM($T$21:$V$21)</f>
        <v>0</v>
      </c>
      <c r="X21" s="64">
        <f>'TE BE'!$AB$21*'TE BF'!$X$50</f>
        <v>0</v>
      </c>
      <c r="Y21" s="64">
        <f>SUM($X$21:$X$21)</f>
        <v>0</v>
      </c>
      <c r="Z21" s="64">
        <f>'TE BE'!$Z$21*'TE BF'!$Z$50</f>
        <v>0</v>
      </c>
      <c r="AA21" s="64">
        <f>SUM($Z$21:$Z$21)</f>
        <v>0</v>
      </c>
      <c r="AB21" s="64">
        <f>SUMIF($L$4:$AA$4,"SUBTOTAL",$L$21:$AA$21)</f>
        <v>12.325889159992345</v>
      </c>
    </row>
    <row r="22" spans="1:28" ht="11.25" customHeight="1" x14ac:dyDescent="0.25">
      <c r="A22" s="177" t="s">
        <v>42</v>
      </c>
      <c r="B22" s="177" t="s">
        <v>77</v>
      </c>
      <c r="C22" s="177" t="s">
        <v>43</v>
      </c>
      <c r="D22" s="177" t="s">
        <v>25</v>
      </c>
      <c r="E22" s="177" t="s">
        <v>25</v>
      </c>
      <c r="F22" s="177" t="s">
        <v>25</v>
      </c>
      <c r="G22" s="66" t="s">
        <v>79</v>
      </c>
      <c r="H22" s="66" t="s">
        <v>78</v>
      </c>
      <c r="I22" s="66">
        <f>'MERCADO TE'!$U$19</f>
        <v>0</v>
      </c>
      <c r="J22" s="16"/>
      <c r="L22" s="64">
        <f>'TE BE'!$L$22*'TE BF'!$L$50</f>
        <v>0</v>
      </c>
      <c r="M22" s="64">
        <f>'TE BE'!$M$22*'TE BF'!$M$50</f>
        <v>0</v>
      </c>
      <c r="N22" s="64">
        <f>'TE BE'!$N$22*'TE BF'!$N$50</f>
        <v>0</v>
      </c>
      <c r="O22" s="64">
        <f>'TE BE'!$O$22*'TE BF'!$O$50</f>
        <v>0.56811904541236413</v>
      </c>
      <c r="P22" s="64">
        <f>'TE BE'!$P$22*'TE BF'!$P$50</f>
        <v>0</v>
      </c>
      <c r="Q22" s="64">
        <f>SUM($L$22:$P$22)</f>
        <v>0.56811904541236413</v>
      </c>
      <c r="R22" s="64">
        <f>'TE BE'!$R$22*'TE BF'!$R$50</f>
        <v>19.07864584629959</v>
      </c>
      <c r="S22" s="64">
        <f>SUM($R$22:$R$22)</f>
        <v>19.07864584629959</v>
      </c>
      <c r="T22" s="64">
        <f>'TE BE'!$T$22*'TE BF'!$T$50</f>
        <v>0</v>
      </c>
      <c r="U22" s="64">
        <f>'TE BE'!$U$22*'TE BF'!$U$50</f>
        <v>0</v>
      </c>
      <c r="V22" s="64">
        <f>'TE BE'!$V$22*'TE BF'!$V$50</f>
        <v>0</v>
      </c>
      <c r="W22" s="64">
        <f>SUM($T$22:$V$22)</f>
        <v>0</v>
      </c>
      <c r="X22" s="64">
        <f>'TE BE'!$AB$22*'TE BF'!$X$50</f>
        <v>0</v>
      </c>
      <c r="Y22" s="64">
        <f>SUM($X$22:$X$22)</f>
        <v>0</v>
      </c>
      <c r="Z22" s="64">
        <f>'TE BE'!$Z$22*'TE BF'!$Z$50</f>
        <v>0</v>
      </c>
      <c r="AA22" s="64">
        <f>SUM($Z$22:$Z$22)</f>
        <v>0</v>
      </c>
      <c r="AB22" s="64">
        <f>SUMIF($L$4:$AA$4,"SUBTOTAL",$L$22:$AA$22)</f>
        <v>19.646764891711953</v>
      </c>
    </row>
    <row r="23" spans="1:28" ht="11.25" customHeight="1" x14ac:dyDescent="0.25">
      <c r="A23" s="177"/>
      <c r="B23" s="177"/>
      <c r="C23" s="177"/>
      <c r="D23" s="177"/>
      <c r="E23" s="177"/>
      <c r="F23" s="177"/>
      <c r="G23" s="66" t="s">
        <v>92</v>
      </c>
      <c r="H23" s="66" t="s">
        <v>78</v>
      </c>
      <c r="I23" s="66">
        <f>'MERCADO TE'!$U$20</f>
        <v>0</v>
      </c>
      <c r="J23" s="16"/>
      <c r="L23" s="64">
        <f>'TE BE'!$L$23*'TE BF'!$L$50</f>
        <v>0</v>
      </c>
      <c r="M23" s="64">
        <f>'TE BE'!$M$23*'TE BF'!$M$50</f>
        <v>0</v>
      </c>
      <c r="N23" s="64">
        <f>'TE BE'!$N$23*'TE BF'!$N$50</f>
        <v>0</v>
      </c>
      <c r="O23" s="64">
        <f>'TE BE'!$O$23*'TE BF'!$O$50</f>
        <v>0.56811904541236413</v>
      </c>
      <c r="P23" s="64">
        <f>'TE BE'!$P$23*'TE BF'!$P$50</f>
        <v>0</v>
      </c>
      <c r="Q23" s="64">
        <f>SUM($L$23:$P$23)</f>
        <v>0.56811904541236413</v>
      </c>
      <c r="R23" s="64">
        <f>'TE BE'!$R$23*'TE BF'!$R$50</f>
        <v>11.092235957150924</v>
      </c>
      <c r="S23" s="64">
        <f>SUM($R$23:$R$23)</f>
        <v>11.092235957150924</v>
      </c>
      <c r="T23" s="64">
        <f>'TE BE'!$T$23*'TE BF'!$T$50</f>
        <v>0</v>
      </c>
      <c r="U23" s="64">
        <f>'TE BE'!$U$23*'TE BF'!$U$50</f>
        <v>0</v>
      </c>
      <c r="V23" s="64">
        <f>'TE BE'!$V$23*'TE BF'!$V$50</f>
        <v>0</v>
      </c>
      <c r="W23" s="64">
        <f>SUM($T$23:$V$23)</f>
        <v>0</v>
      </c>
      <c r="X23" s="64">
        <f>'TE BE'!$AB$23*'TE BF'!$X$50</f>
        <v>0</v>
      </c>
      <c r="Y23" s="64">
        <f>SUM($X$23:$X$23)</f>
        <v>0</v>
      </c>
      <c r="Z23" s="64">
        <f>'TE BE'!$Z$23*'TE BF'!$Z$50</f>
        <v>0</v>
      </c>
      <c r="AA23" s="64">
        <f>SUM($Z$23:$Z$23)</f>
        <v>0</v>
      </c>
      <c r="AB23" s="64">
        <f>SUMIF($L$4:$AA$4,"SUBTOTAL",$L$23:$AA$23)</f>
        <v>11.660355002563289</v>
      </c>
    </row>
    <row r="24" spans="1:28" ht="11.25" customHeight="1" x14ac:dyDescent="0.25">
      <c r="A24" s="177"/>
      <c r="B24" s="177"/>
      <c r="C24" s="177"/>
      <c r="D24" s="177"/>
      <c r="E24" s="177"/>
      <c r="F24" s="177"/>
      <c r="G24" s="66" t="s">
        <v>80</v>
      </c>
      <c r="H24" s="66" t="s">
        <v>78</v>
      </c>
      <c r="I24" s="66">
        <f>'MERCADO TE'!$U$21</f>
        <v>0</v>
      </c>
      <c r="J24" s="16"/>
      <c r="L24" s="64">
        <f>'TE BE'!$L$24*'TE BF'!$L$50</f>
        <v>0</v>
      </c>
      <c r="M24" s="64">
        <f>'TE BE'!$M$24*'TE BF'!$M$50</f>
        <v>0</v>
      </c>
      <c r="N24" s="64">
        <f>'TE BE'!$N$24*'TE BF'!$N$50</f>
        <v>0</v>
      </c>
      <c r="O24" s="64">
        <f>'TE BE'!$O$24*'TE BF'!$O$50</f>
        <v>0.56811904541236413</v>
      </c>
      <c r="P24" s="64">
        <f>'TE BE'!$P$24*'TE BF'!$P$50</f>
        <v>0</v>
      </c>
      <c r="Q24" s="64">
        <f>SUM($L$24:$P$24)</f>
        <v>0.56811904541236413</v>
      </c>
      <c r="R24" s="64">
        <f>'TE BE'!$R$24*'TE BF'!$R$50</f>
        <v>11.092235957150924</v>
      </c>
      <c r="S24" s="64">
        <f>SUM($R$24:$R$24)</f>
        <v>11.092235957150924</v>
      </c>
      <c r="T24" s="64">
        <f>'TE BE'!$T$24*'TE BF'!$T$50</f>
        <v>0</v>
      </c>
      <c r="U24" s="64">
        <f>'TE BE'!$U$24*'TE BF'!$U$50</f>
        <v>0</v>
      </c>
      <c r="V24" s="64">
        <f>'TE BE'!$V$24*'TE BF'!$V$50</f>
        <v>0</v>
      </c>
      <c r="W24" s="64">
        <f>SUM($T$24:$V$24)</f>
        <v>0</v>
      </c>
      <c r="X24" s="64">
        <f>'TE BE'!$AB$24*'TE BF'!$X$50</f>
        <v>0</v>
      </c>
      <c r="Y24" s="64">
        <f>SUM($X$24:$X$24)</f>
        <v>0</v>
      </c>
      <c r="Z24" s="64">
        <f>'TE BE'!$Z$24*'TE BF'!$Z$50</f>
        <v>0</v>
      </c>
      <c r="AA24" s="64">
        <f>SUM($Z$24:$Z$24)</f>
        <v>0</v>
      </c>
      <c r="AB24" s="64">
        <f>SUMIF($L$4:$AA$4,"SUBTOTAL",$L$24:$AA$24)</f>
        <v>11.660355002563289</v>
      </c>
    </row>
    <row r="25" spans="1:28" ht="11.25" customHeight="1" x14ac:dyDescent="0.25">
      <c r="A25" s="177"/>
      <c r="B25" s="72" t="s">
        <v>81</v>
      </c>
      <c r="C25" s="72" t="s">
        <v>43</v>
      </c>
      <c r="D25" s="72" t="s">
        <v>25</v>
      </c>
      <c r="E25" s="72" t="s">
        <v>25</v>
      </c>
      <c r="F25" s="72" t="s">
        <v>25</v>
      </c>
      <c r="G25" s="66" t="s">
        <v>82</v>
      </c>
      <c r="H25" s="66" t="s">
        <v>78</v>
      </c>
      <c r="I25" s="66">
        <f>'MERCADO TE'!$U$22</f>
        <v>1694.7730000000001</v>
      </c>
      <c r="J25" s="16"/>
      <c r="L25" s="64">
        <f>'TE BE'!$L$25*'TE BF'!$L$50</f>
        <v>0</v>
      </c>
      <c r="M25" s="64">
        <f>'TE BE'!$M$25*'TE BF'!$M$50</f>
        <v>0</v>
      </c>
      <c r="N25" s="64">
        <f>'TE BE'!$N$25*'TE BF'!$N$50</f>
        <v>0</v>
      </c>
      <c r="O25" s="64">
        <f>'TE BE'!$O$25*'TE BF'!$O$50</f>
        <v>0.56811904541236413</v>
      </c>
      <c r="P25" s="64">
        <f>'TE BE'!$P$25*'TE BF'!$P$50</f>
        <v>0</v>
      </c>
      <c r="Q25" s="64">
        <f>SUM($L$25:$P$25)</f>
        <v>0.56811904541236413</v>
      </c>
      <c r="R25" s="64">
        <f>'TE BE'!$R$25*'TE BF'!$R$50</f>
        <v>11.75777011457998</v>
      </c>
      <c r="S25" s="64">
        <f>SUM($R$25:$R$25)</f>
        <v>11.75777011457998</v>
      </c>
      <c r="T25" s="64">
        <f>'TE BE'!$T$25*'TE BF'!$T$50</f>
        <v>0</v>
      </c>
      <c r="U25" s="64">
        <f>'TE BE'!$U$25*'TE BF'!$U$50</f>
        <v>0</v>
      </c>
      <c r="V25" s="64">
        <f>'TE BE'!$V$25*'TE BF'!$V$50</f>
        <v>0</v>
      </c>
      <c r="W25" s="64">
        <f>SUM($T$25:$V$25)</f>
        <v>0</v>
      </c>
      <c r="X25" s="64">
        <f>'TE BE'!$AB$25*'TE BF'!$X$50</f>
        <v>0</v>
      </c>
      <c r="Y25" s="64">
        <f>SUM($X$25:$X$25)</f>
        <v>0</v>
      </c>
      <c r="Z25" s="64">
        <f>'TE BE'!$Z$25*'TE BF'!$Z$50</f>
        <v>0</v>
      </c>
      <c r="AA25" s="64">
        <f>SUM($Z$25:$Z$25)</f>
        <v>0</v>
      </c>
      <c r="AB25" s="64">
        <f>SUMIF($L$4:$AA$4,"SUBTOTAL",$L$25:$AA$25)</f>
        <v>12.325889159992345</v>
      </c>
    </row>
    <row r="26" spans="1:28" ht="11.25" customHeight="1" x14ac:dyDescent="0.25">
      <c r="A26" s="177"/>
      <c r="B26" s="177" t="s">
        <v>77</v>
      </c>
      <c r="C26" s="177" t="s">
        <v>43</v>
      </c>
      <c r="D26" s="177" t="s">
        <v>95</v>
      </c>
      <c r="E26" s="177" t="s">
        <v>25</v>
      </c>
      <c r="F26" s="177" t="s">
        <v>25</v>
      </c>
      <c r="G26" s="66" t="s">
        <v>79</v>
      </c>
      <c r="H26" s="66" t="s">
        <v>78</v>
      </c>
      <c r="I26" s="66">
        <f>'MERCADO TE'!$U$23</f>
        <v>0</v>
      </c>
      <c r="J26" s="16"/>
      <c r="L26" s="64">
        <f>'TE BE'!$L$26*'TE BF'!$L$50</f>
        <v>0</v>
      </c>
      <c r="M26" s="64">
        <f>'TE BE'!$M$26*'TE BF'!$M$50</f>
        <v>0</v>
      </c>
      <c r="N26" s="64">
        <f>'TE BE'!$N$26*'TE BF'!$N$50</f>
        <v>0</v>
      </c>
      <c r="O26" s="64">
        <f>'TE BE'!$O$26*'TE BF'!$O$50</f>
        <v>0.56811904541236413</v>
      </c>
      <c r="P26" s="64">
        <f>'TE BE'!$P$26*'TE BF'!$P$50</f>
        <v>0</v>
      </c>
      <c r="Q26" s="64">
        <f>SUM($L$26:$P$26)</f>
        <v>0.56811904541236413</v>
      </c>
      <c r="R26" s="64">
        <f>'TE BE'!$R$26*'TE BF'!$R$50</f>
        <v>19.07864584629959</v>
      </c>
      <c r="S26" s="64">
        <f>SUM($R$26:$R$26)</f>
        <v>19.07864584629959</v>
      </c>
      <c r="T26" s="64">
        <f>'TE BE'!$T$26*'TE BF'!$T$50</f>
        <v>0</v>
      </c>
      <c r="U26" s="64">
        <f>'TE BE'!$U$26*'TE BF'!$U$50</f>
        <v>0</v>
      </c>
      <c r="V26" s="64">
        <f>'TE BE'!$V$26*'TE BF'!$V$50</f>
        <v>0</v>
      </c>
      <c r="W26" s="64">
        <f>SUM($T$26:$V$26)</f>
        <v>0</v>
      </c>
      <c r="X26" s="64">
        <f>'TE BE'!$AB$26*'TE BF'!$X$50</f>
        <v>0</v>
      </c>
      <c r="Y26" s="64">
        <f>SUM($X$26:$X$26)</f>
        <v>0</v>
      </c>
      <c r="Z26" s="64">
        <f>'TE BE'!$Z$26*'TE BF'!$Z$50</f>
        <v>0</v>
      </c>
      <c r="AA26" s="64">
        <f>SUM($Z$26:$Z$26)</f>
        <v>0</v>
      </c>
      <c r="AB26" s="64">
        <f>SUMIF($L$4:$AA$4,"SUBTOTAL",$L$26:$AA$26)</f>
        <v>19.646764891711953</v>
      </c>
    </row>
    <row r="27" spans="1:28" ht="11.25" customHeight="1" x14ac:dyDescent="0.25">
      <c r="A27" s="177"/>
      <c r="B27" s="177"/>
      <c r="C27" s="177"/>
      <c r="D27" s="177"/>
      <c r="E27" s="177"/>
      <c r="F27" s="177"/>
      <c r="G27" s="66" t="s">
        <v>92</v>
      </c>
      <c r="H27" s="66" t="s">
        <v>78</v>
      </c>
      <c r="I27" s="66">
        <f>'MERCADO TE'!$U$24</f>
        <v>0</v>
      </c>
      <c r="J27" s="16"/>
      <c r="L27" s="64">
        <f>'TE BE'!$L$27*'TE BF'!$L$50</f>
        <v>0</v>
      </c>
      <c r="M27" s="64">
        <f>'TE BE'!$M$27*'TE BF'!$M$50</f>
        <v>0</v>
      </c>
      <c r="N27" s="64">
        <f>'TE BE'!$N$27*'TE BF'!$N$50</f>
        <v>0</v>
      </c>
      <c r="O27" s="64">
        <f>'TE BE'!$O$27*'TE BF'!$O$50</f>
        <v>0.56811904541236413</v>
      </c>
      <c r="P27" s="64">
        <f>'TE BE'!$P$27*'TE BF'!$P$50</f>
        <v>0</v>
      </c>
      <c r="Q27" s="64">
        <f>SUM($L$27:$P$27)</f>
        <v>0.56811904541236413</v>
      </c>
      <c r="R27" s="64">
        <f>'TE BE'!$R$27*'TE BF'!$R$50</f>
        <v>11.092235957150924</v>
      </c>
      <c r="S27" s="64">
        <f>SUM($R$27:$R$27)</f>
        <v>11.092235957150924</v>
      </c>
      <c r="T27" s="64">
        <f>'TE BE'!$T$27*'TE BF'!$T$50</f>
        <v>0</v>
      </c>
      <c r="U27" s="64">
        <f>'TE BE'!$U$27*'TE BF'!$U$50</f>
        <v>0</v>
      </c>
      <c r="V27" s="64">
        <f>'TE BE'!$V$27*'TE BF'!$V$50</f>
        <v>0</v>
      </c>
      <c r="W27" s="64">
        <f>SUM($T$27:$V$27)</f>
        <v>0</v>
      </c>
      <c r="X27" s="64">
        <f>'TE BE'!$AB$27*'TE BF'!$X$50</f>
        <v>0</v>
      </c>
      <c r="Y27" s="64">
        <f>SUM($X$27:$X$27)</f>
        <v>0</v>
      </c>
      <c r="Z27" s="64">
        <f>'TE BE'!$Z$27*'TE BF'!$Z$50</f>
        <v>0</v>
      </c>
      <c r="AA27" s="64">
        <f>SUM($Z$27:$Z$27)</f>
        <v>0</v>
      </c>
      <c r="AB27" s="64">
        <f>SUMIF($L$4:$AA$4,"SUBTOTAL",$L$27:$AA$27)</f>
        <v>11.660355002563289</v>
      </c>
    </row>
    <row r="28" spans="1:28" ht="11.25" customHeight="1" x14ac:dyDescent="0.25">
      <c r="A28" s="177"/>
      <c r="B28" s="177"/>
      <c r="C28" s="177"/>
      <c r="D28" s="177"/>
      <c r="E28" s="177"/>
      <c r="F28" s="177"/>
      <c r="G28" s="66" t="s">
        <v>80</v>
      </c>
      <c r="H28" s="66" t="s">
        <v>78</v>
      </c>
      <c r="I28" s="66">
        <f>'MERCADO TE'!$U$25</f>
        <v>0</v>
      </c>
      <c r="J28" s="16"/>
      <c r="L28" s="64">
        <f>'TE BE'!$L$28*'TE BF'!$L$50</f>
        <v>0</v>
      </c>
      <c r="M28" s="64">
        <f>'TE BE'!$M$28*'TE BF'!$M$50</f>
        <v>0</v>
      </c>
      <c r="N28" s="64">
        <f>'TE BE'!$N$28*'TE BF'!$N$50</f>
        <v>0</v>
      </c>
      <c r="O28" s="64">
        <f>'TE BE'!$O$28*'TE BF'!$O$50</f>
        <v>0.56811904541236413</v>
      </c>
      <c r="P28" s="64">
        <f>'TE BE'!$P$28*'TE BF'!$P$50</f>
        <v>0</v>
      </c>
      <c r="Q28" s="64">
        <f>SUM($L$28:$P$28)</f>
        <v>0.56811904541236413</v>
      </c>
      <c r="R28" s="64">
        <f>'TE BE'!$R$28*'TE BF'!$R$50</f>
        <v>11.092235957150924</v>
      </c>
      <c r="S28" s="64">
        <f>SUM($R$28:$R$28)</f>
        <v>11.092235957150924</v>
      </c>
      <c r="T28" s="64">
        <f>'TE BE'!$T$28*'TE BF'!$T$50</f>
        <v>0</v>
      </c>
      <c r="U28" s="64">
        <f>'TE BE'!$U$28*'TE BF'!$U$50</f>
        <v>0</v>
      </c>
      <c r="V28" s="64">
        <f>'TE BE'!$V$28*'TE BF'!$V$50</f>
        <v>0</v>
      </c>
      <c r="W28" s="64">
        <f>SUM($T$28:$V$28)</f>
        <v>0</v>
      </c>
      <c r="X28" s="64">
        <f>'TE BE'!$AB$28*'TE BF'!$X$50</f>
        <v>0</v>
      </c>
      <c r="Y28" s="64">
        <f>SUM($X$28:$X$28)</f>
        <v>0</v>
      </c>
      <c r="Z28" s="64">
        <f>'TE BE'!$Z$28*'TE BF'!$Z$50</f>
        <v>0</v>
      </c>
      <c r="AA28" s="64">
        <f>SUM($Z$28:$Z$28)</f>
        <v>0</v>
      </c>
      <c r="AB28" s="64">
        <f>SUMIF($L$4:$AA$4,"SUBTOTAL",$L$28:$AA$28)</f>
        <v>11.660355002563289</v>
      </c>
    </row>
    <row r="29" spans="1:28" ht="11.25" customHeight="1" x14ac:dyDescent="0.25">
      <c r="A29" s="177"/>
      <c r="B29" s="72" t="s">
        <v>81</v>
      </c>
      <c r="C29" s="72" t="s">
        <v>43</v>
      </c>
      <c r="D29" s="72" t="s">
        <v>95</v>
      </c>
      <c r="E29" s="72" t="s">
        <v>25</v>
      </c>
      <c r="F29" s="72" t="s">
        <v>25</v>
      </c>
      <c r="G29" s="66" t="s">
        <v>82</v>
      </c>
      <c r="H29" s="66" t="s">
        <v>78</v>
      </c>
      <c r="I29" s="66">
        <f>'MERCADO TE'!$U$26</f>
        <v>0</v>
      </c>
      <c r="J29" s="16"/>
      <c r="L29" s="64">
        <f>'TE BE'!$L$29*'TE BF'!$L$50</f>
        <v>0</v>
      </c>
      <c r="M29" s="64">
        <f>'TE BE'!$M$29*'TE BF'!$M$50</f>
        <v>0</v>
      </c>
      <c r="N29" s="64">
        <f>'TE BE'!$N$29*'TE BF'!$N$50</f>
        <v>0</v>
      </c>
      <c r="O29" s="64">
        <f>'TE BE'!$O$29*'TE BF'!$O$50</f>
        <v>0.56811904541236413</v>
      </c>
      <c r="P29" s="64">
        <f>'TE BE'!$P$29*'TE BF'!$P$50</f>
        <v>0</v>
      </c>
      <c r="Q29" s="64">
        <f>SUM($L$29:$P$29)</f>
        <v>0.56811904541236413</v>
      </c>
      <c r="R29" s="64">
        <f>'TE BE'!$R$29*'TE BF'!$R$50</f>
        <v>11.75777011457998</v>
      </c>
      <c r="S29" s="64">
        <f>SUM($R$29:$R$29)</f>
        <v>11.75777011457998</v>
      </c>
      <c r="T29" s="64">
        <f>'TE BE'!$T$29*'TE BF'!$T$50</f>
        <v>0</v>
      </c>
      <c r="U29" s="64">
        <f>'TE BE'!$U$29*'TE BF'!$U$50</f>
        <v>0</v>
      </c>
      <c r="V29" s="64">
        <f>'TE BE'!$V$29*'TE BF'!$V$50</f>
        <v>0</v>
      </c>
      <c r="W29" s="64">
        <f>SUM($T$29:$V$29)</f>
        <v>0</v>
      </c>
      <c r="X29" s="64">
        <f>'TE BE'!$AB$29*'TE BF'!$X$50</f>
        <v>0</v>
      </c>
      <c r="Y29" s="64">
        <f>SUM($X$29:$X$29)</f>
        <v>0</v>
      </c>
      <c r="Z29" s="64">
        <f>'TE BE'!$Z$29*'TE BF'!$Z$50</f>
        <v>0</v>
      </c>
      <c r="AA29" s="64">
        <f>SUM($Z$29:$Z$29)</f>
        <v>0</v>
      </c>
      <c r="AB29" s="64">
        <f>SUMIF($L$4:$AA$4,"SUBTOTAL",$L$29:$AA$29)</f>
        <v>12.325889159992345</v>
      </c>
    </row>
    <row r="30" spans="1:28" ht="11.25" customHeight="1" x14ac:dyDescent="0.25">
      <c r="A30" s="177"/>
      <c r="B30" s="177" t="s">
        <v>77</v>
      </c>
      <c r="C30" s="177" t="s">
        <v>43</v>
      </c>
      <c r="D30" s="177" t="s">
        <v>96</v>
      </c>
      <c r="E30" s="177" t="s">
        <v>25</v>
      </c>
      <c r="F30" s="177" t="s">
        <v>25</v>
      </c>
      <c r="G30" s="66" t="s">
        <v>79</v>
      </c>
      <c r="H30" s="66" t="s">
        <v>78</v>
      </c>
      <c r="I30" s="66">
        <f>'MERCADO TE'!$U$27</f>
        <v>0</v>
      </c>
      <c r="J30" s="16"/>
      <c r="L30" s="64">
        <f>'TE BE'!$L$30*'TE BF'!$L$50</f>
        <v>0</v>
      </c>
      <c r="M30" s="64">
        <f>'TE BE'!$M$30*'TE BF'!$M$50</f>
        <v>0</v>
      </c>
      <c r="N30" s="64">
        <f>'TE BE'!$N$30*'TE BF'!$N$50</f>
        <v>0</v>
      </c>
      <c r="O30" s="64">
        <f>'TE BE'!$O$30*'TE BF'!$O$50</f>
        <v>0.56811904541236413</v>
      </c>
      <c r="P30" s="64">
        <f>'TE BE'!$P$30*'TE BF'!$P$50</f>
        <v>0</v>
      </c>
      <c r="Q30" s="64">
        <f>SUM($L$30:$P$30)</f>
        <v>0.56811904541236413</v>
      </c>
      <c r="R30" s="64">
        <f>'TE BE'!$R$30*'TE BF'!$R$50</f>
        <v>19.07864584629959</v>
      </c>
      <c r="S30" s="64">
        <f>SUM($R$30:$R$30)</f>
        <v>19.07864584629959</v>
      </c>
      <c r="T30" s="64">
        <f>'TE BE'!$T$30*'TE BF'!$T$50</f>
        <v>0</v>
      </c>
      <c r="U30" s="64">
        <f>'TE BE'!$U$30*'TE BF'!$U$50</f>
        <v>0</v>
      </c>
      <c r="V30" s="64">
        <f>'TE BE'!$V$30*'TE BF'!$V$50</f>
        <v>0</v>
      </c>
      <c r="W30" s="64">
        <f>SUM($T$30:$V$30)</f>
        <v>0</v>
      </c>
      <c r="X30" s="64">
        <f>'TE BE'!$AB$30*'TE BF'!$X$50</f>
        <v>0</v>
      </c>
      <c r="Y30" s="64">
        <f>SUM($X$30:$X$30)</f>
        <v>0</v>
      </c>
      <c r="Z30" s="64">
        <f>'TE BE'!$Z$30*'TE BF'!$Z$50</f>
        <v>0</v>
      </c>
      <c r="AA30" s="64">
        <f>SUM($Z$30:$Z$30)</f>
        <v>0</v>
      </c>
      <c r="AB30" s="64">
        <f>SUMIF($L$4:$AA$4,"SUBTOTAL",$L$30:$AA$30)</f>
        <v>19.646764891711953</v>
      </c>
    </row>
    <row r="31" spans="1:28" ht="11.25" customHeight="1" x14ac:dyDescent="0.25">
      <c r="A31" s="177"/>
      <c r="B31" s="177"/>
      <c r="C31" s="177"/>
      <c r="D31" s="177"/>
      <c r="E31" s="177"/>
      <c r="F31" s="177"/>
      <c r="G31" s="66" t="s">
        <v>92</v>
      </c>
      <c r="H31" s="66" t="s">
        <v>78</v>
      </c>
      <c r="I31" s="66">
        <f>'MERCADO TE'!$U$28</f>
        <v>0</v>
      </c>
      <c r="J31" s="16"/>
      <c r="L31" s="64">
        <f>'TE BE'!$L$31*'TE BF'!$L$50</f>
        <v>0</v>
      </c>
      <c r="M31" s="64">
        <f>'TE BE'!$M$31*'TE BF'!$M$50</f>
        <v>0</v>
      </c>
      <c r="N31" s="64">
        <f>'TE BE'!$N$31*'TE BF'!$N$50</f>
        <v>0</v>
      </c>
      <c r="O31" s="64">
        <f>'TE BE'!$O$31*'TE BF'!$O$50</f>
        <v>0.56811904541236413</v>
      </c>
      <c r="P31" s="64">
        <f>'TE BE'!$P$31*'TE BF'!$P$50</f>
        <v>0</v>
      </c>
      <c r="Q31" s="64">
        <f>SUM($L$31:$P$31)</f>
        <v>0.56811904541236413</v>
      </c>
      <c r="R31" s="64">
        <f>'TE BE'!$R$31*'TE BF'!$R$50</f>
        <v>11.092235957150924</v>
      </c>
      <c r="S31" s="64">
        <f>SUM($R$31:$R$31)</f>
        <v>11.092235957150924</v>
      </c>
      <c r="T31" s="64">
        <f>'TE BE'!$T$31*'TE BF'!$T$50</f>
        <v>0</v>
      </c>
      <c r="U31" s="64">
        <f>'TE BE'!$U$31*'TE BF'!$U$50</f>
        <v>0</v>
      </c>
      <c r="V31" s="64">
        <f>'TE BE'!$V$31*'TE BF'!$V$50</f>
        <v>0</v>
      </c>
      <c r="W31" s="64">
        <f>SUM($T$31:$V$31)</f>
        <v>0</v>
      </c>
      <c r="X31" s="64">
        <f>'TE BE'!$AB$31*'TE BF'!$X$50</f>
        <v>0</v>
      </c>
      <c r="Y31" s="64">
        <f>SUM($X$31:$X$31)</f>
        <v>0</v>
      </c>
      <c r="Z31" s="64">
        <f>'TE BE'!$Z$31*'TE BF'!$Z$50</f>
        <v>0</v>
      </c>
      <c r="AA31" s="64">
        <f>SUM($Z$31:$Z$31)</f>
        <v>0</v>
      </c>
      <c r="AB31" s="64">
        <f>SUMIF($L$4:$AA$4,"SUBTOTAL",$L$31:$AA$31)</f>
        <v>11.660355002563289</v>
      </c>
    </row>
    <row r="32" spans="1:28" ht="11.25" customHeight="1" x14ac:dyDescent="0.25">
      <c r="A32" s="177"/>
      <c r="B32" s="177"/>
      <c r="C32" s="177"/>
      <c r="D32" s="177"/>
      <c r="E32" s="177"/>
      <c r="F32" s="177"/>
      <c r="G32" s="66" t="s">
        <v>80</v>
      </c>
      <c r="H32" s="66" t="s">
        <v>78</v>
      </c>
      <c r="I32" s="66">
        <f>'MERCADO TE'!$U$29</f>
        <v>0</v>
      </c>
      <c r="J32" s="16"/>
      <c r="L32" s="64">
        <f>'TE BE'!$L$32*'TE BF'!$L$50</f>
        <v>0</v>
      </c>
      <c r="M32" s="64">
        <f>'TE BE'!$M$32*'TE BF'!$M$50</f>
        <v>0</v>
      </c>
      <c r="N32" s="64">
        <f>'TE BE'!$N$32*'TE BF'!$N$50</f>
        <v>0</v>
      </c>
      <c r="O32" s="64">
        <f>'TE BE'!$O$32*'TE BF'!$O$50</f>
        <v>0.56811904541236413</v>
      </c>
      <c r="P32" s="64">
        <f>'TE BE'!$P$32*'TE BF'!$P$50</f>
        <v>0</v>
      </c>
      <c r="Q32" s="64">
        <f>SUM($L$32:$P$32)</f>
        <v>0.56811904541236413</v>
      </c>
      <c r="R32" s="64">
        <f>'TE BE'!$R$32*'TE BF'!$R$50</f>
        <v>11.092235957150924</v>
      </c>
      <c r="S32" s="64">
        <f>SUM($R$32:$R$32)</f>
        <v>11.092235957150924</v>
      </c>
      <c r="T32" s="64">
        <f>'TE BE'!$T$32*'TE BF'!$T$50</f>
        <v>0</v>
      </c>
      <c r="U32" s="64">
        <f>'TE BE'!$U$32*'TE BF'!$U$50</f>
        <v>0</v>
      </c>
      <c r="V32" s="64">
        <f>'TE BE'!$V$32*'TE BF'!$V$50</f>
        <v>0</v>
      </c>
      <c r="W32" s="64">
        <f>SUM($T$32:$V$32)</f>
        <v>0</v>
      </c>
      <c r="X32" s="64">
        <f>'TE BE'!$AB$32*'TE BF'!$X$50</f>
        <v>0</v>
      </c>
      <c r="Y32" s="64">
        <f>SUM($X$32:$X$32)</f>
        <v>0</v>
      </c>
      <c r="Z32" s="64">
        <f>'TE BE'!$Z$32*'TE BF'!$Z$50</f>
        <v>0</v>
      </c>
      <c r="AA32" s="64">
        <f>SUM($Z$32:$Z$32)</f>
        <v>0</v>
      </c>
      <c r="AB32" s="64">
        <f>SUMIF($L$4:$AA$4,"SUBTOTAL",$L$32:$AA$32)</f>
        <v>11.660355002563289</v>
      </c>
    </row>
    <row r="33" spans="1:28" ht="11.25" customHeight="1" x14ac:dyDescent="0.25">
      <c r="A33" s="177"/>
      <c r="B33" s="72" t="s">
        <v>81</v>
      </c>
      <c r="C33" s="72" t="s">
        <v>43</v>
      </c>
      <c r="D33" s="72" t="s">
        <v>96</v>
      </c>
      <c r="E33" s="72" t="s">
        <v>25</v>
      </c>
      <c r="F33" s="72" t="s">
        <v>25</v>
      </c>
      <c r="G33" s="66" t="s">
        <v>82</v>
      </c>
      <c r="H33" s="66" t="s">
        <v>78</v>
      </c>
      <c r="I33" s="66">
        <f>'MERCADO TE'!$U$30</f>
        <v>0</v>
      </c>
      <c r="J33" s="16"/>
      <c r="L33" s="64">
        <f>'TE BE'!$L$33*'TE BF'!$L$50</f>
        <v>0</v>
      </c>
      <c r="M33" s="64">
        <f>'TE BE'!$M$33*'TE BF'!$M$50</f>
        <v>0</v>
      </c>
      <c r="N33" s="64">
        <f>'TE BE'!$N$33*'TE BF'!$N$50</f>
        <v>0</v>
      </c>
      <c r="O33" s="64">
        <f>'TE BE'!$O$33*'TE BF'!$O$50</f>
        <v>0.56811904541236413</v>
      </c>
      <c r="P33" s="64">
        <f>'TE BE'!$P$33*'TE BF'!$P$50</f>
        <v>0</v>
      </c>
      <c r="Q33" s="64">
        <f>SUM($L$33:$P$33)</f>
        <v>0.56811904541236413</v>
      </c>
      <c r="R33" s="64">
        <f>'TE BE'!$R$33*'TE BF'!$R$50</f>
        <v>11.75777011457998</v>
      </c>
      <c r="S33" s="64">
        <f>SUM($R$33:$R$33)</f>
        <v>11.75777011457998</v>
      </c>
      <c r="T33" s="64">
        <f>'TE BE'!$T$33*'TE BF'!$T$50</f>
        <v>0</v>
      </c>
      <c r="U33" s="64">
        <f>'TE BE'!$U$33*'TE BF'!$U$50</f>
        <v>0</v>
      </c>
      <c r="V33" s="64">
        <f>'TE BE'!$V$33*'TE BF'!$V$50</f>
        <v>0</v>
      </c>
      <c r="W33" s="64">
        <f>SUM($T$33:$V$33)</f>
        <v>0</v>
      </c>
      <c r="X33" s="64">
        <f>'TE BE'!$AB$33*'TE BF'!$X$50</f>
        <v>0</v>
      </c>
      <c r="Y33" s="64">
        <f>SUM($X$33:$X$33)</f>
        <v>0</v>
      </c>
      <c r="Z33" s="64">
        <f>'TE BE'!$Z$33*'TE BF'!$Z$50</f>
        <v>0</v>
      </c>
      <c r="AA33" s="64">
        <f>SUM($Z$33:$Z$33)</f>
        <v>0</v>
      </c>
      <c r="AB33" s="64">
        <f>SUMIF($L$4:$AA$4,"SUBTOTAL",$L$33:$AA$33)</f>
        <v>12.325889159992345</v>
      </c>
    </row>
    <row r="34" spans="1:28" ht="11.25" customHeight="1" x14ac:dyDescent="0.25">
      <c r="A34" s="177"/>
      <c r="B34" s="177" t="s">
        <v>93</v>
      </c>
      <c r="C34" s="177" t="s">
        <v>43</v>
      </c>
      <c r="D34" s="72" t="s">
        <v>25</v>
      </c>
      <c r="E34" s="72" t="s">
        <v>25</v>
      </c>
      <c r="F34" s="72" t="s">
        <v>25</v>
      </c>
      <c r="G34" s="66" t="s">
        <v>82</v>
      </c>
      <c r="H34" s="66" t="s">
        <v>78</v>
      </c>
      <c r="I34" s="66">
        <f>'MERCADO TE'!$U$31</f>
        <v>0</v>
      </c>
      <c r="J34" s="16"/>
      <c r="L34" s="64">
        <f>'TE BE'!$L$34*'TE BF'!$L$50</f>
        <v>0</v>
      </c>
      <c r="M34" s="64">
        <f>'TE BE'!$M$34*'TE BF'!$M$50</f>
        <v>0</v>
      </c>
      <c r="N34" s="64">
        <f>'TE BE'!$N$34*'TE BF'!$N$50</f>
        <v>0</v>
      </c>
      <c r="O34" s="64">
        <f>'TE BE'!$O$34*'TE BF'!$O$50</f>
        <v>0.56811904541236413</v>
      </c>
      <c r="P34" s="64">
        <f>'TE BE'!$P$34*'TE BF'!$P$50</f>
        <v>0</v>
      </c>
      <c r="Q34" s="64">
        <f>SUM($L$34:$P$34)</f>
        <v>0.56811904541236413</v>
      </c>
      <c r="R34" s="64">
        <f>'TE BE'!$R$34*'TE BF'!$R$50</f>
        <v>11.75777011457998</v>
      </c>
      <c r="S34" s="64">
        <f>SUM($R$34:$R$34)</f>
        <v>11.75777011457998</v>
      </c>
      <c r="T34" s="64">
        <f>'TE BE'!$T$34*'TE BF'!$T$50</f>
        <v>0</v>
      </c>
      <c r="U34" s="64">
        <f>'TE BE'!$U$34*'TE BF'!$U$50</f>
        <v>0</v>
      </c>
      <c r="V34" s="64">
        <f>'TE BE'!$V$34*'TE BF'!$V$50</f>
        <v>0</v>
      </c>
      <c r="W34" s="64">
        <f>SUM($T$34:$V$34)</f>
        <v>0</v>
      </c>
      <c r="X34" s="64">
        <f>'TE BE'!$AB$34*'TE BF'!$X$50</f>
        <v>0</v>
      </c>
      <c r="Y34" s="64">
        <f>SUM($X$34:$X$34)</f>
        <v>0</v>
      </c>
      <c r="Z34" s="64">
        <f>'TE BE'!$Z$34*'TE BF'!$Z$50</f>
        <v>0</v>
      </c>
      <c r="AA34" s="64">
        <f>SUM($Z$34:$Z$34)</f>
        <v>0</v>
      </c>
      <c r="AB34" s="64">
        <f>SUMIF($L$4:$AA$4,"SUBTOTAL",$L$34:$AA$34)</f>
        <v>12.325889159992345</v>
      </c>
    </row>
    <row r="35" spans="1:28" ht="11.25" customHeight="1" x14ac:dyDescent="0.25">
      <c r="A35" s="177"/>
      <c r="B35" s="177"/>
      <c r="C35" s="177"/>
      <c r="D35" s="72" t="s">
        <v>95</v>
      </c>
      <c r="E35" s="72" t="s">
        <v>25</v>
      </c>
      <c r="F35" s="72" t="s">
        <v>25</v>
      </c>
      <c r="G35" s="66" t="s">
        <v>82</v>
      </c>
      <c r="H35" s="66" t="s">
        <v>78</v>
      </c>
      <c r="I35" s="66">
        <f>'MERCADO TE'!$U$32</f>
        <v>0</v>
      </c>
      <c r="J35" s="16"/>
      <c r="L35" s="64">
        <f>'TE BE'!$L$35*'TE BF'!$L$50</f>
        <v>0</v>
      </c>
      <c r="M35" s="64">
        <f>'TE BE'!$M$35*'TE BF'!$M$50</f>
        <v>0</v>
      </c>
      <c r="N35" s="64">
        <f>'TE BE'!$N$35*'TE BF'!$N$50</f>
        <v>0</v>
      </c>
      <c r="O35" s="64">
        <f>'TE BE'!$O$35*'TE BF'!$O$50</f>
        <v>0.56811904541236413</v>
      </c>
      <c r="P35" s="64">
        <f>'TE BE'!$P$35*'TE BF'!$P$50</f>
        <v>0</v>
      </c>
      <c r="Q35" s="64">
        <f>SUM($L$35:$P$35)</f>
        <v>0.56811904541236413</v>
      </c>
      <c r="R35" s="64">
        <f>'TE BE'!$R$35*'TE BF'!$R$50</f>
        <v>11.75777011457998</v>
      </c>
      <c r="S35" s="64">
        <f>SUM($R$35:$R$35)</f>
        <v>11.75777011457998</v>
      </c>
      <c r="T35" s="64">
        <f>'TE BE'!$T$35*'TE BF'!$T$50</f>
        <v>0</v>
      </c>
      <c r="U35" s="64">
        <f>'TE BE'!$U$35*'TE BF'!$U$50</f>
        <v>0</v>
      </c>
      <c r="V35" s="64">
        <f>'TE BE'!$V$35*'TE BF'!$V$50</f>
        <v>0</v>
      </c>
      <c r="W35" s="64">
        <f>SUM($T$35:$V$35)</f>
        <v>0</v>
      </c>
      <c r="X35" s="64">
        <f>'TE BE'!$AB$35*'TE BF'!$X$50</f>
        <v>0</v>
      </c>
      <c r="Y35" s="64">
        <f>SUM($X$35:$X$35)</f>
        <v>0</v>
      </c>
      <c r="Z35" s="64">
        <f>'TE BE'!$Z$35*'TE BF'!$Z$50</f>
        <v>0</v>
      </c>
      <c r="AA35" s="64">
        <f>SUM($Z$35:$Z$35)</f>
        <v>0</v>
      </c>
      <c r="AB35" s="64">
        <f>SUMIF($L$4:$AA$4,"SUBTOTAL",$L$35:$AA$35)</f>
        <v>12.325889159992345</v>
      </c>
    </row>
    <row r="36" spans="1:28" ht="11.25" customHeight="1" x14ac:dyDescent="0.25">
      <c r="A36" s="177"/>
      <c r="B36" s="177"/>
      <c r="C36" s="177"/>
      <c r="D36" s="72" t="s">
        <v>96</v>
      </c>
      <c r="E36" s="72" t="s">
        <v>25</v>
      </c>
      <c r="F36" s="72" t="s">
        <v>25</v>
      </c>
      <c r="G36" s="66" t="s">
        <v>82</v>
      </c>
      <c r="H36" s="66" t="s">
        <v>78</v>
      </c>
      <c r="I36" s="66">
        <f>'MERCADO TE'!$U$33</f>
        <v>0</v>
      </c>
      <c r="J36" s="16"/>
      <c r="L36" s="64">
        <f>'TE BE'!$L$36*'TE BF'!$L$50</f>
        <v>0</v>
      </c>
      <c r="M36" s="64">
        <f>'TE BE'!$M$36*'TE BF'!$M$50</f>
        <v>0</v>
      </c>
      <c r="N36" s="64">
        <f>'TE BE'!$N$36*'TE BF'!$N$50</f>
        <v>0</v>
      </c>
      <c r="O36" s="64">
        <f>'TE BE'!$O$36*'TE BF'!$O$50</f>
        <v>0.56811904541236413</v>
      </c>
      <c r="P36" s="64">
        <f>'TE BE'!$P$36*'TE BF'!$P$50</f>
        <v>0</v>
      </c>
      <c r="Q36" s="64">
        <f>SUM($L$36:$P$36)</f>
        <v>0.56811904541236413</v>
      </c>
      <c r="R36" s="64">
        <f>'TE BE'!$R$36*'TE BF'!$R$50</f>
        <v>11.75777011457998</v>
      </c>
      <c r="S36" s="64">
        <f>SUM($R$36:$R$36)</f>
        <v>11.75777011457998</v>
      </c>
      <c r="T36" s="64">
        <f>'TE BE'!$T$36*'TE BF'!$T$50</f>
        <v>0</v>
      </c>
      <c r="U36" s="64">
        <f>'TE BE'!$U$36*'TE BF'!$U$50</f>
        <v>0</v>
      </c>
      <c r="V36" s="64">
        <f>'TE BE'!$V$36*'TE BF'!$V$50</f>
        <v>0</v>
      </c>
      <c r="W36" s="64">
        <f>SUM($T$36:$V$36)</f>
        <v>0</v>
      </c>
      <c r="X36" s="64">
        <f>'TE BE'!$AB$36*'TE BF'!$X$50</f>
        <v>0</v>
      </c>
      <c r="Y36" s="64">
        <f>SUM($X$36:$X$36)</f>
        <v>0</v>
      </c>
      <c r="Z36" s="64">
        <f>'TE BE'!$Z$36*'TE BF'!$Z$50</f>
        <v>0</v>
      </c>
      <c r="AA36" s="64">
        <f>SUM($Z$36:$Z$36)</f>
        <v>0</v>
      </c>
      <c r="AB36" s="64">
        <f>SUMIF($L$4:$AA$4,"SUBTOTAL",$L$36:$AA$36)</f>
        <v>12.325889159992345</v>
      </c>
    </row>
    <row r="37" spans="1:28" ht="11.25" customHeight="1" x14ac:dyDescent="0.25">
      <c r="A37" s="177" t="s">
        <v>36</v>
      </c>
      <c r="B37" s="177" t="s">
        <v>77</v>
      </c>
      <c r="C37" s="177" t="s">
        <v>25</v>
      </c>
      <c r="D37" s="177" t="s">
        <v>25</v>
      </c>
      <c r="E37" s="177" t="s">
        <v>25</v>
      </c>
      <c r="F37" s="177" t="s">
        <v>25</v>
      </c>
      <c r="G37" s="66" t="s">
        <v>79</v>
      </c>
      <c r="H37" s="66" t="s">
        <v>78</v>
      </c>
      <c r="I37" s="66">
        <f>'MERCADO TE'!$U$34</f>
        <v>1.1140000000000001</v>
      </c>
      <c r="J37" s="16"/>
      <c r="L37" s="64">
        <f>'TE BE'!$L$37*'TE BF'!$L$50</f>
        <v>0</v>
      </c>
      <c r="M37" s="64">
        <f>'TE BE'!$M$37*'TE BF'!$M$50</f>
        <v>0</v>
      </c>
      <c r="N37" s="64">
        <f>'TE BE'!$N$37*'TE BF'!$N$50</f>
        <v>0</v>
      </c>
      <c r="O37" s="64">
        <f>'TE BE'!$O$37*'TE BF'!$O$50</f>
        <v>0.56811904541236413</v>
      </c>
      <c r="P37" s="64">
        <f>'TE BE'!$P$37*'TE BF'!$P$50</f>
        <v>0</v>
      </c>
      <c r="Q37" s="64">
        <f>SUM($L$37:$P$37)</f>
        <v>0.56811904541236413</v>
      </c>
      <c r="R37" s="64">
        <f>'TE BE'!$R$37*'TE BF'!$R$50</f>
        <v>19.07864584629959</v>
      </c>
      <c r="S37" s="64">
        <f>SUM($R$37:$R$37)</f>
        <v>19.07864584629959</v>
      </c>
      <c r="T37" s="64">
        <f>'TE BE'!$T$37*'TE BF'!$T$50</f>
        <v>0</v>
      </c>
      <c r="U37" s="64">
        <f>'TE BE'!$U$37*'TE BF'!$U$50</f>
        <v>0</v>
      </c>
      <c r="V37" s="64">
        <f>'TE BE'!$V$37*'TE BF'!$V$50</f>
        <v>0</v>
      </c>
      <c r="W37" s="64">
        <f>SUM($T$37:$V$37)</f>
        <v>0</v>
      </c>
      <c r="X37" s="64">
        <f>'TE BE'!$AB$37*'TE BF'!$X$50</f>
        <v>0</v>
      </c>
      <c r="Y37" s="64">
        <f>SUM($X$37:$X$37)</f>
        <v>0</v>
      </c>
      <c r="Z37" s="64">
        <f>'TE BE'!$Z$37*'TE BF'!$Z$50</f>
        <v>0</v>
      </c>
      <c r="AA37" s="64">
        <f>SUM($Z$37:$Z$37)</f>
        <v>0</v>
      </c>
      <c r="AB37" s="64">
        <f>SUMIF($L$4:$AA$4,"SUBTOTAL",$L$37:$AA$37)</f>
        <v>19.646764891711953</v>
      </c>
    </row>
    <row r="38" spans="1:28" ht="11.25" customHeight="1" x14ac:dyDescent="0.25">
      <c r="A38" s="177"/>
      <c r="B38" s="177"/>
      <c r="C38" s="177"/>
      <c r="D38" s="177"/>
      <c r="E38" s="177"/>
      <c r="F38" s="177"/>
      <c r="G38" s="66" t="s">
        <v>92</v>
      </c>
      <c r="H38" s="66" t="s">
        <v>78</v>
      </c>
      <c r="I38" s="66">
        <f>'MERCADO TE'!$U$35</f>
        <v>0.48499999999999999</v>
      </c>
      <c r="J38" s="16"/>
      <c r="L38" s="64">
        <f>'TE BE'!$L$38*'TE BF'!$L$50</f>
        <v>0</v>
      </c>
      <c r="M38" s="64">
        <f>'TE BE'!$M$38*'TE BF'!$M$50</f>
        <v>0</v>
      </c>
      <c r="N38" s="64">
        <f>'TE BE'!$N$38*'TE BF'!$N$50</f>
        <v>0</v>
      </c>
      <c r="O38" s="64">
        <f>'TE BE'!$O$38*'TE BF'!$O$50</f>
        <v>0.56811904541236413</v>
      </c>
      <c r="P38" s="64">
        <f>'TE BE'!$P$38*'TE BF'!$P$50</f>
        <v>0</v>
      </c>
      <c r="Q38" s="64">
        <f>SUM($L$38:$P$38)</f>
        <v>0.56811904541236413</v>
      </c>
      <c r="R38" s="64">
        <f>'TE BE'!$R$38*'TE BF'!$R$50</f>
        <v>11.092235957150924</v>
      </c>
      <c r="S38" s="64">
        <f>SUM($R$38:$R$38)</f>
        <v>11.092235957150924</v>
      </c>
      <c r="T38" s="64">
        <f>'TE BE'!$T$38*'TE BF'!$T$50</f>
        <v>0</v>
      </c>
      <c r="U38" s="64">
        <f>'TE BE'!$U$38*'TE BF'!$U$50</f>
        <v>0</v>
      </c>
      <c r="V38" s="64">
        <f>'TE BE'!$V$38*'TE BF'!$V$50</f>
        <v>0</v>
      </c>
      <c r="W38" s="64">
        <f>SUM($T$38:$V$38)</f>
        <v>0</v>
      </c>
      <c r="X38" s="64">
        <f>'TE BE'!$AB$38*'TE BF'!$X$50</f>
        <v>0</v>
      </c>
      <c r="Y38" s="64">
        <f>SUM($X$38:$X$38)</f>
        <v>0</v>
      </c>
      <c r="Z38" s="64">
        <f>'TE BE'!$Z$38*'TE BF'!$Z$50</f>
        <v>0</v>
      </c>
      <c r="AA38" s="64">
        <f>SUM($Z$38:$Z$38)</f>
        <v>0</v>
      </c>
      <c r="AB38" s="64">
        <f>SUMIF($L$4:$AA$4,"SUBTOTAL",$L$38:$AA$38)</f>
        <v>11.660355002563289</v>
      </c>
    </row>
    <row r="39" spans="1:28" ht="11.25" customHeight="1" x14ac:dyDescent="0.25">
      <c r="A39" s="177"/>
      <c r="B39" s="177"/>
      <c r="C39" s="177"/>
      <c r="D39" s="177"/>
      <c r="E39" s="177"/>
      <c r="F39" s="177"/>
      <c r="G39" s="66" t="s">
        <v>80</v>
      </c>
      <c r="H39" s="66" t="s">
        <v>78</v>
      </c>
      <c r="I39" s="66">
        <f>'MERCADO TE'!$U$36</f>
        <v>6.2670000000000003</v>
      </c>
      <c r="J39" s="16"/>
      <c r="L39" s="64">
        <f>'TE BE'!$L$39*'TE BF'!$L$50</f>
        <v>0</v>
      </c>
      <c r="M39" s="64">
        <f>'TE BE'!$M$39*'TE BF'!$M$50</f>
        <v>0</v>
      </c>
      <c r="N39" s="64">
        <f>'TE BE'!$N$39*'TE BF'!$N$50</f>
        <v>0</v>
      </c>
      <c r="O39" s="64">
        <f>'TE BE'!$O$39*'TE BF'!$O$50</f>
        <v>0.56811904541236413</v>
      </c>
      <c r="P39" s="64">
        <f>'TE BE'!$P$39*'TE BF'!$P$50</f>
        <v>0</v>
      </c>
      <c r="Q39" s="64">
        <f>SUM($L$39:$P$39)</f>
        <v>0.56811904541236413</v>
      </c>
      <c r="R39" s="64">
        <f>'TE BE'!$R$39*'TE BF'!$R$50</f>
        <v>11.092235957150924</v>
      </c>
      <c r="S39" s="64">
        <f>SUM($R$39:$R$39)</f>
        <v>11.092235957150924</v>
      </c>
      <c r="T39" s="64">
        <f>'TE BE'!$T$39*'TE BF'!$T$50</f>
        <v>0</v>
      </c>
      <c r="U39" s="64">
        <f>'TE BE'!$U$39*'TE BF'!$U$50</f>
        <v>0</v>
      </c>
      <c r="V39" s="64">
        <f>'TE BE'!$V$39*'TE BF'!$V$50</f>
        <v>0</v>
      </c>
      <c r="W39" s="64">
        <f>SUM($T$39:$V$39)</f>
        <v>0</v>
      </c>
      <c r="X39" s="64">
        <f>'TE BE'!$AB$39*'TE BF'!$X$50</f>
        <v>0</v>
      </c>
      <c r="Y39" s="64">
        <f>SUM($X$39:$X$39)</f>
        <v>0</v>
      </c>
      <c r="Z39" s="64">
        <f>'TE BE'!$Z$39*'TE BF'!$Z$50</f>
        <v>0</v>
      </c>
      <c r="AA39" s="64">
        <f>SUM($Z$39:$Z$39)</f>
        <v>0</v>
      </c>
      <c r="AB39" s="64">
        <f>SUMIF($L$4:$AA$4,"SUBTOTAL",$L$39:$AA$39)</f>
        <v>11.660355002563289</v>
      </c>
    </row>
    <row r="40" spans="1:28" ht="11.25" customHeight="1" x14ac:dyDescent="0.25">
      <c r="A40" s="177"/>
      <c r="B40" s="72" t="s">
        <v>81</v>
      </c>
      <c r="C40" s="72" t="s">
        <v>25</v>
      </c>
      <c r="D40" s="72" t="s">
        <v>25</v>
      </c>
      <c r="E40" s="72" t="s">
        <v>25</v>
      </c>
      <c r="F40" s="72" t="s">
        <v>25</v>
      </c>
      <c r="G40" s="66" t="s">
        <v>82</v>
      </c>
      <c r="H40" s="66" t="s">
        <v>78</v>
      </c>
      <c r="I40" s="66">
        <f>'MERCADO TE'!$U$37</f>
        <v>13646.102000000001</v>
      </c>
      <c r="J40" s="16"/>
      <c r="L40" s="64">
        <f>'TE BE'!$L$40*'TE BF'!$L$50</f>
        <v>0</v>
      </c>
      <c r="M40" s="64">
        <f>'TE BE'!$M$40*'TE BF'!$M$50</f>
        <v>0</v>
      </c>
      <c r="N40" s="64">
        <f>'TE BE'!$N$40*'TE BF'!$N$50</f>
        <v>0</v>
      </c>
      <c r="O40" s="64">
        <f>'TE BE'!$O$40*'TE BF'!$O$50</f>
        <v>0.56811904541236413</v>
      </c>
      <c r="P40" s="64">
        <f>'TE BE'!$P$40*'TE BF'!$P$50</f>
        <v>0</v>
      </c>
      <c r="Q40" s="64">
        <f>SUM($L$40:$P$40)</f>
        <v>0.56811904541236413</v>
      </c>
      <c r="R40" s="64">
        <f>'TE BE'!$R$40*'TE BF'!$R$50</f>
        <v>11.75777011457998</v>
      </c>
      <c r="S40" s="64">
        <f>SUM($R$40:$R$40)</f>
        <v>11.75777011457998</v>
      </c>
      <c r="T40" s="64">
        <f>'TE BE'!$T$40*'TE BF'!$T$50</f>
        <v>0</v>
      </c>
      <c r="U40" s="64">
        <f>'TE BE'!$U$40*'TE BF'!$U$50</f>
        <v>0</v>
      </c>
      <c r="V40" s="64">
        <f>'TE BE'!$V$40*'TE BF'!$V$50</f>
        <v>0</v>
      </c>
      <c r="W40" s="64">
        <f>SUM($T$40:$V$40)</f>
        <v>0</v>
      </c>
      <c r="X40" s="64">
        <f>'TE BE'!$AB$40*'TE BF'!$X$50</f>
        <v>0</v>
      </c>
      <c r="Y40" s="64">
        <f>SUM($X$40:$X$40)</f>
        <v>0</v>
      </c>
      <c r="Z40" s="64">
        <f>'TE BE'!$Z$40*'TE BF'!$Z$50</f>
        <v>0</v>
      </c>
      <c r="AA40" s="64">
        <f>SUM($Z$40:$Z$40)</f>
        <v>0</v>
      </c>
      <c r="AB40" s="64">
        <f>SUMIF($L$4:$AA$4,"SUBTOTAL",$L$40:$AA$40)</f>
        <v>12.325889159992345</v>
      </c>
    </row>
    <row r="41" spans="1:28" ht="11.25" customHeight="1" x14ac:dyDescent="0.25">
      <c r="A41" s="177"/>
      <c r="B41" s="72" t="s">
        <v>93</v>
      </c>
      <c r="C41" s="72" t="s">
        <v>25</v>
      </c>
      <c r="D41" s="72" t="s">
        <v>25</v>
      </c>
      <c r="E41" s="72" t="s">
        <v>25</v>
      </c>
      <c r="F41" s="72" t="s">
        <v>25</v>
      </c>
      <c r="G41" s="66" t="s">
        <v>82</v>
      </c>
      <c r="H41" s="66" t="s">
        <v>78</v>
      </c>
      <c r="I41" s="66">
        <f>'MERCADO TE'!$U$38</f>
        <v>0</v>
      </c>
      <c r="J41" s="16"/>
      <c r="L41" s="64">
        <f>'TE BE'!$L$41*'TE BF'!$L$50</f>
        <v>0</v>
      </c>
      <c r="M41" s="64">
        <f>'TE BE'!$M$41*'TE BF'!$M$50</f>
        <v>0</v>
      </c>
      <c r="N41" s="64">
        <f>'TE BE'!$N$41*'TE BF'!$N$50</f>
        <v>0</v>
      </c>
      <c r="O41" s="64">
        <f>'TE BE'!$O$41*'TE BF'!$O$50</f>
        <v>0.56811904541236413</v>
      </c>
      <c r="P41" s="64">
        <f>'TE BE'!$P$41*'TE BF'!$P$50</f>
        <v>0</v>
      </c>
      <c r="Q41" s="64">
        <f>SUM($L$41:$P$41)</f>
        <v>0.56811904541236413</v>
      </c>
      <c r="R41" s="64">
        <f>'TE BE'!$R$41*'TE BF'!$R$50</f>
        <v>11.75777011457998</v>
      </c>
      <c r="S41" s="64">
        <f>SUM($R$41:$R$41)</f>
        <v>11.75777011457998</v>
      </c>
      <c r="T41" s="64">
        <f>'TE BE'!$T$41*'TE BF'!$T$50</f>
        <v>0</v>
      </c>
      <c r="U41" s="64">
        <f>'TE BE'!$U$41*'TE BF'!$U$50</f>
        <v>0</v>
      </c>
      <c r="V41" s="64">
        <f>'TE BE'!$V$41*'TE BF'!$V$50</f>
        <v>0</v>
      </c>
      <c r="W41" s="64">
        <f>SUM($T$41:$V$41)</f>
        <v>0</v>
      </c>
      <c r="X41" s="64">
        <f>'TE BE'!$AB$41*'TE BF'!$X$50</f>
        <v>0</v>
      </c>
      <c r="Y41" s="64">
        <f>SUM($X$41:$X$41)</f>
        <v>0</v>
      </c>
      <c r="Z41" s="64">
        <f>'TE BE'!$Z$41*'TE BF'!$Z$50</f>
        <v>0</v>
      </c>
      <c r="AA41" s="64">
        <f>SUM($Z$41:$Z$41)</f>
        <v>0</v>
      </c>
      <c r="AB41" s="64">
        <f>SUMIF($L$4:$AA$4,"SUBTOTAL",$L$41:$AA$41)</f>
        <v>12.325889159992345</v>
      </c>
    </row>
    <row r="42" spans="1:28" ht="11.25" customHeight="1" x14ac:dyDescent="0.25">
      <c r="A42" s="177" t="s">
        <v>45</v>
      </c>
      <c r="B42" s="177" t="s">
        <v>81</v>
      </c>
      <c r="C42" s="177" t="s">
        <v>46</v>
      </c>
      <c r="D42" s="72" t="s">
        <v>47</v>
      </c>
      <c r="E42" s="72" t="s">
        <v>25</v>
      </c>
      <c r="F42" s="72" t="s">
        <v>25</v>
      </c>
      <c r="G42" s="66" t="s">
        <v>82</v>
      </c>
      <c r="H42" s="66" t="s">
        <v>78</v>
      </c>
      <c r="I42" s="66">
        <f>'MERCADO TE'!$U$39</f>
        <v>4914.0960000000005</v>
      </c>
      <c r="J42" s="16"/>
      <c r="L42" s="64">
        <f>'TE BE'!$L$42*'TE BF'!$L$50</f>
        <v>0</v>
      </c>
      <c r="M42" s="64">
        <f>'TE BE'!$M$42*'TE BF'!$M$50</f>
        <v>0</v>
      </c>
      <c r="N42" s="64">
        <f>'TE BE'!$N$42*'TE BF'!$N$50</f>
        <v>0</v>
      </c>
      <c r="O42" s="64">
        <f>'TE BE'!$O$42*'TE BF'!$O$50</f>
        <v>0.31246547497680027</v>
      </c>
      <c r="P42" s="64">
        <f>'TE BE'!$P$42*'TE BF'!$P$50</f>
        <v>0</v>
      </c>
      <c r="Q42" s="64">
        <f>SUM($L$42:$P$42)</f>
        <v>0.31246547497680027</v>
      </c>
      <c r="R42" s="64">
        <f>'TE BE'!$R$42*'TE BF'!$R$50</f>
        <v>6.4667735630189895</v>
      </c>
      <c r="S42" s="64">
        <f>SUM($R$42:$R$42)</f>
        <v>6.4667735630189895</v>
      </c>
      <c r="T42" s="64">
        <f>'TE BE'!$T$42*'TE BF'!$T$50</f>
        <v>0</v>
      </c>
      <c r="U42" s="64">
        <f>'TE BE'!$U$42*'TE BF'!$U$50</f>
        <v>0</v>
      </c>
      <c r="V42" s="64">
        <f>'TE BE'!$V$42*'TE BF'!$V$50</f>
        <v>0</v>
      </c>
      <c r="W42" s="64">
        <f>SUM($T$42:$V$42)</f>
        <v>0</v>
      </c>
      <c r="X42" s="64">
        <f>'TE BE'!$AB$42*'TE BF'!$X$50</f>
        <v>0</v>
      </c>
      <c r="Y42" s="64">
        <f>SUM($X$42:$X$42)</f>
        <v>0</v>
      </c>
      <c r="Z42" s="64">
        <f>'TE BE'!$Z$42*'TE BF'!$Z$50</f>
        <v>0</v>
      </c>
      <c r="AA42" s="64">
        <f>SUM($Z$42:$Z$42)</f>
        <v>0</v>
      </c>
      <c r="AB42" s="64">
        <f>SUMIF($L$4:$AA$4,"SUBTOTAL",$L$42:$AA$42)</f>
        <v>6.7792390379957901</v>
      </c>
    </row>
    <row r="43" spans="1:28" ht="11.25" customHeight="1" x14ac:dyDescent="0.25">
      <c r="A43" s="177"/>
      <c r="B43" s="177"/>
      <c r="C43" s="177"/>
      <c r="D43" s="66" t="s">
        <v>97</v>
      </c>
      <c r="E43" s="66" t="s">
        <v>25</v>
      </c>
      <c r="F43" s="66" t="s">
        <v>25</v>
      </c>
      <c r="G43" s="66" t="s">
        <v>82</v>
      </c>
      <c r="H43" s="66" t="s">
        <v>78</v>
      </c>
      <c r="I43" s="66">
        <f>'MERCADO TE'!$U$40</f>
        <v>0</v>
      </c>
      <c r="J43" s="16"/>
      <c r="L43" s="64">
        <f>'TE BE'!$L$43*'TE BF'!$L$50</f>
        <v>0</v>
      </c>
      <c r="M43" s="64">
        <f>'TE BE'!$M$43*'TE BF'!$M$50</f>
        <v>0</v>
      </c>
      <c r="N43" s="64">
        <f>'TE BE'!$N$43*'TE BF'!$N$50</f>
        <v>0</v>
      </c>
      <c r="O43" s="64">
        <f>'TE BE'!$O$43*'TE BF'!$O$50</f>
        <v>0.34087142724741842</v>
      </c>
      <c r="P43" s="64">
        <f>'TE BE'!$P$43*'TE BF'!$P$50</f>
        <v>0</v>
      </c>
      <c r="Q43" s="64">
        <f>SUM($L$43:$P$43)</f>
        <v>0.34087142724741842</v>
      </c>
      <c r="R43" s="64">
        <f>'TE BE'!$R$43*'TE BF'!$R$50</f>
        <v>7.0546620687479873</v>
      </c>
      <c r="S43" s="64">
        <f>SUM($R$43:$R$43)</f>
        <v>7.0546620687479873</v>
      </c>
      <c r="T43" s="64">
        <f>'TE BE'!$T$43*'TE BF'!$T$50</f>
        <v>0</v>
      </c>
      <c r="U43" s="64">
        <f>'TE BE'!$U$43*'TE BF'!$U$50</f>
        <v>0</v>
      </c>
      <c r="V43" s="64">
        <f>'TE BE'!$V$43*'TE BF'!$V$50</f>
        <v>0</v>
      </c>
      <c r="W43" s="64">
        <f>SUM($T$43:$V$43)</f>
        <v>0</v>
      </c>
      <c r="X43" s="64">
        <f>'TE BE'!$AB$43*'TE BF'!$X$50</f>
        <v>0</v>
      </c>
      <c r="Y43" s="64">
        <f>SUM($X$43:$X$43)</f>
        <v>0</v>
      </c>
      <c r="Z43" s="64">
        <f>'TE BE'!$Z$43*'TE BF'!$Z$50</f>
        <v>0</v>
      </c>
      <c r="AA43" s="64">
        <f>SUM($Z$43:$Z$43)</f>
        <v>0</v>
      </c>
      <c r="AB43" s="64">
        <f>SUMIF($L$4:$AA$4,"SUBTOTAL",$L$43:$AA$43)</f>
        <v>7.395533495995406</v>
      </c>
    </row>
    <row r="45" spans="1:28" ht="11.25" customHeight="1" x14ac:dyDescent="0.25">
      <c r="K45" s="71" t="s">
        <v>589</v>
      </c>
      <c r="L45" s="64">
        <f t="shared" ref="L45:AB45" si="0">SUMPRODUCT($I$5:$I$43,L$5:L$43)</f>
        <v>0</v>
      </c>
      <c r="M45" s="64">
        <f t="shared" si="0"/>
        <v>0</v>
      </c>
      <c r="N45" s="64">
        <f t="shared" si="0"/>
        <v>0</v>
      </c>
      <c r="O45" s="64">
        <f t="shared" si="0"/>
        <v>42001.435756448824</v>
      </c>
      <c r="P45" s="64">
        <f t="shared" si="0"/>
        <v>0</v>
      </c>
      <c r="Q45" s="64">
        <f t="shared" si="0"/>
        <v>42001.435756448824</v>
      </c>
      <c r="R45" s="64">
        <f t="shared" si="0"/>
        <v>868156.76472202106</v>
      </c>
      <c r="S45" s="64">
        <f t="shared" si="0"/>
        <v>868156.76472202106</v>
      </c>
      <c r="T45" s="64">
        <f t="shared" si="0"/>
        <v>0</v>
      </c>
      <c r="U45" s="64">
        <f t="shared" si="0"/>
        <v>0</v>
      </c>
      <c r="V45" s="64">
        <f t="shared" si="0"/>
        <v>0</v>
      </c>
      <c r="W45" s="64">
        <f t="shared" si="0"/>
        <v>0</v>
      </c>
      <c r="X45" s="64">
        <f t="shared" si="0"/>
        <v>0</v>
      </c>
      <c r="Y45" s="64">
        <f t="shared" si="0"/>
        <v>0</v>
      </c>
      <c r="Z45" s="64">
        <f t="shared" si="0"/>
        <v>0</v>
      </c>
      <c r="AA45" s="64">
        <f t="shared" si="0"/>
        <v>0</v>
      </c>
      <c r="AB45" s="64">
        <f t="shared" si="0"/>
        <v>910158.2004784703</v>
      </c>
    </row>
    <row r="46" spans="1:28" ht="11.25" customHeight="1" x14ac:dyDescent="0.25">
      <c r="K46" s="71" t="s">
        <v>525</v>
      </c>
      <c r="L46" s="64">
        <f>CUSTOS!$D$30</f>
        <v>217388.68030113468</v>
      </c>
      <c r="M46" s="64">
        <f>CUSTOS!$D$31</f>
        <v>0</v>
      </c>
      <c r="N46" s="64">
        <f>CUSTOS!$D$32</f>
        <v>0</v>
      </c>
      <c r="O46" s="64">
        <f>CUSTOS!$D$33</f>
        <v>640267.50349107874</v>
      </c>
      <c r="P46" s="64">
        <f>CUSTOS!$D$34</f>
        <v>0</v>
      </c>
      <c r="Q46" s="64">
        <f>CUSTOS!$D$35</f>
        <v>857656.18379221344</v>
      </c>
      <c r="R46" s="64">
        <f>CUSTOS!$D$36</f>
        <v>20389905.96487087</v>
      </c>
      <c r="S46" s="64">
        <f>CUSTOS!$D$37</f>
        <v>20389905.96487087</v>
      </c>
      <c r="T46" s="64">
        <f>CUSTOS!$D$38</f>
        <v>0</v>
      </c>
      <c r="U46" s="64">
        <f>CUSTOS!$D$39</f>
        <v>0</v>
      </c>
      <c r="V46" s="64">
        <f>CUSTOS!$D$40</f>
        <v>0</v>
      </c>
      <c r="W46" s="64">
        <f>CUSTOS!$D$41</f>
        <v>0</v>
      </c>
      <c r="X46" s="64">
        <f>CUSTOS!$D$42</f>
        <v>0</v>
      </c>
      <c r="Y46" s="64">
        <f>CUSTOS!$D$43</f>
        <v>0</v>
      </c>
      <c r="Z46" s="64">
        <f>CUSTOS!$D$44</f>
        <v>0</v>
      </c>
      <c r="AA46" s="64">
        <f>CUSTOS!$D$45</f>
        <v>0</v>
      </c>
      <c r="AB46" s="64">
        <f>CUSTOS!$D$46</f>
        <v>21247562.148663085</v>
      </c>
    </row>
    <row r="47" spans="1:28" ht="11.25" customHeight="1" x14ac:dyDescent="0.25">
      <c r="K47" s="71" t="s">
        <v>526</v>
      </c>
      <c r="L47" s="64">
        <f>CUSTOS!$E$30</f>
        <v>-8.8885204693480453E-3</v>
      </c>
      <c r="M47" s="64">
        <f>CUSTOS!$E$31</f>
        <v>0</v>
      </c>
      <c r="N47" s="64">
        <f>CUSTOS!$E$32</f>
        <v>0</v>
      </c>
      <c r="O47" s="64">
        <f>CUSTOS!$E$33</f>
        <v>-51214.334036968139</v>
      </c>
      <c r="P47" s="64">
        <f>CUSTOS!$E$34</f>
        <v>0</v>
      </c>
      <c r="Q47" s="64">
        <f>CUSTOS!$E$35</f>
        <v>-51214.342925488607</v>
      </c>
      <c r="R47" s="64">
        <f>CUSTOS!$E$36</f>
        <v>74842.048413565804</v>
      </c>
      <c r="S47" s="64">
        <f>CUSTOS!$E$37</f>
        <v>74842.048413565804</v>
      </c>
      <c r="T47" s="64">
        <f>CUSTOS!$E$38</f>
        <v>0</v>
      </c>
      <c r="U47" s="64">
        <f>CUSTOS!$E$39</f>
        <v>0</v>
      </c>
      <c r="V47" s="64">
        <f>CUSTOS!$E$40</f>
        <v>0</v>
      </c>
      <c r="W47" s="64">
        <f>CUSTOS!$E$41</f>
        <v>0</v>
      </c>
      <c r="X47" s="64">
        <f>CUSTOS!$E$42</f>
        <v>-3802746.9625408254</v>
      </c>
      <c r="Y47" s="64">
        <f>CUSTOS!$E$43</f>
        <v>-3802746.9625408254</v>
      </c>
      <c r="Z47" s="64">
        <f>CUSTOS!$E$44</f>
        <v>0</v>
      </c>
      <c r="AA47" s="64">
        <f>CUSTOS!$E$45</f>
        <v>0</v>
      </c>
      <c r="AB47" s="64">
        <f>CUSTOS!$E$46</f>
        <v>-3779119.257052748</v>
      </c>
    </row>
    <row r="48" spans="1:28" ht="11.25" customHeight="1" x14ac:dyDescent="0.25">
      <c r="K48" s="71" t="s">
        <v>527</v>
      </c>
      <c r="L48" s="64">
        <f>CUSTOS!$F$30</f>
        <v>0</v>
      </c>
      <c r="M48" s="64">
        <f>CUSTOS!$F$31</f>
        <v>0</v>
      </c>
      <c r="N48" s="64">
        <f>CUSTOS!$F$32</f>
        <v>0</v>
      </c>
      <c r="O48" s="64">
        <f>CUSTOS!$F$33</f>
        <v>42001.435756448831</v>
      </c>
      <c r="P48" s="64">
        <f>CUSTOS!$F$34</f>
        <v>0</v>
      </c>
      <c r="Q48" s="64">
        <f>CUSTOS!$F$35</f>
        <v>42001.435756448831</v>
      </c>
      <c r="R48" s="64">
        <f>CUSTOS!$F$36</f>
        <v>868156.7647220213</v>
      </c>
      <c r="S48" s="64">
        <f>CUSTOS!$F$37</f>
        <v>868156.7647220213</v>
      </c>
      <c r="T48" s="64">
        <f>CUSTOS!$F$38</f>
        <v>0</v>
      </c>
      <c r="U48" s="64">
        <f>CUSTOS!$F$39</f>
        <v>0</v>
      </c>
      <c r="V48" s="64">
        <f>CUSTOS!$F$40</f>
        <v>0</v>
      </c>
      <c r="W48" s="64">
        <f>CUSTOS!$F$41</f>
        <v>0</v>
      </c>
      <c r="X48" s="64">
        <f>CUSTOS!$F$42</f>
        <v>0</v>
      </c>
      <c r="Y48" s="64">
        <f>CUSTOS!$F$43</f>
        <v>0</v>
      </c>
      <c r="Z48" s="64">
        <f>CUSTOS!$F$44</f>
        <v>0</v>
      </c>
      <c r="AA48" s="64">
        <f>CUSTOS!$F$45</f>
        <v>0</v>
      </c>
      <c r="AB48" s="64">
        <f>CUSTOS!$F$46</f>
        <v>910158.20047847019</v>
      </c>
    </row>
    <row r="49" spans="11:28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  <row r="50" spans="11:28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  <row r="51" spans="11:28" ht="11.25" customHeight="1" x14ac:dyDescent="0.25"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8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9:F11"/>
    <mergeCell ref="B12:B16"/>
    <mergeCell ref="C12:C16"/>
    <mergeCell ref="B17:B21"/>
    <mergeCell ref="C17:C21"/>
    <mergeCell ref="A9:A21"/>
    <mergeCell ref="B9:B11"/>
    <mergeCell ref="C9:C11"/>
    <mergeCell ref="D9:D11"/>
    <mergeCell ref="E9:E11"/>
    <mergeCell ref="D30:D32"/>
    <mergeCell ref="E30:E32"/>
    <mergeCell ref="F30:F32"/>
    <mergeCell ref="D22:D24"/>
    <mergeCell ref="E22:E24"/>
    <mergeCell ref="F22:F24"/>
    <mergeCell ref="D26:D28"/>
    <mergeCell ref="E26:E28"/>
    <mergeCell ref="F26:F28"/>
    <mergeCell ref="B34:B36"/>
    <mergeCell ref="C34:C36"/>
    <mergeCell ref="A37:A41"/>
    <mergeCell ref="B37:B39"/>
    <mergeCell ref="C37:C39"/>
    <mergeCell ref="A22:A36"/>
    <mergeCell ref="B22:B24"/>
    <mergeCell ref="C22:C24"/>
    <mergeCell ref="B30:B32"/>
    <mergeCell ref="C30:C32"/>
    <mergeCell ref="B26:B28"/>
    <mergeCell ref="C26:C28"/>
    <mergeCell ref="E37:E39"/>
    <mergeCell ref="F37:F39"/>
    <mergeCell ref="A42:A43"/>
    <mergeCell ref="B42:B43"/>
    <mergeCell ref="C42:C43"/>
    <mergeCell ref="D37:D39"/>
  </mergeCells>
  <conditionalFormatting sqref="L45">
    <cfRule type="cellIs" dxfId="917" priority="33" operator="notEqual">
      <formula>$L$48</formula>
    </cfRule>
    <cfRule type="cellIs" dxfId="916" priority="34" operator="equal">
      <formula>$L$48</formula>
    </cfRule>
  </conditionalFormatting>
  <conditionalFormatting sqref="M45">
    <cfRule type="cellIs" dxfId="915" priority="31" operator="notEqual">
      <formula>$M$48</formula>
    </cfRule>
    <cfRule type="cellIs" dxfId="914" priority="32" operator="equal">
      <formula>$M$48</formula>
    </cfRule>
  </conditionalFormatting>
  <conditionalFormatting sqref="N45">
    <cfRule type="cellIs" dxfId="913" priority="29" operator="notEqual">
      <formula>$N$48</formula>
    </cfRule>
    <cfRule type="cellIs" dxfId="912" priority="30" operator="equal">
      <formula>$N$48</formula>
    </cfRule>
  </conditionalFormatting>
  <conditionalFormatting sqref="O45">
    <cfRule type="cellIs" dxfId="911" priority="27" operator="notEqual">
      <formula>$O$48</formula>
    </cfRule>
    <cfRule type="cellIs" dxfId="910" priority="28" operator="equal">
      <formula>$O$48</formula>
    </cfRule>
  </conditionalFormatting>
  <conditionalFormatting sqref="P45">
    <cfRule type="cellIs" dxfId="909" priority="25" operator="notEqual">
      <formula>$P$48</formula>
    </cfRule>
    <cfRule type="cellIs" dxfId="908" priority="26" operator="equal">
      <formula>$P$48</formula>
    </cfRule>
  </conditionalFormatting>
  <conditionalFormatting sqref="Q45">
    <cfRule type="cellIs" dxfId="907" priority="23" operator="notEqual">
      <formula>$Q$48</formula>
    </cfRule>
    <cfRule type="cellIs" dxfId="906" priority="24" operator="equal">
      <formula>$Q$48</formula>
    </cfRule>
  </conditionalFormatting>
  <conditionalFormatting sqref="R45">
    <cfRule type="cellIs" dxfId="905" priority="21" operator="notEqual">
      <formula>$R$48</formula>
    </cfRule>
    <cfRule type="cellIs" dxfId="904" priority="22" operator="equal">
      <formula>$R$48</formula>
    </cfRule>
  </conditionalFormatting>
  <conditionalFormatting sqref="S45">
    <cfRule type="cellIs" dxfId="903" priority="19" operator="notEqual">
      <formula>$S$48</formula>
    </cfRule>
    <cfRule type="cellIs" dxfId="902" priority="20" operator="equal">
      <formula>$S$48</formula>
    </cfRule>
  </conditionalFormatting>
  <conditionalFormatting sqref="T45">
    <cfRule type="cellIs" dxfId="901" priority="17" operator="notEqual">
      <formula>$T$48</formula>
    </cfRule>
    <cfRule type="cellIs" dxfId="900" priority="18" operator="equal">
      <formula>$T$48</formula>
    </cfRule>
  </conditionalFormatting>
  <conditionalFormatting sqref="U45">
    <cfRule type="cellIs" dxfId="899" priority="15" operator="notEqual">
      <formula>$U$48</formula>
    </cfRule>
    <cfRule type="cellIs" dxfId="898" priority="16" operator="equal">
      <formula>$U$48</formula>
    </cfRule>
  </conditionalFormatting>
  <conditionalFormatting sqref="V45">
    <cfRule type="cellIs" dxfId="897" priority="13" operator="notEqual">
      <formula>$V$48</formula>
    </cfRule>
    <cfRule type="cellIs" dxfId="896" priority="14" operator="equal">
      <formula>$V$48</formula>
    </cfRule>
  </conditionalFormatting>
  <conditionalFormatting sqref="W45">
    <cfRule type="cellIs" dxfId="895" priority="11" operator="notEqual">
      <formula>$W$48</formula>
    </cfRule>
    <cfRule type="cellIs" dxfId="894" priority="12" operator="equal">
      <formula>$W$48</formula>
    </cfRule>
  </conditionalFormatting>
  <conditionalFormatting sqref="X45">
    <cfRule type="cellIs" dxfId="893" priority="9" operator="notEqual">
      <formula>$X$48</formula>
    </cfRule>
    <cfRule type="cellIs" dxfId="892" priority="10" operator="equal">
      <formula>$X$48</formula>
    </cfRule>
  </conditionalFormatting>
  <conditionalFormatting sqref="Y45">
    <cfRule type="cellIs" dxfId="891" priority="7" operator="notEqual">
      <formula>$Y$48</formula>
    </cfRule>
    <cfRule type="cellIs" dxfId="890" priority="8" operator="equal">
      <formula>$Y$48</formula>
    </cfRule>
  </conditionalFormatting>
  <conditionalFormatting sqref="Z45">
    <cfRule type="cellIs" dxfId="889" priority="5" operator="notEqual">
      <formula>$Z$48</formula>
    </cfRule>
    <cfRule type="cellIs" dxfId="888" priority="6" operator="equal">
      <formula>$Z$48</formula>
    </cfRule>
  </conditionalFormatting>
  <conditionalFormatting sqref="AA45">
    <cfRule type="cellIs" dxfId="887" priority="3" operator="notEqual">
      <formula>$AA$48</formula>
    </cfRule>
    <cfRule type="cellIs" dxfId="886" priority="4" operator="equal">
      <formula>$AA$48</formula>
    </cfRule>
  </conditionalFormatting>
  <conditionalFormatting sqref="AB45">
    <cfRule type="cellIs" dxfId="885" priority="1" operator="notEqual">
      <formula>$AB$48</formula>
    </cfRule>
    <cfRule type="cellIs" dxfId="884" priority="2" operator="equal">
      <formula>$AB$48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0E509-4CE3-4363-AF3E-B371406525A6}">
  <sheetPr codeName="Planilha18"/>
  <dimension ref="A1:AV629"/>
  <sheetViews>
    <sheetView showGridLines="0" topLeftCell="AF1" workbookViewId="0">
      <selection activeCell="AP13" sqref="AP13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2.140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6" width="10.85546875" style="4" bestFit="1" customWidth="1"/>
    <col min="47" max="47" width="11.2851562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610</v>
      </c>
      <c r="W1" s="1" t="s">
        <v>611</v>
      </c>
      <c r="X1" s="1" t="s">
        <v>612</v>
      </c>
      <c r="Y1" s="1" t="s">
        <v>613</v>
      </c>
      <c r="Z1" s="1" t="s">
        <v>614</v>
      </c>
      <c r="AA1" s="1" t="s">
        <v>615</v>
      </c>
      <c r="AB1" s="1" t="s">
        <v>616</v>
      </c>
      <c r="AC1" s="1" t="s">
        <v>617</v>
      </c>
      <c r="AD1" s="1" t="s">
        <v>618</v>
      </c>
      <c r="AE1" s="1" t="s">
        <v>619</v>
      </c>
      <c r="AF1" s="1" t="s">
        <v>620</v>
      </c>
      <c r="AG1" s="1" t="s">
        <v>621</v>
      </c>
      <c r="AI1" s="83" t="s">
        <v>68</v>
      </c>
      <c r="AJ1" s="83" t="s">
        <v>622</v>
      </c>
      <c r="AK1" s="83" t="s">
        <v>623</v>
      </c>
      <c r="AL1" s="83" t="s">
        <v>624</v>
      </c>
      <c r="AN1" s="83" t="s">
        <v>68</v>
      </c>
      <c r="AO1" s="83" t="s">
        <v>625</v>
      </c>
      <c r="AP1" s="83" t="s">
        <v>626</v>
      </c>
      <c r="AQ1" s="83" t="s">
        <v>624</v>
      </c>
      <c r="AS1" s="83" t="s">
        <v>68</v>
      </c>
      <c r="AT1" s="83" t="s">
        <v>627</v>
      </c>
      <c r="AU1" s="83" t="s">
        <v>628</v>
      </c>
      <c r="AV1" s="83" t="s">
        <v>624</v>
      </c>
    </row>
    <row r="2" spans="1:48" ht="11.25" customHeight="1" x14ac:dyDescent="0.25">
      <c r="A2" s="4" t="s">
        <v>21</v>
      </c>
      <c r="B2" s="4" t="s">
        <v>38</v>
      </c>
      <c r="C2" s="4" t="s">
        <v>50</v>
      </c>
      <c r="D2" s="4" t="s">
        <v>48</v>
      </c>
      <c r="E2" s="4" t="s">
        <v>49</v>
      </c>
      <c r="F2" s="4" t="s">
        <v>25</v>
      </c>
      <c r="G2" s="4" t="s">
        <v>25</v>
      </c>
      <c r="H2" s="4" t="s">
        <v>34</v>
      </c>
      <c r="I2" s="5">
        <v>44378</v>
      </c>
      <c r="J2" s="6">
        <v>245</v>
      </c>
      <c r="K2" s="96">
        <v>245</v>
      </c>
      <c r="L2" s="6">
        <v>105.798</v>
      </c>
      <c r="M2" s="96">
        <v>105.798</v>
      </c>
      <c r="N2" s="6">
        <v>105.798</v>
      </c>
      <c r="O2" s="96">
        <v>105.798</v>
      </c>
      <c r="P2" s="6">
        <v>0</v>
      </c>
      <c r="Q2" s="4" t="s">
        <v>26</v>
      </c>
      <c r="R2" s="4">
        <v>0</v>
      </c>
      <c r="S2" s="6">
        <v>23</v>
      </c>
      <c r="T2" s="6">
        <v>11</v>
      </c>
      <c r="U2" s="6">
        <v>78</v>
      </c>
      <c r="V2" s="96">
        <f>IF(ISERROR(VLOOKUP($S$2,'TAR FIN'!$A$1:$O$86,15,0)),0,VLOOKUP($S$2,'TAR FIN'!$A$1:$O$86,15,0))*(1-0.06)</f>
        <v>15.312599999999998</v>
      </c>
      <c r="W2" s="96">
        <f>IF(ISERROR(VLOOKUP($T$2,'TAR FIN'!$A$1:$O$86,15,0)),0,VLOOKUP($T$2,'TAR FIN'!$A$1:$O$86,15,0))*(1-0.06)</f>
        <v>66.984400000000008</v>
      </c>
      <c r="X2" s="96">
        <f>IF(ISERROR(VLOOKUP($U$2,'TAR FIN'!$A$1:$O$86,15,0)),0,VLOOKUP($U$2,'TAR FIN'!$A$1:$O$86,15,0))*(1-0.06)</f>
        <v>279.47139999999996</v>
      </c>
      <c r="Y2" s="96">
        <f ca="1">('TUSD BE'!$AM$6+'TUSD BF'!$AM$6+'TUSD CVA'!$AM$6)*1*(1-0.03)</f>
        <v>20.50538631981113</v>
      </c>
      <c r="Z2" s="96">
        <f ca="1">('TUSD BE'!$AM$7+'TUSD BF'!$AM$7+'TUSD CVA'!$AM$7)*1*(1-0.03)</f>
        <v>92.9409846595331</v>
      </c>
      <c r="AA2" s="96">
        <f>('TE BE'!$AB$6+'TE BF'!$AB$6+'TE CVA'!$AB$6)*1*(1-0.03)</f>
        <v>228.27969443963337</v>
      </c>
      <c r="AB2" s="6">
        <f>$K$2*$V$2</f>
        <v>3751.5869999999995</v>
      </c>
      <c r="AC2" s="6">
        <f>$M$2*$W$2</f>
        <v>7086.8155512000012</v>
      </c>
      <c r="AD2" s="6">
        <f>$O$2*$X$2</f>
        <v>29567.515177199995</v>
      </c>
      <c r="AE2" s="6">
        <f ca="1">$K$2*$Y$2</f>
        <v>5023.8196483537267</v>
      </c>
      <c r="AF2" s="6">
        <f ca="1">$M$2*$Z$2</f>
        <v>9832.9702950092833</v>
      </c>
      <c r="AG2" s="6">
        <f>$O$2*$AA$2</f>
        <v>24151.535112324331</v>
      </c>
      <c r="AI2" s="84" t="s">
        <v>38</v>
      </c>
      <c r="AJ2" s="85">
        <f>SUMIF($B$2:$B$629,AI2,$AB$2:$AB$629)+SUMIF($B$2:$B$629,AI2,$AC$2:$AC$629)</f>
        <v>9870943.0078028142</v>
      </c>
      <c r="AK2" s="85">
        <f ca="1">SUMIF($B$2:$B$629,AI2,$AE$2:$AE$629)+SUMIF($B$2:$B$629,AI2,$AF$2:$AF$629)</f>
        <v>12413494.412830664</v>
      </c>
      <c r="AL2" s="86">
        <f t="shared" ref="AL2:AL9" ca="1" si="0">IF(AJ2&lt;&gt;0,AK2/AJ2-1,0)</f>
        <v>0.25757938253903467</v>
      </c>
      <c r="AN2" s="84" t="s">
        <v>38</v>
      </c>
      <c r="AO2" s="85">
        <f>SUMIF($B$2:$B$629,AN2,$AD$2:$AD$629)</f>
        <v>5033985.7134883953</v>
      </c>
      <c r="AP2" s="85">
        <f>SUMIF($B$2:$B$629,AN2,$AG$2:$AG$629)</f>
        <v>4001942.443246278</v>
      </c>
      <c r="AQ2" s="86">
        <f t="shared" ref="AQ2:AQ9" si="1">IF(AO2&lt;&gt;0,AP2/AO2-1,0)</f>
        <v>-0.20501513690767781</v>
      </c>
      <c r="AS2" s="84" t="s">
        <v>38</v>
      </c>
      <c r="AT2" s="85">
        <f>SUMIF($B$2:$B$629,AS2,$AB$2:$AB$629)+SUMIF($B$2:$B$629,AS2,$AC$2:$AC$629)+SUMIF($B$2:$B$629,AS2,$AD$2:$AD$629)</f>
        <v>14904928.721291211</v>
      </c>
      <c r="AU2" s="85">
        <f ca="1">SUMIF($B$2:$B$629,AS2,$AE$2:$AE$629)+SUMIF($B$2:$B$629,AS2,$AF$2:$AF$629)+SUMIF($B$2:$B$629,AS2,$AG$2:$AG$629)</f>
        <v>16415436.856076941</v>
      </c>
      <c r="AV2" s="86">
        <f t="shared" ref="AV2:AV9" ca="1" si="2">IF(AT2&lt;&gt;0,AU2/AT2-1,0)</f>
        <v>0.10134286201771747</v>
      </c>
    </row>
    <row r="3" spans="1:48" ht="11.25" customHeight="1" x14ac:dyDescent="0.25">
      <c r="A3" s="4" t="s">
        <v>21</v>
      </c>
      <c r="B3" s="4" t="s">
        <v>38</v>
      </c>
      <c r="C3" s="4" t="s">
        <v>50</v>
      </c>
      <c r="D3" s="4" t="s">
        <v>48</v>
      </c>
      <c r="E3" s="4" t="s">
        <v>49</v>
      </c>
      <c r="F3" s="4" t="s">
        <v>25</v>
      </c>
      <c r="G3" s="4" t="s">
        <v>25</v>
      </c>
      <c r="H3" s="4" t="s">
        <v>34</v>
      </c>
      <c r="I3" s="5">
        <v>44409</v>
      </c>
      <c r="J3" s="6">
        <v>245</v>
      </c>
      <c r="K3" s="97">
        <v>245</v>
      </c>
      <c r="L3" s="6">
        <v>117.194</v>
      </c>
      <c r="M3" s="96">
        <v>117.194</v>
      </c>
      <c r="N3" s="6">
        <v>117.194</v>
      </c>
      <c r="O3" s="96">
        <v>117.194</v>
      </c>
      <c r="P3" s="6">
        <v>0</v>
      </c>
      <c r="Q3" s="4" t="s">
        <v>26</v>
      </c>
      <c r="R3" s="4">
        <v>0</v>
      </c>
      <c r="S3" s="6">
        <v>23</v>
      </c>
      <c r="T3" s="6">
        <v>11</v>
      </c>
      <c r="U3" s="6">
        <v>78</v>
      </c>
      <c r="V3" s="96">
        <f>IF(ISERROR(VLOOKUP($S$3,'TAR FIN'!$A$1:$O$86,15,0)),0,VLOOKUP($S$3,'TAR FIN'!$A$1:$O$86,15,0))*(1-0.06)</f>
        <v>15.312599999999998</v>
      </c>
      <c r="W3" s="96">
        <f>IF(ISERROR(VLOOKUP($T$3,'TAR FIN'!$A$1:$O$86,15,0)),0,VLOOKUP($T$3,'TAR FIN'!$A$1:$O$86,15,0))*(1-0.06)</f>
        <v>66.984400000000008</v>
      </c>
      <c r="X3" s="96">
        <f>IF(ISERROR(VLOOKUP($U$3,'TAR FIN'!$A$1:$O$86,15,0)),0,VLOOKUP($U$3,'TAR FIN'!$A$1:$O$86,15,0))*(1-0.06)</f>
        <v>279.47139999999996</v>
      </c>
      <c r="Y3" s="96">
        <f ca="1">('TUSD BE'!$AM$6+'TUSD BF'!$AM$6+'TUSD CVA'!$AM$6)*1*(1-0.03)</f>
        <v>20.50538631981113</v>
      </c>
      <c r="Z3" s="96">
        <f ca="1">('TUSD BE'!$AM$7+'TUSD BF'!$AM$7+'TUSD CVA'!$AM$7)*1*(1-0.03)</f>
        <v>92.9409846595331</v>
      </c>
      <c r="AA3" s="96">
        <f>('TE BE'!$AB$6+'TE BF'!$AB$6+'TE CVA'!$AB$6)*1*(1-0.03)</f>
        <v>228.27969443963337</v>
      </c>
      <c r="AB3" s="6">
        <f>$K$3*$V$3</f>
        <v>3751.5869999999995</v>
      </c>
      <c r="AC3" s="6">
        <f>$M$3*$W$3</f>
        <v>7850.1697736000015</v>
      </c>
      <c r="AD3" s="6">
        <f>$O$3*$X$3</f>
        <v>32752.371251599998</v>
      </c>
      <c r="AE3" s="6">
        <f ca="1">$K$3*$Y$3</f>
        <v>5023.8196483537267</v>
      </c>
      <c r="AF3" s="6">
        <f ca="1">$M$3*$Z$3</f>
        <v>10892.125756189322</v>
      </c>
      <c r="AG3" s="6">
        <f>$O$3*$AA$3</f>
        <v>26753.010510158394</v>
      </c>
      <c r="AI3" s="84" t="s">
        <v>22</v>
      </c>
      <c r="AJ3" s="85">
        <f>SUMIF($B$2:$B$629,AI3,$AB$2:$AB$629)+SUMIF($B$2:$B$629,AI3,$AC$2:$AC$629)</f>
        <v>12703993.404280003</v>
      </c>
      <c r="AK3" s="85">
        <f ca="1">SUMIF($B$2:$B$629,AI3,$AE$2:$AE$629)+SUMIF($B$2:$B$629,AI3,$AF$2:$AF$629)</f>
        <v>12163565.741635554</v>
      </c>
      <c r="AL3" s="86">
        <f t="shared" ca="1" si="0"/>
        <v>-4.2539982936576348E-2</v>
      </c>
      <c r="AN3" s="84" t="s">
        <v>22</v>
      </c>
      <c r="AO3" s="85">
        <f>SUMIF($B$2:$B$629,AN3,$AD$2:$AD$629)</f>
        <v>12292137.580009999</v>
      </c>
      <c r="AP3" s="85">
        <f>SUMIF($B$2:$B$629,AN3,$AG$2:$AG$629)</f>
        <v>9727417.4809301887</v>
      </c>
      <c r="AQ3" s="86">
        <f t="shared" si="1"/>
        <v>-0.20864720089455135</v>
      </c>
      <c r="AS3" s="84" t="s">
        <v>22</v>
      </c>
      <c r="AT3" s="85">
        <f>SUMIF($B$2:$B$629,AS3,$AB$2:$AB$629)+SUMIF($B$2:$B$629,AS3,$AC$2:$AC$629)+SUMIF($B$2:$B$629,AS3,$AD$2:$AD$629)</f>
        <v>24996130.984290004</v>
      </c>
      <c r="AU3" s="85">
        <f ca="1">SUMIF($B$2:$B$629,AS3,$AE$2:$AE$629)+SUMIF($B$2:$B$629,AS3,$AF$2:$AF$629)+SUMIF($B$2:$B$629,AS3,$AG$2:$AG$629)</f>
        <v>21890983.22256574</v>
      </c>
      <c r="AV3" s="86">
        <f t="shared" ca="1" si="2"/>
        <v>-0.12422513562902349</v>
      </c>
    </row>
    <row r="4" spans="1:48" ht="11.25" customHeight="1" x14ac:dyDescent="0.25">
      <c r="A4" s="4" t="s">
        <v>21</v>
      </c>
      <c r="B4" s="4" t="s">
        <v>38</v>
      </c>
      <c r="C4" s="4" t="s">
        <v>50</v>
      </c>
      <c r="D4" s="4" t="s">
        <v>48</v>
      </c>
      <c r="E4" s="4" t="s">
        <v>49</v>
      </c>
      <c r="F4" s="4" t="s">
        <v>25</v>
      </c>
      <c r="G4" s="4" t="s">
        <v>25</v>
      </c>
      <c r="H4" s="4" t="s">
        <v>34</v>
      </c>
      <c r="I4" s="5">
        <v>44440</v>
      </c>
      <c r="J4" s="6">
        <v>245</v>
      </c>
      <c r="K4" s="97">
        <v>245</v>
      </c>
      <c r="L4" s="6">
        <v>97.938999999999993</v>
      </c>
      <c r="M4" s="96">
        <v>97.938999999999993</v>
      </c>
      <c r="N4" s="6">
        <v>97.938999999999993</v>
      </c>
      <c r="O4" s="96">
        <v>97.938999999999993</v>
      </c>
      <c r="P4" s="6">
        <v>0</v>
      </c>
      <c r="Q4" s="4" t="s">
        <v>26</v>
      </c>
      <c r="R4" s="4">
        <v>0</v>
      </c>
      <c r="S4" s="6">
        <v>23</v>
      </c>
      <c r="T4" s="6">
        <v>11</v>
      </c>
      <c r="U4" s="6">
        <v>78</v>
      </c>
      <c r="V4" s="96">
        <f>IF(ISERROR(VLOOKUP($S$4,'TAR FIN'!$A$1:$O$86,15,0)),0,VLOOKUP($S$4,'TAR FIN'!$A$1:$O$86,15,0))*(1-0.06)</f>
        <v>15.312599999999998</v>
      </c>
      <c r="W4" s="96">
        <f>IF(ISERROR(VLOOKUP($T$4,'TAR FIN'!$A$1:$O$86,15,0)),0,VLOOKUP($T$4,'TAR FIN'!$A$1:$O$86,15,0))*(1-0.06)</f>
        <v>66.984400000000008</v>
      </c>
      <c r="X4" s="96">
        <f>IF(ISERROR(VLOOKUP($U$4,'TAR FIN'!$A$1:$O$86,15,0)),0,VLOOKUP($U$4,'TAR FIN'!$A$1:$O$86,15,0))*(1-0.06)</f>
        <v>279.47139999999996</v>
      </c>
      <c r="Y4" s="96">
        <f ca="1">('TUSD BE'!$AM$6+'TUSD BF'!$AM$6+'TUSD CVA'!$AM$6)*1*(1-0.03)</f>
        <v>20.50538631981113</v>
      </c>
      <c r="Z4" s="96">
        <f ca="1">('TUSD BE'!$AM$7+'TUSD BF'!$AM$7+'TUSD CVA'!$AM$7)*1*(1-0.03)</f>
        <v>92.9409846595331</v>
      </c>
      <c r="AA4" s="96">
        <f>('TE BE'!$AB$6+'TE BF'!$AB$6+'TE CVA'!$AB$6)*1*(1-0.03)</f>
        <v>228.27969443963337</v>
      </c>
      <c r="AB4" s="6">
        <f>$K$4*$V$4</f>
        <v>3751.5869999999995</v>
      </c>
      <c r="AC4" s="6">
        <f>$M$4*$W$4</f>
        <v>6560.3851516000004</v>
      </c>
      <c r="AD4" s="6">
        <f>$O$4*$X$4</f>
        <v>27371.149444599992</v>
      </c>
      <c r="AE4" s="6">
        <f ca="1">$K$4*$Y$4</f>
        <v>5023.8196483537267</v>
      </c>
      <c r="AF4" s="6">
        <f ca="1">$M$4*$Z$4</f>
        <v>9102.5470965700115</v>
      </c>
      <c r="AG4" s="6">
        <f>$O$4*$AA$4</f>
        <v>22357.48499372325</v>
      </c>
      <c r="AI4" s="84" t="s">
        <v>42</v>
      </c>
      <c r="AJ4" s="85">
        <f>SUMIF($B$2:$B$629,AI4,$AB$2:$AB$629)+SUMIF($B$2:$B$629,AI4,$AC$2:$AC$629)</f>
        <v>486779.02084999991</v>
      </c>
      <c r="AK4" s="85">
        <f ca="1">SUMIF($B$2:$B$629,AI4,$AE$2:$AE$629)+SUMIF($B$2:$B$629,AI4,$AF$2:$AF$629)</f>
        <v>499177.35173075093</v>
      </c>
      <c r="AL4" s="86">
        <f t="shared" ca="1" si="0"/>
        <v>2.5470142199434553E-2</v>
      </c>
      <c r="AN4" s="84" t="s">
        <v>42</v>
      </c>
      <c r="AO4" s="85">
        <f>SUMIF($B$2:$B$629,AN4,$AD$2:$AD$629)</f>
        <v>468221.36365199997</v>
      </c>
      <c r="AP4" s="85">
        <f>SUMIF($B$2:$B$629,AN4,$AG$2:$AG$629)</f>
        <v>395788.15431051009</v>
      </c>
      <c r="AQ4" s="86">
        <f t="shared" si="1"/>
        <v>-0.15469864248937815</v>
      </c>
      <c r="AS4" s="84" t="s">
        <v>42</v>
      </c>
      <c r="AT4" s="85">
        <f>SUMIF($B$2:$B$629,AS4,$AB$2:$AB$629)+SUMIF($B$2:$B$629,AS4,$AC$2:$AC$629)+SUMIF($B$2:$B$629,AS4,$AD$2:$AD$629)</f>
        <v>955000.38450199994</v>
      </c>
      <c r="AU4" s="85">
        <f ca="1">SUMIF($B$2:$B$629,AS4,$AE$2:$AE$629)+SUMIF($B$2:$B$629,AS4,$AF$2:$AF$629)+SUMIF($B$2:$B$629,AS4,$AG$2:$AG$629)</f>
        <v>894965.50604126102</v>
      </c>
      <c r="AV4" s="86">
        <f t="shared" ca="1" si="2"/>
        <v>-6.2863721769122693E-2</v>
      </c>
    </row>
    <row r="5" spans="1:48" ht="11.25" customHeight="1" x14ac:dyDescent="0.25">
      <c r="A5" s="4" t="s">
        <v>21</v>
      </c>
      <c r="B5" s="4" t="s">
        <v>38</v>
      </c>
      <c r="C5" s="4" t="s">
        <v>50</v>
      </c>
      <c r="D5" s="4" t="s">
        <v>48</v>
      </c>
      <c r="E5" s="4" t="s">
        <v>49</v>
      </c>
      <c r="F5" s="4" t="s">
        <v>25</v>
      </c>
      <c r="G5" s="4" t="s">
        <v>25</v>
      </c>
      <c r="H5" s="4" t="s">
        <v>34</v>
      </c>
      <c r="I5" s="5">
        <v>44470</v>
      </c>
      <c r="J5" s="6">
        <v>245</v>
      </c>
      <c r="K5" s="97">
        <v>245</v>
      </c>
      <c r="L5" s="6">
        <v>100.089</v>
      </c>
      <c r="M5" s="96">
        <v>100.089</v>
      </c>
      <c r="N5" s="6">
        <v>100.089</v>
      </c>
      <c r="O5" s="96">
        <v>100.089</v>
      </c>
      <c r="P5" s="6">
        <v>0</v>
      </c>
      <c r="Q5" s="4" t="s">
        <v>26</v>
      </c>
      <c r="R5" s="4">
        <v>0</v>
      </c>
      <c r="S5" s="6">
        <v>23</v>
      </c>
      <c r="T5" s="6">
        <v>11</v>
      </c>
      <c r="U5" s="6">
        <v>78</v>
      </c>
      <c r="V5" s="96">
        <f>IF(ISERROR(VLOOKUP($S$5,'TAR FIN'!$A$1:$O$86,15,0)),0,VLOOKUP($S$5,'TAR FIN'!$A$1:$O$86,15,0))*(1-0.06)</f>
        <v>15.312599999999998</v>
      </c>
      <c r="W5" s="96">
        <f>IF(ISERROR(VLOOKUP($T$5,'TAR FIN'!$A$1:$O$86,15,0)),0,VLOOKUP($T$5,'TAR FIN'!$A$1:$O$86,15,0))*(1-0.06)</f>
        <v>66.984400000000008</v>
      </c>
      <c r="X5" s="96">
        <f>IF(ISERROR(VLOOKUP($U$5,'TAR FIN'!$A$1:$O$86,15,0)),0,VLOOKUP($U$5,'TAR FIN'!$A$1:$O$86,15,0))*(1-0.06)</f>
        <v>279.47139999999996</v>
      </c>
      <c r="Y5" s="96">
        <f ca="1">('TUSD BE'!$AM$6+'TUSD BF'!$AM$6+'TUSD CVA'!$AM$6)*1*(1-0.03)</f>
        <v>20.50538631981113</v>
      </c>
      <c r="Z5" s="96">
        <f ca="1">('TUSD BE'!$AM$7+'TUSD BF'!$AM$7+'TUSD CVA'!$AM$7)*1*(1-0.03)</f>
        <v>92.9409846595331</v>
      </c>
      <c r="AA5" s="96">
        <f>('TE BE'!$AB$6+'TE BF'!$AB$6+'TE CVA'!$AB$6)*1*(1-0.03)</f>
        <v>228.27969443963337</v>
      </c>
      <c r="AB5" s="6">
        <f>$K$5*$V$5</f>
        <v>3751.5869999999995</v>
      </c>
      <c r="AC5" s="6">
        <f>$M$5*$W$5</f>
        <v>6704.4016116000003</v>
      </c>
      <c r="AD5" s="6">
        <f>$O$5*$X$5</f>
        <v>27972.012954599995</v>
      </c>
      <c r="AE5" s="6">
        <f ca="1">$K$5*$Y$5</f>
        <v>5023.8196483537267</v>
      </c>
      <c r="AF5" s="6">
        <f ca="1">$M$5*$Z$5</f>
        <v>9302.3702135880085</v>
      </c>
      <c r="AG5" s="6">
        <f>$O$5*$AA$5</f>
        <v>22848.286336768466</v>
      </c>
      <c r="AI5" s="84" t="s">
        <v>36</v>
      </c>
      <c r="AJ5" s="85">
        <f>SUMIF($B$2:$B$629,AI5,$AB$2:$AB$629)+SUMIF($B$2:$B$629,AI5,$AC$2:$AC$629)</f>
        <v>4433193.7999215992</v>
      </c>
      <c r="AK5" s="85">
        <f ca="1">SUMIF($B$2:$B$629,AI5,$AE$2:$AE$629)+SUMIF($B$2:$B$629,AI5,$AF$2:$AF$629)</f>
        <v>4271304.1576070758</v>
      </c>
      <c r="AL5" s="86">
        <f t="shared" ca="1" si="0"/>
        <v>-3.6517610016820523E-2</v>
      </c>
      <c r="AN5" s="84" t="s">
        <v>36</v>
      </c>
      <c r="AO5" s="85">
        <f>SUMIF($B$2:$B$629,AN5,$AD$2:$AD$629)</f>
        <v>4264274.2516184011</v>
      </c>
      <c r="AP5" s="85">
        <f>SUMIF($B$2:$B$629,AN5,$AG$2:$AG$629)</f>
        <v>3386520.8075796282</v>
      </c>
      <c r="AQ5" s="86">
        <f t="shared" si="1"/>
        <v>-0.20583888189312471</v>
      </c>
      <c r="AS5" s="84" t="s">
        <v>36</v>
      </c>
      <c r="AT5" s="85">
        <f>SUMIF($B$2:$B$629,AS5,$AB$2:$AB$629)+SUMIF($B$2:$B$629,AS5,$AC$2:$AC$629)+SUMIF($B$2:$B$629,AS5,$AD$2:$AD$629)</f>
        <v>8697468.0515400004</v>
      </c>
      <c r="AU5" s="85">
        <f ca="1">SUMIF($B$2:$B$629,AS5,$AE$2:$AE$629)+SUMIF($B$2:$B$629,AS5,$AF$2:$AF$629)+SUMIF($B$2:$B$629,AS5,$AG$2:$AG$629)</f>
        <v>7657824.965186704</v>
      </c>
      <c r="AV5" s="86">
        <f t="shared" ca="1" si="2"/>
        <v>-0.11953399313369295</v>
      </c>
    </row>
    <row r="6" spans="1:48" ht="11.25" customHeight="1" x14ac:dyDescent="0.25">
      <c r="A6" s="4" t="s">
        <v>21</v>
      </c>
      <c r="B6" s="4" t="s">
        <v>38</v>
      </c>
      <c r="C6" s="4" t="s">
        <v>50</v>
      </c>
      <c r="D6" s="4" t="s">
        <v>48</v>
      </c>
      <c r="E6" s="4" t="s">
        <v>49</v>
      </c>
      <c r="F6" s="4" t="s">
        <v>25</v>
      </c>
      <c r="G6" s="4" t="s">
        <v>25</v>
      </c>
      <c r="H6" s="4" t="s">
        <v>34</v>
      </c>
      <c r="I6" s="5">
        <v>44501</v>
      </c>
      <c r="J6" s="6">
        <v>245</v>
      </c>
      <c r="K6" s="97">
        <v>245</v>
      </c>
      <c r="L6" s="6">
        <v>111.02800000000001</v>
      </c>
      <c r="M6" s="96">
        <v>111.02800000000001</v>
      </c>
      <c r="N6" s="6">
        <v>111.02800000000001</v>
      </c>
      <c r="O6" s="96">
        <v>111.02800000000001</v>
      </c>
      <c r="P6" s="6">
        <v>0</v>
      </c>
      <c r="Q6" s="4" t="s">
        <v>26</v>
      </c>
      <c r="R6" s="4">
        <v>0</v>
      </c>
      <c r="S6" s="6">
        <v>23</v>
      </c>
      <c r="T6" s="6">
        <v>11</v>
      </c>
      <c r="U6" s="6">
        <v>78</v>
      </c>
      <c r="V6" s="96">
        <f>IF(ISERROR(VLOOKUP($S$6,'TAR FIN'!$A$1:$O$86,15,0)),0,VLOOKUP($S$6,'TAR FIN'!$A$1:$O$86,15,0))*(1-0.06)</f>
        <v>15.312599999999998</v>
      </c>
      <c r="W6" s="96">
        <f>IF(ISERROR(VLOOKUP($T$6,'TAR FIN'!$A$1:$O$86,15,0)),0,VLOOKUP($T$6,'TAR FIN'!$A$1:$O$86,15,0))*(1-0.06)</f>
        <v>66.984400000000008</v>
      </c>
      <c r="X6" s="96">
        <f>IF(ISERROR(VLOOKUP($U$6,'TAR FIN'!$A$1:$O$86,15,0)),0,VLOOKUP($U$6,'TAR FIN'!$A$1:$O$86,15,0))*(1-0.06)</f>
        <v>279.47139999999996</v>
      </c>
      <c r="Y6" s="96">
        <f ca="1">('TUSD BE'!$AM$6+'TUSD BF'!$AM$6+'TUSD CVA'!$AM$6)*1*(1-0.03)</f>
        <v>20.50538631981113</v>
      </c>
      <c r="Z6" s="96">
        <f ca="1">('TUSD BE'!$AM$7+'TUSD BF'!$AM$7+'TUSD CVA'!$AM$7)*1*(1-0.03)</f>
        <v>92.9409846595331</v>
      </c>
      <c r="AA6" s="96">
        <f>('TE BE'!$AB$6+'TE BF'!$AB$6+'TE CVA'!$AB$6)*1*(1-0.03)</f>
        <v>228.27969443963337</v>
      </c>
      <c r="AB6" s="6">
        <f>$K$6*$V$6</f>
        <v>3751.5869999999995</v>
      </c>
      <c r="AC6" s="6">
        <f>$M$6*$W$6</f>
        <v>7437.1439632000011</v>
      </c>
      <c r="AD6" s="6">
        <f>$O$6*$X$6</f>
        <v>31029.150599199998</v>
      </c>
      <c r="AE6" s="6">
        <f ca="1">$K$6*$Y$6</f>
        <v>5023.8196483537267</v>
      </c>
      <c r="AF6" s="6">
        <f ca="1">$M$6*$Z$6</f>
        <v>10319.051644778641</v>
      </c>
      <c r="AG6" s="6">
        <f>$O$6*$AA$6</f>
        <v>25345.437914243616</v>
      </c>
      <c r="AI6" s="84" t="s">
        <v>45</v>
      </c>
      <c r="AJ6" s="85">
        <f>SUMIF($B$2:$B$629,AI6,$AB$2:$AB$629)+SUMIF($B$2:$B$629,AI6,$AC$2:$AC$629)</f>
        <v>883751.02463999996</v>
      </c>
      <c r="AK6" s="85">
        <f ca="1">SUMIF($B$2:$B$629,AI6,$AE$2:$AE$629)+SUMIF($B$2:$B$629,AI6,$AF$2:$AF$629)</f>
        <v>848431.57850158331</v>
      </c>
      <c r="AL6" s="86">
        <f t="shared" ca="1" si="0"/>
        <v>-3.9965380693962049E-2</v>
      </c>
      <c r="AN6" s="84" t="s">
        <v>45</v>
      </c>
      <c r="AO6" s="85">
        <f>SUMIF($B$2:$B$629,AN6,$AD$2:$AD$629)</f>
        <v>850040.32607999991</v>
      </c>
      <c r="AP6" s="85">
        <f>SUMIF($B$2:$B$629,AN6,$AG$2:$AG$629)</f>
        <v>672705.13646023674</v>
      </c>
      <c r="AQ6" s="86">
        <f t="shared" si="1"/>
        <v>-0.20861973741593243</v>
      </c>
      <c r="AS6" s="84" t="s">
        <v>45</v>
      </c>
      <c r="AT6" s="85">
        <f>SUMIF($B$2:$B$629,AS6,$AB$2:$AB$629)+SUMIF($B$2:$B$629,AS6,$AC$2:$AC$629)+SUMIF($B$2:$B$629,AS6,$AD$2:$AD$629)</f>
        <v>1733791.35072</v>
      </c>
      <c r="AU6" s="85">
        <f ca="1">SUMIF($B$2:$B$629,AS6,$AE$2:$AE$629)+SUMIF($B$2:$B$629,AS6,$AF$2:$AF$629)+SUMIF($B$2:$B$629,AS6,$AG$2:$AG$629)</f>
        <v>1521136.71496182</v>
      </c>
      <c r="AV6" s="86">
        <f t="shared" ca="1" si="2"/>
        <v>-0.12265295686812017</v>
      </c>
    </row>
    <row r="7" spans="1:48" ht="11.25" customHeight="1" x14ac:dyDescent="0.25">
      <c r="A7" s="4" t="s">
        <v>21</v>
      </c>
      <c r="B7" s="4" t="s">
        <v>38</v>
      </c>
      <c r="C7" s="4" t="s">
        <v>50</v>
      </c>
      <c r="D7" s="4" t="s">
        <v>48</v>
      </c>
      <c r="E7" s="4" t="s">
        <v>49</v>
      </c>
      <c r="F7" s="4" t="s">
        <v>25</v>
      </c>
      <c r="G7" s="4" t="s">
        <v>25</v>
      </c>
      <c r="H7" s="4" t="s">
        <v>34</v>
      </c>
      <c r="I7" s="5">
        <v>44531</v>
      </c>
      <c r="J7" s="6">
        <v>245</v>
      </c>
      <c r="K7" s="97">
        <v>245</v>
      </c>
      <c r="L7" s="6">
        <v>113.598</v>
      </c>
      <c r="M7" s="96">
        <v>113.598</v>
      </c>
      <c r="N7" s="6">
        <v>113.598</v>
      </c>
      <c r="O7" s="96">
        <v>113.598</v>
      </c>
      <c r="P7" s="6">
        <v>0</v>
      </c>
      <c r="Q7" s="4" t="s">
        <v>26</v>
      </c>
      <c r="R7" s="4">
        <v>0</v>
      </c>
      <c r="S7" s="6">
        <v>23</v>
      </c>
      <c r="T7" s="6">
        <v>11</v>
      </c>
      <c r="U7" s="6">
        <v>78</v>
      </c>
      <c r="V7" s="96">
        <f>IF(ISERROR(VLOOKUP($S$7,'TAR FIN'!$A$1:$O$86,15,0)),0,VLOOKUP($S$7,'TAR FIN'!$A$1:$O$86,15,0))*(1-0.06)</f>
        <v>15.312599999999998</v>
      </c>
      <c r="W7" s="96">
        <f>IF(ISERROR(VLOOKUP($T$7,'TAR FIN'!$A$1:$O$86,15,0)),0,VLOOKUP($T$7,'TAR FIN'!$A$1:$O$86,15,0))*(1-0.06)</f>
        <v>66.984400000000008</v>
      </c>
      <c r="X7" s="96">
        <f>IF(ISERROR(VLOOKUP($U$7,'TAR FIN'!$A$1:$O$86,15,0)),0,VLOOKUP($U$7,'TAR FIN'!$A$1:$O$86,15,0))*(1-0.06)</f>
        <v>279.47139999999996</v>
      </c>
      <c r="Y7" s="96">
        <f ca="1">('TUSD BE'!$AM$6+'TUSD BF'!$AM$6+'TUSD CVA'!$AM$6)*1*(1-0.03)</f>
        <v>20.50538631981113</v>
      </c>
      <c r="Z7" s="96">
        <f ca="1">('TUSD BE'!$AM$7+'TUSD BF'!$AM$7+'TUSD CVA'!$AM$7)*1*(1-0.03)</f>
        <v>92.9409846595331</v>
      </c>
      <c r="AA7" s="96">
        <f>('TE BE'!$AB$6+'TE BF'!$AB$6+'TE CVA'!$AB$6)*1*(1-0.03)</f>
        <v>228.27969443963337</v>
      </c>
      <c r="AB7" s="6">
        <f>$K$7*$V$7</f>
        <v>3751.5869999999995</v>
      </c>
      <c r="AC7" s="6">
        <f>$M$7*$W$7</f>
        <v>7609.2938712000005</v>
      </c>
      <c r="AD7" s="6">
        <f>$O$7*$X$7</f>
        <v>31747.392097199994</v>
      </c>
      <c r="AE7" s="6">
        <f ca="1">$K$7*$Y$7</f>
        <v>5023.8196483537267</v>
      </c>
      <c r="AF7" s="6">
        <f ca="1">$M$7*$Z$7</f>
        <v>10557.909975353641</v>
      </c>
      <c r="AG7" s="6">
        <f>$O$7*$AA$7</f>
        <v>25932.116728953471</v>
      </c>
      <c r="AI7" s="84" t="s">
        <v>629</v>
      </c>
      <c r="AJ7" s="85">
        <f>+$AJ$2</f>
        <v>9870943.0078028142</v>
      </c>
      <c r="AK7" s="85">
        <f ca="1">+$AK$2</f>
        <v>12413494.412830664</v>
      </c>
      <c r="AL7" s="86">
        <f t="shared" ca="1" si="0"/>
        <v>0.25757938253903467</v>
      </c>
      <c r="AN7" s="84" t="s">
        <v>629</v>
      </c>
      <c r="AO7" s="85">
        <f>+$AO$2</f>
        <v>5033985.7134883953</v>
      </c>
      <c r="AP7" s="85">
        <f>+$AP$2</f>
        <v>4001942.443246278</v>
      </c>
      <c r="AQ7" s="86">
        <f t="shared" si="1"/>
        <v>-0.20501513690767781</v>
      </c>
      <c r="AS7" s="84" t="s">
        <v>629</v>
      </c>
      <c r="AT7" s="85">
        <f>+$AT$2</f>
        <v>14904928.721291211</v>
      </c>
      <c r="AU7" s="85">
        <f ca="1">+$AU$2</f>
        <v>16415436.856076941</v>
      </c>
      <c r="AV7" s="86">
        <f t="shared" ca="1" si="2"/>
        <v>0.10134286201771747</v>
      </c>
    </row>
    <row r="8" spans="1:48" ht="11.25" customHeight="1" x14ac:dyDescent="0.25">
      <c r="A8" s="4" t="s">
        <v>21</v>
      </c>
      <c r="B8" s="4" t="s">
        <v>38</v>
      </c>
      <c r="C8" s="4" t="s">
        <v>50</v>
      </c>
      <c r="D8" s="4" t="s">
        <v>48</v>
      </c>
      <c r="E8" s="4" t="s">
        <v>49</v>
      </c>
      <c r="F8" s="4" t="s">
        <v>25</v>
      </c>
      <c r="G8" s="4" t="s">
        <v>25</v>
      </c>
      <c r="H8" s="4" t="s">
        <v>34</v>
      </c>
      <c r="I8" s="5">
        <v>44562</v>
      </c>
      <c r="J8" s="6">
        <v>245</v>
      </c>
      <c r="K8" s="97">
        <v>245</v>
      </c>
      <c r="L8" s="6">
        <v>114.22799999999999</v>
      </c>
      <c r="M8" s="96">
        <v>114.22799999999999</v>
      </c>
      <c r="N8" s="6">
        <v>114.22799999999999</v>
      </c>
      <c r="O8" s="96">
        <v>114.22799999999999</v>
      </c>
      <c r="P8" s="6">
        <v>0</v>
      </c>
      <c r="Q8" s="4" t="s">
        <v>26</v>
      </c>
      <c r="R8" s="4">
        <v>0</v>
      </c>
      <c r="S8" s="6">
        <v>23</v>
      </c>
      <c r="T8" s="6">
        <v>11</v>
      </c>
      <c r="U8" s="6">
        <v>78</v>
      </c>
      <c r="V8" s="96">
        <f>IF(ISERROR(VLOOKUP($S$8,'TAR FIN'!$A$1:$O$86,15,0)),0,VLOOKUP($S$8,'TAR FIN'!$A$1:$O$86,15,0))*(1-0.06)</f>
        <v>15.312599999999998</v>
      </c>
      <c r="W8" s="96">
        <f>IF(ISERROR(VLOOKUP($T$8,'TAR FIN'!$A$1:$O$86,15,0)),0,VLOOKUP($T$8,'TAR FIN'!$A$1:$O$86,15,0))*(1-0.06)</f>
        <v>66.984400000000008</v>
      </c>
      <c r="X8" s="96">
        <f>IF(ISERROR(VLOOKUP($U$8,'TAR FIN'!$A$1:$O$86,15,0)),0,VLOOKUP($U$8,'TAR FIN'!$A$1:$O$86,15,0))*(1-0.06)</f>
        <v>279.47139999999996</v>
      </c>
      <c r="Y8" s="96">
        <f ca="1">('TUSD BE'!$AM$6+'TUSD BF'!$AM$6+'TUSD CVA'!$AM$6)*1*(1-0.03)</f>
        <v>20.50538631981113</v>
      </c>
      <c r="Z8" s="96">
        <f ca="1">('TUSD BE'!$AM$7+'TUSD BF'!$AM$7+'TUSD CVA'!$AM$7)*1*(1-0.03)</f>
        <v>92.9409846595331</v>
      </c>
      <c r="AA8" s="96">
        <f>('TE BE'!$AB$6+'TE BF'!$AB$6+'TE CVA'!$AB$6)*1*(1-0.03)</f>
        <v>228.27969443963337</v>
      </c>
      <c r="AB8" s="6">
        <f>$K$8*$V$8</f>
        <v>3751.5869999999995</v>
      </c>
      <c r="AC8" s="6">
        <f>$M$8*$W$8</f>
        <v>7651.4940432000003</v>
      </c>
      <c r="AD8" s="6">
        <f>$O$8*$X$8</f>
        <v>31923.459079199994</v>
      </c>
      <c r="AE8" s="6">
        <f ca="1">$K$8*$Y$8</f>
        <v>5023.8196483537267</v>
      </c>
      <c r="AF8" s="6">
        <f ca="1">$M$8*$Z$8</f>
        <v>10616.462795689147</v>
      </c>
      <c r="AG8" s="6">
        <f>$O$8*$AA$8</f>
        <v>26075.932936450441</v>
      </c>
      <c r="AI8" s="84" t="s">
        <v>89</v>
      </c>
      <c r="AJ8" s="85">
        <f>+$AJ$3+$AJ$4+$AJ$5+$AJ$6</f>
        <v>18507717.249691602</v>
      </c>
      <c r="AK8" s="85">
        <f ca="1">+$AK$3+$AK$4+$AK$5+$AK$6</f>
        <v>17782478.829474963</v>
      </c>
      <c r="AL8" s="86">
        <f t="shared" ca="1" si="0"/>
        <v>-3.9185730494598059E-2</v>
      </c>
      <c r="AN8" s="84" t="s">
        <v>89</v>
      </c>
      <c r="AO8" s="85">
        <f>+$AO$3+$AO$4+$AO$5+$AO$6</f>
        <v>17874673.521360397</v>
      </c>
      <c r="AP8" s="85">
        <f>+$AP$3+$AP$4+$AP$5+$AP$6</f>
        <v>14182431.579280563</v>
      </c>
      <c r="AQ8" s="86">
        <f t="shared" si="1"/>
        <v>-0.20656276254039396</v>
      </c>
      <c r="AS8" s="84" t="s">
        <v>89</v>
      </c>
      <c r="AT8" s="85">
        <f>+$AT$3+$AT$4+$AT$5+$AT$6</f>
        <v>36382390.77105201</v>
      </c>
      <c r="AU8" s="85">
        <f ca="1">+$AU$3+$AU$4+$AU$5+$AU$6</f>
        <v>31964910.408755526</v>
      </c>
      <c r="AV8" s="86">
        <f t="shared" ca="1" si="2"/>
        <v>-0.12141808904464013</v>
      </c>
    </row>
    <row r="9" spans="1:48" ht="11.25" customHeight="1" x14ac:dyDescent="0.25">
      <c r="A9" s="4" t="s">
        <v>21</v>
      </c>
      <c r="B9" s="4" t="s">
        <v>38</v>
      </c>
      <c r="C9" s="4" t="s">
        <v>50</v>
      </c>
      <c r="D9" s="4" t="s">
        <v>48</v>
      </c>
      <c r="E9" s="4" t="s">
        <v>49</v>
      </c>
      <c r="F9" s="4" t="s">
        <v>25</v>
      </c>
      <c r="G9" s="4" t="s">
        <v>25</v>
      </c>
      <c r="H9" s="4" t="s">
        <v>34</v>
      </c>
      <c r="I9" s="5">
        <v>44593</v>
      </c>
      <c r="J9" s="6">
        <v>245</v>
      </c>
      <c r="K9" s="97">
        <v>245</v>
      </c>
      <c r="L9" s="6">
        <v>103.28400000000001</v>
      </c>
      <c r="M9" s="96">
        <v>103.28400000000001</v>
      </c>
      <c r="N9" s="6">
        <v>103.28400000000001</v>
      </c>
      <c r="O9" s="96">
        <v>103.28400000000001</v>
      </c>
      <c r="P9" s="6">
        <v>0</v>
      </c>
      <c r="Q9" s="4" t="s">
        <v>26</v>
      </c>
      <c r="R9" s="4">
        <v>0</v>
      </c>
      <c r="S9" s="6">
        <v>23</v>
      </c>
      <c r="T9" s="6">
        <v>11</v>
      </c>
      <c r="U9" s="6">
        <v>78</v>
      </c>
      <c r="V9" s="96">
        <f>IF(ISERROR(VLOOKUP($S$9,'TAR FIN'!$A$1:$O$86,15,0)),0,VLOOKUP($S$9,'TAR FIN'!$A$1:$O$86,15,0))*(1-0.06)</f>
        <v>15.312599999999998</v>
      </c>
      <c r="W9" s="96">
        <f>IF(ISERROR(VLOOKUP($T$9,'TAR FIN'!$A$1:$O$86,15,0)),0,VLOOKUP($T$9,'TAR FIN'!$A$1:$O$86,15,0))*(1-0.06)</f>
        <v>66.984400000000008</v>
      </c>
      <c r="X9" s="96">
        <f>IF(ISERROR(VLOOKUP($U$9,'TAR FIN'!$A$1:$O$86,15,0)),0,VLOOKUP($U$9,'TAR FIN'!$A$1:$O$86,15,0))*(1-0.06)</f>
        <v>279.47139999999996</v>
      </c>
      <c r="Y9" s="96">
        <f ca="1">('TUSD BE'!$AM$6+'TUSD BF'!$AM$6+'TUSD CVA'!$AM$6)*1*(1-0.03)</f>
        <v>20.50538631981113</v>
      </c>
      <c r="Z9" s="96">
        <f ca="1">('TUSD BE'!$AM$7+'TUSD BF'!$AM$7+'TUSD CVA'!$AM$7)*1*(1-0.03)</f>
        <v>92.9409846595331</v>
      </c>
      <c r="AA9" s="96">
        <f>('TE BE'!$AB$6+'TE BF'!$AB$6+'TE CVA'!$AB$6)*1*(1-0.03)</f>
        <v>228.27969443963337</v>
      </c>
      <c r="AB9" s="6">
        <f>$K$9*$V$9</f>
        <v>3751.5869999999995</v>
      </c>
      <c r="AC9" s="6">
        <f>$M$9*$W$9</f>
        <v>6918.4167696000013</v>
      </c>
      <c r="AD9" s="6">
        <f>$O$9*$X$9</f>
        <v>28864.924077599997</v>
      </c>
      <c r="AE9" s="6">
        <f ca="1">$K$9*$Y$9</f>
        <v>5023.8196483537267</v>
      </c>
      <c r="AF9" s="6">
        <f ca="1">$M$9*$Z$9</f>
        <v>9599.3166595752173</v>
      </c>
      <c r="AG9" s="6">
        <f>$O$9*$AA$9</f>
        <v>23577.639960503097</v>
      </c>
      <c r="AI9" s="84" t="s">
        <v>630</v>
      </c>
      <c r="AJ9" s="85">
        <f>AJ8+AJ7</f>
        <v>28378660.257494416</v>
      </c>
      <c r="AK9" s="85">
        <f ca="1">AK8+AK7</f>
        <v>30195973.242305629</v>
      </c>
      <c r="AL9" s="86">
        <f t="shared" ca="1" si="0"/>
        <v>6.4038011954115515E-2</v>
      </c>
      <c r="AN9" s="84" t="s">
        <v>630</v>
      </c>
      <c r="AO9" s="85">
        <f>AO8+AO7</f>
        <v>22908659.234848794</v>
      </c>
      <c r="AP9" s="85">
        <f>AP8+AP7</f>
        <v>18184374.022526842</v>
      </c>
      <c r="AQ9" s="86">
        <f t="shared" si="1"/>
        <v>-0.2062226847887868</v>
      </c>
      <c r="AS9" s="84" t="s">
        <v>630</v>
      </c>
      <c r="AT9" s="85">
        <f>AT8+AT7</f>
        <v>51287319.492343217</v>
      </c>
      <c r="AU9" s="85">
        <f ca="1">AU8+AU7</f>
        <v>48380347.264832467</v>
      </c>
      <c r="AV9" s="86">
        <f t="shared" ca="1" si="2"/>
        <v>-5.6680135680413857E-2</v>
      </c>
    </row>
    <row r="10" spans="1:48" ht="11.25" customHeight="1" x14ac:dyDescent="0.25">
      <c r="A10" s="4" t="s">
        <v>21</v>
      </c>
      <c r="B10" s="4" t="s">
        <v>38</v>
      </c>
      <c r="C10" s="4" t="s">
        <v>50</v>
      </c>
      <c r="D10" s="4" t="s">
        <v>48</v>
      </c>
      <c r="E10" s="4" t="s">
        <v>49</v>
      </c>
      <c r="F10" s="4" t="s">
        <v>25</v>
      </c>
      <c r="G10" s="4" t="s">
        <v>25</v>
      </c>
      <c r="H10" s="4" t="s">
        <v>34</v>
      </c>
      <c r="I10" s="5">
        <v>44621</v>
      </c>
      <c r="J10" s="6">
        <v>245</v>
      </c>
      <c r="K10" s="97">
        <v>245</v>
      </c>
      <c r="L10" s="6">
        <v>114.107</v>
      </c>
      <c r="M10" s="96">
        <v>114.107</v>
      </c>
      <c r="N10" s="6">
        <v>114.107</v>
      </c>
      <c r="O10" s="96">
        <v>114.107</v>
      </c>
      <c r="P10" s="6">
        <v>0</v>
      </c>
      <c r="Q10" s="4" t="s">
        <v>26</v>
      </c>
      <c r="R10" s="4">
        <v>0</v>
      </c>
      <c r="S10" s="6">
        <v>23</v>
      </c>
      <c r="T10" s="6">
        <v>11</v>
      </c>
      <c r="U10" s="6">
        <v>78</v>
      </c>
      <c r="V10" s="96">
        <f>IF(ISERROR(VLOOKUP($S$10,'TAR FIN'!$A$1:$O$86,15,0)),0,VLOOKUP($S$10,'TAR FIN'!$A$1:$O$86,15,0))*(1-0.06)</f>
        <v>15.312599999999998</v>
      </c>
      <c r="W10" s="96">
        <f>IF(ISERROR(VLOOKUP($T$10,'TAR FIN'!$A$1:$O$86,15,0)),0,VLOOKUP($T$10,'TAR FIN'!$A$1:$O$86,15,0))*(1-0.06)</f>
        <v>66.984400000000008</v>
      </c>
      <c r="X10" s="96">
        <f>IF(ISERROR(VLOOKUP($U$10,'TAR FIN'!$A$1:$O$86,15,0)),0,VLOOKUP($U$10,'TAR FIN'!$A$1:$O$86,15,0))*(1-0.06)</f>
        <v>279.47139999999996</v>
      </c>
      <c r="Y10" s="96">
        <f ca="1">('TUSD BE'!$AM$6+'TUSD BF'!$AM$6+'TUSD CVA'!$AM$6)*1*(1-0.03)</f>
        <v>20.50538631981113</v>
      </c>
      <c r="Z10" s="96">
        <f ca="1">('TUSD BE'!$AM$7+'TUSD BF'!$AM$7+'TUSD CVA'!$AM$7)*1*(1-0.03)</f>
        <v>92.9409846595331</v>
      </c>
      <c r="AA10" s="96">
        <f>('TE BE'!$AB$6+'TE BF'!$AB$6+'TE CVA'!$AB$6)*1*(1-0.03)</f>
        <v>228.27969443963337</v>
      </c>
      <c r="AB10" s="6">
        <f>$K$10*$V$10</f>
        <v>3751.5869999999995</v>
      </c>
      <c r="AC10" s="6">
        <f>$M$10*$W$10</f>
        <v>7643.3889308000007</v>
      </c>
      <c r="AD10" s="6">
        <f>$O$10*$X$10</f>
        <v>31889.643039799994</v>
      </c>
      <c r="AE10" s="6">
        <f ca="1">$K$10*$Y$10</f>
        <v>5023.8196483537267</v>
      </c>
      <c r="AF10" s="6">
        <f ca="1">$M$10*$Z$10</f>
        <v>10605.216936545343</v>
      </c>
      <c r="AG10" s="6">
        <f>$O$10*$AA$10</f>
        <v>26048.311093423246</v>
      </c>
    </row>
    <row r="11" spans="1:48" ht="11.25" customHeight="1" x14ac:dyDescent="0.25">
      <c r="A11" s="4" t="s">
        <v>21</v>
      </c>
      <c r="B11" s="4" t="s">
        <v>38</v>
      </c>
      <c r="C11" s="4" t="s">
        <v>50</v>
      </c>
      <c r="D11" s="4" t="s">
        <v>48</v>
      </c>
      <c r="E11" s="4" t="s">
        <v>49</v>
      </c>
      <c r="F11" s="4" t="s">
        <v>25</v>
      </c>
      <c r="G11" s="4" t="s">
        <v>25</v>
      </c>
      <c r="H11" s="4" t="s">
        <v>34</v>
      </c>
      <c r="I11" s="5">
        <v>44652</v>
      </c>
      <c r="J11" s="6">
        <v>245</v>
      </c>
      <c r="K11" s="97">
        <v>245</v>
      </c>
      <c r="L11" s="6">
        <v>111.289</v>
      </c>
      <c r="M11" s="96">
        <v>111.289</v>
      </c>
      <c r="N11" s="6">
        <v>111.289</v>
      </c>
      <c r="O11" s="96">
        <v>111.289</v>
      </c>
      <c r="P11" s="6">
        <v>0</v>
      </c>
      <c r="Q11" s="4" t="s">
        <v>26</v>
      </c>
      <c r="R11" s="4">
        <v>0</v>
      </c>
      <c r="S11" s="6">
        <v>23</v>
      </c>
      <c r="T11" s="6">
        <v>11</v>
      </c>
      <c r="U11" s="6">
        <v>78</v>
      </c>
      <c r="V11" s="96">
        <f>IF(ISERROR(VLOOKUP($S$11,'TAR FIN'!$A$1:$O$86,15,0)),0,VLOOKUP($S$11,'TAR FIN'!$A$1:$O$86,15,0))*(1-0.06)</f>
        <v>15.312599999999998</v>
      </c>
      <c r="W11" s="96">
        <f>IF(ISERROR(VLOOKUP($T$11,'TAR FIN'!$A$1:$O$86,15,0)),0,VLOOKUP($T$11,'TAR FIN'!$A$1:$O$86,15,0))*(1-0.06)</f>
        <v>66.984400000000008</v>
      </c>
      <c r="X11" s="96">
        <f>IF(ISERROR(VLOOKUP($U$11,'TAR FIN'!$A$1:$O$86,15,0)),0,VLOOKUP($U$11,'TAR FIN'!$A$1:$O$86,15,0))*(1-0.06)</f>
        <v>279.47139999999996</v>
      </c>
      <c r="Y11" s="96">
        <f ca="1">('TUSD BE'!$AM$6+'TUSD BF'!$AM$6+'TUSD CVA'!$AM$6)*1*(1-0.03)</f>
        <v>20.50538631981113</v>
      </c>
      <c r="Z11" s="96">
        <f ca="1">('TUSD BE'!$AM$7+'TUSD BF'!$AM$7+'TUSD CVA'!$AM$7)*1*(1-0.03)</f>
        <v>92.9409846595331</v>
      </c>
      <c r="AA11" s="96">
        <f>('TE BE'!$AB$6+'TE BF'!$AB$6+'TE CVA'!$AB$6)*1*(1-0.03)</f>
        <v>228.27969443963337</v>
      </c>
      <c r="AB11" s="6">
        <f>$K$11*$V$11</f>
        <v>3751.5869999999995</v>
      </c>
      <c r="AC11" s="6">
        <f>$M$11*$W$11</f>
        <v>7454.6268916000008</v>
      </c>
      <c r="AD11" s="6">
        <f>$O$11*$X$11</f>
        <v>31102.092634599994</v>
      </c>
      <c r="AE11" s="6">
        <f ca="1">$K$11*$Y$11</f>
        <v>5023.8196483537267</v>
      </c>
      <c r="AF11" s="6">
        <f ca="1">$M$11*$Z$11</f>
        <v>10343.309241774779</v>
      </c>
      <c r="AG11" s="6">
        <f>$O$11*$AA$11</f>
        <v>25405.018914492361</v>
      </c>
    </row>
    <row r="12" spans="1:48" ht="11.25" customHeight="1" x14ac:dyDescent="0.25">
      <c r="A12" s="4" t="s">
        <v>21</v>
      </c>
      <c r="B12" s="4" t="s">
        <v>38</v>
      </c>
      <c r="C12" s="4" t="s">
        <v>50</v>
      </c>
      <c r="D12" s="4" t="s">
        <v>48</v>
      </c>
      <c r="E12" s="4" t="s">
        <v>49</v>
      </c>
      <c r="F12" s="4" t="s">
        <v>25</v>
      </c>
      <c r="G12" s="4" t="s">
        <v>25</v>
      </c>
      <c r="H12" s="4" t="s">
        <v>34</v>
      </c>
      <c r="I12" s="5">
        <v>44682</v>
      </c>
      <c r="J12" s="6">
        <v>245</v>
      </c>
      <c r="K12" s="97">
        <v>245</v>
      </c>
      <c r="L12" s="6">
        <v>104.895</v>
      </c>
      <c r="M12" s="96">
        <v>104.895</v>
      </c>
      <c r="N12" s="6">
        <v>104.895</v>
      </c>
      <c r="O12" s="96">
        <v>104.895</v>
      </c>
      <c r="P12" s="6">
        <v>0</v>
      </c>
      <c r="Q12" s="4" t="s">
        <v>26</v>
      </c>
      <c r="R12" s="4">
        <v>0</v>
      </c>
      <c r="S12" s="6">
        <v>23</v>
      </c>
      <c r="T12" s="6">
        <v>11</v>
      </c>
      <c r="U12" s="6">
        <v>78</v>
      </c>
      <c r="V12" s="96">
        <f>IF(ISERROR(VLOOKUP($S$12,'TAR FIN'!$A$1:$O$86,15,0)),0,VLOOKUP($S$12,'TAR FIN'!$A$1:$O$86,15,0))*(1-0.06)</f>
        <v>15.312599999999998</v>
      </c>
      <c r="W12" s="96">
        <f>IF(ISERROR(VLOOKUP($T$12,'TAR FIN'!$A$1:$O$86,15,0)),0,VLOOKUP($T$12,'TAR FIN'!$A$1:$O$86,15,0))*(1-0.06)</f>
        <v>66.984400000000008</v>
      </c>
      <c r="X12" s="96">
        <f>IF(ISERROR(VLOOKUP($U$12,'TAR FIN'!$A$1:$O$86,15,0)),0,VLOOKUP($U$12,'TAR FIN'!$A$1:$O$86,15,0))*(1-0.06)</f>
        <v>279.47139999999996</v>
      </c>
      <c r="Y12" s="96">
        <f ca="1">('TUSD BE'!$AM$6+'TUSD BF'!$AM$6+'TUSD CVA'!$AM$6)*1*(1-0.03)</f>
        <v>20.50538631981113</v>
      </c>
      <c r="Z12" s="96">
        <f ca="1">('TUSD BE'!$AM$7+'TUSD BF'!$AM$7+'TUSD CVA'!$AM$7)*1*(1-0.03)</f>
        <v>92.9409846595331</v>
      </c>
      <c r="AA12" s="96">
        <f>('TE BE'!$AB$6+'TE BF'!$AB$6+'TE CVA'!$AB$6)*1*(1-0.03)</f>
        <v>228.27969443963337</v>
      </c>
      <c r="AB12" s="6">
        <f>$K$12*$V$12</f>
        <v>3751.5869999999995</v>
      </c>
      <c r="AC12" s="6">
        <f>$M$12*$W$12</f>
        <v>7026.3286380000009</v>
      </c>
      <c r="AD12" s="6">
        <f>$O$12*$X$12</f>
        <v>29315.152502999994</v>
      </c>
      <c r="AE12" s="6">
        <f ca="1">$K$12*$Y$12</f>
        <v>5023.8196483537267</v>
      </c>
      <c r="AF12" s="6">
        <f ca="1">$M$12*$Z$12</f>
        <v>9749.044585861724</v>
      </c>
      <c r="AG12" s="6">
        <f>$O$12*$AA$12</f>
        <v>23945.398548245343</v>
      </c>
      <c r="AU12" s="107">
        <f ca="1">AU9+SUBSIDIO!AJ2+SUBSIDIO!AJ3+SUBSIDIO!AJ5+SUBSIDIO!AJ6+SUBSIDIO!AJ7+SUBSIDIO!AJ8</f>
        <v>51671014.893608935</v>
      </c>
    </row>
    <row r="13" spans="1:48" ht="11.25" customHeight="1" x14ac:dyDescent="0.25">
      <c r="A13" s="4" t="s">
        <v>55</v>
      </c>
      <c r="B13" s="4" t="s">
        <v>38</v>
      </c>
      <c r="C13" s="4" t="s">
        <v>50</v>
      </c>
      <c r="D13" s="4" t="s">
        <v>48</v>
      </c>
      <c r="E13" s="4" t="s">
        <v>49</v>
      </c>
      <c r="F13" s="4" t="s">
        <v>25</v>
      </c>
      <c r="G13" s="4" t="s">
        <v>25</v>
      </c>
      <c r="H13" s="4" t="s">
        <v>34</v>
      </c>
      <c r="I13" s="5">
        <v>44713</v>
      </c>
      <c r="J13" s="6">
        <v>245</v>
      </c>
      <c r="K13" s="97">
        <v>245</v>
      </c>
      <c r="L13" s="6">
        <v>104.895</v>
      </c>
      <c r="M13" s="96">
        <v>104.895</v>
      </c>
      <c r="N13" s="6">
        <v>104.895</v>
      </c>
      <c r="O13" s="96">
        <v>104.895</v>
      </c>
      <c r="P13" s="6">
        <v>0</v>
      </c>
      <c r="Q13" s="4" t="s">
        <v>26</v>
      </c>
      <c r="R13" s="4">
        <v>0</v>
      </c>
      <c r="S13" s="6">
        <v>23</v>
      </c>
      <c r="T13" s="6">
        <v>11</v>
      </c>
      <c r="U13" s="6">
        <v>78</v>
      </c>
      <c r="V13" s="96">
        <f>IF(ISERROR(VLOOKUP($S$13,'TAR FIN'!$A$1:$O$86,15,0)),0,VLOOKUP($S$13,'TAR FIN'!$A$1:$O$86,15,0))*(1-0.06)</f>
        <v>15.312599999999998</v>
      </c>
      <c r="W13" s="96">
        <f>IF(ISERROR(VLOOKUP($T$13,'TAR FIN'!$A$1:$O$86,15,0)),0,VLOOKUP($T$13,'TAR FIN'!$A$1:$O$86,15,0))*(1-0.06)</f>
        <v>66.984400000000008</v>
      </c>
      <c r="X13" s="96">
        <f>IF(ISERROR(VLOOKUP($U$13,'TAR FIN'!$A$1:$O$86,15,0)),0,VLOOKUP($U$13,'TAR FIN'!$A$1:$O$86,15,0))*(1-0.06)</f>
        <v>279.47139999999996</v>
      </c>
      <c r="Y13" s="96">
        <f ca="1">('TUSD BE'!$AM$6+'TUSD BF'!$AM$6+'TUSD CVA'!$AM$6)*1*(1-0.03)</f>
        <v>20.50538631981113</v>
      </c>
      <c r="Z13" s="96">
        <f ca="1">('TUSD BE'!$AM$7+'TUSD BF'!$AM$7+'TUSD CVA'!$AM$7)*1*(1-0.03)</f>
        <v>92.9409846595331</v>
      </c>
      <c r="AA13" s="96">
        <f>('TE BE'!$AB$6+'TE BF'!$AB$6+'TE CVA'!$AB$6)*1*(1-0.03)</f>
        <v>228.27969443963337</v>
      </c>
      <c r="AB13" s="6">
        <f>$K$13*$V$13</f>
        <v>3751.5869999999995</v>
      </c>
      <c r="AC13" s="6">
        <f>$M$13*$W$13</f>
        <v>7026.3286380000009</v>
      </c>
      <c r="AD13" s="6">
        <f>$O$13*$X$13</f>
        <v>29315.152502999994</v>
      </c>
      <c r="AE13" s="6">
        <f ca="1">$K$13*$Y$13</f>
        <v>5023.8196483537267</v>
      </c>
      <c r="AF13" s="6">
        <f ca="1">$M$13*$Z$13</f>
        <v>9749.044585861724</v>
      </c>
      <c r="AG13" s="6">
        <f>$O$13*$AA$13</f>
        <v>23945.398548245343</v>
      </c>
      <c r="AU13" s="107">
        <f ca="1">CUSTOS!D48+CUSTOS!E48+CUSTOS!F48</f>
        <v>51671014.893609062</v>
      </c>
    </row>
    <row r="14" spans="1:48" ht="11.25" customHeight="1" x14ac:dyDescent="0.25">
      <c r="A14" s="4" t="s">
        <v>21</v>
      </c>
      <c r="B14" s="4" t="s">
        <v>38</v>
      </c>
      <c r="C14" s="4" t="s">
        <v>50</v>
      </c>
      <c r="D14" s="4" t="s">
        <v>48</v>
      </c>
      <c r="E14" s="4" t="s">
        <v>49</v>
      </c>
      <c r="F14" s="4" t="s">
        <v>25</v>
      </c>
      <c r="G14" s="4" t="s">
        <v>25</v>
      </c>
      <c r="H14" s="4" t="s">
        <v>33</v>
      </c>
      <c r="I14" s="5">
        <v>44378</v>
      </c>
      <c r="J14" s="6">
        <v>245</v>
      </c>
      <c r="K14" s="97">
        <v>245</v>
      </c>
      <c r="L14" s="6">
        <v>10.843</v>
      </c>
      <c r="M14" s="96">
        <v>10.843</v>
      </c>
      <c r="N14" s="6">
        <v>10.843</v>
      </c>
      <c r="O14" s="96">
        <v>10.843</v>
      </c>
      <c r="P14" s="6">
        <v>0</v>
      </c>
      <c r="Q14" s="4" t="s">
        <v>26</v>
      </c>
      <c r="R14" s="4">
        <v>0</v>
      </c>
      <c r="S14" s="6">
        <v>1</v>
      </c>
      <c r="T14" s="6">
        <v>11</v>
      </c>
      <c r="U14" s="6">
        <v>66</v>
      </c>
      <c r="V14" s="96">
        <f>IF(ISERROR(VLOOKUP($S$14,'TAR FIN'!$A$1:$O$86,15,0)),0,VLOOKUP($S$14,'TAR FIN'!$A$1:$O$86,15,0))*(1-0.06)</f>
        <v>20.303999999999998</v>
      </c>
      <c r="W14" s="96">
        <f>IF(ISERROR(VLOOKUP($T$14,'TAR FIN'!$A$1:$O$86,15,0)),0,VLOOKUP($T$14,'TAR FIN'!$A$1:$O$86,15,0))*(1-0.06)</f>
        <v>66.984400000000008</v>
      </c>
      <c r="X14" s="96">
        <f>IF(ISERROR(VLOOKUP($U$14,'TAR FIN'!$A$1:$O$86,15,0)),0,VLOOKUP($U$14,'TAR FIN'!$A$1:$O$86,15,0))*(1-0.06)</f>
        <v>473.59079999999994</v>
      </c>
      <c r="Y14" s="96">
        <f ca="1">('TUSD BE'!$AM$5+'TUSD BF'!$AM$5+'TUSD CVA'!$AM$5)*1*(1-0.03)</f>
        <v>21.2163537178483</v>
      </c>
      <c r="Z14" s="96">
        <f ca="1">('TUSD BE'!$AM$7+'TUSD BF'!$AM$7+'TUSD CVA'!$AM$7)*1*(1-0.03)</f>
        <v>92.9409846595331</v>
      </c>
      <c r="AA14" s="96">
        <f>('TE BE'!$AB$5+'TE BF'!$AB$5+'TE CVA'!$AB$5)*1*(1-0.03)</f>
        <v>386.0761412470477</v>
      </c>
      <c r="AB14" s="6">
        <f>$K$14*$V$14</f>
        <v>4974.4799999999996</v>
      </c>
      <c r="AC14" s="6">
        <f>$M$14*$W$14</f>
        <v>726.3118492000001</v>
      </c>
      <c r="AD14" s="6">
        <f>$O$14*$X$14</f>
        <v>5135.1450443999993</v>
      </c>
      <c r="AE14" s="6">
        <f ca="1">$K$14*$Y$14</f>
        <v>5198.006660872833</v>
      </c>
      <c r="AF14" s="6">
        <f ca="1">$M$14*$Z$14</f>
        <v>1007.7590966633175</v>
      </c>
      <c r="AG14" s="6">
        <f>$O$14*$AA$14</f>
        <v>4186.2235995417386</v>
      </c>
    </row>
    <row r="15" spans="1:48" ht="11.25" customHeight="1" x14ac:dyDescent="0.25">
      <c r="A15" s="4" t="s">
        <v>21</v>
      </c>
      <c r="B15" s="4" t="s">
        <v>38</v>
      </c>
      <c r="C15" s="4" t="s">
        <v>50</v>
      </c>
      <c r="D15" s="4" t="s">
        <v>48</v>
      </c>
      <c r="E15" s="4" t="s">
        <v>49</v>
      </c>
      <c r="F15" s="4" t="s">
        <v>25</v>
      </c>
      <c r="G15" s="4" t="s">
        <v>25</v>
      </c>
      <c r="H15" s="4" t="s">
        <v>33</v>
      </c>
      <c r="I15" s="5">
        <v>44409</v>
      </c>
      <c r="J15" s="6">
        <v>245</v>
      </c>
      <c r="K15" s="97">
        <v>245</v>
      </c>
      <c r="L15" s="6">
        <v>11.622999999999999</v>
      </c>
      <c r="M15" s="96">
        <v>11.622999999999999</v>
      </c>
      <c r="N15" s="6">
        <v>11.622999999999999</v>
      </c>
      <c r="O15" s="96">
        <v>11.622999999999999</v>
      </c>
      <c r="P15" s="6">
        <v>0</v>
      </c>
      <c r="Q15" s="4" t="s">
        <v>26</v>
      </c>
      <c r="R15" s="4">
        <v>0</v>
      </c>
      <c r="S15" s="6">
        <v>1</v>
      </c>
      <c r="T15" s="6">
        <v>11</v>
      </c>
      <c r="U15" s="6">
        <v>66</v>
      </c>
      <c r="V15" s="96">
        <f>IF(ISERROR(VLOOKUP($S$15,'TAR FIN'!$A$1:$O$86,15,0)),0,VLOOKUP($S$15,'TAR FIN'!$A$1:$O$86,15,0))*(1-0.06)</f>
        <v>20.303999999999998</v>
      </c>
      <c r="W15" s="96">
        <f>IF(ISERROR(VLOOKUP($T$15,'TAR FIN'!$A$1:$O$86,15,0)),0,VLOOKUP($T$15,'TAR FIN'!$A$1:$O$86,15,0))*(1-0.06)</f>
        <v>66.984400000000008</v>
      </c>
      <c r="X15" s="96">
        <f>IF(ISERROR(VLOOKUP($U$15,'TAR FIN'!$A$1:$O$86,15,0)),0,VLOOKUP($U$15,'TAR FIN'!$A$1:$O$86,15,0))*(1-0.06)</f>
        <v>473.59079999999994</v>
      </c>
      <c r="Y15" s="96">
        <f ca="1">('TUSD BE'!$AM$5+'TUSD BF'!$AM$5+'TUSD CVA'!$AM$5)*1*(1-0.03)</f>
        <v>21.2163537178483</v>
      </c>
      <c r="Z15" s="96">
        <f ca="1">('TUSD BE'!$AM$7+'TUSD BF'!$AM$7+'TUSD CVA'!$AM$7)*1*(1-0.03)</f>
        <v>92.9409846595331</v>
      </c>
      <c r="AA15" s="96">
        <f>('TE BE'!$AB$5+'TE BF'!$AB$5+'TE CVA'!$AB$5)*1*(1-0.03)</f>
        <v>386.0761412470477</v>
      </c>
      <c r="AB15" s="6">
        <f>$K$15*$V$15</f>
        <v>4974.4799999999996</v>
      </c>
      <c r="AC15" s="6">
        <f>$M$15*$W$15</f>
        <v>778.5596812</v>
      </c>
      <c r="AD15" s="6">
        <f>$O$15*$X$15</f>
        <v>5504.5458683999987</v>
      </c>
      <c r="AE15" s="6">
        <f ca="1">$K$15*$Y$15</f>
        <v>5198.006660872833</v>
      </c>
      <c r="AF15" s="6">
        <f ca="1">$M$15*$Z$15</f>
        <v>1080.2530646977532</v>
      </c>
      <c r="AG15" s="6">
        <f>$O$15*$AA$15</f>
        <v>4487.3629897144356</v>
      </c>
    </row>
    <row r="16" spans="1:48" ht="11.25" customHeight="1" x14ac:dyDescent="0.25">
      <c r="A16" s="4" t="s">
        <v>21</v>
      </c>
      <c r="B16" s="4" t="s">
        <v>38</v>
      </c>
      <c r="C16" s="4" t="s">
        <v>50</v>
      </c>
      <c r="D16" s="4" t="s">
        <v>48</v>
      </c>
      <c r="E16" s="4" t="s">
        <v>49</v>
      </c>
      <c r="F16" s="4" t="s">
        <v>25</v>
      </c>
      <c r="G16" s="4" t="s">
        <v>25</v>
      </c>
      <c r="H16" s="4" t="s">
        <v>33</v>
      </c>
      <c r="I16" s="5">
        <v>44440</v>
      </c>
      <c r="J16" s="6">
        <v>245</v>
      </c>
      <c r="K16" s="97">
        <v>245</v>
      </c>
      <c r="L16" s="6">
        <v>11.743</v>
      </c>
      <c r="M16" s="96">
        <v>11.743</v>
      </c>
      <c r="N16" s="6">
        <v>11.743</v>
      </c>
      <c r="O16" s="96">
        <v>11.743</v>
      </c>
      <c r="P16" s="6">
        <v>0</v>
      </c>
      <c r="Q16" s="4" t="s">
        <v>26</v>
      </c>
      <c r="R16" s="4">
        <v>0</v>
      </c>
      <c r="S16" s="6">
        <v>1</v>
      </c>
      <c r="T16" s="6">
        <v>11</v>
      </c>
      <c r="U16" s="6">
        <v>66</v>
      </c>
      <c r="V16" s="96">
        <f>IF(ISERROR(VLOOKUP($S$16,'TAR FIN'!$A$1:$O$86,15,0)),0,VLOOKUP($S$16,'TAR FIN'!$A$1:$O$86,15,0))*(1-0.06)</f>
        <v>20.303999999999998</v>
      </c>
      <c r="W16" s="96">
        <f>IF(ISERROR(VLOOKUP($T$16,'TAR FIN'!$A$1:$O$86,15,0)),0,VLOOKUP($T$16,'TAR FIN'!$A$1:$O$86,15,0))*(1-0.06)</f>
        <v>66.984400000000008</v>
      </c>
      <c r="X16" s="96">
        <f>IF(ISERROR(VLOOKUP($U$16,'TAR FIN'!$A$1:$O$86,15,0)),0,VLOOKUP($U$16,'TAR FIN'!$A$1:$O$86,15,0))*(1-0.06)</f>
        <v>473.59079999999994</v>
      </c>
      <c r="Y16" s="96">
        <f ca="1">('TUSD BE'!$AM$5+'TUSD BF'!$AM$5+'TUSD CVA'!$AM$5)*1*(1-0.03)</f>
        <v>21.2163537178483</v>
      </c>
      <c r="Z16" s="96">
        <f ca="1">('TUSD BE'!$AM$7+'TUSD BF'!$AM$7+'TUSD CVA'!$AM$7)*1*(1-0.03)</f>
        <v>92.9409846595331</v>
      </c>
      <c r="AA16" s="96">
        <f>('TE BE'!$AB$5+'TE BF'!$AB$5+'TE CVA'!$AB$5)*1*(1-0.03)</f>
        <v>386.0761412470477</v>
      </c>
      <c r="AB16" s="6">
        <f>$K$16*$V$16</f>
        <v>4974.4799999999996</v>
      </c>
      <c r="AC16" s="6">
        <f>$M$16*$W$16</f>
        <v>786.59780920000014</v>
      </c>
      <c r="AD16" s="6">
        <f>$O$16*$X$16</f>
        <v>5561.3767644</v>
      </c>
      <c r="AE16" s="6">
        <f ca="1">$K$16*$Y$16</f>
        <v>5198.006660872833</v>
      </c>
      <c r="AF16" s="6">
        <f ca="1">$M$16*$Z$16</f>
        <v>1091.4059828568973</v>
      </c>
      <c r="AG16" s="6">
        <f>$O$16*$AA$16</f>
        <v>4533.6921266640811</v>
      </c>
    </row>
    <row r="17" spans="1:33" ht="11.25" customHeight="1" x14ac:dyDescent="0.25">
      <c r="A17" s="4" t="s">
        <v>21</v>
      </c>
      <c r="B17" s="4" t="s">
        <v>38</v>
      </c>
      <c r="C17" s="4" t="s">
        <v>50</v>
      </c>
      <c r="D17" s="4" t="s">
        <v>48</v>
      </c>
      <c r="E17" s="4" t="s">
        <v>49</v>
      </c>
      <c r="F17" s="4" t="s">
        <v>25</v>
      </c>
      <c r="G17" s="4" t="s">
        <v>25</v>
      </c>
      <c r="H17" s="4" t="s">
        <v>33</v>
      </c>
      <c r="I17" s="5">
        <v>44470</v>
      </c>
      <c r="J17" s="6">
        <v>245</v>
      </c>
      <c r="K17" s="97">
        <v>245</v>
      </c>
      <c r="L17" s="6">
        <v>10.788</v>
      </c>
      <c r="M17" s="96">
        <v>10.788</v>
      </c>
      <c r="N17" s="6">
        <v>10.788</v>
      </c>
      <c r="O17" s="96">
        <v>10.788</v>
      </c>
      <c r="P17" s="6">
        <v>0</v>
      </c>
      <c r="Q17" s="4" t="s">
        <v>26</v>
      </c>
      <c r="R17" s="4">
        <v>0</v>
      </c>
      <c r="S17" s="6">
        <v>1</v>
      </c>
      <c r="T17" s="6">
        <v>11</v>
      </c>
      <c r="U17" s="6">
        <v>66</v>
      </c>
      <c r="V17" s="96">
        <f>IF(ISERROR(VLOOKUP($S$17,'TAR FIN'!$A$1:$O$86,15,0)),0,VLOOKUP($S$17,'TAR FIN'!$A$1:$O$86,15,0))*(1-0.06)</f>
        <v>20.303999999999998</v>
      </c>
      <c r="W17" s="96">
        <f>IF(ISERROR(VLOOKUP($T$17,'TAR FIN'!$A$1:$O$86,15,0)),0,VLOOKUP($T$17,'TAR FIN'!$A$1:$O$86,15,0))*(1-0.06)</f>
        <v>66.984400000000008</v>
      </c>
      <c r="X17" s="96">
        <f>IF(ISERROR(VLOOKUP($U$17,'TAR FIN'!$A$1:$O$86,15,0)),0,VLOOKUP($U$17,'TAR FIN'!$A$1:$O$86,15,0))*(1-0.06)</f>
        <v>473.59079999999994</v>
      </c>
      <c r="Y17" s="96">
        <f ca="1">('TUSD BE'!$AM$5+'TUSD BF'!$AM$5+'TUSD CVA'!$AM$5)*1*(1-0.03)</f>
        <v>21.2163537178483</v>
      </c>
      <c r="Z17" s="96">
        <f ca="1">('TUSD BE'!$AM$7+'TUSD BF'!$AM$7+'TUSD CVA'!$AM$7)*1*(1-0.03)</f>
        <v>92.9409846595331</v>
      </c>
      <c r="AA17" s="96">
        <f>('TE BE'!$AB$5+'TE BF'!$AB$5+'TE CVA'!$AB$5)*1*(1-0.03)</f>
        <v>386.0761412470477</v>
      </c>
      <c r="AB17" s="6">
        <f>$K$17*$V$17</f>
        <v>4974.4799999999996</v>
      </c>
      <c r="AC17" s="6">
        <f>$M$17*$W$17</f>
        <v>722.62770720000015</v>
      </c>
      <c r="AD17" s="6">
        <f>$O$17*$X$17</f>
        <v>5109.0975503999998</v>
      </c>
      <c r="AE17" s="6">
        <f ca="1">$K$17*$Y$17</f>
        <v>5198.006660872833</v>
      </c>
      <c r="AF17" s="6">
        <f ca="1">$M$17*$Z$17</f>
        <v>1002.6473425070432</v>
      </c>
      <c r="AG17" s="6">
        <f>$O$17*$AA$17</f>
        <v>4164.989411773151</v>
      </c>
    </row>
    <row r="18" spans="1:33" ht="11.25" customHeight="1" x14ac:dyDescent="0.25">
      <c r="A18" s="4" t="s">
        <v>21</v>
      </c>
      <c r="B18" s="4" t="s">
        <v>38</v>
      </c>
      <c r="C18" s="4" t="s">
        <v>50</v>
      </c>
      <c r="D18" s="4" t="s">
        <v>48</v>
      </c>
      <c r="E18" s="4" t="s">
        <v>49</v>
      </c>
      <c r="F18" s="4" t="s">
        <v>25</v>
      </c>
      <c r="G18" s="4" t="s">
        <v>25</v>
      </c>
      <c r="H18" s="4" t="s">
        <v>33</v>
      </c>
      <c r="I18" s="5">
        <v>44501</v>
      </c>
      <c r="J18" s="6">
        <v>245</v>
      </c>
      <c r="K18" s="97">
        <v>245</v>
      </c>
      <c r="L18" s="6">
        <v>11.489000000000001</v>
      </c>
      <c r="M18" s="96">
        <v>11.489000000000001</v>
      </c>
      <c r="N18" s="6">
        <v>11.489000000000001</v>
      </c>
      <c r="O18" s="96">
        <v>11.489000000000001</v>
      </c>
      <c r="P18" s="6">
        <v>0</v>
      </c>
      <c r="Q18" s="4" t="s">
        <v>26</v>
      </c>
      <c r="R18" s="4">
        <v>0</v>
      </c>
      <c r="S18" s="6">
        <v>1</v>
      </c>
      <c r="T18" s="6">
        <v>11</v>
      </c>
      <c r="U18" s="6">
        <v>66</v>
      </c>
      <c r="V18" s="96">
        <f>IF(ISERROR(VLOOKUP($S$18,'TAR FIN'!$A$1:$O$86,15,0)),0,VLOOKUP($S$18,'TAR FIN'!$A$1:$O$86,15,0))*(1-0.06)</f>
        <v>20.303999999999998</v>
      </c>
      <c r="W18" s="96">
        <f>IF(ISERROR(VLOOKUP($T$18,'TAR FIN'!$A$1:$O$86,15,0)),0,VLOOKUP($T$18,'TAR FIN'!$A$1:$O$86,15,0))*(1-0.06)</f>
        <v>66.984400000000008</v>
      </c>
      <c r="X18" s="96">
        <f>IF(ISERROR(VLOOKUP($U$18,'TAR FIN'!$A$1:$O$86,15,0)),0,VLOOKUP($U$18,'TAR FIN'!$A$1:$O$86,15,0))*(1-0.06)</f>
        <v>473.59079999999994</v>
      </c>
      <c r="Y18" s="96">
        <f ca="1">('TUSD BE'!$AM$5+'TUSD BF'!$AM$5+'TUSD CVA'!$AM$5)*1*(1-0.03)</f>
        <v>21.2163537178483</v>
      </c>
      <c r="Z18" s="96">
        <f ca="1">('TUSD BE'!$AM$7+'TUSD BF'!$AM$7+'TUSD CVA'!$AM$7)*1*(1-0.03)</f>
        <v>92.9409846595331</v>
      </c>
      <c r="AA18" s="96">
        <f>('TE BE'!$AB$5+'TE BF'!$AB$5+'TE CVA'!$AB$5)*1*(1-0.03)</f>
        <v>386.0761412470477</v>
      </c>
      <c r="AB18" s="6">
        <f>$K$18*$V$18</f>
        <v>4974.4799999999996</v>
      </c>
      <c r="AC18" s="6">
        <f>$M$18*$W$18</f>
        <v>769.58377160000009</v>
      </c>
      <c r="AD18" s="6">
        <f>$O$18*$X$18</f>
        <v>5441.0847011999995</v>
      </c>
      <c r="AE18" s="6">
        <f ca="1">$K$18*$Y$18</f>
        <v>5198.006660872833</v>
      </c>
      <c r="AF18" s="6">
        <f ca="1">$M$18*$Z$18</f>
        <v>1067.7989727533759</v>
      </c>
      <c r="AG18" s="6">
        <f>$O$18*$AA$18</f>
        <v>4435.6287867873316</v>
      </c>
    </row>
    <row r="19" spans="1:33" ht="11.25" customHeight="1" x14ac:dyDescent="0.25">
      <c r="A19" s="4" t="s">
        <v>21</v>
      </c>
      <c r="B19" s="4" t="s">
        <v>38</v>
      </c>
      <c r="C19" s="4" t="s">
        <v>50</v>
      </c>
      <c r="D19" s="4" t="s">
        <v>48</v>
      </c>
      <c r="E19" s="4" t="s">
        <v>49</v>
      </c>
      <c r="F19" s="4" t="s">
        <v>25</v>
      </c>
      <c r="G19" s="4" t="s">
        <v>25</v>
      </c>
      <c r="H19" s="4" t="s">
        <v>33</v>
      </c>
      <c r="I19" s="5">
        <v>44531</v>
      </c>
      <c r="J19" s="6">
        <v>245</v>
      </c>
      <c r="K19" s="97">
        <v>245</v>
      </c>
      <c r="L19" s="6">
        <v>12.214</v>
      </c>
      <c r="M19" s="96">
        <v>12.214</v>
      </c>
      <c r="N19" s="6">
        <v>12.214</v>
      </c>
      <c r="O19" s="96">
        <v>12.214</v>
      </c>
      <c r="P19" s="6">
        <v>0</v>
      </c>
      <c r="Q19" s="4" t="s">
        <v>26</v>
      </c>
      <c r="R19" s="4">
        <v>0</v>
      </c>
      <c r="S19" s="6">
        <v>1</v>
      </c>
      <c r="T19" s="6">
        <v>11</v>
      </c>
      <c r="U19" s="6">
        <v>66</v>
      </c>
      <c r="V19" s="96">
        <f>IF(ISERROR(VLOOKUP($S$19,'TAR FIN'!$A$1:$O$86,15,0)),0,VLOOKUP($S$19,'TAR FIN'!$A$1:$O$86,15,0))*(1-0.06)</f>
        <v>20.303999999999998</v>
      </c>
      <c r="W19" s="96">
        <f>IF(ISERROR(VLOOKUP($T$19,'TAR FIN'!$A$1:$O$86,15,0)),0,VLOOKUP($T$19,'TAR FIN'!$A$1:$O$86,15,0))*(1-0.06)</f>
        <v>66.984400000000008</v>
      </c>
      <c r="X19" s="96">
        <f>IF(ISERROR(VLOOKUP($U$19,'TAR FIN'!$A$1:$O$86,15,0)),0,VLOOKUP($U$19,'TAR FIN'!$A$1:$O$86,15,0))*(1-0.06)</f>
        <v>473.59079999999994</v>
      </c>
      <c r="Y19" s="96">
        <f ca="1">('TUSD BE'!$AM$5+'TUSD BF'!$AM$5+'TUSD CVA'!$AM$5)*1*(1-0.03)</f>
        <v>21.2163537178483</v>
      </c>
      <c r="Z19" s="96">
        <f ca="1">('TUSD BE'!$AM$7+'TUSD BF'!$AM$7+'TUSD CVA'!$AM$7)*1*(1-0.03)</f>
        <v>92.9409846595331</v>
      </c>
      <c r="AA19" s="96">
        <f>('TE BE'!$AB$5+'TE BF'!$AB$5+'TE CVA'!$AB$5)*1*(1-0.03)</f>
        <v>386.0761412470477</v>
      </c>
      <c r="AB19" s="6">
        <f>$K$19*$V$19</f>
        <v>4974.4799999999996</v>
      </c>
      <c r="AC19" s="6">
        <f>$M$19*$W$19</f>
        <v>818.14746160000016</v>
      </c>
      <c r="AD19" s="6">
        <f>$O$19*$X$19</f>
        <v>5784.4380311999994</v>
      </c>
      <c r="AE19" s="6">
        <f ca="1">$K$19*$Y$19</f>
        <v>5198.006660872833</v>
      </c>
      <c r="AF19" s="6">
        <f ca="1">$M$19*$Z$19</f>
        <v>1135.1811866315372</v>
      </c>
      <c r="AG19" s="6">
        <f>$O$19*$AA$19</f>
        <v>4715.5339891914409</v>
      </c>
    </row>
    <row r="20" spans="1:33" ht="11.25" customHeight="1" x14ac:dyDescent="0.25">
      <c r="A20" s="4" t="s">
        <v>21</v>
      </c>
      <c r="B20" s="4" t="s">
        <v>38</v>
      </c>
      <c r="C20" s="4" t="s">
        <v>50</v>
      </c>
      <c r="D20" s="4" t="s">
        <v>48</v>
      </c>
      <c r="E20" s="4" t="s">
        <v>49</v>
      </c>
      <c r="F20" s="4" t="s">
        <v>25</v>
      </c>
      <c r="G20" s="4" t="s">
        <v>25</v>
      </c>
      <c r="H20" s="4" t="s">
        <v>33</v>
      </c>
      <c r="I20" s="5">
        <v>44562</v>
      </c>
      <c r="J20" s="6">
        <v>245</v>
      </c>
      <c r="K20" s="97">
        <v>245</v>
      </c>
      <c r="L20" s="6">
        <v>11.095000000000001</v>
      </c>
      <c r="M20" s="96">
        <v>11.095000000000001</v>
      </c>
      <c r="N20" s="6">
        <v>11.095000000000001</v>
      </c>
      <c r="O20" s="96">
        <v>11.095000000000001</v>
      </c>
      <c r="P20" s="6">
        <v>0</v>
      </c>
      <c r="Q20" s="4" t="s">
        <v>26</v>
      </c>
      <c r="R20" s="4">
        <v>0</v>
      </c>
      <c r="S20" s="6">
        <v>1</v>
      </c>
      <c r="T20" s="6">
        <v>11</v>
      </c>
      <c r="U20" s="6">
        <v>66</v>
      </c>
      <c r="V20" s="96">
        <f>IF(ISERROR(VLOOKUP($S$20,'TAR FIN'!$A$1:$O$86,15,0)),0,VLOOKUP($S$20,'TAR FIN'!$A$1:$O$86,15,0))*(1-0.06)</f>
        <v>20.303999999999998</v>
      </c>
      <c r="W20" s="96">
        <f>IF(ISERROR(VLOOKUP($T$20,'TAR FIN'!$A$1:$O$86,15,0)),0,VLOOKUP($T$20,'TAR FIN'!$A$1:$O$86,15,0))*(1-0.06)</f>
        <v>66.984400000000008</v>
      </c>
      <c r="X20" s="96">
        <f>IF(ISERROR(VLOOKUP($U$20,'TAR FIN'!$A$1:$O$86,15,0)),0,VLOOKUP($U$20,'TAR FIN'!$A$1:$O$86,15,0))*(1-0.06)</f>
        <v>473.59079999999994</v>
      </c>
      <c r="Y20" s="96">
        <f ca="1">('TUSD BE'!$AM$5+'TUSD BF'!$AM$5+'TUSD CVA'!$AM$5)*1*(1-0.03)</f>
        <v>21.2163537178483</v>
      </c>
      <c r="Z20" s="96">
        <f ca="1">('TUSD BE'!$AM$7+'TUSD BF'!$AM$7+'TUSD CVA'!$AM$7)*1*(1-0.03)</f>
        <v>92.9409846595331</v>
      </c>
      <c r="AA20" s="96">
        <f>('TE BE'!$AB$5+'TE BF'!$AB$5+'TE CVA'!$AB$5)*1*(1-0.03)</f>
        <v>386.0761412470477</v>
      </c>
      <c r="AB20" s="6">
        <f>$K$20*$V$20</f>
        <v>4974.4799999999996</v>
      </c>
      <c r="AC20" s="6">
        <f>$M$20*$W$20</f>
        <v>743.1919180000001</v>
      </c>
      <c r="AD20" s="6">
        <f>$O$20*$X$20</f>
        <v>5254.4899259999993</v>
      </c>
      <c r="AE20" s="6">
        <f ca="1">$K$20*$Y$20</f>
        <v>5198.006660872833</v>
      </c>
      <c r="AF20" s="6">
        <f ca="1">$M$20*$Z$20</f>
        <v>1031.1802247975197</v>
      </c>
      <c r="AG20" s="6">
        <f>$O$20*$AA$20</f>
        <v>4283.5147871359941</v>
      </c>
    </row>
    <row r="21" spans="1:33" ht="11.25" customHeight="1" x14ac:dyDescent="0.25">
      <c r="A21" s="4" t="s">
        <v>21</v>
      </c>
      <c r="B21" s="4" t="s">
        <v>38</v>
      </c>
      <c r="C21" s="4" t="s">
        <v>50</v>
      </c>
      <c r="D21" s="4" t="s">
        <v>48</v>
      </c>
      <c r="E21" s="4" t="s">
        <v>49</v>
      </c>
      <c r="F21" s="4" t="s">
        <v>25</v>
      </c>
      <c r="G21" s="4" t="s">
        <v>25</v>
      </c>
      <c r="H21" s="4" t="s">
        <v>33</v>
      </c>
      <c r="I21" s="5">
        <v>44593</v>
      </c>
      <c r="J21" s="6">
        <v>245</v>
      </c>
      <c r="K21" s="97">
        <v>245</v>
      </c>
      <c r="L21" s="6">
        <v>10.555</v>
      </c>
      <c r="M21" s="96">
        <v>10.555</v>
      </c>
      <c r="N21" s="6">
        <v>10.555</v>
      </c>
      <c r="O21" s="96">
        <v>10.555</v>
      </c>
      <c r="P21" s="6">
        <v>0</v>
      </c>
      <c r="Q21" s="4" t="s">
        <v>26</v>
      </c>
      <c r="R21" s="4">
        <v>0</v>
      </c>
      <c r="S21" s="6">
        <v>1</v>
      </c>
      <c r="T21" s="6">
        <v>11</v>
      </c>
      <c r="U21" s="6">
        <v>66</v>
      </c>
      <c r="V21" s="96">
        <f>IF(ISERROR(VLOOKUP($S$21,'TAR FIN'!$A$1:$O$86,15,0)),0,VLOOKUP($S$21,'TAR FIN'!$A$1:$O$86,15,0))*(1-0.06)</f>
        <v>20.303999999999998</v>
      </c>
      <c r="W21" s="96">
        <f>IF(ISERROR(VLOOKUP($T$21,'TAR FIN'!$A$1:$O$86,15,0)),0,VLOOKUP($T$21,'TAR FIN'!$A$1:$O$86,15,0))*(1-0.06)</f>
        <v>66.984400000000008</v>
      </c>
      <c r="X21" s="96">
        <f>IF(ISERROR(VLOOKUP($U$21,'TAR FIN'!$A$1:$O$86,15,0)),0,VLOOKUP($U$21,'TAR FIN'!$A$1:$O$86,15,0))*(1-0.06)</f>
        <v>473.59079999999994</v>
      </c>
      <c r="Y21" s="96">
        <f ca="1">('TUSD BE'!$AM$5+'TUSD BF'!$AM$5+'TUSD CVA'!$AM$5)*1*(1-0.03)</f>
        <v>21.2163537178483</v>
      </c>
      <c r="Z21" s="96">
        <f ca="1">('TUSD BE'!$AM$7+'TUSD BF'!$AM$7+'TUSD CVA'!$AM$7)*1*(1-0.03)</f>
        <v>92.9409846595331</v>
      </c>
      <c r="AA21" s="96">
        <f>('TE BE'!$AB$5+'TE BF'!$AB$5+'TE CVA'!$AB$5)*1*(1-0.03)</f>
        <v>386.0761412470477</v>
      </c>
      <c r="AB21" s="6">
        <f>$K$21*$V$21</f>
        <v>4974.4799999999996</v>
      </c>
      <c r="AC21" s="6">
        <f>$M$21*$W$21</f>
        <v>707.02034200000003</v>
      </c>
      <c r="AD21" s="6">
        <f>$O$21*$X$21</f>
        <v>4998.7508939999989</v>
      </c>
      <c r="AE21" s="6">
        <f ca="1">$K$21*$Y$21</f>
        <v>5198.006660872833</v>
      </c>
      <c r="AF21" s="6">
        <f ca="1">$M$21*$Z$21</f>
        <v>980.99209308137188</v>
      </c>
      <c r="AG21" s="6">
        <f>$O$21*$AA$21</f>
        <v>4075.0336708625882</v>
      </c>
    </row>
    <row r="22" spans="1:33" ht="11.25" customHeight="1" x14ac:dyDescent="0.25">
      <c r="A22" s="4" t="s">
        <v>21</v>
      </c>
      <c r="B22" s="4" t="s">
        <v>38</v>
      </c>
      <c r="C22" s="4" t="s">
        <v>50</v>
      </c>
      <c r="D22" s="4" t="s">
        <v>48</v>
      </c>
      <c r="E22" s="4" t="s">
        <v>49</v>
      </c>
      <c r="F22" s="4" t="s">
        <v>25</v>
      </c>
      <c r="G22" s="4" t="s">
        <v>25</v>
      </c>
      <c r="H22" s="4" t="s">
        <v>33</v>
      </c>
      <c r="I22" s="5">
        <v>44621</v>
      </c>
      <c r="J22" s="6">
        <v>245</v>
      </c>
      <c r="K22" s="97">
        <v>245</v>
      </c>
      <c r="L22" s="6">
        <v>12.113</v>
      </c>
      <c r="M22" s="96">
        <v>12.113</v>
      </c>
      <c r="N22" s="6">
        <v>12.113</v>
      </c>
      <c r="O22" s="96">
        <v>12.113</v>
      </c>
      <c r="P22" s="6">
        <v>0</v>
      </c>
      <c r="Q22" s="4" t="s">
        <v>26</v>
      </c>
      <c r="R22" s="4">
        <v>0</v>
      </c>
      <c r="S22" s="6">
        <v>1</v>
      </c>
      <c r="T22" s="6">
        <v>11</v>
      </c>
      <c r="U22" s="6">
        <v>66</v>
      </c>
      <c r="V22" s="96">
        <f>IF(ISERROR(VLOOKUP($S$22,'TAR FIN'!$A$1:$O$86,15,0)),0,VLOOKUP($S$22,'TAR FIN'!$A$1:$O$86,15,0))*(1-0.06)</f>
        <v>20.303999999999998</v>
      </c>
      <c r="W22" s="96">
        <f>IF(ISERROR(VLOOKUP($T$22,'TAR FIN'!$A$1:$O$86,15,0)),0,VLOOKUP($T$22,'TAR FIN'!$A$1:$O$86,15,0))*(1-0.06)</f>
        <v>66.984400000000008</v>
      </c>
      <c r="X22" s="96">
        <f>IF(ISERROR(VLOOKUP($U$22,'TAR FIN'!$A$1:$O$86,15,0)),0,VLOOKUP($U$22,'TAR FIN'!$A$1:$O$86,15,0))*(1-0.06)</f>
        <v>473.59079999999994</v>
      </c>
      <c r="Y22" s="96">
        <f ca="1">('TUSD BE'!$AM$5+'TUSD BF'!$AM$5+'TUSD CVA'!$AM$5)*1*(1-0.03)</f>
        <v>21.2163537178483</v>
      </c>
      <c r="Z22" s="96">
        <f ca="1">('TUSD BE'!$AM$7+'TUSD BF'!$AM$7+'TUSD CVA'!$AM$7)*1*(1-0.03)</f>
        <v>92.9409846595331</v>
      </c>
      <c r="AA22" s="96">
        <f>('TE BE'!$AB$5+'TE BF'!$AB$5+'TE CVA'!$AB$5)*1*(1-0.03)</f>
        <v>386.0761412470477</v>
      </c>
      <c r="AB22" s="6">
        <f>$K$22*$V$22</f>
        <v>4974.4799999999996</v>
      </c>
      <c r="AC22" s="6">
        <f>$M$22*$W$22</f>
        <v>811.38203720000001</v>
      </c>
      <c r="AD22" s="6">
        <f>$O$22*$X$22</f>
        <v>5736.605360399999</v>
      </c>
      <c r="AE22" s="6">
        <f ca="1">$K$22*$Y$22</f>
        <v>5198.006660872833</v>
      </c>
      <c r="AF22" s="6">
        <f ca="1">$M$22*$Z$22</f>
        <v>1125.7941471809245</v>
      </c>
      <c r="AG22" s="6">
        <f>$O$22*$AA$22</f>
        <v>4676.540298925489</v>
      </c>
    </row>
    <row r="23" spans="1:33" ht="11.25" customHeight="1" x14ac:dyDescent="0.25">
      <c r="A23" s="4" t="s">
        <v>21</v>
      </c>
      <c r="B23" s="4" t="s">
        <v>38</v>
      </c>
      <c r="C23" s="4" t="s">
        <v>50</v>
      </c>
      <c r="D23" s="4" t="s">
        <v>48</v>
      </c>
      <c r="E23" s="4" t="s">
        <v>49</v>
      </c>
      <c r="F23" s="4" t="s">
        <v>25</v>
      </c>
      <c r="G23" s="4" t="s">
        <v>25</v>
      </c>
      <c r="H23" s="4" t="s">
        <v>33</v>
      </c>
      <c r="I23" s="5">
        <v>44652</v>
      </c>
      <c r="J23" s="6">
        <v>245</v>
      </c>
      <c r="K23" s="97">
        <v>245</v>
      </c>
      <c r="L23" s="6">
        <v>9.4809999999999999</v>
      </c>
      <c r="M23" s="96">
        <v>9.4809999999999999</v>
      </c>
      <c r="N23" s="6">
        <v>9.4809999999999999</v>
      </c>
      <c r="O23" s="96">
        <v>9.4809999999999999</v>
      </c>
      <c r="P23" s="6">
        <v>0</v>
      </c>
      <c r="Q23" s="4" t="s">
        <v>26</v>
      </c>
      <c r="R23" s="4">
        <v>0</v>
      </c>
      <c r="S23" s="6">
        <v>1</v>
      </c>
      <c r="T23" s="6">
        <v>11</v>
      </c>
      <c r="U23" s="6">
        <v>66</v>
      </c>
      <c r="V23" s="96">
        <f>IF(ISERROR(VLOOKUP($S$23,'TAR FIN'!$A$1:$O$86,15,0)),0,VLOOKUP($S$23,'TAR FIN'!$A$1:$O$86,15,0))*(1-0.06)</f>
        <v>20.303999999999998</v>
      </c>
      <c r="W23" s="96">
        <f>IF(ISERROR(VLOOKUP($T$23,'TAR FIN'!$A$1:$O$86,15,0)),0,VLOOKUP($T$23,'TAR FIN'!$A$1:$O$86,15,0))*(1-0.06)</f>
        <v>66.984400000000008</v>
      </c>
      <c r="X23" s="96">
        <f>IF(ISERROR(VLOOKUP($U$23,'TAR FIN'!$A$1:$O$86,15,0)),0,VLOOKUP($U$23,'TAR FIN'!$A$1:$O$86,15,0))*(1-0.06)</f>
        <v>473.59079999999994</v>
      </c>
      <c r="Y23" s="96">
        <f ca="1">('TUSD BE'!$AM$5+'TUSD BF'!$AM$5+'TUSD CVA'!$AM$5)*1*(1-0.03)</f>
        <v>21.2163537178483</v>
      </c>
      <c r="Z23" s="96">
        <f ca="1">('TUSD BE'!$AM$7+'TUSD BF'!$AM$7+'TUSD CVA'!$AM$7)*1*(1-0.03)</f>
        <v>92.9409846595331</v>
      </c>
      <c r="AA23" s="96">
        <f>('TE BE'!$AB$5+'TE BF'!$AB$5+'TE CVA'!$AB$5)*1*(1-0.03)</f>
        <v>386.0761412470477</v>
      </c>
      <c r="AB23" s="6">
        <f>$K$23*$V$23</f>
        <v>4974.4799999999996</v>
      </c>
      <c r="AC23" s="6">
        <f>$M$23*$W$23</f>
        <v>635.07909640000003</v>
      </c>
      <c r="AD23" s="6">
        <f>$O$23*$X$23</f>
        <v>4490.1143747999995</v>
      </c>
      <c r="AE23" s="6">
        <f ca="1">$K$23*$Y$23</f>
        <v>5198.006660872833</v>
      </c>
      <c r="AF23" s="6">
        <f ca="1">$M$23*$Z$23</f>
        <v>881.17347555703327</v>
      </c>
      <c r="AG23" s="6">
        <f>$O$23*$AA$23</f>
        <v>3660.3878951632591</v>
      </c>
    </row>
    <row r="24" spans="1:33" ht="11.25" customHeight="1" x14ac:dyDescent="0.25">
      <c r="A24" s="4" t="s">
        <v>21</v>
      </c>
      <c r="B24" s="4" t="s">
        <v>38</v>
      </c>
      <c r="C24" s="4" t="s">
        <v>50</v>
      </c>
      <c r="D24" s="4" t="s">
        <v>48</v>
      </c>
      <c r="E24" s="4" t="s">
        <v>49</v>
      </c>
      <c r="F24" s="4" t="s">
        <v>25</v>
      </c>
      <c r="G24" s="4" t="s">
        <v>25</v>
      </c>
      <c r="H24" s="4" t="s">
        <v>33</v>
      </c>
      <c r="I24" s="5">
        <v>44682</v>
      </c>
      <c r="J24" s="6">
        <v>245</v>
      </c>
      <c r="K24" s="97">
        <v>245</v>
      </c>
      <c r="L24" s="6">
        <v>11.755000000000001</v>
      </c>
      <c r="M24" s="96">
        <v>11.755000000000001</v>
      </c>
      <c r="N24" s="6">
        <v>11.755000000000001</v>
      </c>
      <c r="O24" s="96">
        <v>11.755000000000001</v>
      </c>
      <c r="P24" s="6">
        <v>0</v>
      </c>
      <c r="Q24" s="4" t="s">
        <v>26</v>
      </c>
      <c r="R24" s="4">
        <v>0</v>
      </c>
      <c r="S24" s="6">
        <v>1</v>
      </c>
      <c r="T24" s="6">
        <v>11</v>
      </c>
      <c r="U24" s="6">
        <v>66</v>
      </c>
      <c r="V24" s="96">
        <f>IF(ISERROR(VLOOKUP($S$24,'TAR FIN'!$A$1:$O$86,15,0)),0,VLOOKUP($S$24,'TAR FIN'!$A$1:$O$86,15,0))*(1-0.06)</f>
        <v>20.303999999999998</v>
      </c>
      <c r="W24" s="96">
        <f>IF(ISERROR(VLOOKUP($T$24,'TAR FIN'!$A$1:$O$86,15,0)),0,VLOOKUP($T$24,'TAR FIN'!$A$1:$O$86,15,0))*(1-0.06)</f>
        <v>66.984400000000008</v>
      </c>
      <c r="X24" s="96">
        <f>IF(ISERROR(VLOOKUP($U$24,'TAR FIN'!$A$1:$O$86,15,0)),0,VLOOKUP($U$24,'TAR FIN'!$A$1:$O$86,15,0))*(1-0.06)</f>
        <v>473.59079999999994</v>
      </c>
      <c r="Y24" s="96">
        <f ca="1">('TUSD BE'!$AM$5+'TUSD BF'!$AM$5+'TUSD CVA'!$AM$5)*1*(1-0.03)</f>
        <v>21.2163537178483</v>
      </c>
      <c r="Z24" s="96">
        <f ca="1">('TUSD BE'!$AM$7+'TUSD BF'!$AM$7+'TUSD CVA'!$AM$7)*1*(1-0.03)</f>
        <v>92.9409846595331</v>
      </c>
      <c r="AA24" s="96">
        <f>('TE BE'!$AB$5+'TE BF'!$AB$5+'TE CVA'!$AB$5)*1*(1-0.03)</f>
        <v>386.0761412470477</v>
      </c>
      <c r="AB24" s="6">
        <f>$K$24*$V$24</f>
        <v>4974.4799999999996</v>
      </c>
      <c r="AC24" s="6">
        <f>$M$24*$W$24</f>
        <v>787.4016220000002</v>
      </c>
      <c r="AD24" s="6">
        <f>$O$24*$X$24</f>
        <v>5567.0598540000001</v>
      </c>
      <c r="AE24" s="6">
        <f ca="1">$K$24*$Y$24</f>
        <v>5198.006660872833</v>
      </c>
      <c r="AF24" s="6">
        <f ca="1">$M$24*$Z$24</f>
        <v>1092.5212746728116</v>
      </c>
      <c r="AG24" s="6">
        <f>$O$24*$AA$24</f>
        <v>4538.3250403590464</v>
      </c>
    </row>
    <row r="25" spans="1:33" ht="11.25" customHeight="1" x14ac:dyDescent="0.25">
      <c r="A25" s="4" t="s">
        <v>55</v>
      </c>
      <c r="B25" s="4" t="s">
        <v>38</v>
      </c>
      <c r="C25" s="4" t="s">
        <v>50</v>
      </c>
      <c r="D25" s="4" t="s">
        <v>48</v>
      </c>
      <c r="E25" s="4" t="s">
        <v>49</v>
      </c>
      <c r="F25" s="4" t="s">
        <v>25</v>
      </c>
      <c r="G25" s="4" t="s">
        <v>25</v>
      </c>
      <c r="H25" s="4" t="s">
        <v>33</v>
      </c>
      <c r="I25" s="5">
        <v>44713</v>
      </c>
      <c r="J25" s="6">
        <v>245</v>
      </c>
      <c r="K25" s="97">
        <v>245</v>
      </c>
      <c r="L25" s="6">
        <v>11.755000000000001</v>
      </c>
      <c r="M25" s="96">
        <v>11.755000000000001</v>
      </c>
      <c r="N25" s="6">
        <v>11.755000000000001</v>
      </c>
      <c r="O25" s="96">
        <v>11.755000000000001</v>
      </c>
      <c r="P25" s="6">
        <v>0</v>
      </c>
      <c r="Q25" s="4" t="s">
        <v>26</v>
      </c>
      <c r="R25" s="4">
        <v>0</v>
      </c>
      <c r="S25" s="6">
        <v>1</v>
      </c>
      <c r="T25" s="6">
        <v>11</v>
      </c>
      <c r="U25" s="6">
        <v>66</v>
      </c>
      <c r="V25" s="96">
        <f>IF(ISERROR(VLOOKUP($S$25,'TAR FIN'!$A$1:$O$86,15,0)),0,VLOOKUP($S$25,'TAR FIN'!$A$1:$O$86,15,0))*(1-0.06)</f>
        <v>20.303999999999998</v>
      </c>
      <c r="W25" s="96">
        <f>IF(ISERROR(VLOOKUP($T$25,'TAR FIN'!$A$1:$O$86,15,0)),0,VLOOKUP($T$25,'TAR FIN'!$A$1:$O$86,15,0))*(1-0.06)</f>
        <v>66.984400000000008</v>
      </c>
      <c r="X25" s="96">
        <f>IF(ISERROR(VLOOKUP($U$25,'TAR FIN'!$A$1:$O$86,15,0)),0,VLOOKUP($U$25,'TAR FIN'!$A$1:$O$86,15,0))*(1-0.06)</f>
        <v>473.59079999999994</v>
      </c>
      <c r="Y25" s="96">
        <f ca="1">('TUSD BE'!$AM$5+'TUSD BF'!$AM$5+'TUSD CVA'!$AM$5)*1*(1-0.03)</f>
        <v>21.2163537178483</v>
      </c>
      <c r="Z25" s="96">
        <f ca="1">('TUSD BE'!$AM$7+'TUSD BF'!$AM$7+'TUSD CVA'!$AM$7)*1*(1-0.03)</f>
        <v>92.9409846595331</v>
      </c>
      <c r="AA25" s="96">
        <f>('TE BE'!$AB$5+'TE BF'!$AB$5+'TE CVA'!$AB$5)*1*(1-0.03)</f>
        <v>386.0761412470477</v>
      </c>
      <c r="AB25" s="6">
        <f>$K$25*$V$25</f>
        <v>4974.4799999999996</v>
      </c>
      <c r="AC25" s="6">
        <f>$M$25*$W$25</f>
        <v>787.4016220000002</v>
      </c>
      <c r="AD25" s="6">
        <f>$O$25*$X$25</f>
        <v>5567.0598540000001</v>
      </c>
      <c r="AE25" s="6">
        <f ca="1">$K$25*$Y$25</f>
        <v>5198.006660872833</v>
      </c>
      <c r="AF25" s="6">
        <f ca="1">$M$25*$Z$25</f>
        <v>1092.5212746728116</v>
      </c>
      <c r="AG25" s="6">
        <f>$O$25*$AA$25</f>
        <v>4538.3250403590464</v>
      </c>
    </row>
    <row r="26" spans="1:33" ht="11.25" customHeight="1" x14ac:dyDescent="0.25">
      <c r="A26" s="4" t="s">
        <v>21</v>
      </c>
      <c r="B26" s="4" t="s">
        <v>38</v>
      </c>
      <c r="C26" s="4" t="s">
        <v>58</v>
      </c>
      <c r="D26" s="4" t="s">
        <v>25</v>
      </c>
      <c r="E26" s="4" t="s">
        <v>25</v>
      </c>
      <c r="F26" s="4" t="s">
        <v>25</v>
      </c>
      <c r="G26" s="4" t="s">
        <v>59</v>
      </c>
      <c r="H26" s="4" t="s">
        <v>25</v>
      </c>
      <c r="I26" s="5">
        <v>44378</v>
      </c>
      <c r="J26" s="6">
        <v>900</v>
      </c>
      <c r="K26" s="6">
        <v>450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60</v>
      </c>
      <c r="R26" s="4">
        <v>30634</v>
      </c>
      <c r="S26" s="6">
        <v>5</v>
      </c>
      <c r="T26" s="6">
        <v>0</v>
      </c>
      <c r="U26" s="6">
        <v>0</v>
      </c>
      <c r="V26" s="6">
        <f>IF(ISERROR(VLOOKUP($S$26,'TAR FIN'!$A$1:$O$86,15,0)),0,VLOOKUP($S$26,'TAR FIN'!$A$1:$O$86,15,0))</f>
        <v>5.65</v>
      </c>
      <c r="W26" s="6">
        <f>IF(ISERROR(VLOOKUP($T$26,'TAR FIN'!$A$1:$O$86,15,0)),0,VLOOKUP($T$26,'TAR FIN'!$A$1:$O$86,15,0))</f>
        <v>0</v>
      </c>
      <c r="X26" s="6">
        <f>IF(ISERROR(VLOOKUP($U$26,'TAR FIN'!$A$1:$O$86,15,0)),0,VLOOKUP($U$26,'TAR FIN'!$A$1:$O$86,15,0))</f>
        <v>0</v>
      </c>
      <c r="Y26" s="6">
        <f ca="1">('TUSD BE'!$AM$9+'TUSD BF'!$AM$9+'TUSD CVA'!$AM$9)*1</f>
        <v>5.5779170347181353</v>
      </c>
      <c r="Z26" s="6"/>
      <c r="AA26" s="6"/>
      <c r="AB26" s="6">
        <f>$K$26*$V$26</f>
        <v>2542.5</v>
      </c>
      <c r="AC26" s="6">
        <f>$M$26*$W$26</f>
        <v>0</v>
      </c>
      <c r="AD26" s="6">
        <f>$O$26*$X$26</f>
        <v>0</v>
      </c>
      <c r="AE26" s="6">
        <f ca="1">$K$26*$Y$26</f>
        <v>2510.0626656231607</v>
      </c>
      <c r="AF26" s="6">
        <f>$M$26*$Z$26</f>
        <v>0</v>
      </c>
      <c r="AG26" s="6">
        <f>$O$26*$AA$26</f>
        <v>0</v>
      </c>
    </row>
    <row r="27" spans="1:33" ht="11.25" customHeight="1" x14ac:dyDescent="0.25">
      <c r="A27" s="4" t="s">
        <v>21</v>
      </c>
      <c r="B27" s="4" t="s">
        <v>38</v>
      </c>
      <c r="C27" s="4" t="s">
        <v>58</v>
      </c>
      <c r="D27" s="4" t="s">
        <v>25</v>
      </c>
      <c r="E27" s="4" t="s">
        <v>25</v>
      </c>
      <c r="F27" s="4" t="s">
        <v>25</v>
      </c>
      <c r="G27" s="4" t="s">
        <v>61</v>
      </c>
      <c r="H27" s="4" t="s">
        <v>25</v>
      </c>
      <c r="I27" s="5">
        <v>44378</v>
      </c>
      <c r="J27" s="6">
        <v>780</v>
      </c>
      <c r="K27" s="6">
        <v>390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60</v>
      </c>
      <c r="R27" s="4">
        <v>2430</v>
      </c>
      <c r="S27" s="6">
        <v>5</v>
      </c>
      <c r="T27" s="6">
        <v>0</v>
      </c>
      <c r="U27" s="6">
        <v>0</v>
      </c>
      <c r="V27" s="6">
        <f>IF(ISERROR(VLOOKUP($S$27,'TAR FIN'!$A$1:$O$86,15,0)),0,VLOOKUP($S$27,'TAR FIN'!$A$1:$O$86,15,0))</f>
        <v>5.65</v>
      </c>
      <c r="W27" s="6">
        <f>IF(ISERROR(VLOOKUP($T$27,'TAR FIN'!$A$1:$O$86,15,0)),0,VLOOKUP($T$27,'TAR FIN'!$A$1:$O$86,15,0))</f>
        <v>0</v>
      </c>
      <c r="X27" s="6">
        <f>IF(ISERROR(VLOOKUP($U$27,'TAR FIN'!$A$1:$O$86,15,0)),0,VLOOKUP($U$27,'TAR FIN'!$A$1:$O$86,15,0))</f>
        <v>0</v>
      </c>
      <c r="Y27" s="6">
        <f ca="1">('TUSD BE'!$AM$9+'TUSD BF'!$AM$9+'TUSD CVA'!$AM$9)*1</f>
        <v>5.5779170347181353</v>
      </c>
      <c r="Z27" s="6"/>
      <c r="AA27" s="6"/>
      <c r="AB27" s="6">
        <f>$K$27*$V$27</f>
        <v>2203.5</v>
      </c>
      <c r="AC27" s="6">
        <f>$M$27*$W$27</f>
        <v>0</v>
      </c>
      <c r="AD27" s="6">
        <f>$O$27*$X$27</f>
        <v>0</v>
      </c>
      <c r="AE27" s="6">
        <f ca="1">$K$27*$Y$27</f>
        <v>2175.3876435400725</v>
      </c>
      <c r="AF27" s="6">
        <f>$M$27*$Z$27</f>
        <v>0</v>
      </c>
      <c r="AG27" s="6">
        <f>$O$27*$AA$27</f>
        <v>0</v>
      </c>
    </row>
    <row r="28" spans="1:33" ht="11.25" customHeight="1" x14ac:dyDescent="0.25">
      <c r="A28" s="4" t="s">
        <v>21</v>
      </c>
      <c r="B28" s="4" t="s">
        <v>38</v>
      </c>
      <c r="C28" s="4" t="s">
        <v>58</v>
      </c>
      <c r="D28" s="4" t="s">
        <v>25</v>
      </c>
      <c r="E28" s="4" t="s">
        <v>25</v>
      </c>
      <c r="F28" s="4" t="s">
        <v>25</v>
      </c>
      <c r="G28" s="4" t="s">
        <v>59</v>
      </c>
      <c r="H28" s="4" t="s">
        <v>25</v>
      </c>
      <c r="I28" s="5">
        <v>44409</v>
      </c>
      <c r="J28" s="6">
        <v>900</v>
      </c>
      <c r="K28" s="6">
        <v>450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60</v>
      </c>
      <c r="R28" s="4">
        <v>30634</v>
      </c>
      <c r="S28" s="6">
        <v>5</v>
      </c>
      <c r="T28" s="6">
        <v>0</v>
      </c>
      <c r="U28" s="6">
        <v>0</v>
      </c>
      <c r="V28" s="6">
        <f>IF(ISERROR(VLOOKUP($S$28,'TAR FIN'!$A$1:$O$86,15,0)),0,VLOOKUP($S$28,'TAR FIN'!$A$1:$O$86,15,0))</f>
        <v>5.65</v>
      </c>
      <c r="W28" s="6">
        <f>IF(ISERROR(VLOOKUP($T$28,'TAR FIN'!$A$1:$O$86,15,0)),0,VLOOKUP($T$28,'TAR FIN'!$A$1:$O$86,15,0))</f>
        <v>0</v>
      </c>
      <c r="X28" s="6">
        <f>IF(ISERROR(VLOOKUP($U$28,'TAR FIN'!$A$1:$O$86,15,0)),0,VLOOKUP($U$28,'TAR FIN'!$A$1:$O$86,15,0))</f>
        <v>0</v>
      </c>
      <c r="Y28" s="6">
        <f ca="1">('TUSD BE'!$AM$9+'TUSD BF'!$AM$9+'TUSD CVA'!$AM$9)*1</f>
        <v>5.5779170347181353</v>
      </c>
      <c r="Z28" s="6"/>
      <c r="AA28" s="6"/>
      <c r="AB28" s="6">
        <f>$K$28*$V$28</f>
        <v>2542.5</v>
      </c>
      <c r="AC28" s="6">
        <f>$M$28*$W$28</f>
        <v>0</v>
      </c>
      <c r="AD28" s="6">
        <f>$O$28*$X$28</f>
        <v>0</v>
      </c>
      <c r="AE28" s="6">
        <f ca="1">$K$28*$Y$28</f>
        <v>2510.0626656231607</v>
      </c>
      <c r="AF28" s="6">
        <f>$M$28*$Z$28</f>
        <v>0</v>
      </c>
      <c r="AG28" s="6">
        <f>$O$28*$AA$28</f>
        <v>0</v>
      </c>
    </row>
    <row r="29" spans="1:33" ht="11.25" customHeight="1" x14ac:dyDescent="0.25">
      <c r="A29" s="4" t="s">
        <v>21</v>
      </c>
      <c r="B29" s="4" t="s">
        <v>38</v>
      </c>
      <c r="C29" s="4" t="s">
        <v>58</v>
      </c>
      <c r="D29" s="4" t="s">
        <v>25</v>
      </c>
      <c r="E29" s="4" t="s">
        <v>25</v>
      </c>
      <c r="F29" s="4" t="s">
        <v>25</v>
      </c>
      <c r="G29" s="4" t="s">
        <v>61</v>
      </c>
      <c r="H29" s="4" t="s">
        <v>25</v>
      </c>
      <c r="I29" s="5">
        <v>44409</v>
      </c>
      <c r="J29" s="6">
        <v>780</v>
      </c>
      <c r="K29" s="6">
        <v>390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60</v>
      </c>
      <c r="R29" s="4">
        <v>2430</v>
      </c>
      <c r="S29" s="6">
        <v>5</v>
      </c>
      <c r="T29" s="6">
        <v>0</v>
      </c>
      <c r="U29" s="6">
        <v>0</v>
      </c>
      <c r="V29" s="6">
        <f>IF(ISERROR(VLOOKUP($S$29,'TAR FIN'!$A$1:$O$86,15,0)),0,VLOOKUP($S$29,'TAR FIN'!$A$1:$O$86,15,0))</f>
        <v>5.65</v>
      </c>
      <c r="W29" s="6">
        <f>IF(ISERROR(VLOOKUP($T$29,'TAR FIN'!$A$1:$O$86,15,0)),0,VLOOKUP($T$29,'TAR FIN'!$A$1:$O$86,15,0))</f>
        <v>0</v>
      </c>
      <c r="X29" s="6">
        <f>IF(ISERROR(VLOOKUP($U$29,'TAR FIN'!$A$1:$O$86,15,0)),0,VLOOKUP($U$29,'TAR FIN'!$A$1:$O$86,15,0))</f>
        <v>0</v>
      </c>
      <c r="Y29" s="6">
        <f ca="1">('TUSD BE'!$AM$9+'TUSD BF'!$AM$9+'TUSD CVA'!$AM$9)*1</f>
        <v>5.5779170347181353</v>
      </c>
      <c r="Z29" s="6"/>
      <c r="AA29" s="6"/>
      <c r="AB29" s="6">
        <f>$K$29*$V$29</f>
        <v>2203.5</v>
      </c>
      <c r="AC29" s="6">
        <f>$M$29*$W$29</f>
        <v>0</v>
      </c>
      <c r="AD29" s="6">
        <f>$O$29*$X$29</f>
        <v>0</v>
      </c>
      <c r="AE29" s="6">
        <f ca="1">$K$29*$Y$29</f>
        <v>2175.3876435400725</v>
      </c>
      <c r="AF29" s="6">
        <f>$M$29*$Z$29</f>
        <v>0</v>
      </c>
      <c r="AG29" s="6">
        <f>$O$29*$AA$29</f>
        <v>0</v>
      </c>
    </row>
    <row r="30" spans="1:33" ht="11.25" customHeight="1" x14ac:dyDescent="0.25">
      <c r="A30" s="4" t="s">
        <v>21</v>
      </c>
      <c r="B30" s="4" t="s">
        <v>38</v>
      </c>
      <c r="C30" s="4" t="s">
        <v>58</v>
      </c>
      <c r="D30" s="4" t="s">
        <v>25</v>
      </c>
      <c r="E30" s="4" t="s">
        <v>25</v>
      </c>
      <c r="F30" s="4" t="s">
        <v>25</v>
      </c>
      <c r="G30" s="4" t="s">
        <v>59</v>
      </c>
      <c r="H30" s="4" t="s">
        <v>25</v>
      </c>
      <c r="I30" s="5">
        <v>44440</v>
      </c>
      <c r="J30" s="6">
        <v>961</v>
      </c>
      <c r="K30" s="6">
        <v>480.5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60</v>
      </c>
      <c r="R30" s="4">
        <v>30634</v>
      </c>
      <c r="S30" s="6">
        <v>5</v>
      </c>
      <c r="T30" s="6">
        <v>0</v>
      </c>
      <c r="U30" s="6">
        <v>0</v>
      </c>
      <c r="V30" s="6">
        <f>IF(ISERROR(VLOOKUP($S$30,'TAR FIN'!$A$1:$O$86,15,0)),0,VLOOKUP($S$30,'TAR FIN'!$A$1:$O$86,15,0))</f>
        <v>5.65</v>
      </c>
      <c r="W30" s="6">
        <f>IF(ISERROR(VLOOKUP($T$30,'TAR FIN'!$A$1:$O$86,15,0)),0,VLOOKUP($T$30,'TAR FIN'!$A$1:$O$86,15,0))</f>
        <v>0</v>
      </c>
      <c r="X30" s="6">
        <f>IF(ISERROR(VLOOKUP($U$30,'TAR FIN'!$A$1:$O$86,15,0)),0,VLOOKUP($U$30,'TAR FIN'!$A$1:$O$86,15,0))</f>
        <v>0</v>
      </c>
      <c r="Y30" s="6">
        <f ca="1">('TUSD BE'!$AM$9+'TUSD BF'!$AM$9+'TUSD CVA'!$AM$9)*1</f>
        <v>5.5779170347181353</v>
      </c>
      <c r="Z30" s="6"/>
      <c r="AA30" s="6"/>
      <c r="AB30" s="6">
        <f>$K$30*$V$30</f>
        <v>2714.8250000000003</v>
      </c>
      <c r="AC30" s="6">
        <f>$M$30*$W$30</f>
        <v>0</v>
      </c>
      <c r="AD30" s="6">
        <f>$O$30*$X$30</f>
        <v>0</v>
      </c>
      <c r="AE30" s="6">
        <f ca="1">$K$30*$Y$30</f>
        <v>2680.1891351820641</v>
      </c>
      <c r="AF30" s="6">
        <f>$M$30*$Z$30</f>
        <v>0</v>
      </c>
      <c r="AG30" s="6">
        <f>$O$30*$AA$30</f>
        <v>0</v>
      </c>
    </row>
    <row r="31" spans="1:33" ht="11.25" customHeight="1" x14ac:dyDescent="0.25">
      <c r="A31" s="4" t="s">
        <v>21</v>
      </c>
      <c r="B31" s="4" t="s">
        <v>38</v>
      </c>
      <c r="C31" s="4" t="s">
        <v>58</v>
      </c>
      <c r="D31" s="4" t="s">
        <v>25</v>
      </c>
      <c r="E31" s="4" t="s">
        <v>25</v>
      </c>
      <c r="F31" s="4" t="s">
        <v>25</v>
      </c>
      <c r="G31" s="4" t="s">
        <v>61</v>
      </c>
      <c r="H31" s="4" t="s">
        <v>25</v>
      </c>
      <c r="I31" s="5">
        <v>44440</v>
      </c>
      <c r="J31" s="6">
        <v>780</v>
      </c>
      <c r="K31" s="6">
        <v>390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60</v>
      </c>
      <c r="R31" s="4">
        <v>2430</v>
      </c>
      <c r="S31" s="6">
        <v>5</v>
      </c>
      <c r="T31" s="6">
        <v>0</v>
      </c>
      <c r="U31" s="6">
        <v>0</v>
      </c>
      <c r="V31" s="6">
        <f>IF(ISERROR(VLOOKUP($S$31,'TAR FIN'!$A$1:$O$86,15,0)),0,VLOOKUP($S$31,'TAR FIN'!$A$1:$O$86,15,0))</f>
        <v>5.65</v>
      </c>
      <c r="W31" s="6">
        <f>IF(ISERROR(VLOOKUP($T$31,'TAR FIN'!$A$1:$O$86,15,0)),0,VLOOKUP($T$31,'TAR FIN'!$A$1:$O$86,15,0))</f>
        <v>0</v>
      </c>
      <c r="X31" s="6">
        <f>IF(ISERROR(VLOOKUP($U$31,'TAR FIN'!$A$1:$O$86,15,0)),0,VLOOKUP($U$31,'TAR FIN'!$A$1:$O$86,15,0))</f>
        <v>0</v>
      </c>
      <c r="Y31" s="6">
        <f ca="1">('TUSD BE'!$AM$9+'TUSD BF'!$AM$9+'TUSD CVA'!$AM$9)*1</f>
        <v>5.5779170347181353</v>
      </c>
      <c r="Z31" s="6"/>
      <c r="AA31" s="6"/>
      <c r="AB31" s="6">
        <f>$K$31*$V$31</f>
        <v>2203.5</v>
      </c>
      <c r="AC31" s="6">
        <f>$M$31*$W$31</f>
        <v>0</v>
      </c>
      <c r="AD31" s="6">
        <f>$O$31*$X$31</f>
        <v>0</v>
      </c>
      <c r="AE31" s="6">
        <f ca="1">$K$31*$Y$31</f>
        <v>2175.3876435400725</v>
      </c>
      <c r="AF31" s="6">
        <f>$M$31*$Z$31</f>
        <v>0</v>
      </c>
      <c r="AG31" s="6">
        <f>$O$31*$AA$31</f>
        <v>0</v>
      </c>
    </row>
    <row r="32" spans="1:33" ht="11.25" customHeight="1" x14ac:dyDescent="0.25">
      <c r="A32" s="4" t="s">
        <v>21</v>
      </c>
      <c r="B32" s="4" t="s">
        <v>38</v>
      </c>
      <c r="C32" s="4" t="s">
        <v>58</v>
      </c>
      <c r="D32" s="4" t="s">
        <v>25</v>
      </c>
      <c r="E32" s="4" t="s">
        <v>25</v>
      </c>
      <c r="F32" s="4" t="s">
        <v>25</v>
      </c>
      <c r="G32" s="4" t="s">
        <v>59</v>
      </c>
      <c r="H32" s="4" t="s">
        <v>25</v>
      </c>
      <c r="I32" s="5">
        <v>44470</v>
      </c>
      <c r="J32" s="6">
        <v>963</v>
      </c>
      <c r="K32" s="6">
        <v>481.5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60</v>
      </c>
      <c r="R32" s="4">
        <v>30634</v>
      </c>
      <c r="S32" s="6">
        <v>5</v>
      </c>
      <c r="T32" s="6">
        <v>0</v>
      </c>
      <c r="U32" s="6">
        <v>0</v>
      </c>
      <c r="V32" s="6">
        <f>IF(ISERROR(VLOOKUP($S$32,'TAR FIN'!$A$1:$O$86,15,0)),0,VLOOKUP($S$32,'TAR FIN'!$A$1:$O$86,15,0))</f>
        <v>5.65</v>
      </c>
      <c r="W32" s="6">
        <f>IF(ISERROR(VLOOKUP($T$32,'TAR FIN'!$A$1:$O$86,15,0)),0,VLOOKUP($T$32,'TAR FIN'!$A$1:$O$86,15,0))</f>
        <v>0</v>
      </c>
      <c r="X32" s="6">
        <f>IF(ISERROR(VLOOKUP($U$32,'TAR FIN'!$A$1:$O$86,15,0)),0,VLOOKUP($U$32,'TAR FIN'!$A$1:$O$86,15,0))</f>
        <v>0</v>
      </c>
      <c r="Y32" s="6">
        <f ca="1">('TUSD BE'!$AM$9+'TUSD BF'!$AM$9+'TUSD CVA'!$AM$9)*1</f>
        <v>5.5779170347181353</v>
      </c>
      <c r="Z32" s="6"/>
      <c r="AA32" s="6"/>
      <c r="AB32" s="6">
        <f>$K$32*$V$32</f>
        <v>2720.4750000000004</v>
      </c>
      <c r="AC32" s="6">
        <f>$M$32*$W$32</f>
        <v>0</v>
      </c>
      <c r="AD32" s="6">
        <f>$O$32*$X$32</f>
        <v>0</v>
      </c>
      <c r="AE32" s="6">
        <f ca="1">$K$32*$Y$32</f>
        <v>2685.7670522167823</v>
      </c>
      <c r="AF32" s="6">
        <f>$M$32*$Z$32</f>
        <v>0</v>
      </c>
      <c r="AG32" s="6">
        <f>$O$32*$AA$32</f>
        <v>0</v>
      </c>
    </row>
    <row r="33" spans="1:33" ht="11.25" customHeight="1" x14ac:dyDescent="0.25">
      <c r="A33" s="4" t="s">
        <v>21</v>
      </c>
      <c r="B33" s="4" t="s">
        <v>38</v>
      </c>
      <c r="C33" s="4" t="s">
        <v>58</v>
      </c>
      <c r="D33" s="4" t="s">
        <v>25</v>
      </c>
      <c r="E33" s="4" t="s">
        <v>25</v>
      </c>
      <c r="F33" s="4" t="s">
        <v>25</v>
      </c>
      <c r="G33" s="4" t="s">
        <v>61</v>
      </c>
      <c r="H33" s="4" t="s">
        <v>25</v>
      </c>
      <c r="I33" s="5">
        <v>44470</v>
      </c>
      <c r="J33" s="6">
        <v>780</v>
      </c>
      <c r="K33" s="6">
        <v>390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60</v>
      </c>
      <c r="R33" s="4">
        <v>2430</v>
      </c>
      <c r="S33" s="6">
        <v>5</v>
      </c>
      <c r="T33" s="6">
        <v>0</v>
      </c>
      <c r="U33" s="6">
        <v>0</v>
      </c>
      <c r="V33" s="6">
        <f>IF(ISERROR(VLOOKUP($S$33,'TAR FIN'!$A$1:$O$86,15,0)),0,VLOOKUP($S$33,'TAR FIN'!$A$1:$O$86,15,0))</f>
        <v>5.65</v>
      </c>
      <c r="W33" s="6">
        <f>IF(ISERROR(VLOOKUP($T$33,'TAR FIN'!$A$1:$O$86,15,0)),0,VLOOKUP($T$33,'TAR FIN'!$A$1:$O$86,15,0))</f>
        <v>0</v>
      </c>
      <c r="X33" s="6">
        <f>IF(ISERROR(VLOOKUP($U$33,'TAR FIN'!$A$1:$O$86,15,0)),0,VLOOKUP($U$33,'TAR FIN'!$A$1:$O$86,15,0))</f>
        <v>0</v>
      </c>
      <c r="Y33" s="6">
        <f ca="1">('TUSD BE'!$AM$9+'TUSD BF'!$AM$9+'TUSD CVA'!$AM$9)*1</f>
        <v>5.5779170347181353</v>
      </c>
      <c r="Z33" s="6"/>
      <c r="AA33" s="6"/>
      <c r="AB33" s="6">
        <f>$K$33*$V$33</f>
        <v>2203.5</v>
      </c>
      <c r="AC33" s="6">
        <f>$M$33*$W$33</f>
        <v>0</v>
      </c>
      <c r="AD33" s="6">
        <f>$O$33*$X$33</f>
        <v>0</v>
      </c>
      <c r="AE33" s="6">
        <f ca="1">$K$33*$Y$33</f>
        <v>2175.3876435400725</v>
      </c>
      <c r="AF33" s="6">
        <f>$M$33*$Z$33</f>
        <v>0</v>
      </c>
      <c r="AG33" s="6">
        <f>$O$33*$AA$33</f>
        <v>0</v>
      </c>
    </row>
    <row r="34" spans="1:33" ht="11.25" customHeight="1" x14ac:dyDescent="0.25">
      <c r="A34" s="4" t="s">
        <v>21</v>
      </c>
      <c r="B34" s="4" t="s">
        <v>38</v>
      </c>
      <c r="C34" s="4" t="s">
        <v>58</v>
      </c>
      <c r="D34" s="4" t="s">
        <v>25</v>
      </c>
      <c r="E34" s="4" t="s">
        <v>25</v>
      </c>
      <c r="F34" s="4" t="s">
        <v>25</v>
      </c>
      <c r="G34" s="4" t="s">
        <v>59</v>
      </c>
      <c r="H34" s="4" t="s">
        <v>25</v>
      </c>
      <c r="I34" s="5">
        <v>44501</v>
      </c>
      <c r="J34" s="6">
        <v>952</v>
      </c>
      <c r="K34" s="6">
        <v>476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60</v>
      </c>
      <c r="R34" s="4">
        <v>30634</v>
      </c>
      <c r="S34" s="6">
        <v>5</v>
      </c>
      <c r="T34" s="6">
        <v>0</v>
      </c>
      <c r="U34" s="6">
        <v>0</v>
      </c>
      <c r="V34" s="6">
        <f>IF(ISERROR(VLOOKUP($S$34,'TAR FIN'!$A$1:$O$86,15,0)),0,VLOOKUP($S$34,'TAR FIN'!$A$1:$O$86,15,0))</f>
        <v>5.65</v>
      </c>
      <c r="W34" s="6">
        <f>IF(ISERROR(VLOOKUP($T$34,'TAR FIN'!$A$1:$O$86,15,0)),0,VLOOKUP($T$34,'TAR FIN'!$A$1:$O$86,15,0))</f>
        <v>0</v>
      </c>
      <c r="X34" s="6">
        <f>IF(ISERROR(VLOOKUP($U$34,'TAR FIN'!$A$1:$O$86,15,0)),0,VLOOKUP($U$34,'TAR FIN'!$A$1:$O$86,15,0))</f>
        <v>0</v>
      </c>
      <c r="Y34" s="6">
        <f ca="1">('TUSD BE'!$AM$9+'TUSD BF'!$AM$9+'TUSD CVA'!$AM$9)*1</f>
        <v>5.5779170347181353</v>
      </c>
      <c r="Z34" s="6"/>
      <c r="AA34" s="6"/>
      <c r="AB34" s="6">
        <f>$K$34*$V$34</f>
        <v>2689.4</v>
      </c>
      <c r="AC34" s="6">
        <f>$M$34*$W$34</f>
        <v>0</v>
      </c>
      <c r="AD34" s="6">
        <f>$O$34*$X$34</f>
        <v>0</v>
      </c>
      <c r="AE34" s="6">
        <f ca="1">$K$34*$Y$34</f>
        <v>2655.0885085258324</v>
      </c>
      <c r="AF34" s="6">
        <f>$M$34*$Z$34</f>
        <v>0</v>
      </c>
      <c r="AG34" s="6">
        <f>$O$34*$AA$34</f>
        <v>0</v>
      </c>
    </row>
    <row r="35" spans="1:33" ht="11.25" customHeight="1" x14ac:dyDescent="0.25">
      <c r="A35" s="4" t="s">
        <v>21</v>
      </c>
      <c r="B35" s="4" t="s">
        <v>38</v>
      </c>
      <c r="C35" s="4" t="s">
        <v>58</v>
      </c>
      <c r="D35" s="4" t="s">
        <v>25</v>
      </c>
      <c r="E35" s="4" t="s">
        <v>25</v>
      </c>
      <c r="F35" s="4" t="s">
        <v>25</v>
      </c>
      <c r="G35" s="4" t="s">
        <v>61</v>
      </c>
      <c r="H35" s="4" t="s">
        <v>25</v>
      </c>
      <c r="I35" s="5">
        <v>44501</v>
      </c>
      <c r="J35" s="6">
        <v>780</v>
      </c>
      <c r="K35" s="6">
        <v>390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60</v>
      </c>
      <c r="R35" s="4">
        <v>2430</v>
      </c>
      <c r="S35" s="6">
        <v>5</v>
      </c>
      <c r="T35" s="6">
        <v>0</v>
      </c>
      <c r="U35" s="6">
        <v>0</v>
      </c>
      <c r="V35" s="6">
        <f>IF(ISERROR(VLOOKUP($S$35,'TAR FIN'!$A$1:$O$86,15,0)),0,VLOOKUP($S$35,'TAR FIN'!$A$1:$O$86,15,0))</f>
        <v>5.65</v>
      </c>
      <c r="W35" s="6">
        <f>IF(ISERROR(VLOOKUP($T$35,'TAR FIN'!$A$1:$O$86,15,0)),0,VLOOKUP($T$35,'TAR FIN'!$A$1:$O$86,15,0))</f>
        <v>0</v>
      </c>
      <c r="X35" s="6">
        <f>IF(ISERROR(VLOOKUP($U$35,'TAR FIN'!$A$1:$O$86,15,0)),0,VLOOKUP($U$35,'TAR FIN'!$A$1:$O$86,15,0))</f>
        <v>0</v>
      </c>
      <c r="Y35" s="6">
        <f ca="1">('TUSD BE'!$AM$9+'TUSD BF'!$AM$9+'TUSD CVA'!$AM$9)*1</f>
        <v>5.5779170347181353</v>
      </c>
      <c r="Z35" s="6"/>
      <c r="AA35" s="6"/>
      <c r="AB35" s="6">
        <f>$K$35*$V$35</f>
        <v>2203.5</v>
      </c>
      <c r="AC35" s="6">
        <f>$M$35*$W$35</f>
        <v>0</v>
      </c>
      <c r="AD35" s="6">
        <f>$O$35*$X$35</f>
        <v>0</v>
      </c>
      <c r="AE35" s="6">
        <f ca="1">$K$35*$Y$35</f>
        <v>2175.3876435400725</v>
      </c>
      <c r="AF35" s="6">
        <f>$M$35*$Z$35</f>
        <v>0</v>
      </c>
      <c r="AG35" s="6">
        <f>$O$35*$AA$35</f>
        <v>0</v>
      </c>
    </row>
    <row r="36" spans="1:33" ht="11.25" customHeight="1" x14ac:dyDescent="0.25">
      <c r="A36" s="4" t="s">
        <v>21</v>
      </c>
      <c r="B36" s="4" t="s">
        <v>38</v>
      </c>
      <c r="C36" s="4" t="s">
        <v>58</v>
      </c>
      <c r="D36" s="4" t="s">
        <v>25</v>
      </c>
      <c r="E36" s="4" t="s">
        <v>25</v>
      </c>
      <c r="F36" s="4" t="s">
        <v>25</v>
      </c>
      <c r="G36" s="4" t="s">
        <v>59</v>
      </c>
      <c r="H36" s="4" t="s">
        <v>25</v>
      </c>
      <c r="I36" s="5">
        <v>44531</v>
      </c>
      <c r="J36" s="6">
        <v>900</v>
      </c>
      <c r="K36" s="6">
        <v>450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60</v>
      </c>
      <c r="R36" s="4">
        <v>30634</v>
      </c>
      <c r="S36" s="6">
        <v>5</v>
      </c>
      <c r="T36" s="6">
        <v>0</v>
      </c>
      <c r="U36" s="6">
        <v>0</v>
      </c>
      <c r="V36" s="6">
        <f>IF(ISERROR(VLOOKUP($S$36,'TAR FIN'!$A$1:$O$86,15,0)),0,VLOOKUP($S$36,'TAR FIN'!$A$1:$O$86,15,0))</f>
        <v>5.65</v>
      </c>
      <c r="W36" s="6">
        <f>IF(ISERROR(VLOOKUP($T$36,'TAR FIN'!$A$1:$O$86,15,0)),0,VLOOKUP($T$36,'TAR FIN'!$A$1:$O$86,15,0))</f>
        <v>0</v>
      </c>
      <c r="X36" s="6">
        <f>IF(ISERROR(VLOOKUP($U$36,'TAR FIN'!$A$1:$O$86,15,0)),0,VLOOKUP($U$36,'TAR FIN'!$A$1:$O$86,15,0))</f>
        <v>0</v>
      </c>
      <c r="Y36" s="6">
        <f ca="1">('TUSD BE'!$AM$9+'TUSD BF'!$AM$9+'TUSD CVA'!$AM$9)*1</f>
        <v>5.5779170347181353</v>
      </c>
      <c r="Z36" s="6"/>
      <c r="AA36" s="6"/>
      <c r="AB36" s="6">
        <f>$K$36*$V$36</f>
        <v>2542.5</v>
      </c>
      <c r="AC36" s="6">
        <f>$M$36*$W$36</f>
        <v>0</v>
      </c>
      <c r="AD36" s="6">
        <f>$O$36*$X$36</f>
        <v>0</v>
      </c>
      <c r="AE36" s="6">
        <f ca="1">$K$36*$Y$36</f>
        <v>2510.0626656231607</v>
      </c>
      <c r="AF36" s="6">
        <f>$M$36*$Z$36</f>
        <v>0</v>
      </c>
      <c r="AG36" s="6">
        <f>$O$36*$AA$36</f>
        <v>0</v>
      </c>
    </row>
    <row r="37" spans="1:33" ht="11.25" customHeight="1" x14ac:dyDescent="0.25">
      <c r="A37" s="4" t="s">
        <v>21</v>
      </c>
      <c r="B37" s="4" t="s">
        <v>38</v>
      </c>
      <c r="C37" s="4" t="s">
        <v>58</v>
      </c>
      <c r="D37" s="4" t="s">
        <v>25</v>
      </c>
      <c r="E37" s="4" t="s">
        <v>25</v>
      </c>
      <c r="F37" s="4" t="s">
        <v>25</v>
      </c>
      <c r="G37" s="4" t="s">
        <v>61</v>
      </c>
      <c r="H37" s="4" t="s">
        <v>25</v>
      </c>
      <c r="I37" s="5">
        <v>44531</v>
      </c>
      <c r="J37" s="6">
        <v>780</v>
      </c>
      <c r="K37" s="6">
        <v>390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60</v>
      </c>
      <c r="R37" s="4">
        <v>2430</v>
      </c>
      <c r="S37" s="6">
        <v>5</v>
      </c>
      <c r="T37" s="6">
        <v>0</v>
      </c>
      <c r="U37" s="6">
        <v>0</v>
      </c>
      <c r="V37" s="6">
        <f>IF(ISERROR(VLOOKUP($S$37,'TAR FIN'!$A$1:$O$86,15,0)),0,VLOOKUP($S$37,'TAR FIN'!$A$1:$O$86,15,0))</f>
        <v>5.65</v>
      </c>
      <c r="W37" s="6">
        <f>IF(ISERROR(VLOOKUP($T$37,'TAR FIN'!$A$1:$O$86,15,0)),0,VLOOKUP($T$37,'TAR FIN'!$A$1:$O$86,15,0))</f>
        <v>0</v>
      </c>
      <c r="X37" s="6">
        <f>IF(ISERROR(VLOOKUP($U$37,'TAR FIN'!$A$1:$O$86,15,0)),0,VLOOKUP($U$37,'TAR FIN'!$A$1:$O$86,15,0))</f>
        <v>0</v>
      </c>
      <c r="Y37" s="6">
        <f ca="1">('TUSD BE'!$AM$9+'TUSD BF'!$AM$9+'TUSD CVA'!$AM$9)*1</f>
        <v>5.5779170347181353</v>
      </c>
      <c r="Z37" s="6"/>
      <c r="AA37" s="6"/>
      <c r="AB37" s="6">
        <f>$K$37*$V$37</f>
        <v>2203.5</v>
      </c>
      <c r="AC37" s="6">
        <f>$M$37*$W$37</f>
        <v>0</v>
      </c>
      <c r="AD37" s="6">
        <f>$O$37*$X$37</f>
        <v>0</v>
      </c>
      <c r="AE37" s="6">
        <f ca="1">$K$37*$Y$37</f>
        <v>2175.3876435400725</v>
      </c>
      <c r="AF37" s="6">
        <f>$M$37*$Z$37</f>
        <v>0</v>
      </c>
      <c r="AG37" s="6">
        <f>$O$37*$AA$37</f>
        <v>0</v>
      </c>
    </row>
    <row r="38" spans="1:33" ht="11.25" customHeight="1" x14ac:dyDescent="0.25">
      <c r="A38" s="4" t="s">
        <v>21</v>
      </c>
      <c r="B38" s="4" t="s">
        <v>38</v>
      </c>
      <c r="C38" s="4" t="s">
        <v>58</v>
      </c>
      <c r="D38" s="4" t="s">
        <v>25</v>
      </c>
      <c r="E38" s="4" t="s">
        <v>25</v>
      </c>
      <c r="F38" s="4" t="s">
        <v>25</v>
      </c>
      <c r="G38" s="4" t="s">
        <v>59</v>
      </c>
      <c r="H38" s="4" t="s">
        <v>25</v>
      </c>
      <c r="I38" s="5">
        <v>44562</v>
      </c>
      <c r="J38" s="6">
        <v>900</v>
      </c>
      <c r="K38" s="6">
        <v>450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60</v>
      </c>
      <c r="R38" s="4">
        <v>30634</v>
      </c>
      <c r="S38" s="6">
        <v>5</v>
      </c>
      <c r="T38" s="6">
        <v>0</v>
      </c>
      <c r="U38" s="6">
        <v>0</v>
      </c>
      <c r="V38" s="6">
        <f>IF(ISERROR(VLOOKUP($S$38,'TAR FIN'!$A$1:$O$86,15,0)),0,VLOOKUP($S$38,'TAR FIN'!$A$1:$O$86,15,0))</f>
        <v>5.65</v>
      </c>
      <c r="W38" s="6">
        <f>IF(ISERROR(VLOOKUP($T$38,'TAR FIN'!$A$1:$O$86,15,0)),0,VLOOKUP($T$38,'TAR FIN'!$A$1:$O$86,15,0))</f>
        <v>0</v>
      </c>
      <c r="X38" s="6">
        <f>IF(ISERROR(VLOOKUP($U$38,'TAR FIN'!$A$1:$O$86,15,0)),0,VLOOKUP($U$38,'TAR FIN'!$A$1:$O$86,15,0))</f>
        <v>0</v>
      </c>
      <c r="Y38" s="6">
        <f ca="1">('TUSD BE'!$AM$9+'TUSD BF'!$AM$9+'TUSD CVA'!$AM$9)*1</f>
        <v>5.5779170347181353</v>
      </c>
      <c r="Z38" s="6"/>
      <c r="AA38" s="6"/>
      <c r="AB38" s="6">
        <f>$K$38*$V$38</f>
        <v>2542.5</v>
      </c>
      <c r="AC38" s="6">
        <f>$M$38*$W$38</f>
        <v>0</v>
      </c>
      <c r="AD38" s="6">
        <f>$O$38*$X$38</f>
        <v>0</v>
      </c>
      <c r="AE38" s="6">
        <f ca="1">$K$38*$Y$38</f>
        <v>2510.0626656231607</v>
      </c>
      <c r="AF38" s="6">
        <f>$M$38*$Z$38</f>
        <v>0</v>
      </c>
      <c r="AG38" s="6">
        <f>$O$38*$AA$38</f>
        <v>0</v>
      </c>
    </row>
    <row r="39" spans="1:33" ht="11.25" customHeight="1" x14ac:dyDescent="0.25">
      <c r="A39" s="4" t="s">
        <v>21</v>
      </c>
      <c r="B39" s="4" t="s">
        <v>38</v>
      </c>
      <c r="C39" s="4" t="s">
        <v>58</v>
      </c>
      <c r="D39" s="4" t="s">
        <v>25</v>
      </c>
      <c r="E39" s="4" t="s">
        <v>25</v>
      </c>
      <c r="F39" s="4" t="s">
        <v>25</v>
      </c>
      <c r="G39" s="4" t="s">
        <v>61</v>
      </c>
      <c r="H39" s="4" t="s">
        <v>25</v>
      </c>
      <c r="I39" s="5">
        <v>44562</v>
      </c>
      <c r="J39" s="6">
        <v>780</v>
      </c>
      <c r="K39" s="6">
        <v>390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60</v>
      </c>
      <c r="R39" s="4">
        <v>2430</v>
      </c>
      <c r="S39" s="6">
        <v>5</v>
      </c>
      <c r="T39" s="6">
        <v>0</v>
      </c>
      <c r="U39" s="6">
        <v>0</v>
      </c>
      <c r="V39" s="6">
        <f>IF(ISERROR(VLOOKUP($S$39,'TAR FIN'!$A$1:$O$86,15,0)),0,VLOOKUP($S$39,'TAR FIN'!$A$1:$O$86,15,0))</f>
        <v>5.65</v>
      </c>
      <c r="W39" s="6">
        <f>IF(ISERROR(VLOOKUP($T$39,'TAR FIN'!$A$1:$O$86,15,0)),0,VLOOKUP($T$39,'TAR FIN'!$A$1:$O$86,15,0))</f>
        <v>0</v>
      </c>
      <c r="X39" s="6">
        <f>IF(ISERROR(VLOOKUP($U$39,'TAR FIN'!$A$1:$O$86,15,0)),0,VLOOKUP($U$39,'TAR FIN'!$A$1:$O$86,15,0))</f>
        <v>0</v>
      </c>
      <c r="Y39" s="6">
        <f ca="1">('TUSD BE'!$AM$9+'TUSD BF'!$AM$9+'TUSD CVA'!$AM$9)*1</f>
        <v>5.5779170347181353</v>
      </c>
      <c r="Z39" s="6"/>
      <c r="AA39" s="6"/>
      <c r="AB39" s="6">
        <f>$K$39*$V$39</f>
        <v>2203.5</v>
      </c>
      <c r="AC39" s="6">
        <f>$M$39*$W$39</f>
        <v>0</v>
      </c>
      <c r="AD39" s="6">
        <f>$O$39*$X$39</f>
        <v>0</v>
      </c>
      <c r="AE39" s="6">
        <f ca="1">$K$39*$Y$39</f>
        <v>2175.3876435400725</v>
      </c>
      <c r="AF39" s="6">
        <f>$M$39*$Z$39</f>
        <v>0</v>
      </c>
      <c r="AG39" s="6">
        <f>$O$39*$AA$39</f>
        <v>0</v>
      </c>
    </row>
    <row r="40" spans="1:33" ht="11.25" customHeight="1" x14ac:dyDescent="0.25">
      <c r="A40" s="4" t="s">
        <v>21</v>
      </c>
      <c r="B40" s="4" t="s">
        <v>38</v>
      </c>
      <c r="C40" s="4" t="s">
        <v>58</v>
      </c>
      <c r="D40" s="4" t="s">
        <v>25</v>
      </c>
      <c r="E40" s="4" t="s">
        <v>25</v>
      </c>
      <c r="F40" s="4" t="s">
        <v>25</v>
      </c>
      <c r="G40" s="4" t="s">
        <v>59</v>
      </c>
      <c r="H40" s="4" t="s">
        <v>25</v>
      </c>
      <c r="I40" s="5">
        <v>44593</v>
      </c>
      <c r="J40" s="6">
        <v>900</v>
      </c>
      <c r="K40" s="6">
        <v>450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60</v>
      </c>
      <c r="R40" s="4">
        <v>30634</v>
      </c>
      <c r="S40" s="6">
        <v>5</v>
      </c>
      <c r="T40" s="6">
        <v>0</v>
      </c>
      <c r="U40" s="6">
        <v>0</v>
      </c>
      <c r="V40" s="6">
        <f>IF(ISERROR(VLOOKUP($S$40,'TAR FIN'!$A$1:$O$86,15,0)),0,VLOOKUP($S$40,'TAR FIN'!$A$1:$O$86,15,0))</f>
        <v>5.65</v>
      </c>
      <c r="W40" s="6">
        <f>IF(ISERROR(VLOOKUP($T$40,'TAR FIN'!$A$1:$O$86,15,0)),0,VLOOKUP($T$40,'TAR FIN'!$A$1:$O$86,15,0))</f>
        <v>0</v>
      </c>
      <c r="X40" s="6">
        <f>IF(ISERROR(VLOOKUP($U$40,'TAR FIN'!$A$1:$O$86,15,0)),0,VLOOKUP($U$40,'TAR FIN'!$A$1:$O$86,15,0))</f>
        <v>0</v>
      </c>
      <c r="Y40" s="6">
        <f ca="1">('TUSD BE'!$AM$9+'TUSD BF'!$AM$9+'TUSD CVA'!$AM$9)*1</f>
        <v>5.5779170347181353</v>
      </c>
      <c r="Z40" s="6"/>
      <c r="AA40" s="6"/>
      <c r="AB40" s="6">
        <f>$K$40*$V$40</f>
        <v>2542.5</v>
      </c>
      <c r="AC40" s="6">
        <f>$M$40*$W$40</f>
        <v>0</v>
      </c>
      <c r="AD40" s="6">
        <f>$O$40*$X$40</f>
        <v>0</v>
      </c>
      <c r="AE40" s="6">
        <f ca="1">$K$40*$Y$40</f>
        <v>2510.0626656231607</v>
      </c>
      <c r="AF40" s="6">
        <f>$M$40*$Z$40</f>
        <v>0</v>
      </c>
      <c r="AG40" s="6">
        <f>$O$40*$AA$40</f>
        <v>0</v>
      </c>
    </row>
    <row r="41" spans="1:33" ht="11.25" customHeight="1" x14ac:dyDescent="0.25">
      <c r="A41" s="4" t="s">
        <v>21</v>
      </c>
      <c r="B41" s="4" t="s">
        <v>38</v>
      </c>
      <c r="C41" s="4" t="s">
        <v>58</v>
      </c>
      <c r="D41" s="4" t="s">
        <v>25</v>
      </c>
      <c r="E41" s="4" t="s">
        <v>25</v>
      </c>
      <c r="F41" s="4" t="s">
        <v>25</v>
      </c>
      <c r="G41" s="4" t="s">
        <v>61</v>
      </c>
      <c r="H41" s="4" t="s">
        <v>25</v>
      </c>
      <c r="I41" s="5">
        <v>44593</v>
      </c>
      <c r="J41" s="6">
        <v>780</v>
      </c>
      <c r="K41" s="6">
        <v>390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60</v>
      </c>
      <c r="R41" s="4">
        <v>2430</v>
      </c>
      <c r="S41" s="6">
        <v>5</v>
      </c>
      <c r="T41" s="6">
        <v>0</v>
      </c>
      <c r="U41" s="6">
        <v>0</v>
      </c>
      <c r="V41" s="6">
        <f>IF(ISERROR(VLOOKUP($S$41,'TAR FIN'!$A$1:$O$86,15,0)),0,VLOOKUP($S$41,'TAR FIN'!$A$1:$O$86,15,0))</f>
        <v>5.65</v>
      </c>
      <c r="W41" s="6">
        <f>IF(ISERROR(VLOOKUP($T$41,'TAR FIN'!$A$1:$O$86,15,0)),0,VLOOKUP($T$41,'TAR FIN'!$A$1:$O$86,15,0))</f>
        <v>0</v>
      </c>
      <c r="X41" s="6">
        <f>IF(ISERROR(VLOOKUP($U$41,'TAR FIN'!$A$1:$O$86,15,0)),0,VLOOKUP($U$41,'TAR FIN'!$A$1:$O$86,15,0))</f>
        <v>0</v>
      </c>
      <c r="Y41" s="6">
        <f ca="1">('TUSD BE'!$AM$9+'TUSD BF'!$AM$9+'TUSD CVA'!$AM$9)*1</f>
        <v>5.5779170347181353</v>
      </c>
      <c r="Z41" s="6"/>
      <c r="AA41" s="6"/>
      <c r="AB41" s="6">
        <f>$K$41*$V$41</f>
        <v>2203.5</v>
      </c>
      <c r="AC41" s="6">
        <f>$M$41*$W$41</f>
        <v>0</v>
      </c>
      <c r="AD41" s="6">
        <f>$O$41*$X$41</f>
        <v>0</v>
      </c>
      <c r="AE41" s="6">
        <f ca="1">$K$41*$Y$41</f>
        <v>2175.3876435400725</v>
      </c>
      <c r="AF41" s="6">
        <f>$M$41*$Z$41</f>
        <v>0</v>
      </c>
      <c r="AG41" s="6">
        <f>$O$41*$AA$41</f>
        <v>0</v>
      </c>
    </row>
    <row r="42" spans="1:33" ht="11.25" customHeight="1" x14ac:dyDescent="0.25">
      <c r="A42" s="4" t="s">
        <v>21</v>
      </c>
      <c r="B42" s="4" t="s">
        <v>38</v>
      </c>
      <c r="C42" s="4" t="s">
        <v>58</v>
      </c>
      <c r="D42" s="4" t="s">
        <v>25</v>
      </c>
      <c r="E42" s="4" t="s">
        <v>25</v>
      </c>
      <c r="F42" s="4" t="s">
        <v>25</v>
      </c>
      <c r="G42" s="4" t="s">
        <v>59</v>
      </c>
      <c r="H42" s="4" t="s">
        <v>25</v>
      </c>
      <c r="I42" s="5">
        <v>44621</v>
      </c>
      <c r="J42" s="6">
        <v>900</v>
      </c>
      <c r="K42" s="6">
        <v>450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60</v>
      </c>
      <c r="R42" s="4">
        <v>30634</v>
      </c>
      <c r="S42" s="6">
        <v>5</v>
      </c>
      <c r="T42" s="6">
        <v>0</v>
      </c>
      <c r="U42" s="6">
        <v>0</v>
      </c>
      <c r="V42" s="6">
        <f>IF(ISERROR(VLOOKUP($S$42,'TAR FIN'!$A$1:$O$86,15,0)),0,VLOOKUP($S$42,'TAR FIN'!$A$1:$O$86,15,0))</f>
        <v>5.65</v>
      </c>
      <c r="W42" s="6">
        <f>IF(ISERROR(VLOOKUP($T$42,'TAR FIN'!$A$1:$O$86,15,0)),0,VLOOKUP($T$42,'TAR FIN'!$A$1:$O$86,15,0))</f>
        <v>0</v>
      </c>
      <c r="X42" s="6">
        <f>IF(ISERROR(VLOOKUP($U$42,'TAR FIN'!$A$1:$O$86,15,0)),0,VLOOKUP($U$42,'TAR FIN'!$A$1:$O$86,15,0))</f>
        <v>0</v>
      </c>
      <c r="Y42" s="6">
        <f ca="1">('TUSD BE'!$AM$9+'TUSD BF'!$AM$9+'TUSD CVA'!$AM$9)*1</f>
        <v>5.5779170347181353</v>
      </c>
      <c r="Z42" s="6"/>
      <c r="AA42" s="6"/>
      <c r="AB42" s="6">
        <f>$K$42*$V$42</f>
        <v>2542.5</v>
      </c>
      <c r="AC42" s="6">
        <f>$M$42*$W$42</f>
        <v>0</v>
      </c>
      <c r="AD42" s="6">
        <f>$O$42*$X$42</f>
        <v>0</v>
      </c>
      <c r="AE42" s="6">
        <f ca="1">$K$42*$Y$42</f>
        <v>2510.0626656231607</v>
      </c>
      <c r="AF42" s="6">
        <f>$M$42*$Z$42</f>
        <v>0</v>
      </c>
      <c r="AG42" s="6">
        <f>$O$42*$AA$42</f>
        <v>0</v>
      </c>
    </row>
    <row r="43" spans="1:33" ht="11.25" customHeight="1" x14ac:dyDescent="0.25">
      <c r="A43" s="4" t="s">
        <v>21</v>
      </c>
      <c r="B43" s="4" t="s">
        <v>38</v>
      </c>
      <c r="C43" s="4" t="s">
        <v>58</v>
      </c>
      <c r="D43" s="4" t="s">
        <v>25</v>
      </c>
      <c r="E43" s="4" t="s">
        <v>25</v>
      </c>
      <c r="F43" s="4" t="s">
        <v>25</v>
      </c>
      <c r="G43" s="4" t="s">
        <v>61</v>
      </c>
      <c r="H43" s="4" t="s">
        <v>25</v>
      </c>
      <c r="I43" s="5">
        <v>44621</v>
      </c>
      <c r="J43" s="6">
        <v>780</v>
      </c>
      <c r="K43" s="6">
        <v>390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60</v>
      </c>
      <c r="R43" s="4">
        <v>2430</v>
      </c>
      <c r="S43" s="6">
        <v>5</v>
      </c>
      <c r="T43" s="6">
        <v>0</v>
      </c>
      <c r="U43" s="6">
        <v>0</v>
      </c>
      <c r="V43" s="6">
        <f>IF(ISERROR(VLOOKUP($S$43,'TAR FIN'!$A$1:$O$86,15,0)),0,VLOOKUP($S$43,'TAR FIN'!$A$1:$O$86,15,0))</f>
        <v>5.65</v>
      </c>
      <c r="W43" s="6">
        <f>IF(ISERROR(VLOOKUP($T$43,'TAR FIN'!$A$1:$O$86,15,0)),0,VLOOKUP($T$43,'TAR FIN'!$A$1:$O$86,15,0))</f>
        <v>0</v>
      </c>
      <c r="X43" s="6">
        <f>IF(ISERROR(VLOOKUP($U$43,'TAR FIN'!$A$1:$O$86,15,0)),0,VLOOKUP($U$43,'TAR FIN'!$A$1:$O$86,15,0))</f>
        <v>0</v>
      </c>
      <c r="Y43" s="6">
        <f ca="1">('TUSD BE'!$AM$9+'TUSD BF'!$AM$9+'TUSD CVA'!$AM$9)*1</f>
        <v>5.5779170347181353</v>
      </c>
      <c r="Z43" s="6"/>
      <c r="AA43" s="6"/>
      <c r="AB43" s="6">
        <f>$K$43*$V$43</f>
        <v>2203.5</v>
      </c>
      <c r="AC43" s="6">
        <f>$M$43*$W$43</f>
        <v>0</v>
      </c>
      <c r="AD43" s="6">
        <f>$O$43*$X$43</f>
        <v>0</v>
      </c>
      <c r="AE43" s="6">
        <f ca="1">$K$43*$Y$43</f>
        <v>2175.3876435400725</v>
      </c>
      <c r="AF43" s="6">
        <f>$M$43*$Z$43</f>
        <v>0</v>
      </c>
      <c r="AG43" s="6">
        <f>$O$43*$AA$43</f>
        <v>0</v>
      </c>
    </row>
    <row r="44" spans="1:33" ht="11.25" customHeight="1" x14ac:dyDescent="0.25">
      <c r="A44" s="4" t="s">
        <v>21</v>
      </c>
      <c r="B44" s="4" t="s">
        <v>38</v>
      </c>
      <c r="C44" s="4" t="s">
        <v>58</v>
      </c>
      <c r="D44" s="4" t="s">
        <v>25</v>
      </c>
      <c r="E44" s="4" t="s">
        <v>25</v>
      </c>
      <c r="F44" s="4" t="s">
        <v>25</v>
      </c>
      <c r="G44" s="4" t="s">
        <v>59</v>
      </c>
      <c r="H44" s="4" t="s">
        <v>25</v>
      </c>
      <c r="I44" s="5">
        <v>44652</v>
      </c>
      <c r="J44" s="6">
        <v>945</v>
      </c>
      <c r="K44" s="6">
        <v>472.5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60</v>
      </c>
      <c r="R44" s="4">
        <v>30634</v>
      </c>
      <c r="S44" s="6">
        <v>5</v>
      </c>
      <c r="T44" s="6">
        <v>0</v>
      </c>
      <c r="U44" s="6">
        <v>0</v>
      </c>
      <c r="V44" s="6">
        <f>IF(ISERROR(VLOOKUP($S$44,'TAR FIN'!$A$1:$O$86,15,0)),0,VLOOKUP($S$44,'TAR FIN'!$A$1:$O$86,15,0))</f>
        <v>5.65</v>
      </c>
      <c r="W44" s="6">
        <f>IF(ISERROR(VLOOKUP($T$44,'TAR FIN'!$A$1:$O$86,15,0)),0,VLOOKUP($T$44,'TAR FIN'!$A$1:$O$86,15,0))</f>
        <v>0</v>
      </c>
      <c r="X44" s="6">
        <f>IF(ISERROR(VLOOKUP($U$44,'TAR FIN'!$A$1:$O$86,15,0)),0,VLOOKUP($U$44,'TAR FIN'!$A$1:$O$86,15,0))</f>
        <v>0</v>
      </c>
      <c r="Y44" s="6">
        <f ca="1">('TUSD BE'!$AM$9+'TUSD BF'!$AM$9+'TUSD CVA'!$AM$9)*1</f>
        <v>5.5779170347181353</v>
      </c>
      <c r="Z44" s="6"/>
      <c r="AA44" s="6"/>
      <c r="AB44" s="6">
        <f>$K$44*$V$44</f>
        <v>2669.625</v>
      </c>
      <c r="AC44" s="6">
        <f>$M$44*$W$44</f>
        <v>0</v>
      </c>
      <c r="AD44" s="6">
        <f>$O$44*$X$44</f>
        <v>0</v>
      </c>
      <c r="AE44" s="6">
        <f ca="1">$K$44*$Y$44</f>
        <v>2635.5657989043189</v>
      </c>
      <c r="AF44" s="6">
        <f>$M$44*$Z$44</f>
        <v>0</v>
      </c>
      <c r="AG44" s="6">
        <f>$O$44*$AA$44</f>
        <v>0</v>
      </c>
    </row>
    <row r="45" spans="1:33" ht="11.25" customHeight="1" x14ac:dyDescent="0.25">
      <c r="A45" s="4" t="s">
        <v>21</v>
      </c>
      <c r="B45" s="4" t="s">
        <v>38</v>
      </c>
      <c r="C45" s="4" t="s">
        <v>58</v>
      </c>
      <c r="D45" s="4" t="s">
        <v>25</v>
      </c>
      <c r="E45" s="4" t="s">
        <v>25</v>
      </c>
      <c r="F45" s="4" t="s">
        <v>25</v>
      </c>
      <c r="G45" s="4" t="s">
        <v>61</v>
      </c>
      <c r="H45" s="4" t="s">
        <v>25</v>
      </c>
      <c r="I45" s="5">
        <v>44652</v>
      </c>
      <c r="J45" s="6">
        <v>780</v>
      </c>
      <c r="K45" s="6">
        <v>390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60</v>
      </c>
      <c r="R45" s="4">
        <v>2430</v>
      </c>
      <c r="S45" s="6">
        <v>5</v>
      </c>
      <c r="T45" s="6">
        <v>0</v>
      </c>
      <c r="U45" s="6">
        <v>0</v>
      </c>
      <c r="V45" s="6">
        <f>IF(ISERROR(VLOOKUP($S$45,'TAR FIN'!$A$1:$O$86,15,0)),0,VLOOKUP($S$45,'TAR FIN'!$A$1:$O$86,15,0))</f>
        <v>5.65</v>
      </c>
      <c r="W45" s="6">
        <f>IF(ISERROR(VLOOKUP($T$45,'TAR FIN'!$A$1:$O$86,15,0)),0,VLOOKUP($T$45,'TAR FIN'!$A$1:$O$86,15,0))</f>
        <v>0</v>
      </c>
      <c r="X45" s="6">
        <f>IF(ISERROR(VLOOKUP($U$45,'TAR FIN'!$A$1:$O$86,15,0)),0,VLOOKUP($U$45,'TAR FIN'!$A$1:$O$86,15,0))</f>
        <v>0</v>
      </c>
      <c r="Y45" s="6">
        <f ca="1">('TUSD BE'!$AM$9+'TUSD BF'!$AM$9+'TUSD CVA'!$AM$9)*1</f>
        <v>5.5779170347181353</v>
      </c>
      <c r="Z45" s="6"/>
      <c r="AA45" s="6"/>
      <c r="AB45" s="6">
        <f>$K$45*$V$45</f>
        <v>2203.5</v>
      </c>
      <c r="AC45" s="6">
        <f>$M$45*$W$45</f>
        <v>0</v>
      </c>
      <c r="AD45" s="6">
        <f>$O$45*$X$45</f>
        <v>0</v>
      </c>
      <c r="AE45" s="6">
        <f ca="1">$K$45*$Y$45</f>
        <v>2175.3876435400725</v>
      </c>
      <c r="AF45" s="6">
        <f>$M$45*$Z$45</f>
        <v>0</v>
      </c>
      <c r="AG45" s="6">
        <f>$O$45*$AA$45</f>
        <v>0</v>
      </c>
    </row>
    <row r="46" spans="1:33" ht="11.25" customHeight="1" x14ac:dyDescent="0.25">
      <c r="A46" s="4" t="s">
        <v>21</v>
      </c>
      <c r="B46" s="4" t="s">
        <v>38</v>
      </c>
      <c r="C46" s="4" t="s">
        <v>58</v>
      </c>
      <c r="D46" s="4" t="s">
        <v>25</v>
      </c>
      <c r="E46" s="4" t="s">
        <v>25</v>
      </c>
      <c r="F46" s="4" t="s">
        <v>25</v>
      </c>
      <c r="G46" s="4" t="s">
        <v>59</v>
      </c>
      <c r="H46" s="4" t="s">
        <v>25</v>
      </c>
      <c r="I46" s="5">
        <v>44682</v>
      </c>
      <c r="J46" s="6">
        <v>1075</v>
      </c>
      <c r="K46" s="6">
        <v>537.5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60</v>
      </c>
      <c r="R46" s="4">
        <v>30634</v>
      </c>
      <c r="S46" s="6">
        <v>5</v>
      </c>
      <c r="T46" s="6">
        <v>0</v>
      </c>
      <c r="U46" s="6">
        <v>0</v>
      </c>
      <c r="V46" s="6">
        <f>IF(ISERROR(VLOOKUP($S$46,'TAR FIN'!$A$1:$O$86,15,0)),0,VLOOKUP($S$46,'TAR FIN'!$A$1:$O$86,15,0))</f>
        <v>5.65</v>
      </c>
      <c r="W46" s="6">
        <f>IF(ISERROR(VLOOKUP($T$46,'TAR FIN'!$A$1:$O$86,15,0)),0,VLOOKUP($T$46,'TAR FIN'!$A$1:$O$86,15,0))</f>
        <v>0</v>
      </c>
      <c r="X46" s="6">
        <f>IF(ISERROR(VLOOKUP($U$46,'TAR FIN'!$A$1:$O$86,15,0)),0,VLOOKUP($U$46,'TAR FIN'!$A$1:$O$86,15,0))</f>
        <v>0</v>
      </c>
      <c r="Y46" s="6">
        <f ca="1">('TUSD BE'!$AM$9+'TUSD BF'!$AM$9+'TUSD CVA'!$AM$9)*1</f>
        <v>5.5779170347181353</v>
      </c>
      <c r="Z46" s="6"/>
      <c r="AA46" s="6"/>
      <c r="AB46" s="6">
        <f>$K$46*$V$46</f>
        <v>3036.875</v>
      </c>
      <c r="AC46" s="6">
        <f>$M$46*$W$46</f>
        <v>0</v>
      </c>
      <c r="AD46" s="6">
        <f>$O$46*$X$46</f>
        <v>0</v>
      </c>
      <c r="AE46" s="6">
        <f ca="1">$K$46*$Y$46</f>
        <v>2998.1304061609976</v>
      </c>
      <c r="AF46" s="6">
        <f>$M$46*$Z$46</f>
        <v>0</v>
      </c>
      <c r="AG46" s="6">
        <f>$O$46*$AA$46</f>
        <v>0</v>
      </c>
    </row>
    <row r="47" spans="1:33" ht="11.25" customHeight="1" x14ac:dyDescent="0.25">
      <c r="A47" s="4" t="s">
        <v>21</v>
      </c>
      <c r="B47" s="4" t="s">
        <v>38</v>
      </c>
      <c r="C47" s="4" t="s">
        <v>58</v>
      </c>
      <c r="D47" s="4" t="s">
        <v>25</v>
      </c>
      <c r="E47" s="4" t="s">
        <v>25</v>
      </c>
      <c r="F47" s="4" t="s">
        <v>25</v>
      </c>
      <c r="G47" s="4" t="s">
        <v>61</v>
      </c>
      <c r="H47" s="4" t="s">
        <v>25</v>
      </c>
      <c r="I47" s="5">
        <v>44682</v>
      </c>
      <c r="J47" s="6">
        <v>780</v>
      </c>
      <c r="K47" s="6">
        <v>390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60</v>
      </c>
      <c r="R47" s="4">
        <v>2430</v>
      </c>
      <c r="S47" s="6">
        <v>5</v>
      </c>
      <c r="T47" s="6">
        <v>0</v>
      </c>
      <c r="U47" s="6">
        <v>0</v>
      </c>
      <c r="V47" s="6">
        <f>IF(ISERROR(VLOOKUP($S$47,'TAR FIN'!$A$1:$O$86,15,0)),0,VLOOKUP($S$47,'TAR FIN'!$A$1:$O$86,15,0))</f>
        <v>5.65</v>
      </c>
      <c r="W47" s="6">
        <f>IF(ISERROR(VLOOKUP($T$47,'TAR FIN'!$A$1:$O$86,15,0)),0,VLOOKUP($T$47,'TAR FIN'!$A$1:$O$86,15,0))</f>
        <v>0</v>
      </c>
      <c r="X47" s="6">
        <f>IF(ISERROR(VLOOKUP($U$47,'TAR FIN'!$A$1:$O$86,15,0)),0,VLOOKUP($U$47,'TAR FIN'!$A$1:$O$86,15,0))</f>
        <v>0</v>
      </c>
      <c r="Y47" s="6">
        <f ca="1">('TUSD BE'!$AM$9+'TUSD BF'!$AM$9+'TUSD CVA'!$AM$9)*1</f>
        <v>5.5779170347181353</v>
      </c>
      <c r="Z47" s="6"/>
      <c r="AA47" s="6"/>
      <c r="AB47" s="6">
        <f>$K$47*$V$47</f>
        <v>2203.5</v>
      </c>
      <c r="AC47" s="6">
        <f>$M$47*$W$47</f>
        <v>0</v>
      </c>
      <c r="AD47" s="6">
        <f>$O$47*$X$47</f>
        <v>0</v>
      </c>
      <c r="AE47" s="6">
        <f ca="1">$K$47*$Y$47</f>
        <v>2175.3876435400725</v>
      </c>
      <c r="AF47" s="6">
        <f>$M$47*$Z$47</f>
        <v>0</v>
      </c>
      <c r="AG47" s="6">
        <f>$O$47*$AA$47</f>
        <v>0</v>
      </c>
    </row>
    <row r="48" spans="1:33" ht="11.25" customHeight="1" x14ac:dyDescent="0.25">
      <c r="A48" s="4" t="s">
        <v>55</v>
      </c>
      <c r="B48" s="4" t="s">
        <v>38</v>
      </c>
      <c r="C48" s="4" t="s">
        <v>58</v>
      </c>
      <c r="D48" s="4" t="s">
        <v>25</v>
      </c>
      <c r="E48" s="4" t="s">
        <v>25</v>
      </c>
      <c r="F48" s="4" t="s">
        <v>25</v>
      </c>
      <c r="G48" s="4" t="s">
        <v>59</v>
      </c>
      <c r="H48" s="4" t="s">
        <v>25</v>
      </c>
      <c r="I48" s="5">
        <v>44713</v>
      </c>
      <c r="J48" s="6">
        <v>1075</v>
      </c>
      <c r="K48" s="6">
        <v>537.5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60</v>
      </c>
      <c r="R48" s="4">
        <v>30634</v>
      </c>
      <c r="S48" s="6">
        <v>5</v>
      </c>
      <c r="T48" s="6">
        <v>0</v>
      </c>
      <c r="U48" s="6">
        <v>0</v>
      </c>
      <c r="V48" s="6">
        <f>IF(ISERROR(VLOOKUP($S$48,'TAR FIN'!$A$1:$O$86,15,0)),0,VLOOKUP($S$48,'TAR FIN'!$A$1:$O$86,15,0))</f>
        <v>5.65</v>
      </c>
      <c r="W48" s="6">
        <f>IF(ISERROR(VLOOKUP($T$48,'TAR FIN'!$A$1:$O$86,15,0)),0,VLOOKUP($T$48,'TAR FIN'!$A$1:$O$86,15,0))</f>
        <v>0</v>
      </c>
      <c r="X48" s="6">
        <f>IF(ISERROR(VLOOKUP($U$48,'TAR FIN'!$A$1:$O$86,15,0)),0,VLOOKUP($U$48,'TAR FIN'!$A$1:$O$86,15,0))</f>
        <v>0</v>
      </c>
      <c r="Y48" s="6">
        <f ca="1">('TUSD BE'!$AM$9+'TUSD BF'!$AM$9+'TUSD CVA'!$AM$9)*1</f>
        <v>5.5779170347181353</v>
      </c>
      <c r="Z48" s="6"/>
      <c r="AA48" s="6"/>
      <c r="AB48" s="6">
        <f>$K$48*$V$48</f>
        <v>3036.875</v>
      </c>
      <c r="AC48" s="6">
        <f>$M$48*$W$48</f>
        <v>0</v>
      </c>
      <c r="AD48" s="6">
        <f>$O$48*$X$48</f>
        <v>0</v>
      </c>
      <c r="AE48" s="6">
        <f ca="1">$K$48*$Y$48</f>
        <v>2998.1304061609976</v>
      </c>
      <c r="AF48" s="6">
        <f>$M$48*$Z$48</f>
        <v>0</v>
      </c>
      <c r="AG48" s="6">
        <f>$O$48*$AA$48</f>
        <v>0</v>
      </c>
    </row>
    <row r="49" spans="1:33" ht="11.25" customHeight="1" x14ac:dyDescent="0.25">
      <c r="A49" s="4" t="s">
        <v>55</v>
      </c>
      <c r="B49" s="4" t="s">
        <v>38</v>
      </c>
      <c r="C49" s="4" t="s">
        <v>58</v>
      </c>
      <c r="D49" s="4" t="s">
        <v>25</v>
      </c>
      <c r="E49" s="4" t="s">
        <v>25</v>
      </c>
      <c r="F49" s="4" t="s">
        <v>25</v>
      </c>
      <c r="G49" s="4" t="s">
        <v>61</v>
      </c>
      <c r="H49" s="4" t="s">
        <v>25</v>
      </c>
      <c r="I49" s="5">
        <v>44713</v>
      </c>
      <c r="J49" s="6">
        <v>780</v>
      </c>
      <c r="K49" s="6">
        <v>390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60</v>
      </c>
      <c r="R49" s="4">
        <v>2430</v>
      </c>
      <c r="S49" s="6">
        <v>5</v>
      </c>
      <c r="T49" s="6">
        <v>0</v>
      </c>
      <c r="U49" s="6">
        <v>0</v>
      </c>
      <c r="V49" s="6">
        <f>IF(ISERROR(VLOOKUP($S$49,'TAR FIN'!$A$1:$O$86,15,0)),0,VLOOKUP($S$49,'TAR FIN'!$A$1:$O$86,15,0))</f>
        <v>5.65</v>
      </c>
      <c r="W49" s="6">
        <f>IF(ISERROR(VLOOKUP($T$49,'TAR FIN'!$A$1:$O$86,15,0)),0,VLOOKUP($T$49,'TAR FIN'!$A$1:$O$86,15,0))</f>
        <v>0</v>
      </c>
      <c r="X49" s="6">
        <f>IF(ISERROR(VLOOKUP($U$49,'TAR FIN'!$A$1:$O$86,15,0)),0,VLOOKUP($U$49,'TAR FIN'!$A$1:$O$86,15,0))</f>
        <v>0</v>
      </c>
      <c r="Y49" s="6">
        <f ca="1">('TUSD BE'!$AM$9+'TUSD BF'!$AM$9+'TUSD CVA'!$AM$9)*1</f>
        <v>5.5779170347181353</v>
      </c>
      <c r="Z49" s="6"/>
      <c r="AA49" s="6"/>
      <c r="AB49" s="6">
        <f>$K$49*$V$49</f>
        <v>2203.5</v>
      </c>
      <c r="AC49" s="6">
        <f>$M$49*$W$49</f>
        <v>0</v>
      </c>
      <c r="AD49" s="6">
        <f>$O$49*$X$49</f>
        <v>0</v>
      </c>
      <c r="AE49" s="6">
        <f ca="1">$K$49*$Y$49</f>
        <v>2175.3876435400725</v>
      </c>
      <c r="AF49" s="6">
        <f>$M$49*$Z$49</f>
        <v>0</v>
      </c>
      <c r="AG49" s="6">
        <f>$O$49*$AA$49</f>
        <v>0</v>
      </c>
    </row>
    <row r="50" spans="1:33" ht="11.25" customHeight="1" x14ac:dyDescent="0.25">
      <c r="A50" s="4" t="s">
        <v>21</v>
      </c>
      <c r="B50" s="4" t="s">
        <v>38</v>
      </c>
      <c r="C50" s="4" t="s">
        <v>39</v>
      </c>
      <c r="D50" s="4" t="s">
        <v>40</v>
      </c>
      <c r="E50" s="4" t="s">
        <v>25</v>
      </c>
      <c r="F50" s="4" t="s">
        <v>25</v>
      </c>
      <c r="G50" s="4" t="s">
        <v>25</v>
      </c>
      <c r="H50" s="4" t="s">
        <v>34</v>
      </c>
      <c r="I50" s="5">
        <v>44378</v>
      </c>
      <c r="J50" s="6">
        <v>0</v>
      </c>
      <c r="K50" s="6">
        <v>0</v>
      </c>
      <c r="L50" s="6">
        <v>99.381</v>
      </c>
      <c r="M50" s="6">
        <v>99.381</v>
      </c>
      <c r="N50" s="6">
        <v>99.381</v>
      </c>
      <c r="O50" s="6">
        <v>99.381</v>
      </c>
      <c r="P50" s="6">
        <v>0</v>
      </c>
      <c r="Q50" s="4" t="s">
        <v>26</v>
      </c>
      <c r="R50" s="4">
        <v>0</v>
      </c>
      <c r="S50" s="6">
        <v>0</v>
      </c>
      <c r="T50" s="6">
        <v>17</v>
      </c>
      <c r="U50" s="6">
        <v>78</v>
      </c>
      <c r="V50" s="6">
        <f>IF(ISERROR(VLOOKUP($S$50,'TAR FIN'!$A$1:$O$86,15,0)),0,VLOOKUP($S$50,'TAR FIN'!$A$1:$O$86,15,0))</f>
        <v>0</v>
      </c>
      <c r="W50" s="6">
        <f>IF(ISERROR(VLOOKUP($T$50,'TAR FIN'!$A$1:$O$86,15,0)),0,VLOOKUP($T$50,'TAR FIN'!$A$1:$O$86,15,0))</f>
        <v>71.260000000000005</v>
      </c>
      <c r="X50" s="6">
        <f>IF(ISERROR(VLOOKUP($U$50,'TAR FIN'!$A$1:$O$86,15,0)),0,VLOOKUP($U$50,'TAR FIN'!$A$1:$O$86,15,0))</f>
        <v>297.31</v>
      </c>
      <c r="Y50" s="6"/>
      <c r="Z50" s="6">
        <f ca="1">('TUSD BE'!$AM$12+'TUSD BF'!$AM$12+'TUSD CVA'!$AM$12)*1</f>
        <v>95.815448102611441</v>
      </c>
      <c r="AA50" s="6">
        <f>('TE BE'!$AB$6+'TE BF'!$AB$6+'TE CVA'!$AB$6)*1</f>
        <v>235.33989117487977</v>
      </c>
      <c r="AB50" s="6">
        <f>$K$50*$V$50</f>
        <v>0</v>
      </c>
      <c r="AC50" s="6">
        <f>$M$50*$W$50</f>
        <v>7081.8900600000006</v>
      </c>
      <c r="AD50" s="6">
        <f>$O$50*$X$50</f>
        <v>29546.965110000001</v>
      </c>
      <c r="AE50" s="6">
        <f>$K$50*$Y$50</f>
        <v>0</v>
      </c>
      <c r="AF50" s="6">
        <f ca="1">$M$50*$Z$50</f>
        <v>9522.2350478856279</v>
      </c>
      <c r="AG50" s="6">
        <f>$O$50*$AA$50</f>
        <v>23388.313724850726</v>
      </c>
    </row>
    <row r="51" spans="1:33" ht="11.25" customHeight="1" x14ac:dyDescent="0.25">
      <c r="A51" s="4" t="s">
        <v>27</v>
      </c>
      <c r="B51" s="4" t="s">
        <v>38</v>
      </c>
      <c r="C51" s="4" t="s">
        <v>39</v>
      </c>
      <c r="D51" s="4" t="s">
        <v>40</v>
      </c>
      <c r="E51" s="4" t="s">
        <v>25</v>
      </c>
      <c r="F51" s="4" t="s">
        <v>25</v>
      </c>
      <c r="G51" s="4" t="s">
        <v>25</v>
      </c>
      <c r="H51" s="4" t="s">
        <v>34</v>
      </c>
      <c r="I51" s="5">
        <v>44378</v>
      </c>
      <c r="J51" s="6">
        <v>0</v>
      </c>
      <c r="K51" s="6">
        <v>0</v>
      </c>
      <c r="L51" s="6">
        <v>105.495</v>
      </c>
      <c r="M51" s="6">
        <v>105.495</v>
      </c>
      <c r="N51" s="6">
        <v>105.495</v>
      </c>
      <c r="O51" s="6">
        <v>105.495</v>
      </c>
      <c r="P51" s="6">
        <v>0</v>
      </c>
      <c r="Q51" s="4" t="s">
        <v>26</v>
      </c>
      <c r="R51" s="4">
        <v>0</v>
      </c>
      <c r="S51" s="6">
        <v>0</v>
      </c>
      <c r="T51" s="6">
        <v>17</v>
      </c>
      <c r="U51" s="6">
        <v>78</v>
      </c>
      <c r="V51" s="6">
        <f>IF(ISERROR(VLOOKUP($S$51,'TAR FIN'!$A$1:$O$86,15,0)),0,VLOOKUP($S$51,'TAR FIN'!$A$1:$O$86,15,0))</f>
        <v>0</v>
      </c>
      <c r="W51" s="6">
        <f>IF(ISERROR(VLOOKUP($T$51,'TAR FIN'!$A$1:$O$86,15,0)),0,VLOOKUP($T$51,'TAR FIN'!$A$1:$O$86,15,0))</f>
        <v>71.260000000000005</v>
      </c>
      <c r="X51" s="6">
        <f>IF(ISERROR(VLOOKUP($U$51,'TAR FIN'!$A$1:$O$86,15,0)),0,VLOOKUP($U$51,'TAR FIN'!$A$1:$O$86,15,0))</f>
        <v>297.31</v>
      </c>
      <c r="Y51" s="6"/>
      <c r="Z51" s="6">
        <f ca="1">('TUSD BE'!$AM$12+'TUSD BF'!$AM$12+'TUSD CVA'!$AM$12)*1</f>
        <v>95.815448102611441</v>
      </c>
      <c r="AA51" s="6">
        <f>('TE BE'!$AB$6+'TE BF'!$AB$6+'TE CVA'!$AB$6)*1</f>
        <v>235.33989117487977</v>
      </c>
      <c r="AB51" s="6">
        <f>$K$51*$V$51</f>
        <v>0</v>
      </c>
      <c r="AC51" s="6">
        <f>$M$51*$W$51</f>
        <v>7517.5737000000008</v>
      </c>
      <c r="AD51" s="6">
        <f>$O$51*$X$51</f>
        <v>31364.71845</v>
      </c>
      <c r="AE51" s="6">
        <f>$K$51*$Y$51</f>
        <v>0</v>
      </c>
      <c r="AF51" s="6">
        <f ca="1">$M$51*$Z$51</f>
        <v>10108.050697584995</v>
      </c>
      <c r="AG51" s="6">
        <f>$O$51*$AA$51</f>
        <v>24827.181819493941</v>
      </c>
    </row>
    <row r="52" spans="1:33" ht="11.25" customHeight="1" x14ac:dyDescent="0.25">
      <c r="A52" s="4" t="s">
        <v>21</v>
      </c>
      <c r="B52" s="4" t="s">
        <v>38</v>
      </c>
      <c r="C52" s="4" t="s">
        <v>39</v>
      </c>
      <c r="D52" s="4" t="s">
        <v>40</v>
      </c>
      <c r="E52" s="4" t="s">
        <v>25</v>
      </c>
      <c r="F52" s="4" t="s">
        <v>25</v>
      </c>
      <c r="G52" s="4" t="s">
        <v>25</v>
      </c>
      <c r="H52" s="4" t="s">
        <v>34</v>
      </c>
      <c r="I52" s="5">
        <v>44409</v>
      </c>
      <c r="J52" s="6">
        <v>0</v>
      </c>
      <c r="K52" s="6">
        <v>0</v>
      </c>
      <c r="L52" s="6">
        <v>158.95400000000001</v>
      </c>
      <c r="M52" s="6">
        <v>158.95400000000001</v>
      </c>
      <c r="N52" s="6">
        <v>158.95400000000001</v>
      </c>
      <c r="O52" s="6">
        <v>158.95400000000001</v>
      </c>
      <c r="P52" s="6">
        <v>0</v>
      </c>
      <c r="Q52" s="4" t="s">
        <v>26</v>
      </c>
      <c r="R52" s="4">
        <v>0</v>
      </c>
      <c r="S52" s="6">
        <v>0</v>
      </c>
      <c r="T52" s="6">
        <v>17</v>
      </c>
      <c r="U52" s="6">
        <v>78</v>
      </c>
      <c r="V52" s="6">
        <f>IF(ISERROR(VLOOKUP($S$52,'TAR FIN'!$A$1:$O$86,15,0)),0,VLOOKUP($S$52,'TAR FIN'!$A$1:$O$86,15,0))</f>
        <v>0</v>
      </c>
      <c r="W52" s="6">
        <f>IF(ISERROR(VLOOKUP($T$52,'TAR FIN'!$A$1:$O$86,15,0)),0,VLOOKUP($T$52,'TAR FIN'!$A$1:$O$86,15,0))</f>
        <v>71.260000000000005</v>
      </c>
      <c r="X52" s="6">
        <f>IF(ISERROR(VLOOKUP($U$52,'TAR FIN'!$A$1:$O$86,15,0)),0,VLOOKUP($U$52,'TAR FIN'!$A$1:$O$86,15,0))</f>
        <v>297.31</v>
      </c>
      <c r="Y52" s="6"/>
      <c r="Z52" s="6">
        <f ca="1">('TUSD BE'!$AM$12+'TUSD BF'!$AM$12+'TUSD CVA'!$AM$12)*1</f>
        <v>95.815448102611441</v>
      </c>
      <c r="AA52" s="6">
        <f>('TE BE'!$AB$6+'TE BF'!$AB$6+'TE CVA'!$AB$6)*1</f>
        <v>235.33989117487977</v>
      </c>
      <c r="AB52" s="6">
        <f>$K$52*$V$52</f>
        <v>0</v>
      </c>
      <c r="AC52" s="6">
        <f>$M$52*$W$52</f>
        <v>11327.062040000001</v>
      </c>
      <c r="AD52" s="6">
        <f>$O$52*$X$52</f>
        <v>47258.613740000001</v>
      </c>
      <c r="AE52" s="6">
        <f>$K$52*$Y$52</f>
        <v>0</v>
      </c>
      <c r="AF52" s="6">
        <f ca="1">$M$52*$Z$52</f>
        <v>15230.248737702499</v>
      </c>
      <c r="AG52" s="6">
        <f>$O$52*$AA$52</f>
        <v>37408.21706181184</v>
      </c>
    </row>
    <row r="53" spans="1:33" ht="11.25" customHeight="1" x14ac:dyDescent="0.25">
      <c r="A53" s="4" t="s">
        <v>27</v>
      </c>
      <c r="B53" s="4" t="s">
        <v>38</v>
      </c>
      <c r="C53" s="4" t="s">
        <v>39</v>
      </c>
      <c r="D53" s="4" t="s">
        <v>40</v>
      </c>
      <c r="E53" s="4" t="s">
        <v>25</v>
      </c>
      <c r="F53" s="4" t="s">
        <v>25</v>
      </c>
      <c r="G53" s="4" t="s">
        <v>25</v>
      </c>
      <c r="H53" s="4" t="s">
        <v>34</v>
      </c>
      <c r="I53" s="5">
        <v>44409</v>
      </c>
      <c r="J53" s="6">
        <v>0</v>
      </c>
      <c r="K53" s="6">
        <v>0</v>
      </c>
      <c r="L53" s="6">
        <v>101.03700000000001</v>
      </c>
      <c r="M53" s="6">
        <v>101.03700000000001</v>
      </c>
      <c r="N53" s="6">
        <v>101.03700000000001</v>
      </c>
      <c r="O53" s="6">
        <v>101.03700000000001</v>
      </c>
      <c r="P53" s="6">
        <v>0</v>
      </c>
      <c r="Q53" s="4" t="s">
        <v>26</v>
      </c>
      <c r="R53" s="4">
        <v>0</v>
      </c>
      <c r="S53" s="6">
        <v>0</v>
      </c>
      <c r="T53" s="6">
        <v>17</v>
      </c>
      <c r="U53" s="6">
        <v>78</v>
      </c>
      <c r="V53" s="6">
        <f>IF(ISERROR(VLOOKUP($S$53,'TAR FIN'!$A$1:$O$86,15,0)),0,VLOOKUP($S$53,'TAR FIN'!$A$1:$O$86,15,0))</f>
        <v>0</v>
      </c>
      <c r="W53" s="6">
        <f>IF(ISERROR(VLOOKUP($T$53,'TAR FIN'!$A$1:$O$86,15,0)),0,VLOOKUP($T$53,'TAR FIN'!$A$1:$O$86,15,0))</f>
        <v>71.260000000000005</v>
      </c>
      <c r="X53" s="6">
        <f>IF(ISERROR(VLOOKUP($U$53,'TAR FIN'!$A$1:$O$86,15,0)),0,VLOOKUP($U$53,'TAR FIN'!$A$1:$O$86,15,0))</f>
        <v>297.31</v>
      </c>
      <c r="Y53" s="6"/>
      <c r="Z53" s="6">
        <f ca="1">('TUSD BE'!$AM$12+'TUSD BF'!$AM$12+'TUSD CVA'!$AM$12)*1</f>
        <v>95.815448102611441</v>
      </c>
      <c r="AA53" s="6">
        <f>('TE BE'!$AB$6+'TE BF'!$AB$6+'TE CVA'!$AB$6)*1</f>
        <v>235.33989117487977</v>
      </c>
      <c r="AB53" s="6">
        <f>$K$53*$V$53</f>
        <v>0</v>
      </c>
      <c r="AC53" s="6">
        <f>$M$53*$W$53</f>
        <v>7199.8966200000013</v>
      </c>
      <c r="AD53" s="6">
        <f>$O$53*$X$53</f>
        <v>30039.31047</v>
      </c>
      <c r="AE53" s="6">
        <f>$K$53*$Y$53</f>
        <v>0</v>
      </c>
      <c r="AF53" s="6">
        <f ca="1">$M$53*$Z$53</f>
        <v>9680.905429943552</v>
      </c>
      <c r="AG53" s="6">
        <f>$O$53*$AA$53</f>
        <v>23778.036584636327</v>
      </c>
    </row>
    <row r="54" spans="1:33" ht="11.25" customHeight="1" x14ac:dyDescent="0.25">
      <c r="A54" s="4" t="s">
        <v>21</v>
      </c>
      <c r="B54" s="4" t="s">
        <v>38</v>
      </c>
      <c r="C54" s="4" t="s">
        <v>39</v>
      </c>
      <c r="D54" s="4" t="s">
        <v>40</v>
      </c>
      <c r="E54" s="4" t="s">
        <v>25</v>
      </c>
      <c r="F54" s="4" t="s">
        <v>25</v>
      </c>
      <c r="G54" s="4" t="s">
        <v>25</v>
      </c>
      <c r="H54" s="4" t="s">
        <v>34</v>
      </c>
      <c r="I54" s="5">
        <v>44440</v>
      </c>
      <c r="J54" s="6">
        <v>0</v>
      </c>
      <c r="K54" s="6">
        <v>0</v>
      </c>
      <c r="L54" s="6">
        <v>108.143</v>
      </c>
      <c r="M54" s="6">
        <v>108.143</v>
      </c>
      <c r="N54" s="6">
        <v>108.143</v>
      </c>
      <c r="O54" s="6">
        <v>108.143</v>
      </c>
      <c r="P54" s="6">
        <v>0</v>
      </c>
      <c r="Q54" s="4" t="s">
        <v>26</v>
      </c>
      <c r="R54" s="4">
        <v>0</v>
      </c>
      <c r="S54" s="6">
        <v>0</v>
      </c>
      <c r="T54" s="6">
        <v>17</v>
      </c>
      <c r="U54" s="6">
        <v>78</v>
      </c>
      <c r="V54" s="6">
        <f>IF(ISERROR(VLOOKUP($S$54,'TAR FIN'!$A$1:$O$86,15,0)),0,VLOOKUP($S$54,'TAR FIN'!$A$1:$O$86,15,0))</f>
        <v>0</v>
      </c>
      <c r="W54" s="6">
        <f>IF(ISERROR(VLOOKUP($T$54,'TAR FIN'!$A$1:$O$86,15,0)),0,VLOOKUP($T$54,'TAR FIN'!$A$1:$O$86,15,0))</f>
        <v>71.260000000000005</v>
      </c>
      <c r="X54" s="6">
        <f>IF(ISERROR(VLOOKUP($U$54,'TAR FIN'!$A$1:$O$86,15,0)),0,VLOOKUP($U$54,'TAR FIN'!$A$1:$O$86,15,0))</f>
        <v>297.31</v>
      </c>
      <c r="Y54" s="6"/>
      <c r="Z54" s="6">
        <f ca="1">('TUSD BE'!$AM$12+'TUSD BF'!$AM$12+'TUSD CVA'!$AM$12)*1</f>
        <v>95.815448102611441</v>
      </c>
      <c r="AA54" s="6">
        <f>('TE BE'!$AB$6+'TE BF'!$AB$6+'TE CVA'!$AB$6)*1</f>
        <v>235.33989117487977</v>
      </c>
      <c r="AB54" s="6">
        <f>$K$54*$V$54</f>
        <v>0</v>
      </c>
      <c r="AC54" s="6">
        <f>$M$54*$W$54</f>
        <v>7706.2701800000004</v>
      </c>
      <c r="AD54" s="6">
        <f>$O$54*$X$54</f>
        <v>32151.995330000002</v>
      </c>
      <c r="AE54" s="6">
        <f>$K$54*$Y$54</f>
        <v>0</v>
      </c>
      <c r="AF54" s="6">
        <f ca="1">$M$54*$Z$54</f>
        <v>10361.77000416071</v>
      </c>
      <c r="AG54" s="6">
        <f>$O$54*$AA$54</f>
        <v>25450.361851325022</v>
      </c>
    </row>
    <row r="55" spans="1:33" ht="11.25" customHeight="1" x14ac:dyDescent="0.25">
      <c r="A55" s="4" t="s">
        <v>27</v>
      </c>
      <c r="B55" s="4" t="s">
        <v>38</v>
      </c>
      <c r="C55" s="4" t="s">
        <v>39</v>
      </c>
      <c r="D55" s="4" t="s">
        <v>40</v>
      </c>
      <c r="E55" s="4" t="s">
        <v>25</v>
      </c>
      <c r="F55" s="4" t="s">
        <v>25</v>
      </c>
      <c r="G55" s="4" t="s">
        <v>25</v>
      </c>
      <c r="H55" s="4" t="s">
        <v>34</v>
      </c>
      <c r="I55" s="5">
        <v>44440</v>
      </c>
      <c r="J55" s="6">
        <v>0</v>
      </c>
      <c r="K55" s="6">
        <v>0</v>
      </c>
      <c r="L55" s="6">
        <v>66.349000000000004</v>
      </c>
      <c r="M55" s="6">
        <v>66.349000000000004</v>
      </c>
      <c r="N55" s="6">
        <v>66.349000000000004</v>
      </c>
      <c r="O55" s="6">
        <v>66.349000000000004</v>
      </c>
      <c r="P55" s="6">
        <v>0</v>
      </c>
      <c r="Q55" s="4" t="s">
        <v>26</v>
      </c>
      <c r="R55" s="4">
        <v>0</v>
      </c>
      <c r="S55" s="6">
        <v>0</v>
      </c>
      <c r="T55" s="6">
        <v>17</v>
      </c>
      <c r="U55" s="6">
        <v>78</v>
      </c>
      <c r="V55" s="6">
        <f>IF(ISERROR(VLOOKUP($S$55,'TAR FIN'!$A$1:$O$86,15,0)),0,VLOOKUP($S$55,'TAR FIN'!$A$1:$O$86,15,0))</f>
        <v>0</v>
      </c>
      <c r="W55" s="6">
        <f>IF(ISERROR(VLOOKUP($T$55,'TAR FIN'!$A$1:$O$86,15,0)),0,VLOOKUP($T$55,'TAR FIN'!$A$1:$O$86,15,0))</f>
        <v>71.260000000000005</v>
      </c>
      <c r="X55" s="6">
        <f>IF(ISERROR(VLOOKUP($U$55,'TAR FIN'!$A$1:$O$86,15,0)),0,VLOOKUP($U$55,'TAR FIN'!$A$1:$O$86,15,0))</f>
        <v>297.31</v>
      </c>
      <c r="Y55" s="6"/>
      <c r="Z55" s="6">
        <f ca="1">('TUSD BE'!$AM$12+'TUSD BF'!$AM$12+'TUSD CVA'!$AM$12)*1</f>
        <v>95.815448102611441</v>
      </c>
      <c r="AA55" s="6">
        <f>('TE BE'!$AB$6+'TE BF'!$AB$6+'TE CVA'!$AB$6)*1</f>
        <v>235.33989117487977</v>
      </c>
      <c r="AB55" s="6">
        <f>$K$55*$V$55</f>
        <v>0</v>
      </c>
      <c r="AC55" s="6">
        <f>$M$55*$W$55</f>
        <v>4728.0297400000009</v>
      </c>
      <c r="AD55" s="6">
        <f>$O$55*$X$55</f>
        <v>19726.22119</v>
      </c>
      <c r="AE55" s="6">
        <f>$K$55*$Y$55</f>
        <v>0</v>
      </c>
      <c r="AF55" s="6">
        <f ca="1">$M$55*$Z$55</f>
        <v>6357.2591661601673</v>
      </c>
      <c r="AG55" s="6">
        <f>$O$55*$AA$55</f>
        <v>15614.566439562099</v>
      </c>
    </row>
    <row r="56" spans="1:33" ht="11.25" customHeight="1" x14ac:dyDescent="0.25">
      <c r="A56" s="4" t="s">
        <v>21</v>
      </c>
      <c r="B56" s="4" t="s">
        <v>38</v>
      </c>
      <c r="C56" s="4" t="s">
        <v>39</v>
      </c>
      <c r="D56" s="4" t="s">
        <v>40</v>
      </c>
      <c r="E56" s="4" t="s">
        <v>25</v>
      </c>
      <c r="F56" s="4" t="s">
        <v>25</v>
      </c>
      <c r="G56" s="4" t="s">
        <v>25</v>
      </c>
      <c r="H56" s="4" t="s">
        <v>34</v>
      </c>
      <c r="I56" s="5">
        <v>44470</v>
      </c>
      <c r="J56" s="6">
        <v>0</v>
      </c>
      <c r="K56" s="6">
        <v>0</v>
      </c>
      <c r="L56" s="6">
        <v>95.004999999999995</v>
      </c>
      <c r="M56" s="6">
        <v>95.004999999999995</v>
      </c>
      <c r="N56" s="6">
        <v>95.004999999999995</v>
      </c>
      <c r="O56" s="6">
        <v>95.004999999999995</v>
      </c>
      <c r="P56" s="6">
        <v>0</v>
      </c>
      <c r="Q56" s="4" t="s">
        <v>26</v>
      </c>
      <c r="R56" s="4">
        <v>0</v>
      </c>
      <c r="S56" s="6">
        <v>0</v>
      </c>
      <c r="T56" s="6">
        <v>17</v>
      </c>
      <c r="U56" s="6">
        <v>78</v>
      </c>
      <c r="V56" s="6">
        <f>IF(ISERROR(VLOOKUP($S$56,'TAR FIN'!$A$1:$O$86,15,0)),0,VLOOKUP($S$56,'TAR FIN'!$A$1:$O$86,15,0))</f>
        <v>0</v>
      </c>
      <c r="W56" s="6">
        <f>IF(ISERROR(VLOOKUP($T$56,'TAR FIN'!$A$1:$O$86,15,0)),0,VLOOKUP($T$56,'TAR FIN'!$A$1:$O$86,15,0))</f>
        <v>71.260000000000005</v>
      </c>
      <c r="X56" s="6">
        <f>IF(ISERROR(VLOOKUP($U$56,'TAR FIN'!$A$1:$O$86,15,0)),0,VLOOKUP($U$56,'TAR FIN'!$A$1:$O$86,15,0))</f>
        <v>297.31</v>
      </c>
      <c r="Y56" s="6"/>
      <c r="Z56" s="6">
        <f ca="1">('TUSD BE'!$AM$12+'TUSD BF'!$AM$12+'TUSD CVA'!$AM$12)*1</f>
        <v>95.815448102611441</v>
      </c>
      <c r="AA56" s="6">
        <f>('TE BE'!$AB$6+'TE BF'!$AB$6+'TE CVA'!$AB$6)*1</f>
        <v>235.33989117487977</v>
      </c>
      <c r="AB56" s="6">
        <f>$K$56*$V$56</f>
        <v>0</v>
      </c>
      <c r="AC56" s="6">
        <f>$M$56*$W$56</f>
        <v>6770.0563000000002</v>
      </c>
      <c r="AD56" s="6">
        <f>$O$56*$X$56</f>
        <v>28245.936549999999</v>
      </c>
      <c r="AE56" s="6">
        <f>$K$56*$Y$56</f>
        <v>0</v>
      </c>
      <c r="AF56" s="6">
        <f ca="1">$M$56*$Z$56</f>
        <v>9102.9466469885992</v>
      </c>
      <c r="AG56" s="6">
        <f>$O$56*$AA$56</f>
        <v>22358.466361069452</v>
      </c>
    </row>
    <row r="57" spans="1:33" ht="11.25" customHeight="1" x14ac:dyDescent="0.25">
      <c r="A57" s="4" t="s">
        <v>27</v>
      </c>
      <c r="B57" s="4" t="s">
        <v>38</v>
      </c>
      <c r="C57" s="4" t="s">
        <v>39</v>
      </c>
      <c r="D57" s="4" t="s">
        <v>40</v>
      </c>
      <c r="E57" s="4" t="s">
        <v>25</v>
      </c>
      <c r="F57" s="4" t="s">
        <v>25</v>
      </c>
      <c r="G57" s="4" t="s">
        <v>25</v>
      </c>
      <c r="H57" s="4" t="s">
        <v>34</v>
      </c>
      <c r="I57" s="5">
        <v>44470</v>
      </c>
      <c r="J57" s="6">
        <v>0</v>
      </c>
      <c r="K57" s="6">
        <v>0</v>
      </c>
      <c r="L57" s="6">
        <v>71.483000000000004</v>
      </c>
      <c r="M57" s="6">
        <v>71.483000000000004</v>
      </c>
      <c r="N57" s="6">
        <v>71.483000000000004</v>
      </c>
      <c r="O57" s="6">
        <v>71.483000000000004</v>
      </c>
      <c r="P57" s="6">
        <v>0</v>
      </c>
      <c r="Q57" s="4" t="s">
        <v>26</v>
      </c>
      <c r="R57" s="4">
        <v>0</v>
      </c>
      <c r="S57" s="6">
        <v>0</v>
      </c>
      <c r="T57" s="6">
        <v>17</v>
      </c>
      <c r="U57" s="6">
        <v>78</v>
      </c>
      <c r="V57" s="6">
        <f>IF(ISERROR(VLOOKUP($S$57,'TAR FIN'!$A$1:$O$86,15,0)),0,VLOOKUP($S$57,'TAR FIN'!$A$1:$O$86,15,0))</f>
        <v>0</v>
      </c>
      <c r="W57" s="6">
        <f>IF(ISERROR(VLOOKUP($T$57,'TAR FIN'!$A$1:$O$86,15,0)),0,VLOOKUP($T$57,'TAR FIN'!$A$1:$O$86,15,0))</f>
        <v>71.260000000000005</v>
      </c>
      <c r="X57" s="6">
        <f>IF(ISERROR(VLOOKUP($U$57,'TAR FIN'!$A$1:$O$86,15,0)),0,VLOOKUP($U$57,'TAR FIN'!$A$1:$O$86,15,0))</f>
        <v>297.31</v>
      </c>
      <c r="Y57" s="6"/>
      <c r="Z57" s="6">
        <f ca="1">('TUSD BE'!$AM$12+'TUSD BF'!$AM$12+'TUSD CVA'!$AM$12)*1</f>
        <v>95.815448102611441</v>
      </c>
      <c r="AA57" s="6">
        <f>('TE BE'!$AB$6+'TE BF'!$AB$6+'TE CVA'!$AB$6)*1</f>
        <v>235.33989117487977</v>
      </c>
      <c r="AB57" s="6">
        <f>$K$57*$V$57</f>
        <v>0</v>
      </c>
      <c r="AC57" s="6">
        <f>$M$57*$W$57</f>
        <v>5093.8785800000005</v>
      </c>
      <c r="AD57" s="6">
        <f>$O$57*$X$57</f>
        <v>21252.61073</v>
      </c>
      <c r="AE57" s="6">
        <f>$K$57*$Y$57</f>
        <v>0</v>
      </c>
      <c r="AF57" s="6">
        <f ca="1">$M$57*$Z$57</f>
        <v>6849.1756767189736</v>
      </c>
      <c r="AG57" s="6">
        <f>$O$57*$AA$57</f>
        <v>16822.801440853931</v>
      </c>
    </row>
    <row r="58" spans="1:33" ht="11.25" customHeight="1" x14ac:dyDescent="0.25">
      <c r="A58" s="4" t="s">
        <v>21</v>
      </c>
      <c r="B58" s="4" t="s">
        <v>38</v>
      </c>
      <c r="C58" s="4" t="s">
        <v>39</v>
      </c>
      <c r="D58" s="4" t="s">
        <v>40</v>
      </c>
      <c r="E58" s="4" t="s">
        <v>25</v>
      </c>
      <c r="F58" s="4" t="s">
        <v>25</v>
      </c>
      <c r="G58" s="4" t="s">
        <v>25</v>
      </c>
      <c r="H58" s="4" t="s">
        <v>34</v>
      </c>
      <c r="I58" s="5">
        <v>44501</v>
      </c>
      <c r="J58" s="6">
        <v>0</v>
      </c>
      <c r="K58" s="6">
        <v>0</v>
      </c>
      <c r="L58" s="6">
        <v>313.13099999999997</v>
      </c>
      <c r="M58" s="6">
        <v>313.13099999999997</v>
      </c>
      <c r="N58" s="6">
        <v>313.13099999999997</v>
      </c>
      <c r="O58" s="6">
        <v>313.13099999999997</v>
      </c>
      <c r="P58" s="6">
        <v>0</v>
      </c>
      <c r="Q58" s="4" t="s">
        <v>26</v>
      </c>
      <c r="R58" s="4">
        <v>0</v>
      </c>
      <c r="S58" s="6">
        <v>0</v>
      </c>
      <c r="T58" s="6">
        <v>17</v>
      </c>
      <c r="U58" s="6">
        <v>78</v>
      </c>
      <c r="V58" s="6">
        <f>IF(ISERROR(VLOOKUP($S$58,'TAR FIN'!$A$1:$O$86,15,0)),0,VLOOKUP($S$58,'TAR FIN'!$A$1:$O$86,15,0))</f>
        <v>0</v>
      </c>
      <c r="W58" s="6">
        <f>IF(ISERROR(VLOOKUP($T$58,'TAR FIN'!$A$1:$O$86,15,0)),0,VLOOKUP($T$58,'TAR FIN'!$A$1:$O$86,15,0))</f>
        <v>71.260000000000005</v>
      </c>
      <c r="X58" s="6">
        <f>IF(ISERROR(VLOOKUP($U$58,'TAR FIN'!$A$1:$O$86,15,0)),0,VLOOKUP($U$58,'TAR FIN'!$A$1:$O$86,15,0))</f>
        <v>297.31</v>
      </c>
      <c r="Y58" s="6"/>
      <c r="Z58" s="6">
        <f ca="1">('TUSD BE'!$AM$12+'TUSD BF'!$AM$12+'TUSD CVA'!$AM$12)*1</f>
        <v>95.815448102611441</v>
      </c>
      <c r="AA58" s="6">
        <f>('TE BE'!$AB$6+'TE BF'!$AB$6+'TE CVA'!$AB$6)*1</f>
        <v>235.33989117487977</v>
      </c>
      <c r="AB58" s="6">
        <f>$K$58*$V$58</f>
        <v>0</v>
      </c>
      <c r="AC58" s="6">
        <f>$M$58*$W$58</f>
        <v>22313.715059999999</v>
      </c>
      <c r="AD58" s="6">
        <f>$O$58*$X$58</f>
        <v>93096.977609999987</v>
      </c>
      <c r="AE58" s="6">
        <f>$K$58*$Y$58</f>
        <v>0</v>
      </c>
      <c r="AF58" s="6">
        <f ca="1">$M$58*$Z$58</f>
        <v>30002.78707981882</v>
      </c>
      <c r="AG58" s="6">
        <f>$O$58*$AA$58</f>
        <v>73692.215463481276</v>
      </c>
    </row>
    <row r="59" spans="1:33" ht="11.25" customHeight="1" x14ac:dyDescent="0.25">
      <c r="A59" s="4" t="s">
        <v>27</v>
      </c>
      <c r="B59" s="4" t="s">
        <v>38</v>
      </c>
      <c r="C59" s="4" t="s">
        <v>39</v>
      </c>
      <c r="D59" s="4" t="s">
        <v>40</v>
      </c>
      <c r="E59" s="4" t="s">
        <v>25</v>
      </c>
      <c r="F59" s="4" t="s">
        <v>25</v>
      </c>
      <c r="G59" s="4" t="s">
        <v>25</v>
      </c>
      <c r="H59" s="4" t="s">
        <v>34</v>
      </c>
      <c r="I59" s="5">
        <v>44501</v>
      </c>
      <c r="J59" s="6">
        <v>0</v>
      </c>
      <c r="K59" s="6">
        <v>0</v>
      </c>
      <c r="L59" s="6">
        <v>56.927999999999997</v>
      </c>
      <c r="M59" s="6">
        <v>56.927999999999997</v>
      </c>
      <c r="N59" s="6">
        <v>56.927999999999997</v>
      </c>
      <c r="O59" s="6">
        <v>56.927999999999997</v>
      </c>
      <c r="P59" s="6">
        <v>0</v>
      </c>
      <c r="Q59" s="4" t="s">
        <v>26</v>
      </c>
      <c r="R59" s="4">
        <v>0</v>
      </c>
      <c r="S59" s="6">
        <v>0</v>
      </c>
      <c r="T59" s="6">
        <v>17</v>
      </c>
      <c r="U59" s="6">
        <v>78</v>
      </c>
      <c r="V59" s="6">
        <f>IF(ISERROR(VLOOKUP($S$59,'TAR FIN'!$A$1:$O$86,15,0)),0,VLOOKUP($S$59,'TAR FIN'!$A$1:$O$86,15,0))</f>
        <v>0</v>
      </c>
      <c r="W59" s="6">
        <f>IF(ISERROR(VLOOKUP($T$59,'TAR FIN'!$A$1:$O$86,15,0)),0,VLOOKUP($T$59,'TAR FIN'!$A$1:$O$86,15,0))</f>
        <v>71.260000000000005</v>
      </c>
      <c r="X59" s="6">
        <f>IF(ISERROR(VLOOKUP($U$59,'TAR FIN'!$A$1:$O$86,15,0)),0,VLOOKUP($U$59,'TAR FIN'!$A$1:$O$86,15,0))</f>
        <v>297.31</v>
      </c>
      <c r="Y59" s="6"/>
      <c r="Z59" s="6">
        <f ca="1">('TUSD BE'!$AM$12+'TUSD BF'!$AM$12+'TUSD CVA'!$AM$12)*1</f>
        <v>95.815448102611441</v>
      </c>
      <c r="AA59" s="6">
        <f>('TE BE'!$AB$6+'TE BF'!$AB$6+'TE CVA'!$AB$6)*1</f>
        <v>235.33989117487977</v>
      </c>
      <c r="AB59" s="6">
        <f>$K$59*$V$59</f>
        <v>0</v>
      </c>
      <c r="AC59" s="6">
        <f>$M$59*$W$59</f>
        <v>4056.6892800000001</v>
      </c>
      <c r="AD59" s="6">
        <f>$O$59*$X$59</f>
        <v>16925.26368</v>
      </c>
      <c r="AE59" s="6">
        <f>$K$59*$Y$59</f>
        <v>0</v>
      </c>
      <c r="AF59" s="6">
        <f ca="1">$M$59*$Z$59</f>
        <v>5454.5818295854642</v>
      </c>
      <c r="AG59" s="6">
        <f>$O$59*$AA$59</f>
        <v>13397.429324803556</v>
      </c>
    </row>
    <row r="60" spans="1:33" ht="11.25" customHeight="1" x14ac:dyDescent="0.25">
      <c r="A60" s="4" t="s">
        <v>21</v>
      </c>
      <c r="B60" s="4" t="s">
        <v>38</v>
      </c>
      <c r="C60" s="4" t="s">
        <v>39</v>
      </c>
      <c r="D60" s="4" t="s">
        <v>40</v>
      </c>
      <c r="E60" s="4" t="s">
        <v>25</v>
      </c>
      <c r="F60" s="4" t="s">
        <v>25</v>
      </c>
      <c r="G60" s="4" t="s">
        <v>25</v>
      </c>
      <c r="H60" s="4" t="s">
        <v>34</v>
      </c>
      <c r="I60" s="5">
        <v>44531</v>
      </c>
      <c r="J60" s="6">
        <v>0</v>
      </c>
      <c r="K60" s="6">
        <v>0</v>
      </c>
      <c r="L60" s="6">
        <v>317.916</v>
      </c>
      <c r="M60" s="6">
        <v>317.916</v>
      </c>
      <c r="N60" s="6">
        <v>317.916</v>
      </c>
      <c r="O60" s="6">
        <v>317.916</v>
      </c>
      <c r="P60" s="6">
        <v>0</v>
      </c>
      <c r="Q60" s="4" t="s">
        <v>26</v>
      </c>
      <c r="R60" s="4">
        <v>0</v>
      </c>
      <c r="S60" s="6">
        <v>0</v>
      </c>
      <c r="T60" s="6">
        <v>17</v>
      </c>
      <c r="U60" s="6">
        <v>78</v>
      </c>
      <c r="V60" s="6">
        <f>IF(ISERROR(VLOOKUP($S$60,'TAR FIN'!$A$1:$O$86,15,0)),0,VLOOKUP($S$60,'TAR FIN'!$A$1:$O$86,15,0))</f>
        <v>0</v>
      </c>
      <c r="W60" s="6">
        <f>IF(ISERROR(VLOOKUP($T$60,'TAR FIN'!$A$1:$O$86,15,0)),0,VLOOKUP($T$60,'TAR FIN'!$A$1:$O$86,15,0))</f>
        <v>71.260000000000005</v>
      </c>
      <c r="X60" s="6">
        <f>IF(ISERROR(VLOOKUP($U$60,'TAR FIN'!$A$1:$O$86,15,0)),0,VLOOKUP($U$60,'TAR FIN'!$A$1:$O$86,15,0))</f>
        <v>297.31</v>
      </c>
      <c r="Y60" s="6"/>
      <c r="Z60" s="6">
        <f ca="1">('TUSD BE'!$AM$12+'TUSD BF'!$AM$12+'TUSD CVA'!$AM$12)*1</f>
        <v>95.815448102611441</v>
      </c>
      <c r="AA60" s="6">
        <f>('TE BE'!$AB$6+'TE BF'!$AB$6+'TE CVA'!$AB$6)*1</f>
        <v>235.33989117487977</v>
      </c>
      <c r="AB60" s="6">
        <f>$K$60*$V$60</f>
        <v>0</v>
      </c>
      <c r="AC60" s="6">
        <f>$M$60*$W$60</f>
        <v>22654.694160000003</v>
      </c>
      <c r="AD60" s="6">
        <f>$O$60*$X$60</f>
        <v>94519.605960000001</v>
      </c>
      <c r="AE60" s="6">
        <f>$K$60*$Y$60</f>
        <v>0</v>
      </c>
      <c r="AF60" s="6">
        <f ca="1">$M$60*$Z$60</f>
        <v>30461.26399898982</v>
      </c>
      <c r="AG60" s="6">
        <f>$O$60*$AA$60</f>
        <v>74818.316842753076</v>
      </c>
    </row>
    <row r="61" spans="1:33" ht="11.25" customHeight="1" x14ac:dyDescent="0.25">
      <c r="A61" s="4" t="s">
        <v>27</v>
      </c>
      <c r="B61" s="4" t="s">
        <v>38</v>
      </c>
      <c r="C61" s="4" t="s">
        <v>39</v>
      </c>
      <c r="D61" s="4" t="s">
        <v>40</v>
      </c>
      <c r="E61" s="4" t="s">
        <v>25</v>
      </c>
      <c r="F61" s="4" t="s">
        <v>25</v>
      </c>
      <c r="G61" s="4" t="s">
        <v>25</v>
      </c>
      <c r="H61" s="4" t="s">
        <v>34</v>
      </c>
      <c r="I61" s="5">
        <v>44531</v>
      </c>
      <c r="J61" s="6">
        <v>0</v>
      </c>
      <c r="K61" s="6">
        <v>0</v>
      </c>
      <c r="L61" s="6">
        <v>105.55200000000001</v>
      </c>
      <c r="M61" s="6">
        <v>105.55200000000001</v>
      </c>
      <c r="N61" s="6">
        <v>105.55200000000001</v>
      </c>
      <c r="O61" s="6">
        <v>105.55200000000001</v>
      </c>
      <c r="P61" s="6">
        <v>0</v>
      </c>
      <c r="Q61" s="4" t="s">
        <v>26</v>
      </c>
      <c r="R61" s="4">
        <v>0</v>
      </c>
      <c r="S61" s="6">
        <v>0</v>
      </c>
      <c r="T61" s="6">
        <v>17</v>
      </c>
      <c r="U61" s="6">
        <v>78</v>
      </c>
      <c r="V61" s="6">
        <f>IF(ISERROR(VLOOKUP($S$61,'TAR FIN'!$A$1:$O$86,15,0)),0,VLOOKUP($S$61,'TAR FIN'!$A$1:$O$86,15,0))</f>
        <v>0</v>
      </c>
      <c r="W61" s="6">
        <f>IF(ISERROR(VLOOKUP($T$61,'TAR FIN'!$A$1:$O$86,15,0)),0,VLOOKUP($T$61,'TAR FIN'!$A$1:$O$86,15,0))</f>
        <v>71.260000000000005</v>
      </c>
      <c r="X61" s="6">
        <f>IF(ISERROR(VLOOKUP($U$61,'TAR FIN'!$A$1:$O$86,15,0)),0,VLOOKUP($U$61,'TAR FIN'!$A$1:$O$86,15,0))</f>
        <v>297.31</v>
      </c>
      <c r="Y61" s="6"/>
      <c r="Z61" s="6">
        <f ca="1">('TUSD BE'!$AM$12+'TUSD BF'!$AM$12+'TUSD CVA'!$AM$12)*1</f>
        <v>95.815448102611441</v>
      </c>
      <c r="AA61" s="6">
        <f>('TE BE'!$AB$6+'TE BF'!$AB$6+'TE CVA'!$AB$6)*1</f>
        <v>235.33989117487977</v>
      </c>
      <c r="AB61" s="6">
        <f>$K$61*$V$61</f>
        <v>0</v>
      </c>
      <c r="AC61" s="6">
        <f>$M$61*$W$61</f>
        <v>7521.6355200000007</v>
      </c>
      <c r="AD61" s="6">
        <f>$O$61*$X$61</f>
        <v>31381.665120000001</v>
      </c>
      <c r="AE61" s="6">
        <f>$K$61*$Y$61</f>
        <v>0</v>
      </c>
      <c r="AF61" s="6">
        <f ca="1">$M$61*$Z$61</f>
        <v>10113.512178126843</v>
      </c>
      <c r="AG61" s="6">
        <f>$O$61*$AA$61</f>
        <v>24840.596193290912</v>
      </c>
    </row>
    <row r="62" spans="1:33" ht="11.25" customHeight="1" x14ac:dyDescent="0.25">
      <c r="A62" s="4" t="s">
        <v>21</v>
      </c>
      <c r="B62" s="4" t="s">
        <v>38</v>
      </c>
      <c r="C62" s="4" t="s">
        <v>39</v>
      </c>
      <c r="D62" s="4" t="s">
        <v>40</v>
      </c>
      <c r="E62" s="4" t="s">
        <v>25</v>
      </c>
      <c r="F62" s="4" t="s">
        <v>25</v>
      </c>
      <c r="G62" s="4" t="s">
        <v>25</v>
      </c>
      <c r="H62" s="4" t="s">
        <v>34</v>
      </c>
      <c r="I62" s="5">
        <v>44562</v>
      </c>
      <c r="J62" s="6">
        <v>0</v>
      </c>
      <c r="K62" s="6">
        <v>0</v>
      </c>
      <c r="L62" s="6">
        <v>446.358</v>
      </c>
      <c r="M62" s="6">
        <v>446.358</v>
      </c>
      <c r="N62" s="6">
        <v>446.358</v>
      </c>
      <c r="O62" s="6">
        <v>446.358</v>
      </c>
      <c r="P62" s="6">
        <v>0</v>
      </c>
      <c r="Q62" s="4" t="s">
        <v>26</v>
      </c>
      <c r="R62" s="4">
        <v>0</v>
      </c>
      <c r="S62" s="6">
        <v>0</v>
      </c>
      <c r="T62" s="6">
        <v>17</v>
      </c>
      <c r="U62" s="6">
        <v>78</v>
      </c>
      <c r="V62" s="6">
        <f>IF(ISERROR(VLOOKUP($S$62,'TAR FIN'!$A$1:$O$86,15,0)),0,VLOOKUP($S$62,'TAR FIN'!$A$1:$O$86,15,0))</f>
        <v>0</v>
      </c>
      <c r="W62" s="6">
        <f>IF(ISERROR(VLOOKUP($T$62,'TAR FIN'!$A$1:$O$86,15,0)),0,VLOOKUP($T$62,'TAR FIN'!$A$1:$O$86,15,0))</f>
        <v>71.260000000000005</v>
      </c>
      <c r="X62" s="6">
        <f>IF(ISERROR(VLOOKUP($U$62,'TAR FIN'!$A$1:$O$86,15,0)),0,VLOOKUP($U$62,'TAR FIN'!$A$1:$O$86,15,0))</f>
        <v>297.31</v>
      </c>
      <c r="Y62" s="6"/>
      <c r="Z62" s="6">
        <f ca="1">('TUSD BE'!$AM$12+'TUSD BF'!$AM$12+'TUSD CVA'!$AM$12)*1</f>
        <v>95.815448102611441</v>
      </c>
      <c r="AA62" s="6">
        <f>('TE BE'!$AB$6+'TE BF'!$AB$6+'TE CVA'!$AB$6)*1</f>
        <v>235.33989117487977</v>
      </c>
      <c r="AB62" s="6">
        <f>$K$62*$V$62</f>
        <v>0</v>
      </c>
      <c r="AC62" s="6">
        <f>$M$62*$W$62</f>
        <v>31807.471080000003</v>
      </c>
      <c r="AD62" s="6">
        <f>$O$62*$X$62</f>
        <v>132706.69698000001</v>
      </c>
      <c r="AE62" s="6">
        <f>$K$62*$Y$62</f>
        <v>0</v>
      </c>
      <c r="AF62" s="6">
        <f ca="1">$M$62*$Z$62</f>
        <v>42767.99178418544</v>
      </c>
      <c r="AG62" s="6">
        <f>$O$62*$AA$62</f>
        <v>105045.84314503698</v>
      </c>
    </row>
    <row r="63" spans="1:33" ht="11.25" customHeight="1" x14ac:dyDescent="0.25">
      <c r="A63" s="4" t="s">
        <v>27</v>
      </c>
      <c r="B63" s="4" t="s">
        <v>38</v>
      </c>
      <c r="C63" s="4" t="s">
        <v>39</v>
      </c>
      <c r="D63" s="4" t="s">
        <v>40</v>
      </c>
      <c r="E63" s="4" t="s">
        <v>25</v>
      </c>
      <c r="F63" s="4" t="s">
        <v>25</v>
      </c>
      <c r="G63" s="4" t="s">
        <v>25</v>
      </c>
      <c r="H63" s="4" t="s">
        <v>34</v>
      </c>
      <c r="I63" s="5">
        <v>44562</v>
      </c>
      <c r="J63" s="6">
        <v>0</v>
      </c>
      <c r="K63" s="6">
        <v>0</v>
      </c>
      <c r="L63" s="6">
        <v>134.19499999999999</v>
      </c>
      <c r="M63" s="6">
        <v>134.19499999999999</v>
      </c>
      <c r="N63" s="6">
        <v>134.19499999999999</v>
      </c>
      <c r="O63" s="6">
        <v>134.19499999999999</v>
      </c>
      <c r="P63" s="6">
        <v>0</v>
      </c>
      <c r="Q63" s="4" t="s">
        <v>26</v>
      </c>
      <c r="R63" s="4">
        <v>0</v>
      </c>
      <c r="S63" s="6">
        <v>0</v>
      </c>
      <c r="T63" s="6">
        <v>17</v>
      </c>
      <c r="U63" s="6">
        <v>78</v>
      </c>
      <c r="V63" s="6">
        <f>IF(ISERROR(VLOOKUP($S$63,'TAR FIN'!$A$1:$O$86,15,0)),0,VLOOKUP($S$63,'TAR FIN'!$A$1:$O$86,15,0))</f>
        <v>0</v>
      </c>
      <c r="W63" s="6">
        <f>IF(ISERROR(VLOOKUP($T$63,'TAR FIN'!$A$1:$O$86,15,0)),0,VLOOKUP($T$63,'TAR FIN'!$A$1:$O$86,15,0))</f>
        <v>71.260000000000005</v>
      </c>
      <c r="X63" s="6">
        <f>IF(ISERROR(VLOOKUP($U$63,'TAR FIN'!$A$1:$O$86,15,0)),0,VLOOKUP($U$63,'TAR FIN'!$A$1:$O$86,15,0))</f>
        <v>297.31</v>
      </c>
      <c r="Y63" s="6"/>
      <c r="Z63" s="6">
        <f ca="1">('TUSD BE'!$AM$12+'TUSD BF'!$AM$12+'TUSD CVA'!$AM$12)*1</f>
        <v>95.815448102611441</v>
      </c>
      <c r="AA63" s="6">
        <f>('TE BE'!$AB$6+'TE BF'!$AB$6+'TE CVA'!$AB$6)*1</f>
        <v>235.33989117487977</v>
      </c>
      <c r="AB63" s="6">
        <f>$K$63*$V$63</f>
        <v>0</v>
      </c>
      <c r="AC63" s="6">
        <f>$M$63*$W$63</f>
        <v>9562.7357000000011</v>
      </c>
      <c r="AD63" s="6">
        <f>$O$63*$X$63</f>
        <v>39897.515449999999</v>
      </c>
      <c r="AE63" s="6">
        <f>$K$63*$Y$63</f>
        <v>0</v>
      </c>
      <c r="AF63" s="6">
        <f ca="1">$M$63*$Z$63</f>
        <v>12857.954058129942</v>
      </c>
      <c r="AG63" s="6">
        <f>$O$63*$AA$63</f>
        <v>31581.43669621299</v>
      </c>
    </row>
    <row r="64" spans="1:33" ht="11.25" customHeight="1" x14ac:dyDescent="0.25">
      <c r="A64" s="4" t="s">
        <v>21</v>
      </c>
      <c r="B64" s="4" t="s">
        <v>38</v>
      </c>
      <c r="C64" s="4" t="s">
        <v>39</v>
      </c>
      <c r="D64" s="4" t="s">
        <v>40</v>
      </c>
      <c r="E64" s="4" t="s">
        <v>25</v>
      </c>
      <c r="F64" s="4" t="s">
        <v>25</v>
      </c>
      <c r="G64" s="4" t="s">
        <v>25</v>
      </c>
      <c r="H64" s="4" t="s">
        <v>34</v>
      </c>
      <c r="I64" s="5">
        <v>44593</v>
      </c>
      <c r="J64" s="6">
        <v>0</v>
      </c>
      <c r="K64" s="6">
        <v>0</v>
      </c>
      <c r="L64" s="6">
        <v>334.07</v>
      </c>
      <c r="M64" s="6">
        <v>334.07</v>
      </c>
      <c r="N64" s="6">
        <v>334.07</v>
      </c>
      <c r="O64" s="6">
        <v>334.07</v>
      </c>
      <c r="P64" s="6">
        <v>0</v>
      </c>
      <c r="Q64" s="4" t="s">
        <v>26</v>
      </c>
      <c r="R64" s="4">
        <v>0</v>
      </c>
      <c r="S64" s="6">
        <v>0</v>
      </c>
      <c r="T64" s="6">
        <v>17</v>
      </c>
      <c r="U64" s="6">
        <v>78</v>
      </c>
      <c r="V64" s="6">
        <f>IF(ISERROR(VLOOKUP($S$64,'TAR FIN'!$A$1:$O$86,15,0)),0,VLOOKUP($S$64,'TAR FIN'!$A$1:$O$86,15,0))</f>
        <v>0</v>
      </c>
      <c r="W64" s="6">
        <f>IF(ISERROR(VLOOKUP($T$64,'TAR FIN'!$A$1:$O$86,15,0)),0,VLOOKUP($T$64,'TAR FIN'!$A$1:$O$86,15,0))</f>
        <v>71.260000000000005</v>
      </c>
      <c r="X64" s="6">
        <f>IF(ISERROR(VLOOKUP($U$64,'TAR FIN'!$A$1:$O$86,15,0)),0,VLOOKUP($U$64,'TAR FIN'!$A$1:$O$86,15,0))</f>
        <v>297.31</v>
      </c>
      <c r="Y64" s="6"/>
      <c r="Z64" s="6">
        <f ca="1">('TUSD BE'!$AM$12+'TUSD BF'!$AM$12+'TUSD CVA'!$AM$12)*1</f>
        <v>95.815448102611441</v>
      </c>
      <c r="AA64" s="6">
        <f>('TE BE'!$AB$6+'TE BF'!$AB$6+'TE CVA'!$AB$6)*1</f>
        <v>235.33989117487977</v>
      </c>
      <c r="AB64" s="6">
        <f>$K$64*$V$64</f>
        <v>0</v>
      </c>
      <c r="AC64" s="6">
        <f>$M$64*$W$64</f>
        <v>23805.8282</v>
      </c>
      <c r="AD64" s="6">
        <f>$O$64*$X$64</f>
        <v>99322.351699999999</v>
      </c>
      <c r="AE64" s="6">
        <f>$K$64*$Y$64</f>
        <v>0</v>
      </c>
      <c r="AF64" s="6">
        <f ca="1">$M$64*$Z$64</f>
        <v>32009.066747639405</v>
      </c>
      <c r="AG64" s="6">
        <f>$O$64*$AA$64</f>
        <v>78619.997444792083</v>
      </c>
    </row>
    <row r="65" spans="1:33" ht="11.25" customHeight="1" x14ac:dyDescent="0.25">
      <c r="A65" s="4" t="s">
        <v>27</v>
      </c>
      <c r="B65" s="4" t="s">
        <v>38</v>
      </c>
      <c r="C65" s="4" t="s">
        <v>39</v>
      </c>
      <c r="D65" s="4" t="s">
        <v>40</v>
      </c>
      <c r="E65" s="4" t="s">
        <v>25</v>
      </c>
      <c r="F65" s="4" t="s">
        <v>25</v>
      </c>
      <c r="G65" s="4" t="s">
        <v>25</v>
      </c>
      <c r="H65" s="4" t="s">
        <v>34</v>
      </c>
      <c r="I65" s="5">
        <v>44593</v>
      </c>
      <c r="J65" s="6">
        <v>0</v>
      </c>
      <c r="K65" s="6">
        <v>0</v>
      </c>
      <c r="L65" s="6">
        <v>134.61500000000001</v>
      </c>
      <c r="M65" s="6">
        <v>134.61500000000001</v>
      </c>
      <c r="N65" s="6">
        <v>134.61500000000001</v>
      </c>
      <c r="O65" s="6">
        <v>134.61500000000001</v>
      </c>
      <c r="P65" s="6">
        <v>0</v>
      </c>
      <c r="Q65" s="4" t="s">
        <v>26</v>
      </c>
      <c r="R65" s="4">
        <v>0</v>
      </c>
      <c r="S65" s="6">
        <v>0</v>
      </c>
      <c r="T65" s="6">
        <v>17</v>
      </c>
      <c r="U65" s="6">
        <v>78</v>
      </c>
      <c r="V65" s="6">
        <f>IF(ISERROR(VLOOKUP($S$65,'TAR FIN'!$A$1:$O$86,15,0)),0,VLOOKUP($S$65,'TAR FIN'!$A$1:$O$86,15,0))</f>
        <v>0</v>
      </c>
      <c r="W65" s="6">
        <f>IF(ISERROR(VLOOKUP($T$65,'TAR FIN'!$A$1:$O$86,15,0)),0,VLOOKUP($T$65,'TAR FIN'!$A$1:$O$86,15,0))</f>
        <v>71.260000000000005</v>
      </c>
      <c r="X65" s="6">
        <f>IF(ISERROR(VLOOKUP($U$65,'TAR FIN'!$A$1:$O$86,15,0)),0,VLOOKUP($U$65,'TAR FIN'!$A$1:$O$86,15,0))</f>
        <v>297.31</v>
      </c>
      <c r="Y65" s="6"/>
      <c r="Z65" s="6">
        <f ca="1">('TUSD BE'!$AM$12+'TUSD BF'!$AM$12+'TUSD CVA'!$AM$12)*1</f>
        <v>95.815448102611441</v>
      </c>
      <c r="AA65" s="6">
        <f>('TE BE'!$AB$6+'TE BF'!$AB$6+'TE CVA'!$AB$6)*1</f>
        <v>235.33989117487977</v>
      </c>
      <c r="AB65" s="6">
        <f>$K$65*$V$65</f>
        <v>0</v>
      </c>
      <c r="AC65" s="6">
        <f>$M$65*$W$65</f>
        <v>9592.6649000000016</v>
      </c>
      <c r="AD65" s="6">
        <f>$O$65*$X$65</f>
        <v>40022.385650000004</v>
      </c>
      <c r="AE65" s="6">
        <f>$K$65*$Y$65</f>
        <v>0</v>
      </c>
      <c r="AF65" s="6">
        <f ca="1">$M$65*$Z$65</f>
        <v>12898.19654633304</v>
      </c>
      <c r="AG65" s="6">
        <f>$O$65*$AA$65</f>
        <v>31680.279450506441</v>
      </c>
    </row>
    <row r="66" spans="1:33" ht="11.25" customHeight="1" x14ac:dyDescent="0.25">
      <c r="A66" s="4" t="s">
        <v>21</v>
      </c>
      <c r="B66" s="4" t="s">
        <v>38</v>
      </c>
      <c r="C66" s="4" t="s">
        <v>39</v>
      </c>
      <c r="D66" s="4" t="s">
        <v>40</v>
      </c>
      <c r="E66" s="4" t="s">
        <v>25</v>
      </c>
      <c r="F66" s="4" t="s">
        <v>25</v>
      </c>
      <c r="G66" s="4" t="s">
        <v>25</v>
      </c>
      <c r="H66" s="4" t="s">
        <v>34</v>
      </c>
      <c r="I66" s="5">
        <v>44621</v>
      </c>
      <c r="J66" s="6">
        <v>0</v>
      </c>
      <c r="K66" s="6">
        <v>0</v>
      </c>
      <c r="L66" s="6">
        <v>398.065</v>
      </c>
      <c r="M66" s="6">
        <v>398.065</v>
      </c>
      <c r="N66" s="6">
        <v>398.065</v>
      </c>
      <c r="O66" s="6">
        <v>398.065</v>
      </c>
      <c r="P66" s="6">
        <v>0</v>
      </c>
      <c r="Q66" s="4" t="s">
        <v>26</v>
      </c>
      <c r="R66" s="4">
        <v>0</v>
      </c>
      <c r="S66" s="6">
        <v>0</v>
      </c>
      <c r="T66" s="6">
        <v>17</v>
      </c>
      <c r="U66" s="6">
        <v>78</v>
      </c>
      <c r="V66" s="6">
        <f>IF(ISERROR(VLOOKUP($S$66,'TAR FIN'!$A$1:$O$86,15,0)),0,VLOOKUP($S$66,'TAR FIN'!$A$1:$O$86,15,0))</f>
        <v>0</v>
      </c>
      <c r="W66" s="6">
        <f>IF(ISERROR(VLOOKUP($T$66,'TAR FIN'!$A$1:$O$86,15,0)),0,VLOOKUP($T$66,'TAR FIN'!$A$1:$O$86,15,0))</f>
        <v>71.260000000000005</v>
      </c>
      <c r="X66" s="6">
        <f>IF(ISERROR(VLOOKUP($U$66,'TAR FIN'!$A$1:$O$86,15,0)),0,VLOOKUP($U$66,'TAR FIN'!$A$1:$O$86,15,0))</f>
        <v>297.31</v>
      </c>
      <c r="Y66" s="6"/>
      <c r="Z66" s="6">
        <f ca="1">('TUSD BE'!$AM$12+'TUSD BF'!$AM$12+'TUSD CVA'!$AM$12)*1</f>
        <v>95.815448102611441</v>
      </c>
      <c r="AA66" s="6">
        <f>('TE BE'!$AB$6+'TE BF'!$AB$6+'TE CVA'!$AB$6)*1</f>
        <v>235.33989117487977</v>
      </c>
      <c r="AB66" s="6">
        <f>$K$66*$V$66</f>
        <v>0</v>
      </c>
      <c r="AC66" s="6">
        <f>$M$66*$W$66</f>
        <v>28366.111900000004</v>
      </c>
      <c r="AD66" s="6">
        <f>$O$66*$X$66</f>
        <v>118348.70514999999</v>
      </c>
      <c r="AE66" s="6">
        <f>$K$66*$Y$66</f>
        <v>0</v>
      </c>
      <c r="AF66" s="6">
        <f ca="1">$M$66*$Z$66</f>
        <v>38140.776348966021</v>
      </c>
      <c r="AG66" s="6">
        <f>$O$66*$AA$66</f>
        <v>93680.573780528517</v>
      </c>
    </row>
    <row r="67" spans="1:33" ht="11.25" customHeight="1" x14ac:dyDescent="0.25">
      <c r="A67" s="4" t="s">
        <v>27</v>
      </c>
      <c r="B67" s="4" t="s">
        <v>38</v>
      </c>
      <c r="C67" s="4" t="s">
        <v>39</v>
      </c>
      <c r="D67" s="4" t="s">
        <v>40</v>
      </c>
      <c r="E67" s="4" t="s">
        <v>25</v>
      </c>
      <c r="F67" s="4" t="s">
        <v>25</v>
      </c>
      <c r="G67" s="4" t="s">
        <v>25</v>
      </c>
      <c r="H67" s="4" t="s">
        <v>34</v>
      </c>
      <c r="I67" s="5">
        <v>44621</v>
      </c>
      <c r="J67" s="6">
        <v>0</v>
      </c>
      <c r="K67" s="6">
        <v>0</v>
      </c>
      <c r="L67" s="6">
        <v>62.463000000000001</v>
      </c>
      <c r="M67" s="6">
        <v>62.463000000000001</v>
      </c>
      <c r="N67" s="6">
        <v>62.463000000000001</v>
      </c>
      <c r="O67" s="6">
        <v>62.463000000000001</v>
      </c>
      <c r="P67" s="6">
        <v>0</v>
      </c>
      <c r="Q67" s="4" t="s">
        <v>26</v>
      </c>
      <c r="R67" s="4">
        <v>0</v>
      </c>
      <c r="S67" s="6">
        <v>0</v>
      </c>
      <c r="T67" s="6">
        <v>17</v>
      </c>
      <c r="U67" s="6">
        <v>78</v>
      </c>
      <c r="V67" s="6">
        <f>IF(ISERROR(VLOOKUP($S$67,'TAR FIN'!$A$1:$O$86,15,0)),0,VLOOKUP($S$67,'TAR FIN'!$A$1:$O$86,15,0))</f>
        <v>0</v>
      </c>
      <c r="W67" s="6">
        <f>IF(ISERROR(VLOOKUP($T$67,'TAR FIN'!$A$1:$O$86,15,0)),0,VLOOKUP($T$67,'TAR FIN'!$A$1:$O$86,15,0))</f>
        <v>71.260000000000005</v>
      </c>
      <c r="X67" s="6">
        <f>IF(ISERROR(VLOOKUP($U$67,'TAR FIN'!$A$1:$O$86,15,0)),0,VLOOKUP($U$67,'TAR FIN'!$A$1:$O$86,15,0))</f>
        <v>297.31</v>
      </c>
      <c r="Y67" s="6"/>
      <c r="Z67" s="6">
        <f ca="1">('TUSD BE'!$AM$12+'TUSD BF'!$AM$12+'TUSD CVA'!$AM$12)*1</f>
        <v>95.815448102611441</v>
      </c>
      <c r="AA67" s="6">
        <f>('TE BE'!$AB$6+'TE BF'!$AB$6+'TE CVA'!$AB$6)*1</f>
        <v>235.33989117487977</v>
      </c>
      <c r="AB67" s="6">
        <f>$K$67*$V$67</f>
        <v>0</v>
      </c>
      <c r="AC67" s="6">
        <f>$M$67*$W$67</f>
        <v>4451.1133800000007</v>
      </c>
      <c r="AD67" s="6">
        <f>$O$67*$X$67</f>
        <v>18570.874530000001</v>
      </c>
      <c r="AE67" s="6">
        <f>$K$67*$Y$67</f>
        <v>0</v>
      </c>
      <c r="AF67" s="6">
        <f ca="1">$M$67*$Z$67</f>
        <v>5984.9203348334186</v>
      </c>
      <c r="AG67" s="6">
        <f>$O$67*$AA$67</f>
        <v>14700.035622456515</v>
      </c>
    </row>
    <row r="68" spans="1:33" ht="11.25" customHeight="1" x14ac:dyDescent="0.25">
      <c r="A68" s="4" t="s">
        <v>21</v>
      </c>
      <c r="B68" s="4" t="s">
        <v>38</v>
      </c>
      <c r="C68" s="4" t="s">
        <v>39</v>
      </c>
      <c r="D68" s="4" t="s">
        <v>40</v>
      </c>
      <c r="E68" s="4" t="s">
        <v>25</v>
      </c>
      <c r="F68" s="4" t="s">
        <v>25</v>
      </c>
      <c r="G68" s="4" t="s">
        <v>25</v>
      </c>
      <c r="H68" s="4" t="s">
        <v>34</v>
      </c>
      <c r="I68" s="5">
        <v>44652</v>
      </c>
      <c r="J68" s="6">
        <v>0</v>
      </c>
      <c r="K68" s="6">
        <v>0</v>
      </c>
      <c r="L68" s="6">
        <v>94.784000000000006</v>
      </c>
      <c r="M68" s="6">
        <v>94.784000000000006</v>
      </c>
      <c r="N68" s="6">
        <v>94.784000000000006</v>
      </c>
      <c r="O68" s="6">
        <v>94.784000000000006</v>
      </c>
      <c r="P68" s="6">
        <v>0</v>
      </c>
      <c r="Q68" s="4" t="s">
        <v>26</v>
      </c>
      <c r="R68" s="4">
        <v>0</v>
      </c>
      <c r="S68" s="6">
        <v>0</v>
      </c>
      <c r="T68" s="6">
        <v>17</v>
      </c>
      <c r="U68" s="6">
        <v>78</v>
      </c>
      <c r="V68" s="6">
        <f>IF(ISERROR(VLOOKUP($S$68,'TAR FIN'!$A$1:$O$86,15,0)),0,VLOOKUP($S$68,'TAR FIN'!$A$1:$O$86,15,0))</f>
        <v>0</v>
      </c>
      <c r="W68" s="6">
        <f>IF(ISERROR(VLOOKUP($T$68,'TAR FIN'!$A$1:$O$86,15,0)),0,VLOOKUP($T$68,'TAR FIN'!$A$1:$O$86,15,0))</f>
        <v>71.260000000000005</v>
      </c>
      <c r="X68" s="6">
        <f>IF(ISERROR(VLOOKUP($U$68,'TAR FIN'!$A$1:$O$86,15,0)),0,VLOOKUP($U$68,'TAR FIN'!$A$1:$O$86,15,0))</f>
        <v>297.31</v>
      </c>
      <c r="Y68" s="6"/>
      <c r="Z68" s="6">
        <f ca="1">('TUSD BE'!$AM$12+'TUSD BF'!$AM$12+'TUSD CVA'!$AM$12)*1</f>
        <v>95.815448102611441</v>
      </c>
      <c r="AA68" s="6">
        <f>('TE BE'!$AB$6+'TE BF'!$AB$6+'TE CVA'!$AB$6)*1</f>
        <v>235.33989117487977</v>
      </c>
      <c r="AB68" s="6">
        <f>$K$68*$V$68</f>
        <v>0</v>
      </c>
      <c r="AC68" s="6">
        <f>$M$68*$W$68</f>
        <v>6754.3078400000013</v>
      </c>
      <c r="AD68" s="6">
        <f>$O$68*$X$68</f>
        <v>28180.231040000002</v>
      </c>
      <c r="AE68" s="6">
        <f>$K$68*$Y$68</f>
        <v>0</v>
      </c>
      <c r="AF68" s="6">
        <f ca="1">$M$68*$Z$68</f>
        <v>9081.771432957923</v>
      </c>
      <c r="AG68" s="6">
        <f>$O$68*$AA$68</f>
        <v>22306.456245119803</v>
      </c>
    </row>
    <row r="69" spans="1:33" ht="11.25" customHeight="1" x14ac:dyDescent="0.25">
      <c r="A69" s="4" t="s">
        <v>27</v>
      </c>
      <c r="B69" s="4" t="s">
        <v>38</v>
      </c>
      <c r="C69" s="4" t="s">
        <v>39</v>
      </c>
      <c r="D69" s="4" t="s">
        <v>40</v>
      </c>
      <c r="E69" s="4" t="s">
        <v>25</v>
      </c>
      <c r="F69" s="4" t="s">
        <v>25</v>
      </c>
      <c r="G69" s="4" t="s">
        <v>25</v>
      </c>
      <c r="H69" s="4" t="s">
        <v>34</v>
      </c>
      <c r="I69" s="5">
        <v>44652</v>
      </c>
      <c r="J69" s="6">
        <v>0</v>
      </c>
      <c r="K69" s="6">
        <v>0</v>
      </c>
      <c r="L69" s="6">
        <v>126.04600000000001</v>
      </c>
      <c r="M69" s="6">
        <v>126.04600000000001</v>
      </c>
      <c r="N69" s="6">
        <v>126.04600000000001</v>
      </c>
      <c r="O69" s="6">
        <v>126.04600000000001</v>
      </c>
      <c r="P69" s="6">
        <v>0</v>
      </c>
      <c r="Q69" s="4" t="s">
        <v>26</v>
      </c>
      <c r="R69" s="4">
        <v>0</v>
      </c>
      <c r="S69" s="6">
        <v>0</v>
      </c>
      <c r="T69" s="6">
        <v>17</v>
      </c>
      <c r="U69" s="6">
        <v>78</v>
      </c>
      <c r="V69" s="6">
        <f>IF(ISERROR(VLOOKUP($S$69,'TAR FIN'!$A$1:$O$86,15,0)),0,VLOOKUP($S$69,'TAR FIN'!$A$1:$O$86,15,0))</f>
        <v>0</v>
      </c>
      <c r="W69" s="6">
        <f>IF(ISERROR(VLOOKUP($T$69,'TAR FIN'!$A$1:$O$86,15,0)),0,VLOOKUP($T$69,'TAR FIN'!$A$1:$O$86,15,0))</f>
        <v>71.260000000000005</v>
      </c>
      <c r="X69" s="6">
        <f>IF(ISERROR(VLOOKUP($U$69,'TAR FIN'!$A$1:$O$86,15,0)),0,VLOOKUP($U$69,'TAR FIN'!$A$1:$O$86,15,0))</f>
        <v>297.31</v>
      </c>
      <c r="Y69" s="6"/>
      <c r="Z69" s="6">
        <f ca="1">('TUSD BE'!$AM$12+'TUSD BF'!$AM$12+'TUSD CVA'!$AM$12)*1</f>
        <v>95.815448102611441</v>
      </c>
      <c r="AA69" s="6">
        <f>('TE BE'!$AB$6+'TE BF'!$AB$6+'TE CVA'!$AB$6)*1</f>
        <v>235.33989117487977</v>
      </c>
      <c r="AB69" s="6">
        <f>$K$69*$V$69</f>
        <v>0</v>
      </c>
      <c r="AC69" s="6">
        <f>$M$69*$W$69</f>
        <v>8982.0379600000015</v>
      </c>
      <c r="AD69" s="6">
        <f>$O$69*$X$69</f>
        <v>37474.736260000005</v>
      </c>
      <c r="AE69" s="6">
        <f>$K$69*$Y$69</f>
        <v>0</v>
      </c>
      <c r="AF69" s="6">
        <f ca="1">$M$69*$Z$69</f>
        <v>12077.153971541762</v>
      </c>
      <c r="AG69" s="6">
        <f>$O$69*$AA$69</f>
        <v>29663.651923028898</v>
      </c>
    </row>
    <row r="70" spans="1:33" ht="11.25" customHeight="1" x14ac:dyDescent="0.25">
      <c r="A70" s="4" t="s">
        <v>21</v>
      </c>
      <c r="B70" s="4" t="s">
        <v>38</v>
      </c>
      <c r="C70" s="4" t="s">
        <v>39</v>
      </c>
      <c r="D70" s="4" t="s">
        <v>40</v>
      </c>
      <c r="E70" s="4" t="s">
        <v>25</v>
      </c>
      <c r="F70" s="4" t="s">
        <v>25</v>
      </c>
      <c r="G70" s="4" t="s">
        <v>25</v>
      </c>
      <c r="H70" s="4" t="s">
        <v>34</v>
      </c>
      <c r="I70" s="5">
        <v>44682</v>
      </c>
      <c r="J70" s="6">
        <v>0</v>
      </c>
      <c r="K70" s="6">
        <v>0</v>
      </c>
      <c r="L70" s="6">
        <v>109.345</v>
      </c>
      <c r="M70" s="6">
        <v>109.345</v>
      </c>
      <c r="N70" s="6">
        <v>109.345</v>
      </c>
      <c r="O70" s="6">
        <v>109.345</v>
      </c>
      <c r="P70" s="6">
        <v>0</v>
      </c>
      <c r="Q70" s="4" t="s">
        <v>26</v>
      </c>
      <c r="R70" s="4">
        <v>0</v>
      </c>
      <c r="S70" s="6">
        <v>0</v>
      </c>
      <c r="T70" s="6">
        <v>17</v>
      </c>
      <c r="U70" s="6">
        <v>78</v>
      </c>
      <c r="V70" s="6">
        <f>IF(ISERROR(VLOOKUP($S$70,'TAR FIN'!$A$1:$O$86,15,0)),0,VLOOKUP($S$70,'TAR FIN'!$A$1:$O$86,15,0))</f>
        <v>0</v>
      </c>
      <c r="W70" s="6">
        <f>IF(ISERROR(VLOOKUP($T$70,'TAR FIN'!$A$1:$O$86,15,0)),0,VLOOKUP($T$70,'TAR FIN'!$A$1:$O$86,15,0))</f>
        <v>71.260000000000005</v>
      </c>
      <c r="X70" s="6">
        <f>IF(ISERROR(VLOOKUP($U$70,'TAR FIN'!$A$1:$O$86,15,0)),0,VLOOKUP($U$70,'TAR FIN'!$A$1:$O$86,15,0))</f>
        <v>297.31</v>
      </c>
      <c r="Y70" s="6"/>
      <c r="Z70" s="6">
        <f ca="1">('TUSD BE'!$AM$12+'TUSD BF'!$AM$12+'TUSD CVA'!$AM$12)*1</f>
        <v>95.815448102611441</v>
      </c>
      <c r="AA70" s="6">
        <f>('TE BE'!$AB$6+'TE BF'!$AB$6+'TE CVA'!$AB$6)*1</f>
        <v>235.33989117487977</v>
      </c>
      <c r="AB70" s="6">
        <f>$K$70*$V$70</f>
        <v>0</v>
      </c>
      <c r="AC70" s="6">
        <f>$M$70*$W$70</f>
        <v>7791.9247000000005</v>
      </c>
      <c r="AD70" s="6">
        <f>$O$70*$X$70</f>
        <v>32509.361949999999</v>
      </c>
      <c r="AE70" s="6">
        <f>$K$70*$Y$70</f>
        <v>0</v>
      </c>
      <c r="AF70" s="6">
        <f ca="1">$M$70*$Z$70</f>
        <v>10476.940172780049</v>
      </c>
      <c r="AG70" s="6">
        <f>$O$70*$AA$70</f>
        <v>25733.240400517228</v>
      </c>
    </row>
    <row r="71" spans="1:33" ht="11.25" customHeight="1" x14ac:dyDescent="0.25">
      <c r="A71" s="4" t="s">
        <v>27</v>
      </c>
      <c r="B71" s="4" t="s">
        <v>38</v>
      </c>
      <c r="C71" s="4" t="s">
        <v>39</v>
      </c>
      <c r="D71" s="4" t="s">
        <v>40</v>
      </c>
      <c r="E71" s="4" t="s">
        <v>25</v>
      </c>
      <c r="F71" s="4" t="s">
        <v>25</v>
      </c>
      <c r="G71" s="4" t="s">
        <v>25</v>
      </c>
      <c r="H71" s="4" t="s">
        <v>34</v>
      </c>
      <c r="I71" s="5">
        <v>44682</v>
      </c>
      <c r="J71" s="6">
        <v>0</v>
      </c>
      <c r="K71" s="6">
        <v>0</v>
      </c>
      <c r="L71" s="6">
        <v>83.072000000000003</v>
      </c>
      <c r="M71" s="6">
        <v>83.072000000000003</v>
      </c>
      <c r="N71" s="6">
        <v>83.072000000000003</v>
      </c>
      <c r="O71" s="6">
        <v>83.072000000000003</v>
      </c>
      <c r="P71" s="6">
        <v>0</v>
      </c>
      <c r="Q71" s="4" t="s">
        <v>26</v>
      </c>
      <c r="R71" s="4">
        <v>0</v>
      </c>
      <c r="S71" s="6">
        <v>0</v>
      </c>
      <c r="T71" s="6">
        <v>17</v>
      </c>
      <c r="U71" s="6">
        <v>78</v>
      </c>
      <c r="V71" s="6">
        <f>IF(ISERROR(VLOOKUP($S$71,'TAR FIN'!$A$1:$O$86,15,0)),0,VLOOKUP($S$71,'TAR FIN'!$A$1:$O$86,15,0))</f>
        <v>0</v>
      </c>
      <c r="W71" s="6">
        <f>IF(ISERROR(VLOOKUP($T$71,'TAR FIN'!$A$1:$O$86,15,0)),0,VLOOKUP($T$71,'TAR FIN'!$A$1:$O$86,15,0))</f>
        <v>71.260000000000005</v>
      </c>
      <c r="X71" s="6">
        <f>IF(ISERROR(VLOOKUP($U$71,'TAR FIN'!$A$1:$O$86,15,0)),0,VLOOKUP($U$71,'TAR FIN'!$A$1:$O$86,15,0))</f>
        <v>297.31</v>
      </c>
      <c r="Y71" s="6"/>
      <c r="Z71" s="6">
        <f ca="1">('TUSD BE'!$AM$12+'TUSD BF'!$AM$12+'TUSD CVA'!$AM$12)*1</f>
        <v>95.815448102611441</v>
      </c>
      <c r="AA71" s="6">
        <f>('TE BE'!$AB$6+'TE BF'!$AB$6+'TE CVA'!$AB$6)*1</f>
        <v>235.33989117487977</v>
      </c>
      <c r="AB71" s="6">
        <f>$K$71*$V$71</f>
        <v>0</v>
      </c>
      <c r="AC71" s="6">
        <f>$M$71*$W$71</f>
        <v>5919.7107200000009</v>
      </c>
      <c r="AD71" s="6">
        <f>$O$71*$X$71</f>
        <v>24698.136320000001</v>
      </c>
      <c r="AE71" s="6">
        <f>$K$71*$Y$71</f>
        <v>0</v>
      </c>
      <c r="AF71" s="6">
        <f ca="1">$M$71*$Z$71</f>
        <v>7959.5809047801376</v>
      </c>
      <c r="AG71" s="6">
        <f>$O$71*$AA$71</f>
        <v>19550.155439679613</v>
      </c>
    </row>
    <row r="72" spans="1:33" ht="11.25" customHeight="1" x14ac:dyDescent="0.25">
      <c r="A72" s="4" t="s">
        <v>55</v>
      </c>
      <c r="B72" s="4" t="s">
        <v>38</v>
      </c>
      <c r="C72" s="4" t="s">
        <v>39</v>
      </c>
      <c r="D72" s="4" t="s">
        <v>40</v>
      </c>
      <c r="E72" s="4" t="s">
        <v>25</v>
      </c>
      <c r="F72" s="4" t="s">
        <v>25</v>
      </c>
      <c r="G72" s="4" t="s">
        <v>25</v>
      </c>
      <c r="H72" s="4" t="s">
        <v>34</v>
      </c>
      <c r="I72" s="5">
        <v>44713</v>
      </c>
      <c r="J72" s="6">
        <v>0</v>
      </c>
      <c r="K72" s="6">
        <v>0</v>
      </c>
      <c r="L72" s="6">
        <v>109.345</v>
      </c>
      <c r="M72" s="6">
        <v>109.345</v>
      </c>
      <c r="N72" s="6">
        <v>109.345</v>
      </c>
      <c r="O72" s="6">
        <v>109.345</v>
      </c>
      <c r="P72" s="6">
        <v>0</v>
      </c>
      <c r="Q72" s="4" t="s">
        <v>26</v>
      </c>
      <c r="R72" s="4">
        <v>0</v>
      </c>
      <c r="S72" s="6">
        <v>0</v>
      </c>
      <c r="T72" s="6">
        <v>17</v>
      </c>
      <c r="U72" s="6">
        <v>78</v>
      </c>
      <c r="V72" s="6">
        <f>IF(ISERROR(VLOOKUP($S$72,'TAR FIN'!$A$1:$O$86,15,0)),0,VLOOKUP($S$72,'TAR FIN'!$A$1:$O$86,15,0))</f>
        <v>0</v>
      </c>
      <c r="W72" s="6">
        <f>IF(ISERROR(VLOOKUP($T$72,'TAR FIN'!$A$1:$O$86,15,0)),0,VLOOKUP($T$72,'TAR FIN'!$A$1:$O$86,15,0))</f>
        <v>71.260000000000005</v>
      </c>
      <c r="X72" s="6">
        <f>IF(ISERROR(VLOOKUP($U$72,'TAR FIN'!$A$1:$O$86,15,0)),0,VLOOKUP($U$72,'TAR FIN'!$A$1:$O$86,15,0))</f>
        <v>297.31</v>
      </c>
      <c r="Y72" s="6"/>
      <c r="Z72" s="6">
        <f ca="1">('TUSD BE'!$AM$12+'TUSD BF'!$AM$12+'TUSD CVA'!$AM$12)*1</f>
        <v>95.815448102611441</v>
      </c>
      <c r="AA72" s="6">
        <f>('TE BE'!$AB$6+'TE BF'!$AB$6+'TE CVA'!$AB$6)*1</f>
        <v>235.33989117487977</v>
      </c>
      <c r="AB72" s="6">
        <f>$K$72*$V$72</f>
        <v>0</v>
      </c>
      <c r="AC72" s="6">
        <f>$M$72*$W$72</f>
        <v>7791.9247000000005</v>
      </c>
      <c r="AD72" s="6">
        <f>$O$72*$X$72</f>
        <v>32509.361949999999</v>
      </c>
      <c r="AE72" s="6">
        <f>$K$72*$Y$72</f>
        <v>0</v>
      </c>
      <c r="AF72" s="6">
        <f ca="1">$M$72*$Z$72</f>
        <v>10476.940172780049</v>
      </c>
      <c r="AG72" s="6">
        <f>$O$72*$AA$72</f>
        <v>25733.240400517228</v>
      </c>
    </row>
    <row r="73" spans="1:33" ht="11.25" customHeight="1" x14ac:dyDescent="0.25">
      <c r="A73" s="4" t="s">
        <v>55</v>
      </c>
      <c r="B73" s="4" t="s">
        <v>38</v>
      </c>
      <c r="C73" s="4" t="s">
        <v>39</v>
      </c>
      <c r="D73" s="4" t="s">
        <v>40</v>
      </c>
      <c r="E73" s="4" t="s">
        <v>25</v>
      </c>
      <c r="F73" s="4" t="s">
        <v>25</v>
      </c>
      <c r="G73" s="4" t="s">
        <v>25</v>
      </c>
      <c r="H73" s="4" t="s">
        <v>34</v>
      </c>
      <c r="I73" s="5">
        <v>44713</v>
      </c>
      <c r="J73" s="6">
        <v>0</v>
      </c>
      <c r="K73" s="6">
        <v>0</v>
      </c>
      <c r="L73" s="6">
        <v>83.072000000000003</v>
      </c>
      <c r="M73" s="6">
        <v>83.072000000000003</v>
      </c>
      <c r="N73" s="6">
        <v>83.072000000000003</v>
      </c>
      <c r="O73" s="6">
        <v>83.072000000000003</v>
      </c>
      <c r="P73" s="6">
        <v>0</v>
      </c>
      <c r="Q73" s="4" t="s">
        <v>26</v>
      </c>
      <c r="R73" s="4">
        <v>0</v>
      </c>
      <c r="S73" s="6">
        <v>0</v>
      </c>
      <c r="T73" s="6">
        <v>17</v>
      </c>
      <c r="U73" s="6">
        <v>78</v>
      </c>
      <c r="V73" s="6">
        <f>IF(ISERROR(VLOOKUP($S$73,'TAR FIN'!$A$1:$O$86,15,0)),0,VLOOKUP($S$73,'TAR FIN'!$A$1:$O$86,15,0))</f>
        <v>0</v>
      </c>
      <c r="W73" s="6">
        <f>IF(ISERROR(VLOOKUP($T$73,'TAR FIN'!$A$1:$O$86,15,0)),0,VLOOKUP($T$73,'TAR FIN'!$A$1:$O$86,15,0))</f>
        <v>71.260000000000005</v>
      </c>
      <c r="X73" s="6">
        <f>IF(ISERROR(VLOOKUP($U$73,'TAR FIN'!$A$1:$O$86,15,0)),0,VLOOKUP($U$73,'TAR FIN'!$A$1:$O$86,15,0))</f>
        <v>297.31</v>
      </c>
      <c r="Y73" s="6"/>
      <c r="Z73" s="6">
        <f ca="1">('TUSD BE'!$AM$12+'TUSD BF'!$AM$12+'TUSD CVA'!$AM$12)*1</f>
        <v>95.815448102611441</v>
      </c>
      <c r="AA73" s="6">
        <f>('TE BE'!$AB$6+'TE BF'!$AB$6+'TE CVA'!$AB$6)*1</f>
        <v>235.33989117487977</v>
      </c>
      <c r="AB73" s="6">
        <f>$K$73*$V$73</f>
        <v>0</v>
      </c>
      <c r="AC73" s="6">
        <f>$M$73*$W$73</f>
        <v>5919.7107200000009</v>
      </c>
      <c r="AD73" s="6">
        <f>$O$73*$X$73</f>
        <v>24698.136320000001</v>
      </c>
      <c r="AE73" s="6">
        <f>$K$73*$Y$73</f>
        <v>0</v>
      </c>
      <c r="AF73" s="6">
        <f ca="1">$M$73*$Z$73</f>
        <v>7959.5809047801376</v>
      </c>
      <c r="AG73" s="6">
        <f>$O$73*$AA$73</f>
        <v>19550.155439679613</v>
      </c>
    </row>
    <row r="74" spans="1:33" ht="11.25" customHeight="1" x14ac:dyDescent="0.25">
      <c r="A74" s="4" t="s">
        <v>21</v>
      </c>
      <c r="B74" s="4" t="s">
        <v>38</v>
      </c>
      <c r="C74" s="4" t="s">
        <v>39</v>
      </c>
      <c r="D74" s="4" t="s">
        <v>40</v>
      </c>
      <c r="E74" s="4" t="s">
        <v>25</v>
      </c>
      <c r="F74" s="4" t="s">
        <v>25</v>
      </c>
      <c r="G74" s="4" t="s">
        <v>25</v>
      </c>
      <c r="H74" s="4" t="s">
        <v>25</v>
      </c>
      <c r="I74" s="5">
        <v>44378</v>
      </c>
      <c r="J74" s="6">
        <v>1028</v>
      </c>
      <c r="K74" s="6">
        <v>1028</v>
      </c>
      <c r="L74" s="6">
        <v>0</v>
      </c>
      <c r="M74" s="6">
        <v>0</v>
      </c>
      <c r="N74" s="6">
        <v>0</v>
      </c>
      <c r="O74" s="6">
        <v>0</v>
      </c>
      <c r="P74" s="6">
        <v>15</v>
      </c>
      <c r="Q74" s="4" t="s">
        <v>26</v>
      </c>
      <c r="R74" s="4">
        <v>0</v>
      </c>
      <c r="S74" s="6">
        <v>19</v>
      </c>
      <c r="T74" s="6">
        <v>0</v>
      </c>
      <c r="U74" s="6">
        <v>0</v>
      </c>
      <c r="V74" s="6">
        <f>IF(ISERROR(VLOOKUP($S$74,'TAR FIN'!$A$1:$O$86,15,0)),0,VLOOKUP($S$74,'TAR FIN'!$A$1:$O$86,15,0))</f>
        <v>16.29</v>
      </c>
      <c r="W74" s="6">
        <f>IF(ISERROR(VLOOKUP($T$74,'TAR FIN'!$A$1:$O$86,15,0)),0,VLOOKUP($T$74,'TAR FIN'!$A$1:$O$86,15,0))</f>
        <v>0</v>
      </c>
      <c r="X74" s="6">
        <f>IF(ISERROR(VLOOKUP($U$74,'TAR FIN'!$A$1:$O$86,15,0)),0,VLOOKUP($U$74,'TAR FIN'!$A$1:$O$86,15,0))</f>
        <v>0</v>
      </c>
      <c r="Y74" s="6">
        <f ca="1">('TUSD BE'!$AM$10+'TUSD BF'!$AM$10+'TUSD CVA'!$AM$10)*1</f>
        <v>21.139573525578484</v>
      </c>
      <c r="Z74" s="6"/>
      <c r="AA74" s="6"/>
      <c r="AB74" s="6">
        <f>$K$74*$V$74</f>
        <v>16746.12</v>
      </c>
      <c r="AC74" s="6">
        <f>$M$74*$W$74</f>
        <v>0</v>
      </c>
      <c r="AD74" s="6">
        <f>$O$74*$X$74</f>
        <v>0</v>
      </c>
      <c r="AE74" s="6">
        <f ca="1">$K$74*$Y$74</f>
        <v>21731.481584294681</v>
      </c>
      <c r="AF74" s="6">
        <f>$M$74*$Z$74</f>
        <v>0</v>
      </c>
      <c r="AG74" s="6">
        <f>$O$74*$AA$74</f>
        <v>0</v>
      </c>
    </row>
    <row r="75" spans="1:33" ht="11.25" customHeight="1" x14ac:dyDescent="0.25">
      <c r="A75" s="4" t="s">
        <v>27</v>
      </c>
      <c r="B75" s="4" t="s">
        <v>38</v>
      </c>
      <c r="C75" s="4" t="s">
        <v>39</v>
      </c>
      <c r="D75" s="4" t="s">
        <v>40</v>
      </c>
      <c r="E75" s="4" t="s">
        <v>25</v>
      </c>
      <c r="F75" s="4" t="s">
        <v>25</v>
      </c>
      <c r="G75" s="4" t="s">
        <v>25</v>
      </c>
      <c r="H75" s="4" t="s">
        <v>25</v>
      </c>
      <c r="I75" s="5">
        <v>44378</v>
      </c>
      <c r="J75" s="6">
        <v>1973</v>
      </c>
      <c r="K75" s="6">
        <v>1973</v>
      </c>
      <c r="L75" s="6">
        <v>0</v>
      </c>
      <c r="M75" s="6">
        <v>0</v>
      </c>
      <c r="N75" s="6">
        <v>0</v>
      </c>
      <c r="O75" s="6">
        <v>0</v>
      </c>
      <c r="P75" s="6">
        <v>11</v>
      </c>
      <c r="Q75" s="4" t="s">
        <v>26</v>
      </c>
      <c r="R75" s="4">
        <v>0</v>
      </c>
      <c r="S75" s="6">
        <v>19</v>
      </c>
      <c r="T75" s="6">
        <v>0</v>
      </c>
      <c r="U75" s="6">
        <v>0</v>
      </c>
      <c r="V75" s="6">
        <f>IF(ISERROR(VLOOKUP($S$75,'TAR FIN'!$A$1:$O$86,15,0)),0,VLOOKUP($S$75,'TAR FIN'!$A$1:$O$86,15,0))</f>
        <v>16.29</v>
      </c>
      <c r="W75" s="6">
        <f>IF(ISERROR(VLOOKUP($T$75,'TAR FIN'!$A$1:$O$86,15,0)),0,VLOOKUP($T$75,'TAR FIN'!$A$1:$O$86,15,0))</f>
        <v>0</v>
      </c>
      <c r="X75" s="6">
        <f>IF(ISERROR(VLOOKUP($U$75,'TAR FIN'!$A$1:$O$86,15,0)),0,VLOOKUP($U$75,'TAR FIN'!$A$1:$O$86,15,0))</f>
        <v>0</v>
      </c>
      <c r="Y75" s="6">
        <f ca="1">('TUSD BE'!$AM$10+'TUSD BF'!$AM$10+'TUSD CVA'!$AM$10)*1</f>
        <v>21.139573525578484</v>
      </c>
      <c r="Z75" s="6"/>
      <c r="AA75" s="6"/>
      <c r="AB75" s="6">
        <f>$K$75*$V$75</f>
        <v>32140.17</v>
      </c>
      <c r="AC75" s="6">
        <f>$M$75*$W$75</f>
        <v>0</v>
      </c>
      <c r="AD75" s="6">
        <f>$O$75*$X$75</f>
        <v>0</v>
      </c>
      <c r="AE75" s="6">
        <f ca="1">$K$75*$Y$75</f>
        <v>41708.378565966348</v>
      </c>
      <c r="AF75" s="6">
        <f>$M$75*$Z$75</f>
        <v>0</v>
      </c>
      <c r="AG75" s="6">
        <f>$O$75*$AA$75</f>
        <v>0</v>
      </c>
    </row>
    <row r="76" spans="1:33" ht="11.25" customHeight="1" x14ac:dyDescent="0.25">
      <c r="A76" s="4" t="s">
        <v>21</v>
      </c>
      <c r="B76" s="4" t="s">
        <v>38</v>
      </c>
      <c r="C76" s="4" t="s">
        <v>39</v>
      </c>
      <c r="D76" s="4" t="s">
        <v>40</v>
      </c>
      <c r="E76" s="4" t="s">
        <v>25</v>
      </c>
      <c r="F76" s="4" t="s">
        <v>25</v>
      </c>
      <c r="G76" s="4" t="s">
        <v>25</v>
      </c>
      <c r="H76" s="4" t="s">
        <v>25</v>
      </c>
      <c r="I76" s="5">
        <v>44409</v>
      </c>
      <c r="J76" s="6">
        <v>1974</v>
      </c>
      <c r="K76" s="6">
        <v>1974</v>
      </c>
      <c r="L76" s="6">
        <v>0</v>
      </c>
      <c r="M76" s="6">
        <v>0</v>
      </c>
      <c r="N76" s="6">
        <v>0</v>
      </c>
      <c r="O76" s="6">
        <v>0</v>
      </c>
      <c r="P76" s="6">
        <v>18</v>
      </c>
      <c r="Q76" s="4" t="s">
        <v>26</v>
      </c>
      <c r="R76" s="4">
        <v>0</v>
      </c>
      <c r="S76" s="6">
        <v>19</v>
      </c>
      <c r="T76" s="6">
        <v>0</v>
      </c>
      <c r="U76" s="6">
        <v>0</v>
      </c>
      <c r="V76" s="6">
        <f>IF(ISERROR(VLOOKUP($S$76,'TAR FIN'!$A$1:$O$86,15,0)),0,VLOOKUP($S$76,'TAR FIN'!$A$1:$O$86,15,0))</f>
        <v>16.29</v>
      </c>
      <c r="W76" s="6">
        <f>IF(ISERROR(VLOOKUP($T$76,'TAR FIN'!$A$1:$O$86,15,0)),0,VLOOKUP($T$76,'TAR FIN'!$A$1:$O$86,15,0))</f>
        <v>0</v>
      </c>
      <c r="X76" s="6">
        <f>IF(ISERROR(VLOOKUP($U$76,'TAR FIN'!$A$1:$O$86,15,0)),0,VLOOKUP($U$76,'TAR FIN'!$A$1:$O$86,15,0))</f>
        <v>0</v>
      </c>
      <c r="Y76" s="6">
        <f ca="1">('TUSD BE'!$AM$10+'TUSD BF'!$AM$10+'TUSD CVA'!$AM$10)*1</f>
        <v>21.139573525578484</v>
      </c>
      <c r="Z76" s="6"/>
      <c r="AA76" s="6"/>
      <c r="AB76" s="6">
        <f>$K$76*$V$76</f>
        <v>32156.46</v>
      </c>
      <c r="AC76" s="6">
        <f>$M$76*$W$76</f>
        <v>0</v>
      </c>
      <c r="AD76" s="6">
        <f>$O$76*$X$76</f>
        <v>0</v>
      </c>
      <c r="AE76" s="6">
        <f ca="1">$K$76*$Y$76</f>
        <v>41729.518139491927</v>
      </c>
      <c r="AF76" s="6">
        <f>$M$76*$Z$76</f>
        <v>0</v>
      </c>
      <c r="AG76" s="6">
        <f>$O$76*$AA$76</f>
        <v>0</v>
      </c>
    </row>
    <row r="77" spans="1:33" ht="11.25" customHeight="1" x14ac:dyDescent="0.25">
      <c r="A77" s="4" t="s">
        <v>27</v>
      </c>
      <c r="B77" s="4" t="s">
        <v>38</v>
      </c>
      <c r="C77" s="4" t="s">
        <v>39</v>
      </c>
      <c r="D77" s="4" t="s">
        <v>40</v>
      </c>
      <c r="E77" s="4" t="s">
        <v>25</v>
      </c>
      <c r="F77" s="4" t="s">
        <v>25</v>
      </c>
      <c r="G77" s="4" t="s">
        <v>25</v>
      </c>
      <c r="H77" s="4" t="s">
        <v>25</v>
      </c>
      <c r="I77" s="5">
        <v>44409</v>
      </c>
      <c r="J77" s="6">
        <v>1000</v>
      </c>
      <c r="K77" s="6">
        <v>1000</v>
      </c>
      <c r="L77" s="6">
        <v>0</v>
      </c>
      <c r="M77" s="6">
        <v>0</v>
      </c>
      <c r="N77" s="6">
        <v>0</v>
      </c>
      <c r="O77" s="6">
        <v>0</v>
      </c>
      <c r="P77" s="6">
        <v>8</v>
      </c>
      <c r="Q77" s="4" t="s">
        <v>26</v>
      </c>
      <c r="R77" s="4">
        <v>0</v>
      </c>
      <c r="S77" s="6">
        <v>19</v>
      </c>
      <c r="T77" s="6">
        <v>0</v>
      </c>
      <c r="U77" s="6">
        <v>0</v>
      </c>
      <c r="V77" s="6">
        <f>IF(ISERROR(VLOOKUP($S$77,'TAR FIN'!$A$1:$O$86,15,0)),0,VLOOKUP($S$77,'TAR FIN'!$A$1:$O$86,15,0))</f>
        <v>16.29</v>
      </c>
      <c r="W77" s="6">
        <f>IF(ISERROR(VLOOKUP($T$77,'TAR FIN'!$A$1:$O$86,15,0)),0,VLOOKUP($T$77,'TAR FIN'!$A$1:$O$86,15,0))</f>
        <v>0</v>
      </c>
      <c r="X77" s="6">
        <f>IF(ISERROR(VLOOKUP($U$77,'TAR FIN'!$A$1:$O$86,15,0)),0,VLOOKUP($U$77,'TAR FIN'!$A$1:$O$86,15,0))</f>
        <v>0</v>
      </c>
      <c r="Y77" s="6">
        <f ca="1">('TUSD BE'!$AM$10+'TUSD BF'!$AM$10+'TUSD CVA'!$AM$10)*1</f>
        <v>21.139573525578484</v>
      </c>
      <c r="Z77" s="6"/>
      <c r="AA77" s="6"/>
      <c r="AB77" s="6">
        <f>$K$77*$V$77</f>
        <v>16290</v>
      </c>
      <c r="AC77" s="6">
        <f>$M$77*$W$77</f>
        <v>0</v>
      </c>
      <c r="AD77" s="6">
        <f>$O$77*$X$77</f>
        <v>0</v>
      </c>
      <c r="AE77" s="6">
        <f ca="1">$K$77*$Y$77</f>
        <v>21139.573525578486</v>
      </c>
      <c r="AF77" s="6">
        <f>$M$77*$Z$77</f>
        <v>0</v>
      </c>
      <c r="AG77" s="6">
        <f>$O$77*$AA$77</f>
        <v>0</v>
      </c>
    </row>
    <row r="78" spans="1:33" ht="11.25" customHeight="1" x14ac:dyDescent="0.25">
      <c r="A78" s="4" t="s">
        <v>21</v>
      </c>
      <c r="B78" s="4" t="s">
        <v>38</v>
      </c>
      <c r="C78" s="4" t="s">
        <v>39</v>
      </c>
      <c r="D78" s="4" t="s">
        <v>40</v>
      </c>
      <c r="E78" s="4" t="s">
        <v>25</v>
      </c>
      <c r="F78" s="4" t="s">
        <v>25</v>
      </c>
      <c r="G78" s="4" t="s">
        <v>25</v>
      </c>
      <c r="H78" s="4" t="s">
        <v>25</v>
      </c>
      <c r="I78" s="5">
        <v>44440</v>
      </c>
      <c r="J78" s="6">
        <v>1463</v>
      </c>
      <c r="K78" s="6">
        <v>1463</v>
      </c>
      <c r="L78" s="6">
        <v>0</v>
      </c>
      <c r="M78" s="6">
        <v>0</v>
      </c>
      <c r="N78" s="6">
        <v>0</v>
      </c>
      <c r="O78" s="6">
        <v>0</v>
      </c>
      <c r="P78" s="6">
        <v>17</v>
      </c>
      <c r="Q78" s="4" t="s">
        <v>26</v>
      </c>
      <c r="R78" s="4">
        <v>0</v>
      </c>
      <c r="S78" s="6">
        <v>19</v>
      </c>
      <c r="T78" s="6">
        <v>0</v>
      </c>
      <c r="U78" s="6">
        <v>0</v>
      </c>
      <c r="V78" s="6">
        <f>IF(ISERROR(VLOOKUP($S$78,'TAR FIN'!$A$1:$O$86,15,0)),0,VLOOKUP($S$78,'TAR FIN'!$A$1:$O$86,15,0))</f>
        <v>16.29</v>
      </c>
      <c r="W78" s="6">
        <f>IF(ISERROR(VLOOKUP($T$78,'TAR FIN'!$A$1:$O$86,15,0)),0,VLOOKUP($T$78,'TAR FIN'!$A$1:$O$86,15,0))</f>
        <v>0</v>
      </c>
      <c r="X78" s="6">
        <f>IF(ISERROR(VLOOKUP($U$78,'TAR FIN'!$A$1:$O$86,15,0)),0,VLOOKUP($U$78,'TAR FIN'!$A$1:$O$86,15,0))</f>
        <v>0</v>
      </c>
      <c r="Y78" s="6">
        <f ca="1">('TUSD BE'!$AM$10+'TUSD BF'!$AM$10+'TUSD CVA'!$AM$10)*1</f>
        <v>21.139573525578484</v>
      </c>
      <c r="Z78" s="6"/>
      <c r="AA78" s="6"/>
      <c r="AB78" s="6">
        <f>$K$78*$V$78</f>
        <v>23832.27</v>
      </c>
      <c r="AC78" s="6">
        <f>$M$78*$W$78</f>
        <v>0</v>
      </c>
      <c r="AD78" s="6">
        <f>$O$78*$X$78</f>
        <v>0</v>
      </c>
      <c r="AE78" s="6">
        <f ca="1">$K$78*$Y$78</f>
        <v>30927.196067921323</v>
      </c>
      <c r="AF78" s="6">
        <f>$M$78*$Z$78</f>
        <v>0</v>
      </c>
      <c r="AG78" s="6">
        <f>$O$78*$AA$78</f>
        <v>0</v>
      </c>
    </row>
    <row r="79" spans="1:33" ht="11.25" customHeight="1" x14ac:dyDescent="0.25">
      <c r="A79" s="4" t="s">
        <v>27</v>
      </c>
      <c r="B79" s="4" t="s">
        <v>38</v>
      </c>
      <c r="C79" s="4" t="s">
        <v>39</v>
      </c>
      <c r="D79" s="4" t="s">
        <v>40</v>
      </c>
      <c r="E79" s="4" t="s">
        <v>25</v>
      </c>
      <c r="F79" s="4" t="s">
        <v>25</v>
      </c>
      <c r="G79" s="4" t="s">
        <v>25</v>
      </c>
      <c r="H79" s="4" t="s">
        <v>25</v>
      </c>
      <c r="I79" s="5">
        <v>44440</v>
      </c>
      <c r="J79" s="6">
        <v>1476</v>
      </c>
      <c r="K79" s="6">
        <v>1476</v>
      </c>
      <c r="L79" s="6">
        <v>0</v>
      </c>
      <c r="M79" s="6">
        <v>0</v>
      </c>
      <c r="N79" s="6">
        <v>0</v>
      </c>
      <c r="O79" s="6">
        <v>0</v>
      </c>
      <c r="P79" s="6">
        <v>9</v>
      </c>
      <c r="Q79" s="4" t="s">
        <v>26</v>
      </c>
      <c r="R79" s="4">
        <v>0</v>
      </c>
      <c r="S79" s="6">
        <v>19</v>
      </c>
      <c r="T79" s="6">
        <v>0</v>
      </c>
      <c r="U79" s="6">
        <v>0</v>
      </c>
      <c r="V79" s="6">
        <f>IF(ISERROR(VLOOKUP($S$79,'TAR FIN'!$A$1:$O$86,15,0)),0,VLOOKUP($S$79,'TAR FIN'!$A$1:$O$86,15,0))</f>
        <v>16.29</v>
      </c>
      <c r="W79" s="6">
        <f>IF(ISERROR(VLOOKUP($T$79,'TAR FIN'!$A$1:$O$86,15,0)),0,VLOOKUP($T$79,'TAR FIN'!$A$1:$O$86,15,0))</f>
        <v>0</v>
      </c>
      <c r="X79" s="6">
        <f>IF(ISERROR(VLOOKUP($U$79,'TAR FIN'!$A$1:$O$86,15,0)),0,VLOOKUP($U$79,'TAR FIN'!$A$1:$O$86,15,0))</f>
        <v>0</v>
      </c>
      <c r="Y79" s="6">
        <f ca="1">('TUSD BE'!$AM$10+'TUSD BF'!$AM$10+'TUSD CVA'!$AM$10)*1</f>
        <v>21.139573525578484</v>
      </c>
      <c r="Z79" s="6"/>
      <c r="AA79" s="6"/>
      <c r="AB79" s="6">
        <f>$K$79*$V$79</f>
        <v>24044.039999999997</v>
      </c>
      <c r="AC79" s="6">
        <f>$M$79*$W$79</f>
        <v>0</v>
      </c>
      <c r="AD79" s="6">
        <f>$O$79*$X$79</f>
        <v>0</v>
      </c>
      <c r="AE79" s="6">
        <f ca="1">$K$79*$Y$79</f>
        <v>31202.010523753841</v>
      </c>
      <c r="AF79" s="6">
        <f>$M$79*$Z$79</f>
        <v>0</v>
      </c>
      <c r="AG79" s="6">
        <f>$O$79*$AA$79</f>
        <v>0</v>
      </c>
    </row>
    <row r="80" spans="1:33" ht="11.25" customHeight="1" x14ac:dyDescent="0.25">
      <c r="A80" s="4" t="s">
        <v>21</v>
      </c>
      <c r="B80" s="4" t="s">
        <v>38</v>
      </c>
      <c r="C80" s="4" t="s">
        <v>39</v>
      </c>
      <c r="D80" s="4" t="s">
        <v>40</v>
      </c>
      <c r="E80" s="4" t="s">
        <v>25</v>
      </c>
      <c r="F80" s="4" t="s">
        <v>25</v>
      </c>
      <c r="G80" s="4" t="s">
        <v>25</v>
      </c>
      <c r="H80" s="4" t="s">
        <v>25</v>
      </c>
      <c r="I80" s="5">
        <v>44470</v>
      </c>
      <c r="J80" s="6">
        <v>997</v>
      </c>
      <c r="K80" s="6">
        <v>997</v>
      </c>
      <c r="L80" s="6">
        <v>0</v>
      </c>
      <c r="M80" s="6">
        <v>0</v>
      </c>
      <c r="N80" s="6">
        <v>0</v>
      </c>
      <c r="O80" s="6">
        <v>0</v>
      </c>
      <c r="P80" s="6">
        <v>15</v>
      </c>
      <c r="Q80" s="4" t="s">
        <v>26</v>
      </c>
      <c r="R80" s="4">
        <v>0</v>
      </c>
      <c r="S80" s="6">
        <v>19</v>
      </c>
      <c r="T80" s="6">
        <v>0</v>
      </c>
      <c r="U80" s="6">
        <v>0</v>
      </c>
      <c r="V80" s="6">
        <f>IF(ISERROR(VLOOKUP($S$80,'TAR FIN'!$A$1:$O$86,15,0)),0,VLOOKUP($S$80,'TAR FIN'!$A$1:$O$86,15,0))</f>
        <v>16.29</v>
      </c>
      <c r="W80" s="6">
        <f>IF(ISERROR(VLOOKUP($T$80,'TAR FIN'!$A$1:$O$86,15,0)),0,VLOOKUP($T$80,'TAR FIN'!$A$1:$O$86,15,0))</f>
        <v>0</v>
      </c>
      <c r="X80" s="6">
        <f>IF(ISERROR(VLOOKUP($U$80,'TAR FIN'!$A$1:$O$86,15,0)),0,VLOOKUP($U$80,'TAR FIN'!$A$1:$O$86,15,0))</f>
        <v>0</v>
      </c>
      <c r="Y80" s="6">
        <f ca="1">('TUSD BE'!$AM$10+'TUSD BF'!$AM$10+'TUSD CVA'!$AM$10)*1</f>
        <v>21.139573525578484</v>
      </c>
      <c r="Z80" s="6"/>
      <c r="AA80" s="6"/>
      <c r="AB80" s="6">
        <f>$K$80*$V$80</f>
        <v>16241.13</v>
      </c>
      <c r="AC80" s="6">
        <f>$M$80*$W$80</f>
        <v>0</v>
      </c>
      <c r="AD80" s="6">
        <f>$O$80*$X$80</f>
        <v>0</v>
      </c>
      <c r="AE80" s="6">
        <f ca="1">$K$80*$Y$80</f>
        <v>21076.154805001748</v>
      </c>
      <c r="AF80" s="6">
        <f>$M$80*$Z$80</f>
        <v>0</v>
      </c>
      <c r="AG80" s="6">
        <f>$O$80*$AA$80</f>
        <v>0</v>
      </c>
    </row>
    <row r="81" spans="1:33" ht="11.25" customHeight="1" x14ac:dyDescent="0.25">
      <c r="A81" s="4" t="s">
        <v>27</v>
      </c>
      <c r="B81" s="4" t="s">
        <v>38</v>
      </c>
      <c r="C81" s="4" t="s">
        <v>39</v>
      </c>
      <c r="D81" s="4" t="s">
        <v>40</v>
      </c>
      <c r="E81" s="4" t="s">
        <v>25</v>
      </c>
      <c r="F81" s="4" t="s">
        <v>25</v>
      </c>
      <c r="G81" s="4" t="s">
        <v>25</v>
      </c>
      <c r="H81" s="4" t="s">
        <v>25</v>
      </c>
      <c r="I81" s="5">
        <v>44470</v>
      </c>
      <c r="J81" s="6">
        <v>2263</v>
      </c>
      <c r="K81" s="6">
        <v>2263</v>
      </c>
      <c r="L81" s="6">
        <v>0</v>
      </c>
      <c r="M81" s="6">
        <v>0</v>
      </c>
      <c r="N81" s="6">
        <v>0</v>
      </c>
      <c r="O81" s="6">
        <v>0</v>
      </c>
      <c r="P81" s="6">
        <v>11</v>
      </c>
      <c r="Q81" s="4" t="s">
        <v>26</v>
      </c>
      <c r="R81" s="4">
        <v>0</v>
      </c>
      <c r="S81" s="6">
        <v>19</v>
      </c>
      <c r="T81" s="6">
        <v>0</v>
      </c>
      <c r="U81" s="6">
        <v>0</v>
      </c>
      <c r="V81" s="6">
        <f>IF(ISERROR(VLOOKUP($S$81,'TAR FIN'!$A$1:$O$86,15,0)),0,VLOOKUP($S$81,'TAR FIN'!$A$1:$O$86,15,0))</f>
        <v>16.29</v>
      </c>
      <c r="W81" s="6">
        <f>IF(ISERROR(VLOOKUP($T$81,'TAR FIN'!$A$1:$O$86,15,0)),0,VLOOKUP($T$81,'TAR FIN'!$A$1:$O$86,15,0))</f>
        <v>0</v>
      </c>
      <c r="X81" s="6">
        <f>IF(ISERROR(VLOOKUP($U$81,'TAR FIN'!$A$1:$O$86,15,0)),0,VLOOKUP($U$81,'TAR FIN'!$A$1:$O$86,15,0))</f>
        <v>0</v>
      </c>
      <c r="Y81" s="6">
        <f ca="1">('TUSD BE'!$AM$10+'TUSD BF'!$AM$10+'TUSD CVA'!$AM$10)*1</f>
        <v>21.139573525578484</v>
      </c>
      <c r="Z81" s="6"/>
      <c r="AA81" s="6"/>
      <c r="AB81" s="6">
        <f>$K$81*$V$81</f>
        <v>36864.269999999997</v>
      </c>
      <c r="AC81" s="6">
        <f>$M$81*$W$81</f>
        <v>0</v>
      </c>
      <c r="AD81" s="6">
        <f>$O$81*$X$81</f>
        <v>0</v>
      </c>
      <c r="AE81" s="6">
        <f ca="1">$K$81*$Y$81</f>
        <v>47838.854888384107</v>
      </c>
      <c r="AF81" s="6">
        <f>$M$81*$Z$81</f>
        <v>0</v>
      </c>
      <c r="AG81" s="6">
        <f>$O$81*$AA$81</f>
        <v>0</v>
      </c>
    </row>
    <row r="82" spans="1:33" ht="11.25" customHeight="1" x14ac:dyDescent="0.25">
      <c r="A82" s="4" t="s">
        <v>21</v>
      </c>
      <c r="B82" s="4" t="s">
        <v>38</v>
      </c>
      <c r="C82" s="4" t="s">
        <v>39</v>
      </c>
      <c r="D82" s="4" t="s">
        <v>40</v>
      </c>
      <c r="E82" s="4" t="s">
        <v>25</v>
      </c>
      <c r="F82" s="4" t="s">
        <v>25</v>
      </c>
      <c r="G82" s="4" t="s">
        <v>25</v>
      </c>
      <c r="H82" s="4" t="s">
        <v>25</v>
      </c>
      <c r="I82" s="5">
        <v>44501</v>
      </c>
      <c r="J82" s="6">
        <v>1977</v>
      </c>
      <c r="K82" s="6">
        <v>1977</v>
      </c>
      <c r="L82" s="6">
        <v>0</v>
      </c>
      <c r="M82" s="6">
        <v>0</v>
      </c>
      <c r="N82" s="6">
        <v>0</v>
      </c>
      <c r="O82" s="6">
        <v>0</v>
      </c>
      <c r="P82" s="6">
        <v>18</v>
      </c>
      <c r="Q82" s="4" t="s">
        <v>26</v>
      </c>
      <c r="R82" s="4">
        <v>0</v>
      </c>
      <c r="S82" s="6">
        <v>19</v>
      </c>
      <c r="T82" s="6">
        <v>0</v>
      </c>
      <c r="U82" s="6">
        <v>0</v>
      </c>
      <c r="V82" s="6">
        <f>IF(ISERROR(VLOOKUP($S$82,'TAR FIN'!$A$1:$O$86,15,0)),0,VLOOKUP($S$82,'TAR FIN'!$A$1:$O$86,15,0))</f>
        <v>16.29</v>
      </c>
      <c r="W82" s="6">
        <f>IF(ISERROR(VLOOKUP($T$82,'TAR FIN'!$A$1:$O$86,15,0)),0,VLOOKUP($T$82,'TAR FIN'!$A$1:$O$86,15,0))</f>
        <v>0</v>
      </c>
      <c r="X82" s="6">
        <f>IF(ISERROR(VLOOKUP($U$82,'TAR FIN'!$A$1:$O$86,15,0)),0,VLOOKUP($U$82,'TAR FIN'!$A$1:$O$86,15,0))</f>
        <v>0</v>
      </c>
      <c r="Y82" s="6">
        <f ca="1">('TUSD BE'!$AM$10+'TUSD BF'!$AM$10+'TUSD CVA'!$AM$10)*1</f>
        <v>21.139573525578484</v>
      </c>
      <c r="Z82" s="6"/>
      <c r="AA82" s="6"/>
      <c r="AB82" s="6">
        <f>$K$82*$V$82</f>
        <v>32205.329999999998</v>
      </c>
      <c r="AC82" s="6">
        <f>$M$82*$W$82</f>
        <v>0</v>
      </c>
      <c r="AD82" s="6">
        <f>$O$82*$X$82</f>
        <v>0</v>
      </c>
      <c r="AE82" s="6">
        <f ca="1">$K$82*$Y$82</f>
        <v>41792.936860068665</v>
      </c>
      <c r="AF82" s="6">
        <f>$M$82*$Z$82</f>
        <v>0</v>
      </c>
      <c r="AG82" s="6">
        <f>$O$82*$AA$82</f>
        <v>0</v>
      </c>
    </row>
    <row r="83" spans="1:33" ht="11.25" customHeight="1" x14ac:dyDescent="0.25">
      <c r="A83" s="4" t="s">
        <v>27</v>
      </c>
      <c r="B83" s="4" t="s">
        <v>38</v>
      </c>
      <c r="C83" s="4" t="s">
        <v>39</v>
      </c>
      <c r="D83" s="4" t="s">
        <v>40</v>
      </c>
      <c r="E83" s="4" t="s">
        <v>25</v>
      </c>
      <c r="F83" s="4" t="s">
        <v>25</v>
      </c>
      <c r="G83" s="4" t="s">
        <v>25</v>
      </c>
      <c r="H83" s="4" t="s">
        <v>25</v>
      </c>
      <c r="I83" s="5">
        <v>44501</v>
      </c>
      <c r="J83" s="6">
        <v>1146</v>
      </c>
      <c r="K83" s="6">
        <v>1146</v>
      </c>
      <c r="L83" s="6">
        <v>0</v>
      </c>
      <c r="M83" s="6">
        <v>0</v>
      </c>
      <c r="N83" s="6">
        <v>0</v>
      </c>
      <c r="O83" s="6">
        <v>0</v>
      </c>
      <c r="P83" s="6">
        <v>8</v>
      </c>
      <c r="Q83" s="4" t="s">
        <v>26</v>
      </c>
      <c r="R83" s="4">
        <v>0</v>
      </c>
      <c r="S83" s="6">
        <v>19</v>
      </c>
      <c r="T83" s="6">
        <v>0</v>
      </c>
      <c r="U83" s="6">
        <v>0</v>
      </c>
      <c r="V83" s="6">
        <f>IF(ISERROR(VLOOKUP($S$83,'TAR FIN'!$A$1:$O$86,15,0)),0,VLOOKUP($S$83,'TAR FIN'!$A$1:$O$86,15,0))</f>
        <v>16.29</v>
      </c>
      <c r="W83" s="6">
        <f>IF(ISERROR(VLOOKUP($T$83,'TAR FIN'!$A$1:$O$86,15,0)),0,VLOOKUP($T$83,'TAR FIN'!$A$1:$O$86,15,0))</f>
        <v>0</v>
      </c>
      <c r="X83" s="6">
        <f>IF(ISERROR(VLOOKUP($U$83,'TAR FIN'!$A$1:$O$86,15,0)),0,VLOOKUP($U$83,'TAR FIN'!$A$1:$O$86,15,0))</f>
        <v>0</v>
      </c>
      <c r="Y83" s="6">
        <f ca="1">('TUSD BE'!$AM$10+'TUSD BF'!$AM$10+'TUSD CVA'!$AM$10)*1</f>
        <v>21.139573525578484</v>
      </c>
      <c r="Z83" s="6"/>
      <c r="AA83" s="6"/>
      <c r="AB83" s="6">
        <f>$K$83*$V$83</f>
        <v>18668.34</v>
      </c>
      <c r="AC83" s="6">
        <f>$M$83*$W$83</f>
        <v>0</v>
      </c>
      <c r="AD83" s="6">
        <f>$O$83*$X$83</f>
        <v>0</v>
      </c>
      <c r="AE83" s="6">
        <f ca="1">$K$83*$Y$83</f>
        <v>24225.951260312944</v>
      </c>
      <c r="AF83" s="6">
        <f>$M$83*$Z$83</f>
        <v>0</v>
      </c>
      <c r="AG83" s="6">
        <f>$O$83*$AA$83</f>
        <v>0</v>
      </c>
    </row>
    <row r="84" spans="1:33" ht="11.25" customHeight="1" x14ac:dyDescent="0.25">
      <c r="A84" s="4" t="s">
        <v>21</v>
      </c>
      <c r="B84" s="4" t="s">
        <v>38</v>
      </c>
      <c r="C84" s="4" t="s">
        <v>39</v>
      </c>
      <c r="D84" s="4" t="s">
        <v>40</v>
      </c>
      <c r="E84" s="4" t="s">
        <v>25</v>
      </c>
      <c r="F84" s="4" t="s">
        <v>25</v>
      </c>
      <c r="G84" s="4" t="s">
        <v>25</v>
      </c>
      <c r="H84" s="4" t="s">
        <v>25</v>
      </c>
      <c r="I84" s="5">
        <v>44531</v>
      </c>
      <c r="J84" s="6">
        <v>2089</v>
      </c>
      <c r="K84" s="6">
        <v>2089</v>
      </c>
      <c r="L84" s="6">
        <v>0</v>
      </c>
      <c r="M84" s="6">
        <v>0</v>
      </c>
      <c r="N84" s="6">
        <v>0</v>
      </c>
      <c r="O84" s="6">
        <v>0</v>
      </c>
      <c r="P84" s="6">
        <v>20</v>
      </c>
      <c r="Q84" s="4" t="s">
        <v>26</v>
      </c>
      <c r="R84" s="4">
        <v>0</v>
      </c>
      <c r="S84" s="6">
        <v>19</v>
      </c>
      <c r="T84" s="6">
        <v>0</v>
      </c>
      <c r="U84" s="6">
        <v>0</v>
      </c>
      <c r="V84" s="6">
        <f>IF(ISERROR(VLOOKUP($S$84,'TAR FIN'!$A$1:$O$86,15,0)),0,VLOOKUP($S$84,'TAR FIN'!$A$1:$O$86,15,0))</f>
        <v>16.29</v>
      </c>
      <c r="W84" s="6">
        <f>IF(ISERROR(VLOOKUP($T$84,'TAR FIN'!$A$1:$O$86,15,0)),0,VLOOKUP($T$84,'TAR FIN'!$A$1:$O$86,15,0))</f>
        <v>0</v>
      </c>
      <c r="X84" s="6">
        <f>IF(ISERROR(VLOOKUP($U$84,'TAR FIN'!$A$1:$O$86,15,0)),0,VLOOKUP($U$84,'TAR FIN'!$A$1:$O$86,15,0))</f>
        <v>0</v>
      </c>
      <c r="Y84" s="6">
        <f ca="1">('TUSD BE'!$AM$10+'TUSD BF'!$AM$10+'TUSD CVA'!$AM$10)*1</f>
        <v>21.139573525578484</v>
      </c>
      <c r="Z84" s="6"/>
      <c r="AA84" s="6"/>
      <c r="AB84" s="6">
        <f>$K$84*$V$84</f>
        <v>34029.81</v>
      </c>
      <c r="AC84" s="6">
        <f>$M$84*$W$84</f>
        <v>0</v>
      </c>
      <c r="AD84" s="6">
        <f>$O$84*$X$84</f>
        <v>0</v>
      </c>
      <c r="AE84" s="6">
        <f ca="1">$K$84*$Y$84</f>
        <v>44160.569094933453</v>
      </c>
      <c r="AF84" s="6">
        <f>$M$84*$Z$84</f>
        <v>0</v>
      </c>
      <c r="AG84" s="6">
        <f>$O$84*$AA$84</f>
        <v>0</v>
      </c>
    </row>
    <row r="85" spans="1:33" ht="11.25" customHeight="1" x14ac:dyDescent="0.25">
      <c r="A85" s="4" t="s">
        <v>27</v>
      </c>
      <c r="B85" s="4" t="s">
        <v>38</v>
      </c>
      <c r="C85" s="4" t="s">
        <v>39</v>
      </c>
      <c r="D85" s="4" t="s">
        <v>40</v>
      </c>
      <c r="E85" s="4" t="s">
        <v>25</v>
      </c>
      <c r="F85" s="4" t="s">
        <v>25</v>
      </c>
      <c r="G85" s="4" t="s">
        <v>25</v>
      </c>
      <c r="H85" s="4" t="s">
        <v>25</v>
      </c>
      <c r="I85" s="5">
        <v>44531</v>
      </c>
      <c r="J85" s="6">
        <v>792</v>
      </c>
      <c r="K85" s="6">
        <v>792</v>
      </c>
      <c r="L85" s="6">
        <v>0</v>
      </c>
      <c r="M85" s="6">
        <v>0</v>
      </c>
      <c r="N85" s="6">
        <v>0</v>
      </c>
      <c r="O85" s="6">
        <v>0</v>
      </c>
      <c r="P85" s="6">
        <v>5</v>
      </c>
      <c r="Q85" s="4" t="s">
        <v>26</v>
      </c>
      <c r="R85" s="4">
        <v>0</v>
      </c>
      <c r="S85" s="6">
        <v>19</v>
      </c>
      <c r="T85" s="6">
        <v>0</v>
      </c>
      <c r="U85" s="6">
        <v>0</v>
      </c>
      <c r="V85" s="6">
        <f>IF(ISERROR(VLOOKUP($S$85,'TAR FIN'!$A$1:$O$86,15,0)),0,VLOOKUP($S$85,'TAR FIN'!$A$1:$O$86,15,0))</f>
        <v>16.29</v>
      </c>
      <c r="W85" s="6">
        <f>IF(ISERROR(VLOOKUP($T$85,'TAR FIN'!$A$1:$O$86,15,0)),0,VLOOKUP($T$85,'TAR FIN'!$A$1:$O$86,15,0))</f>
        <v>0</v>
      </c>
      <c r="X85" s="6">
        <f>IF(ISERROR(VLOOKUP($U$85,'TAR FIN'!$A$1:$O$86,15,0)),0,VLOOKUP($U$85,'TAR FIN'!$A$1:$O$86,15,0))</f>
        <v>0</v>
      </c>
      <c r="Y85" s="6">
        <f ca="1">('TUSD BE'!$AM$10+'TUSD BF'!$AM$10+'TUSD CVA'!$AM$10)*1</f>
        <v>21.139573525578484</v>
      </c>
      <c r="Z85" s="6"/>
      <c r="AA85" s="6"/>
      <c r="AB85" s="6">
        <f>$K$85*$V$85</f>
        <v>12901.679999999998</v>
      </c>
      <c r="AC85" s="6">
        <f>$M$85*$W$85</f>
        <v>0</v>
      </c>
      <c r="AD85" s="6">
        <f>$O$85*$X$85</f>
        <v>0</v>
      </c>
      <c r="AE85" s="6">
        <f ca="1">$K$85*$Y$85</f>
        <v>16742.542232258158</v>
      </c>
      <c r="AF85" s="6">
        <f>$M$85*$Z$85</f>
        <v>0</v>
      </c>
      <c r="AG85" s="6">
        <f>$O$85*$AA$85</f>
        <v>0</v>
      </c>
    </row>
    <row r="86" spans="1:33" ht="11.25" customHeight="1" x14ac:dyDescent="0.25">
      <c r="A86" s="4" t="s">
        <v>21</v>
      </c>
      <c r="B86" s="4" t="s">
        <v>38</v>
      </c>
      <c r="C86" s="4" t="s">
        <v>39</v>
      </c>
      <c r="D86" s="4" t="s">
        <v>40</v>
      </c>
      <c r="E86" s="4" t="s">
        <v>25</v>
      </c>
      <c r="F86" s="4" t="s">
        <v>25</v>
      </c>
      <c r="G86" s="4" t="s">
        <v>25</v>
      </c>
      <c r="H86" s="4" t="s">
        <v>25</v>
      </c>
      <c r="I86" s="5">
        <v>44562</v>
      </c>
      <c r="J86" s="6">
        <v>2564</v>
      </c>
      <c r="K86" s="6">
        <v>2564</v>
      </c>
      <c r="L86" s="6">
        <v>0</v>
      </c>
      <c r="M86" s="6">
        <v>0</v>
      </c>
      <c r="N86" s="6">
        <v>0</v>
      </c>
      <c r="O86" s="6">
        <v>0</v>
      </c>
      <c r="P86" s="6">
        <v>22</v>
      </c>
      <c r="Q86" s="4" t="s">
        <v>26</v>
      </c>
      <c r="R86" s="4">
        <v>0</v>
      </c>
      <c r="S86" s="6">
        <v>19</v>
      </c>
      <c r="T86" s="6">
        <v>0</v>
      </c>
      <c r="U86" s="6">
        <v>0</v>
      </c>
      <c r="V86" s="6">
        <f>IF(ISERROR(VLOOKUP($S$86,'TAR FIN'!$A$1:$O$86,15,0)),0,VLOOKUP($S$86,'TAR FIN'!$A$1:$O$86,15,0))</f>
        <v>16.29</v>
      </c>
      <c r="W86" s="6">
        <f>IF(ISERROR(VLOOKUP($T$86,'TAR FIN'!$A$1:$O$86,15,0)),0,VLOOKUP($T$86,'TAR FIN'!$A$1:$O$86,15,0))</f>
        <v>0</v>
      </c>
      <c r="X86" s="6">
        <f>IF(ISERROR(VLOOKUP($U$86,'TAR FIN'!$A$1:$O$86,15,0)),0,VLOOKUP($U$86,'TAR FIN'!$A$1:$O$86,15,0))</f>
        <v>0</v>
      </c>
      <c r="Y86" s="6">
        <f ca="1">('TUSD BE'!$AM$10+'TUSD BF'!$AM$10+'TUSD CVA'!$AM$10)*1</f>
        <v>21.139573525578484</v>
      </c>
      <c r="Z86" s="6"/>
      <c r="AA86" s="6"/>
      <c r="AB86" s="6">
        <f>$K$86*$V$86</f>
        <v>41767.56</v>
      </c>
      <c r="AC86" s="6">
        <f>$M$86*$W$86</f>
        <v>0</v>
      </c>
      <c r="AD86" s="6">
        <f>$O$86*$X$86</f>
        <v>0</v>
      </c>
      <c r="AE86" s="6">
        <f ca="1">$K$86*$Y$86</f>
        <v>54201.866519583236</v>
      </c>
      <c r="AF86" s="6">
        <f>$M$86*$Z$86</f>
        <v>0</v>
      </c>
      <c r="AG86" s="6">
        <f>$O$86*$AA$86</f>
        <v>0</v>
      </c>
    </row>
    <row r="87" spans="1:33" ht="11.25" customHeight="1" x14ac:dyDescent="0.25">
      <c r="A87" s="4" t="s">
        <v>27</v>
      </c>
      <c r="B87" s="4" t="s">
        <v>38</v>
      </c>
      <c r="C87" s="4" t="s">
        <v>39</v>
      </c>
      <c r="D87" s="4" t="s">
        <v>40</v>
      </c>
      <c r="E87" s="4" t="s">
        <v>25</v>
      </c>
      <c r="F87" s="4" t="s">
        <v>25</v>
      </c>
      <c r="G87" s="4" t="s">
        <v>25</v>
      </c>
      <c r="H87" s="4" t="s">
        <v>25</v>
      </c>
      <c r="I87" s="5">
        <v>44562</v>
      </c>
      <c r="J87" s="6">
        <v>610</v>
      </c>
      <c r="K87" s="6">
        <v>610</v>
      </c>
      <c r="L87" s="6">
        <v>0</v>
      </c>
      <c r="M87" s="6">
        <v>0</v>
      </c>
      <c r="N87" s="6">
        <v>0</v>
      </c>
      <c r="O87" s="6">
        <v>0</v>
      </c>
      <c r="P87" s="6">
        <v>3</v>
      </c>
      <c r="Q87" s="4" t="s">
        <v>26</v>
      </c>
      <c r="R87" s="4">
        <v>0</v>
      </c>
      <c r="S87" s="6">
        <v>19</v>
      </c>
      <c r="T87" s="6">
        <v>0</v>
      </c>
      <c r="U87" s="6">
        <v>0</v>
      </c>
      <c r="V87" s="6">
        <f>IF(ISERROR(VLOOKUP($S$87,'TAR FIN'!$A$1:$O$86,15,0)),0,VLOOKUP($S$87,'TAR FIN'!$A$1:$O$86,15,0))</f>
        <v>16.29</v>
      </c>
      <c r="W87" s="6">
        <f>IF(ISERROR(VLOOKUP($T$87,'TAR FIN'!$A$1:$O$86,15,0)),0,VLOOKUP($T$87,'TAR FIN'!$A$1:$O$86,15,0))</f>
        <v>0</v>
      </c>
      <c r="X87" s="6">
        <f>IF(ISERROR(VLOOKUP($U$87,'TAR FIN'!$A$1:$O$86,15,0)),0,VLOOKUP($U$87,'TAR FIN'!$A$1:$O$86,15,0))</f>
        <v>0</v>
      </c>
      <c r="Y87" s="6">
        <f ca="1">('TUSD BE'!$AM$10+'TUSD BF'!$AM$10+'TUSD CVA'!$AM$10)*1</f>
        <v>21.139573525578484</v>
      </c>
      <c r="Z87" s="6"/>
      <c r="AA87" s="6"/>
      <c r="AB87" s="6">
        <f>$K$87*$V$87</f>
        <v>9936.9</v>
      </c>
      <c r="AC87" s="6">
        <f>$M$87*$W$87</f>
        <v>0</v>
      </c>
      <c r="AD87" s="6">
        <f>$O$87*$X$87</f>
        <v>0</v>
      </c>
      <c r="AE87" s="6">
        <f ca="1">$K$87*$Y$87</f>
        <v>12895.139850602875</v>
      </c>
      <c r="AF87" s="6">
        <f>$M$87*$Z$87</f>
        <v>0</v>
      </c>
      <c r="AG87" s="6">
        <f>$O$87*$AA$87</f>
        <v>0</v>
      </c>
    </row>
    <row r="88" spans="1:33" ht="11.25" customHeight="1" x14ac:dyDescent="0.25">
      <c r="A88" s="4" t="s">
        <v>21</v>
      </c>
      <c r="B88" s="4" t="s">
        <v>38</v>
      </c>
      <c r="C88" s="4" t="s">
        <v>39</v>
      </c>
      <c r="D88" s="4" t="s">
        <v>40</v>
      </c>
      <c r="E88" s="4" t="s">
        <v>25</v>
      </c>
      <c r="F88" s="4" t="s">
        <v>25</v>
      </c>
      <c r="G88" s="4" t="s">
        <v>25</v>
      </c>
      <c r="H88" s="4" t="s">
        <v>25</v>
      </c>
      <c r="I88" s="5">
        <v>44593</v>
      </c>
      <c r="J88" s="6">
        <v>2362</v>
      </c>
      <c r="K88" s="6">
        <v>2362</v>
      </c>
      <c r="L88" s="6">
        <v>0</v>
      </c>
      <c r="M88" s="6">
        <v>0</v>
      </c>
      <c r="N88" s="6">
        <v>0</v>
      </c>
      <c r="O88" s="6">
        <v>0</v>
      </c>
      <c r="P88" s="6">
        <v>22</v>
      </c>
      <c r="Q88" s="4" t="s">
        <v>26</v>
      </c>
      <c r="R88" s="4">
        <v>0</v>
      </c>
      <c r="S88" s="6">
        <v>19</v>
      </c>
      <c r="T88" s="6">
        <v>0</v>
      </c>
      <c r="U88" s="6">
        <v>0</v>
      </c>
      <c r="V88" s="6">
        <f>IF(ISERROR(VLOOKUP($S$88,'TAR FIN'!$A$1:$O$86,15,0)),0,VLOOKUP($S$88,'TAR FIN'!$A$1:$O$86,15,0))</f>
        <v>16.29</v>
      </c>
      <c r="W88" s="6">
        <f>IF(ISERROR(VLOOKUP($T$88,'TAR FIN'!$A$1:$O$86,15,0)),0,VLOOKUP($T$88,'TAR FIN'!$A$1:$O$86,15,0))</f>
        <v>0</v>
      </c>
      <c r="X88" s="6">
        <f>IF(ISERROR(VLOOKUP($U$88,'TAR FIN'!$A$1:$O$86,15,0)),0,VLOOKUP($U$88,'TAR FIN'!$A$1:$O$86,15,0))</f>
        <v>0</v>
      </c>
      <c r="Y88" s="6">
        <f ca="1">('TUSD BE'!$AM$10+'TUSD BF'!$AM$10+'TUSD CVA'!$AM$10)*1</f>
        <v>21.139573525578484</v>
      </c>
      <c r="Z88" s="6"/>
      <c r="AA88" s="6"/>
      <c r="AB88" s="6">
        <f>$K$88*$V$88</f>
        <v>38476.979999999996</v>
      </c>
      <c r="AC88" s="6">
        <f>$M$88*$W$88</f>
        <v>0</v>
      </c>
      <c r="AD88" s="6">
        <f>$O$88*$X$88</f>
        <v>0</v>
      </c>
      <c r="AE88" s="6">
        <f ca="1">$K$88*$Y$88</f>
        <v>49931.67266741638</v>
      </c>
      <c r="AF88" s="6">
        <f>$M$88*$Z$88</f>
        <v>0</v>
      </c>
      <c r="AG88" s="6">
        <f>$O$88*$AA$88</f>
        <v>0</v>
      </c>
    </row>
    <row r="89" spans="1:33" ht="11.25" customHeight="1" x14ac:dyDescent="0.25">
      <c r="A89" s="4" t="s">
        <v>27</v>
      </c>
      <c r="B89" s="4" t="s">
        <v>38</v>
      </c>
      <c r="C89" s="4" t="s">
        <v>39</v>
      </c>
      <c r="D89" s="4" t="s">
        <v>40</v>
      </c>
      <c r="E89" s="4" t="s">
        <v>25</v>
      </c>
      <c r="F89" s="4" t="s">
        <v>25</v>
      </c>
      <c r="G89" s="4" t="s">
        <v>25</v>
      </c>
      <c r="H89" s="4" t="s">
        <v>25</v>
      </c>
      <c r="I89" s="5">
        <v>44593</v>
      </c>
      <c r="J89" s="6">
        <v>578</v>
      </c>
      <c r="K89" s="6">
        <v>578</v>
      </c>
      <c r="L89" s="6">
        <v>0</v>
      </c>
      <c r="M89" s="6">
        <v>0</v>
      </c>
      <c r="N89" s="6">
        <v>0</v>
      </c>
      <c r="O89" s="6">
        <v>0</v>
      </c>
      <c r="P89" s="6">
        <v>3</v>
      </c>
      <c r="Q89" s="4" t="s">
        <v>26</v>
      </c>
      <c r="R89" s="4">
        <v>0</v>
      </c>
      <c r="S89" s="6">
        <v>19</v>
      </c>
      <c r="T89" s="6">
        <v>0</v>
      </c>
      <c r="U89" s="6">
        <v>0</v>
      </c>
      <c r="V89" s="6">
        <f>IF(ISERROR(VLOOKUP($S$89,'TAR FIN'!$A$1:$O$86,15,0)),0,VLOOKUP($S$89,'TAR FIN'!$A$1:$O$86,15,0))</f>
        <v>16.29</v>
      </c>
      <c r="W89" s="6">
        <f>IF(ISERROR(VLOOKUP($T$89,'TAR FIN'!$A$1:$O$86,15,0)),0,VLOOKUP($T$89,'TAR FIN'!$A$1:$O$86,15,0))</f>
        <v>0</v>
      </c>
      <c r="X89" s="6">
        <f>IF(ISERROR(VLOOKUP($U$89,'TAR FIN'!$A$1:$O$86,15,0)),0,VLOOKUP($U$89,'TAR FIN'!$A$1:$O$86,15,0))</f>
        <v>0</v>
      </c>
      <c r="Y89" s="6">
        <f ca="1">('TUSD BE'!$AM$10+'TUSD BF'!$AM$10+'TUSD CVA'!$AM$10)*1</f>
        <v>21.139573525578484</v>
      </c>
      <c r="Z89" s="6"/>
      <c r="AA89" s="6"/>
      <c r="AB89" s="6">
        <f>$K$89*$V$89</f>
        <v>9415.619999999999</v>
      </c>
      <c r="AC89" s="6">
        <f>$M$89*$W$89</f>
        <v>0</v>
      </c>
      <c r="AD89" s="6">
        <f>$O$89*$X$89</f>
        <v>0</v>
      </c>
      <c r="AE89" s="6">
        <f ca="1">$K$89*$Y$89</f>
        <v>12218.673497784364</v>
      </c>
      <c r="AF89" s="6">
        <f>$M$89*$Z$89</f>
        <v>0</v>
      </c>
      <c r="AG89" s="6">
        <f>$O$89*$AA$89</f>
        <v>0</v>
      </c>
    </row>
    <row r="90" spans="1:33" ht="11.25" customHeight="1" x14ac:dyDescent="0.25">
      <c r="A90" s="4" t="s">
        <v>21</v>
      </c>
      <c r="B90" s="4" t="s">
        <v>38</v>
      </c>
      <c r="C90" s="4" t="s">
        <v>39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25</v>
      </c>
      <c r="I90" s="5">
        <v>44621</v>
      </c>
      <c r="J90" s="6">
        <v>2379</v>
      </c>
      <c r="K90" s="6">
        <v>2379</v>
      </c>
      <c r="L90" s="6">
        <v>0</v>
      </c>
      <c r="M90" s="6">
        <v>0</v>
      </c>
      <c r="N90" s="6">
        <v>0</v>
      </c>
      <c r="O90" s="6">
        <v>0</v>
      </c>
      <c r="P90" s="6">
        <v>22</v>
      </c>
      <c r="Q90" s="4" t="s">
        <v>26</v>
      </c>
      <c r="R90" s="4">
        <v>0</v>
      </c>
      <c r="S90" s="6">
        <v>19</v>
      </c>
      <c r="T90" s="6">
        <v>0</v>
      </c>
      <c r="U90" s="6">
        <v>0</v>
      </c>
      <c r="V90" s="6">
        <f>IF(ISERROR(VLOOKUP($S$90,'TAR FIN'!$A$1:$O$86,15,0)),0,VLOOKUP($S$90,'TAR FIN'!$A$1:$O$86,15,0))</f>
        <v>16.29</v>
      </c>
      <c r="W90" s="6">
        <f>IF(ISERROR(VLOOKUP($T$90,'TAR FIN'!$A$1:$O$86,15,0)),0,VLOOKUP($T$90,'TAR FIN'!$A$1:$O$86,15,0))</f>
        <v>0</v>
      </c>
      <c r="X90" s="6">
        <f>IF(ISERROR(VLOOKUP($U$90,'TAR FIN'!$A$1:$O$86,15,0)),0,VLOOKUP($U$90,'TAR FIN'!$A$1:$O$86,15,0))</f>
        <v>0</v>
      </c>
      <c r="Y90" s="6">
        <f ca="1">('TUSD BE'!$AM$10+'TUSD BF'!$AM$10+'TUSD CVA'!$AM$10)*1</f>
        <v>21.139573525578484</v>
      </c>
      <c r="Z90" s="6"/>
      <c r="AA90" s="6"/>
      <c r="AB90" s="6">
        <f>$K$90*$V$90</f>
        <v>38753.909999999996</v>
      </c>
      <c r="AC90" s="6">
        <f>$M$90*$W$90</f>
        <v>0</v>
      </c>
      <c r="AD90" s="6">
        <f>$O$90*$X$90</f>
        <v>0</v>
      </c>
      <c r="AE90" s="6">
        <f ca="1">$K$90*$Y$90</f>
        <v>50291.045417351212</v>
      </c>
      <c r="AF90" s="6">
        <f>$M$90*$Z$90</f>
        <v>0</v>
      </c>
      <c r="AG90" s="6">
        <f>$O$90*$AA$90</f>
        <v>0</v>
      </c>
    </row>
    <row r="91" spans="1:33" ht="11.25" customHeight="1" x14ac:dyDescent="0.25">
      <c r="A91" s="4" t="s">
        <v>27</v>
      </c>
      <c r="B91" s="4" t="s">
        <v>38</v>
      </c>
      <c r="C91" s="4" t="s">
        <v>39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25</v>
      </c>
      <c r="I91" s="5">
        <v>44621</v>
      </c>
      <c r="J91" s="6">
        <v>622</v>
      </c>
      <c r="K91" s="6">
        <v>622</v>
      </c>
      <c r="L91" s="6">
        <v>0</v>
      </c>
      <c r="M91" s="6">
        <v>0</v>
      </c>
      <c r="N91" s="6">
        <v>0</v>
      </c>
      <c r="O91" s="6">
        <v>0</v>
      </c>
      <c r="P91" s="6">
        <v>4</v>
      </c>
      <c r="Q91" s="4" t="s">
        <v>26</v>
      </c>
      <c r="R91" s="4">
        <v>0</v>
      </c>
      <c r="S91" s="6">
        <v>19</v>
      </c>
      <c r="T91" s="6">
        <v>0</v>
      </c>
      <c r="U91" s="6">
        <v>0</v>
      </c>
      <c r="V91" s="6">
        <f>IF(ISERROR(VLOOKUP($S$91,'TAR FIN'!$A$1:$O$86,15,0)),0,VLOOKUP($S$91,'TAR FIN'!$A$1:$O$86,15,0))</f>
        <v>16.29</v>
      </c>
      <c r="W91" s="6">
        <f>IF(ISERROR(VLOOKUP($T$91,'TAR FIN'!$A$1:$O$86,15,0)),0,VLOOKUP($T$91,'TAR FIN'!$A$1:$O$86,15,0))</f>
        <v>0</v>
      </c>
      <c r="X91" s="6">
        <f>IF(ISERROR(VLOOKUP($U$91,'TAR FIN'!$A$1:$O$86,15,0)),0,VLOOKUP($U$91,'TAR FIN'!$A$1:$O$86,15,0))</f>
        <v>0</v>
      </c>
      <c r="Y91" s="6">
        <f ca="1">('TUSD BE'!$AM$10+'TUSD BF'!$AM$10+'TUSD CVA'!$AM$10)*1</f>
        <v>21.139573525578484</v>
      </c>
      <c r="Z91" s="6"/>
      <c r="AA91" s="6"/>
      <c r="AB91" s="6">
        <f>$K$91*$V$91</f>
        <v>10132.379999999999</v>
      </c>
      <c r="AC91" s="6">
        <f>$M$91*$W$91</f>
        <v>0</v>
      </c>
      <c r="AD91" s="6">
        <f>$O$91*$X$91</f>
        <v>0</v>
      </c>
      <c r="AE91" s="6">
        <f ca="1">$K$91*$Y$91</f>
        <v>13148.814732909817</v>
      </c>
      <c r="AF91" s="6">
        <f>$M$91*$Z$91</f>
        <v>0</v>
      </c>
      <c r="AG91" s="6">
        <f>$O$91*$AA$91</f>
        <v>0</v>
      </c>
    </row>
    <row r="92" spans="1:33" ht="11.25" customHeight="1" x14ac:dyDescent="0.25">
      <c r="A92" s="4" t="s">
        <v>21</v>
      </c>
      <c r="B92" s="4" t="s">
        <v>38</v>
      </c>
      <c r="C92" s="4" t="s">
        <v>39</v>
      </c>
      <c r="D92" s="4" t="s">
        <v>40</v>
      </c>
      <c r="E92" s="4" t="s">
        <v>25</v>
      </c>
      <c r="F92" s="4" t="s">
        <v>25</v>
      </c>
      <c r="G92" s="4" t="s">
        <v>25</v>
      </c>
      <c r="H92" s="4" t="s">
        <v>25</v>
      </c>
      <c r="I92" s="5">
        <v>44652</v>
      </c>
      <c r="J92" s="6">
        <v>894</v>
      </c>
      <c r="K92" s="6">
        <v>894</v>
      </c>
      <c r="L92" s="6">
        <v>0</v>
      </c>
      <c r="M92" s="6">
        <v>0</v>
      </c>
      <c r="N92" s="6">
        <v>0</v>
      </c>
      <c r="O92" s="6">
        <v>0</v>
      </c>
      <c r="P92" s="6">
        <v>14</v>
      </c>
      <c r="Q92" s="4" t="s">
        <v>26</v>
      </c>
      <c r="R92" s="4">
        <v>0</v>
      </c>
      <c r="S92" s="6">
        <v>19</v>
      </c>
      <c r="T92" s="6">
        <v>0</v>
      </c>
      <c r="U92" s="6">
        <v>0</v>
      </c>
      <c r="V92" s="6">
        <f>IF(ISERROR(VLOOKUP($S$92,'TAR FIN'!$A$1:$O$86,15,0)),0,VLOOKUP($S$92,'TAR FIN'!$A$1:$O$86,15,0))</f>
        <v>16.29</v>
      </c>
      <c r="W92" s="6">
        <f>IF(ISERROR(VLOOKUP($T$92,'TAR FIN'!$A$1:$O$86,15,0)),0,VLOOKUP($T$92,'TAR FIN'!$A$1:$O$86,15,0))</f>
        <v>0</v>
      </c>
      <c r="X92" s="6">
        <f>IF(ISERROR(VLOOKUP($U$92,'TAR FIN'!$A$1:$O$86,15,0)),0,VLOOKUP($U$92,'TAR FIN'!$A$1:$O$86,15,0))</f>
        <v>0</v>
      </c>
      <c r="Y92" s="6">
        <f ca="1">('TUSD BE'!$AM$10+'TUSD BF'!$AM$10+'TUSD CVA'!$AM$10)*1</f>
        <v>21.139573525578484</v>
      </c>
      <c r="Z92" s="6"/>
      <c r="AA92" s="6"/>
      <c r="AB92" s="6">
        <f>$K$92*$V$92</f>
        <v>14563.259999999998</v>
      </c>
      <c r="AC92" s="6">
        <f>$M$92*$W$92</f>
        <v>0</v>
      </c>
      <c r="AD92" s="6">
        <f>$O$92*$X$92</f>
        <v>0</v>
      </c>
      <c r="AE92" s="6">
        <f ca="1">$K$92*$Y$92</f>
        <v>18898.778731867165</v>
      </c>
      <c r="AF92" s="6">
        <f>$M$92*$Z$92</f>
        <v>0</v>
      </c>
      <c r="AG92" s="6">
        <f>$O$92*$AA$92</f>
        <v>0</v>
      </c>
    </row>
    <row r="93" spans="1:33" ht="11.25" customHeight="1" x14ac:dyDescent="0.25">
      <c r="A93" s="4" t="s">
        <v>27</v>
      </c>
      <c r="B93" s="4" t="s">
        <v>38</v>
      </c>
      <c r="C93" s="4" t="s">
        <v>39</v>
      </c>
      <c r="D93" s="4" t="s">
        <v>40</v>
      </c>
      <c r="E93" s="4" t="s">
        <v>25</v>
      </c>
      <c r="F93" s="4" t="s">
        <v>25</v>
      </c>
      <c r="G93" s="4" t="s">
        <v>25</v>
      </c>
      <c r="H93" s="4" t="s">
        <v>25</v>
      </c>
      <c r="I93" s="5">
        <v>44652</v>
      </c>
      <c r="J93" s="6">
        <v>2347</v>
      </c>
      <c r="K93" s="6">
        <v>2347</v>
      </c>
      <c r="L93" s="6">
        <v>0</v>
      </c>
      <c r="M93" s="6">
        <v>0</v>
      </c>
      <c r="N93" s="6">
        <v>0</v>
      </c>
      <c r="O93" s="6">
        <v>0</v>
      </c>
      <c r="P93" s="6">
        <v>12</v>
      </c>
      <c r="Q93" s="4" t="s">
        <v>26</v>
      </c>
      <c r="R93" s="4">
        <v>0</v>
      </c>
      <c r="S93" s="6">
        <v>19</v>
      </c>
      <c r="T93" s="6">
        <v>0</v>
      </c>
      <c r="U93" s="6">
        <v>0</v>
      </c>
      <c r="V93" s="6">
        <f>IF(ISERROR(VLOOKUP($S$93,'TAR FIN'!$A$1:$O$86,15,0)),0,VLOOKUP($S$93,'TAR FIN'!$A$1:$O$86,15,0))</f>
        <v>16.29</v>
      </c>
      <c r="W93" s="6">
        <f>IF(ISERROR(VLOOKUP($T$93,'TAR FIN'!$A$1:$O$86,15,0)),0,VLOOKUP($T$93,'TAR FIN'!$A$1:$O$86,15,0))</f>
        <v>0</v>
      </c>
      <c r="X93" s="6">
        <f>IF(ISERROR(VLOOKUP($U$93,'TAR FIN'!$A$1:$O$86,15,0)),0,VLOOKUP($U$93,'TAR FIN'!$A$1:$O$86,15,0))</f>
        <v>0</v>
      </c>
      <c r="Y93" s="6">
        <f ca="1">('TUSD BE'!$AM$10+'TUSD BF'!$AM$10+'TUSD CVA'!$AM$10)*1</f>
        <v>21.139573525578484</v>
      </c>
      <c r="Z93" s="6"/>
      <c r="AA93" s="6"/>
      <c r="AB93" s="6">
        <f>$K$93*$V$93</f>
        <v>38232.629999999997</v>
      </c>
      <c r="AC93" s="6">
        <f>$M$93*$W$93</f>
        <v>0</v>
      </c>
      <c r="AD93" s="6">
        <f>$O$93*$X$93</f>
        <v>0</v>
      </c>
      <c r="AE93" s="6">
        <f ca="1">$K$93*$Y$93</f>
        <v>49614.5790645327</v>
      </c>
      <c r="AF93" s="6">
        <f>$M$93*$Z$93</f>
        <v>0</v>
      </c>
      <c r="AG93" s="6">
        <f>$O$93*$AA$93</f>
        <v>0</v>
      </c>
    </row>
    <row r="94" spans="1:33" ht="11.25" customHeight="1" x14ac:dyDescent="0.25">
      <c r="A94" s="4" t="s">
        <v>21</v>
      </c>
      <c r="B94" s="4" t="s">
        <v>38</v>
      </c>
      <c r="C94" s="4" t="s">
        <v>39</v>
      </c>
      <c r="D94" s="4" t="s">
        <v>40</v>
      </c>
      <c r="E94" s="4" t="s">
        <v>25</v>
      </c>
      <c r="F94" s="4" t="s">
        <v>25</v>
      </c>
      <c r="G94" s="4" t="s">
        <v>25</v>
      </c>
      <c r="H94" s="4" t="s">
        <v>25</v>
      </c>
      <c r="I94" s="5">
        <v>44682</v>
      </c>
      <c r="J94" s="6">
        <v>886</v>
      </c>
      <c r="K94" s="6">
        <v>886</v>
      </c>
      <c r="L94" s="6">
        <v>0</v>
      </c>
      <c r="M94" s="6">
        <v>0</v>
      </c>
      <c r="N94" s="6">
        <v>0</v>
      </c>
      <c r="O94" s="6">
        <v>0</v>
      </c>
      <c r="P94" s="6">
        <v>14</v>
      </c>
      <c r="Q94" s="4" t="s">
        <v>26</v>
      </c>
      <c r="R94" s="4">
        <v>0</v>
      </c>
      <c r="S94" s="6">
        <v>19</v>
      </c>
      <c r="T94" s="6">
        <v>0</v>
      </c>
      <c r="U94" s="6">
        <v>0</v>
      </c>
      <c r="V94" s="6">
        <f>IF(ISERROR(VLOOKUP($S$94,'TAR FIN'!$A$1:$O$86,15,0)),0,VLOOKUP($S$94,'TAR FIN'!$A$1:$O$86,15,0))</f>
        <v>16.29</v>
      </c>
      <c r="W94" s="6">
        <f>IF(ISERROR(VLOOKUP($T$94,'TAR FIN'!$A$1:$O$86,15,0)),0,VLOOKUP($T$94,'TAR FIN'!$A$1:$O$86,15,0))</f>
        <v>0</v>
      </c>
      <c r="X94" s="6">
        <f>IF(ISERROR(VLOOKUP($U$94,'TAR FIN'!$A$1:$O$86,15,0)),0,VLOOKUP($U$94,'TAR FIN'!$A$1:$O$86,15,0))</f>
        <v>0</v>
      </c>
      <c r="Y94" s="6">
        <f ca="1">('TUSD BE'!$AM$10+'TUSD BF'!$AM$10+'TUSD CVA'!$AM$10)*1</f>
        <v>21.139573525578484</v>
      </c>
      <c r="Z94" s="6"/>
      <c r="AA94" s="6"/>
      <c r="AB94" s="6">
        <f>$K$94*$V$94</f>
        <v>14432.939999999999</v>
      </c>
      <c r="AC94" s="6">
        <f>$M$94*$W$94</f>
        <v>0</v>
      </c>
      <c r="AD94" s="6">
        <f>$O$94*$X$94</f>
        <v>0</v>
      </c>
      <c r="AE94" s="6">
        <f ca="1">$K$94*$Y$94</f>
        <v>18729.662143662536</v>
      </c>
      <c r="AF94" s="6">
        <f>$M$94*$Z$94</f>
        <v>0</v>
      </c>
      <c r="AG94" s="6">
        <f>$O$94*$AA$94</f>
        <v>0</v>
      </c>
    </row>
    <row r="95" spans="1:33" ht="11.25" customHeight="1" x14ac:dyDescent="0.25">
      <c r="A95" s="4" t="s">
        <v>27</v>
      </c>
      <c r="B95" s="4" t="s">
        <v>38</v>
      </c>
      <c r="C95" s="4" t="s">
        <v>39</v>
      </c>
      <c r="D95" s="4" t="s">
        <v>40</v>
      </c>
      <c r="E95" s="4" t="s">
        <v>25</v>
      </c>
      <c r="F95" s="4" t="s">
        <v>25</v>
      </c>
      <c r="G95" s="4" t="s">
        <v>25</v>
      </c>
      <c r="H95" s="4" t="s">
        <v>25</v>
      </c>
      <c r="I95" s="5">
        <v>44682</v>
      </c>
      <c r="J95" s="6">
        <v>2210</v>
      </c>
      <c r="K95" s="6">
        <v>2210</v>
      </c>
      <c r="L95" s="6">
        <v>0</v>
      </c>
      <c r="M95" s="6">
        <v>0</v>
      </c>
      <c r="N95" s="6">
        <v>0</v>
      </c>
      <c r="O95" s="6">
        <v>0</v>
      </c>
      <c r="P95" s="6">
        <v>12</v>
      </c>
      <c r="Q95" s="4" t="s">
        <v>26</v>
      </c>
      <c r="R95" s="4">
        <v>0</v>
      </c>
      <c r="S95" s="6">
        <v>19</v>
      </c>
      <c r="T95" s="6">
        <v>0</v>
      </c>
      <c r="U95" s="6">
        <v>0</v>
      </c>
      <c r="V95" s="6">
        <f>IF(ISERROR(VLOOKUP($S$95,'TAR FIN'!$A$1:$O$86,15,0)),0,VLOOKUP($S$95,'TAR FIN'!$A$1:$O$86,15,0))</f>
        <v>16.29</v>
      </c>
      <c r="W95" s="6">
        <f>IF(ISERROR(VLOOKUP($T$95,'TAR FIN'!$A$1:$O$86,15,0)),0,VLOOKUP($T$95,'TAR FIN'!$A$1:$O$86,15,0))</f>
        <v>0</v>
      </c>
      <c r="X95" s="6">
        <f>IF(ISERROR(VLOOKUP($U$95,'TAR FIN'!$A$1:$O$86,15,0)),0,VLOOKUP($U$95,'TAR FIN'!$A$1:$O$86,15,0))</f>
        <v>0</v>
      </c>
      <c r="Y95" s="6">
        <f ca="1">('TUSD BE'!$AM$10+'TUSD BF'!$AM$10+'TUSD CVA'!$AM$10)*1</f>
        <v>21.139573525578484</v>
      </c>
      <c r="Z95" s="6"/>
      <c r="AA95" s="6"/>
      <c r="AB95" s="6">
        <f>$K$95*$V$95</f>
        <v>36000.9</v>
      </c>
      <c r="AC95" s="6">
        <f>$M$95*$W$95</f>
        <v>0</v>
      </c>
      <c r="AD95" s="6">
        <f>$O$95*$X$95</f>
        <v>0</v>
      </c>
      <c r="AE95" s="6">
        <f ca="1">$K$95*$Y$95</f>
        <v>46718.457491528447</v>
      </c>
      <c r="AF95" s="6">
        <f>$M$95*$Z$95</f>
        <v>0</v>
      </c>
      <c r="AG95" s="6">
        <f>$O$95*$AA$95</f>
        <v>0</v>
      </c>
    </row>
    <row r="96" spans="1:33" ht="11.25" customHeight="1" x14ac:dyDescent="0.25">
      <c r="A96" s="4" t="s">
        <v>55</v>
      </c>
      <c r="B96" s="4" t="s">
        <v>38</v>
      </c>
      <c r="C96" s="4" t="s">
        <v>39</v>
      </c>
      <c r="D96" s="4" t="s">
        <v>40</v>
      </c>
      <c r="E96" s="4" t="s">
        <v>25</v>
      </c>
      <c r="F96" s="4" t="s">
        <v>25</v>
      </c>
      <c r="G96" s="4" t="s">
        <v>25</v>
      </c>
      <c r="H96" s="4" t="s">
        <v>25</v>
      </c>
      <c r="I96" s="5">
        <v>44713</v>
      </c>
      <c r="J96" s="6">
        <v>886</v>
      </c>
      <c r="K96" s="6">
        <v>886</v>
      </c>
      <c r="L96" s="6">
        <v>0</v>
      </c>
      <c r="M96" s="6">
        <v>0</v>
      </c>
      <c r="N96" s="6">
        <v>0</v>
      </c>
      <c r="O96" s="6">
        <v>0</v>
      </c>
      <c r="P96" s="6">
        <v>14</v>
      </c>
      <c r="Q96" s="4" t="s">
        <v>26</v>
      </c>
      <c r="R96" s="4">
        <v>0</v>
      </c>
      <c r="S96" s="6">
        <v>19</v>
      </c>
      <c r="T96" s="6">
        <v>0</v>
      </c>
      <c r="U96" s="6">
        <v>0</v>
      </c>
      <c r="V96" s="6">
        <f>IF(ISERROR(VLOOKUP($S$96,'TAR FIN'!$A$1:$O$86,15,0)),0,VLOOKUP($S$96,'TAR FIN'!$A$1:$O$86,15,0))</f>
        <v>16.29</v>
      </c>
      <c r="W96" s="6">
        <f>IF(ISERROR(VLOOKUP($T$96,'TAR FIN'!$A$1:$O$86,15,0)),0,VLOOKUP($T$96,'TAR FIN'!$A$1:$O$86,15,0))</f>
        <v>0</v>
      </c>
      <c r="X96" s="6">
        <f>IF(ISERROR(VLOOKUP($U$96,'TAR FIN'!$A$1:$O$86,15,0)),0,VLOOKUP($U$96,'TAR FIN'!$A$1:$O$86,15,0))</f>
        <v>0</v>
      </c>
      <c r="Y96" s="6">
        <f ca="1">('TUSD BE'!$AM$10+'TUSD BF'!$AM$10+'TUSD CVA'!$AM$10)*1</f>
        <v>21.139573525578484</v>
      </c>
      <c r="Z96" s="6"/>
      <c r="AA96" s="6"/>
      <c r="AB96" s="6">
        <f>$K$96*$V$96</f>
        <v>14432.939999999999</v>
      </c>
      <c r="AC96" s="6">
        <f>$M$96*$W$96</f>
        <v>0</v>
      </c>
      <c r="AD96" s="6">
        <f>$O$96*$X$96</f>
        <v>0</v>
      </c>
      <c r="AE96" s="6">
        <f ca="1">$K$96*$Y$96</f>
        <v>18729.662143662536</v>
      </c>
      <c r="AF96" s="6">
        <f>$M$96*$Z$96</f>
        <v>0</v>
      </c>
      <c r="AG96" s="6">
        <f>$O$96*$AA$96</f>
        <v>0</v>
      </c>
    </row>
    <row r="97" spans="1:33" ht="11.25" customHeight="1" x14ac:dyDescent="0.25">
      <c r="A97" s="4" t="s">
        <v>55</v>
      </c>
      <c r="B97" s="4" t="s">
        <v>38</v>
      </c>
      <c r="C97" s="4" t="s">
        <v>39</v>
      </c>
      <c r="D97" s="4" t="s">
        <v>40</v>
      </c>
      <c r="E97" s="4" t="s">
        <v>25</v>
      </c>
      <c r="F97" s="4" t="s">
        <v>25</v>
      </c>
      <c r="G97" s="4" t="s">
        <v>25</v>
      </c>
      <c r="H97" s="4" t="s">
        <v>25</v>
      </c>
      <c r="I97" s="5">
        <v>44713</v>
      </c>
      <c r="J97" s="6">
        <v>2210</v>
      </c>
      <c r="K97" s="6">
        <v>2210</v>
      </c>
      <c r="L97" s="6">
        <v>0</v>
      </c>
      <c r="M97" s="6">
        <v>0</v>
      </c>
      <c r="N97" s="6">
        <v>0</v>
      </c>
      <c r="O97" s="6">
        <v>0</v>
      </c>
      <c r="P97" s="6">
        <v>12</v>
      </c>
      <c r="Q97" s="4" t="s">
        <v>26</v>
      </c>
      <c r="R97" s="4">
        <v>0</v>
      </c>
      <c r="S97" s="6">
        <v>19</v>
      </c>
      <c r="T97" s="6">
        <v>0</v>
      </c>
      <c r="U97" s="6">
        <v>0</v>
      </c>
      <c r="V97" s="6">
        <f>IF(ISERROR(VLOOKUP($S$97,'TAR FIN'!$A$1:$O$86,15,0)),0,VLOOKUP($S$97,'TAR FIN'!$A$1:$O$86,15,0))</f>
        <v>16.29</v>
      </c>
      <c r="W97" s="6">
        <f>IF(ISERROR(VLOOKUP($T$97,'TAR FIN'!$A$1:$O$86,15,0)),0,VLOOKUP($T$97,'TAR FIN'!$A$1:$O$86,15,0))</f>
        <v>0</v>
      </c>
      <c r="X97" s="6">
        <f>IF(ISERROR(VLOOKUP($U$97,'TAR FIN'!$A$1:$O$86,15,0)),0,VLOOKUP($U$97,'TAR FIN'!$A$1:$O$86,15,0))</f>
        <v>0</v>
      </c>
      <c r="Y97" s="6">
        <f ca="1">('TUSD BE'!$AM$10+'TUSD BF'!$AM$10+'TUSD CVA'!$AM$10)*1</f>
        <v>21.139573525578484</v>
      </c>
      <c r="Z97" s="6"/>
      <c r="AA97" s="6"/>
      <c r="AB97" s="6">
        <f>$K$97*$V$97</f>
        <v>36000.9</v>
      </c>
      <c r="AC97" s="6">
        <f>$M$97*$W$97</f>
        <v>0</v>
      </c>
      <c r="AD97" s="6">
        <f>$O$97*$X$97</f>
        <v>0</v>
      </c>
      <c r="AE97" s="6">
        <f ca="1">$K$97*$Y$97</f>
        <v>46718.457491528447</v>
      </c>
      <c r="AF97" s="6">
        <f>$M$97*$Z$97</f>
        <v>0</v>
      </c>
      <c r="AG97" s="6">
        <f>$O$97*$AA$97</f>
        <v>0</v>
      </c>
    </row>
    <row r="98" spans="1:33" ht="11.25" customHeight="1" x14ac:dyDescent="0.25">
      <c r="A98" s="4" t="s">
        <v>21</v>
      </c>
      <c r="B98" s="4" t="s">
        <v>38</v>
      </c>
      <c r="C98" s="4" t="s">
        <v>39</v>
      </c>
      <c r="D98" s="4" t="s">
        <v>40</v>
      </c>
      <c r="E98" s="4" t="s">
        <v>25</v>
      </c>
      <c r="F98" s="4" t="s">
        <v>25</v>
      </c>
      <c r="G98" s="4" t="s">
        <v>25</v>
      </c>
      <c r="H98" s="4" t="s">
        <v>33</v>
      </c>
      <c r="I98" s="5">
        <v>44378</v>
      </c>
      <c r="J98" s="6">
        <v>0</v>
      </c>
      <c r="K98" s="6">
        <v>0</v>
      </c>
      <c r="L98" s="6">
        <v>10.646000000000001</v>
      </c>
      <c r="M98" s="6">
        <v>10.646000000000001</v>
      </c>
      <c r="N98" s="6">
        <v>10.646000000000001</v>
      </c>
      <c r="O98" s="6">
        <v>10.646000000000001</v>
      </c>
      <c r="P98" s="6">
        <v>0</v>
      </c>
      <c r="Q98" s="4" t="s">
        <v>26</v>
      </c>
      <c r="R98" s="4">
        <v>0</v>
      </c>
      <c r="S98" s="6">
        <v>0</v>
      </c>
      <c r="T98" s="6">
        <v>21</v>
      </c>
      <c r="U98" s="6">
        <v>66</v>
      </c>
      <c r="V98" s="6">
        <f>IF(ISERROR(VLOOKUP($S$98,'TAR FIN'!$A$1:$O$86,15,0)),0,VLOOKUP($S$98,'TAR FIN'!$A$1:$O$86,15,0))</f>
        <v>0</v>
      </c>
      <c r="W98" s="6">
        <f>IF(ISERROR(VLOOKUP($T$98,'TAR FIN'!$A$1:$O$86,15,0)),0,VLOOKUP($T$98,'TAR FIN'!$A$1:$O$86,15,0))</f>
        <v>596.78</v>
      </c>
      <c r="X98" s="6">
        <f>IF(ISERROR(VLOOKUP($U$98,'TAR FIN'!$A$1:$O$86,15,0)),0,VLOOKUP($U$98,'TAR FIN'!$A$1:$O$86,15,0))</f>
        <v>503.82</v>
      </c>
      <c r="Y98" s="6"/>
      <c r="Z98" s="6">
        <f ca="1">('TUSD BE'!$AM$11+'TUSD BF'!$AM$11+'TUSD CVA'!$AM$11)*1</f>
        <v>625.67033946440574</v>
      </c>
      <c r="AA98" s="6">
        <f>('TE BE'!$AB$5+'TE BF'!$AB$5+'TE CVA'!$AB$5)*1</f>
        <v>398.01664046087393</v>
      </c>
      <c r="AB98" s="6">
        <f>$K$98*$V$98</f>
        <v>0</v>
      </c>
      <c r="AC98" s="6">
        <f>$M$98*$W$98</f>
        <v>6353.31988</v>
      </c>
      <c r="AD98" s="6">
        <f>$O$98*$X$98</f>
        <v>5363.6677200000004</v>
      </c>
      <c r="AE98" s="6">
        <f>$K$98*$Y$98</f>
        <v>0</v>
      </c>
      <c r="AF98" s="6">
        <f ca="1">$M$98*$Z$98</f>
        <v>6660.8864339380643</v>
      </c>
      <c r="AG98" s="6">
        <f>$O$98*$AA$98</f>
        <v>4237.285154346464</v>
      </c>
    </row>
    <row r="99" spans="1:33" ht="11.25" customHeight="1" x14ac:dyDescent="0.25">
      <c r="A99" s="4" t="s">
        <v>27</v>
      </c>
      <c r="B99" s="4" t="s">
        <v>38</v>
      </c>
      <c r="C99" s="4" t="s">
        <v>39</v>
      </c>
      <c r="D99" s="4" t="s">
        <v>40</v>
      </c>
      <c r="E99" s="4" t="s">
        <v>25</v>
      </c>
      <c r="F99" s="4" t="s">
        <v>25</v>
      </c>
      <c r="G99" s="4" t="s">
        <v>25</v>
      </c>
      <c r="H99" s="4" t="s">
        <v>33</v>
      </c>
      <c r="I99" s="5">
        <v>44378</v>
      </c>
      <c r="J99" s="6">
        <v>0</v>
      </c>
      <c r="K99" s="6">
        <v>0</v>
      </c>
      <c r="L99" s="6">
        <v>6.1929999999999996</v>
      </c>
      <c r="M99" s="6">
        <v>6.1929999999999996</v>
      </c>
      <c r="N99" s="6">
        <v>6.1929999999999996</v>
      </c>
      <c r="O99" s="6">
        <v>6.1929999999999996</v>
      </c>
      <c r="P99" s="6">
        <v>0</v>
      </c>
      <c r="Q99" s="4" t="s">
        <v>26</v>
      </c>
      <c r="R99" s="4">
        <v>0</v>
      </c>
      <c r="S99" s="6">
        <v>0</v>
      </c>
      <c r="T99" s="6">
        <v>21</v>
      </c>
      <c r="U99" s="6">
        <v>66</v>
      </c>
      <c r="V99" s="6">
        <f>IF(ISERROR(VLOOKUP($S$99,'TAR FIN'!$A$1:$O$86,15,0)),0,VLOOKUP($S$99,'TAR FIN'!$A$1:$O$86,15,0))</f>
        <v>0</v>
      </c>
      <c r="W99" s="6">
        <f>IF(ISERROR(VLOOKUP($T$99,'TAR FIN'!$A$1:$O$86,15,0)),0,VLOOKUP($T$99,'TAR FIN'!$A$1:$O$86,15,0))</f>
        <v>596.78</v>
      </c>
      <c r="X99" s="6">
        <f>IF(ISERROR(VLOOKUP($U$99,'TAR FIN'!$A$1:$O$86,15,0)),0,VLOOKUP($U$99,'TAR FIN'!$A$1:$O$86,15,0))</f>
        <v>503.82</v>
      </c>
      <c r="Y99" s="6"/>
      <c r="Z99" s="6">
        <f ca="1">('TUSD BE'!$AM$11+'TUSD BF'!$AM$11+'TUSD CVA'!$AM$11)*1</f>
        <v>625.67033946440574</v>
      </c>
      <c r="AA99" s="6">
        <f>('TE BE'!$AB$5+'TE BF'!$AB$5+'TE CVA'!$AB$5)*1</f>
        <v>398.01664046087393</v>
      </c>
      <c r="AB99" s="6">
        <f>$K$99*$V$99</f>
        <v>0</v>
      </c>
      <c r="AC99" s="6">
        <f>$M$99*$W$99</f>
        <v>3695.8585399999997</v>
      </c>
      <c r="AD99" s="6">
        <f>$O$99*$X$99</f>
        <v>3120.15726</v>
      </c>
      <c r="AE99" s="6">
        <f>$K$99*$Y$99</f>
        <v>0</v>
      </c>
      <c r="AF99" s="6">
        <f ca="1">$M$99*$Z$99</f>
        <v>3874.7764123030647</v>
      </c>
      <c r="AG99" s="6">
        <f>$O$99*$AA$99</f>
        <v>2464.917054374192</v>
      </c>
    </row>
    <row r="100" spans="1:33" ht="11.25" customHeight="1" x14ac:dyDescent="0.25">
      <c r="A100" s="4" t="s">
        <v>21</v>
      </c>
      <c r="B100" s="4" t="s">
        <v>38</v>
      </c>
      <c r="C100" s="4" t="s">
        <v>39</v>
      </c>
      <c r="D100" s="4" t="s">
        <v>40</v>
      </c>
      <c r="E100" s="4" t="s">
        <v>25</v>
      </c>
      <c r="F100" s="4" t="s">
        <v>25</v>
      </c>
      <c r="G100" s="4" t="s">
        <v>25</v>
      </c>
      <c r="H100" s="4" t="s">
        <v>33</v>
      </c>
      <c r="I100" s="5">
        <v>44409</v>
      </c>
      <c r="J100" s="6">
        <v>0</v>
      </c>
      <c r="K100" s="6">
        <v>0</v>
      </c>
      <c r="L100" s="6">
        <v>13.403</v>
      </c>
      <c r="M100" s="6">
        <v>13.403</v>
      </c>
      <c r="N100" s="6">
        <v>13.403</v>
      </c>
      <c r="O100" s="6">
        <v>13.403</v>
      </c>
      <c r="P100" s="6">
        <v>0</v>
      </c>
      <c r="Q100" s="4" t="s">
        <v>26</v>
      </c>
      <c r="R100" s="4">
        <v>0</v>
      </c>
      <c r="S100" s="6">
        <v>0</v>
      </c>
      <c r="T100" s="6">
        <v>21</v>
      </c>
      <c r="U100" s="6">
        <v>66</v>
      </c>
      <c r="V100" s="6">
        <f>IF(ISERROR(VLOOKUP($S$100,'TAR FIN'!$A$1:$O$86,15,0)),0,VLOOKUP($S$100,'TAR FIN'!$A$1:$O$86,15,0))</f>
        <v>0</v>
      </c>
      <c r="W100" s="6">
        <f>IF(ISERROR(VLOOKUP($T$100,'TAR FIN'!$A$1:$O$86,15,0)),0,VLOOKUP($T$100,'TAR FIN'!$A$1:$O$86,15,0))</f>
        <v>596.78</v>
      </c>
      <c r="X100" s="6">
        <f>IF(ISERROR(VLOOKUP($U$100,'TAR FIN'!$A$1:$O$86,15,0)),0,VLOOKUP($U$100,'TAR FIN'!$A$1:$O$86,15,0))</f>
        <v>503.82</v>
      </c>
      <c r="Y100" s="6"/>
      <c r="Z100" s="6">
        <f ca="1">('TUSD BE'!$AM$11+'TUSD BF'!$AM$11+'TUSD CVA'!$AM$11)*1</f>
        <v>625.67033946440574</v>
      </c>
      <c r="AA100" s="6">
        <f>('TE BE'!$AB$5+'TE BF'!$AB$5+'TE CVA'!$AB$5)*1</f>
        <v>398.01664046087393</v>
      </c>
      <c r="AB100" s="6">
        <f>$K$100*$V$100</f>
        <v>0</v>
      </c>
      <c r="AC100" s="6">
        <f>$M$100*$W$100</f>
        <v>7998.6423400000003</v>
      </c>
      <c r="AD100" s="6">
        <f>$O$100*$X$100</f>
        <v>6752.6994599999998</v>
      </c>
      <c r="AE100" s="6">
        <f>$K$100*$Y$100</f>
        <v>0</v>
      </c>
      <c r="AF100" s="6">
        <f ca="1">$M$100*$Z$100</f>
        <v>8385.8595598414304</v>
      </c>
      <c r="AG100" s="6">
        <f>$O$100*$AA$100</f>
        <v>5334.6170320970932</v>
      </c>
    </row>
    <row r="101" spans="1:33" ht="11.25" customHeight="1" x14ac:dyDescent="0.25">
      <c r="A101" s="4" t="s">
        <v>27</v>
      </c>
      <c r="B101" s="4" t="s">
        <v>38</v>
      </c>
      <c r="C101" s="4" t="s">
        <v>39</v>
      </c>
      <c r="D101" s="4" t="s">
        <v>40</v>
      </c>
      <c r="E101" s="4" t="s">
        <v>25</v>
      </c>
      <c r="F101" s="4" t="s">
        <v>25</v>
      </c>
      <c r="G101" s="4" t="s">
        <v>25</v>
      </c>
      <c r="H101" s="4" t="s">
        <v>33</v>
      </c>
      <c r="I101" s="5">
        <v>44409</v>
      </c>
      <c r="J101" s="6">
        <v>0</v>
      </c>
      <c r="K101" s="6">
        <v>0</v>
      </c>
      <c r="L101" s="6">
        <v>7.7249999999999996</v>
      </c>
      <c r="M101" s="6">
        <v>7.7249999999999996</v>
      </c>
      <c r="N101" s="6">
        <v>7.7249999999999996</v>
      </c>
      <c r="O101" s="6">
        <v>7.7249999999999996</v>
      </c>
      <c r="P101" s="6">
        <v>0</v>
      </c>
      <c r="Q101" s="4" t="s">
        <v>26</v>
      </c>
      <c r="R101" s="4">
        <v>0</v>
      </c>
      <c r="S101" s="6">
        <v>0</v>
      </c>
      <c r="T101" s="6">
        <v>21</v>
      </c>
      <c r="U101" s="6">
        <v>66</v>
      </c>
      <c r="V101" s="6">
        <f>IF(ISERROR(VLOOKUP($S$101,'TAR FIN'!$A$1:$O$86,15,0)),0,VLOOKUP($S$101,'TAR FIN'!$A$1:$O$86,15,0))</f>
        <v>0</v>
      </c>
      <c r="W101" s="6">
        <f>IF(ISERROR(VLOOKUP($T$101,'TAR FIN'!$A$1:$O$86,15,0)),0,VLOOKUP($T$101,'TAR FIN'!$A$1:$O$86,15,0))</f>
        <v>596.78</v>
      </c>
      <c r="X101" s="6">
        <f>IF(ISERROR(VLOOKUP($U$101,'TAR FIN'!$A$1:$O$86,15,0)),0,VLOOKUP($U$101,'TAR FIN'!$A$1:$O$86,15,0))</f>
        <v>503.82</v>
      </c>
      <c r="Y101" s="6"/>
      <c r="Z101" s="6">
        <f ca="1">('TUSD BE'!$AM$11+'TUSD BF'!$AM$11+'TUSD CVA'!$AM$11)*1</f>
        <v>625.67033946440574</v>
      </c>
      <c r="AA101" s="6">
        <f>('TE BE'!$AB$5+'TE BF'!$AB$5+'TE CVA'!$AB$5)*1</f>
        <v>398.01664046087393</v>
      </c>
      <c r="AB101" s="6">
        <f>$K$101*$V$101</f>
        <v>0</v>
      </c>
      <c r="AC101" s="6">
        <f>$M$101*$W$101</f>
        <v>4610.1254999999992</v>
      </c>
      <c r="AD101" s="6">
        <f>$O$101*$X$101</f>
        <v>3892.0094999999997</v>
      </c>
      <c r="AE101" s="6">
        <f>$K$101*$Y$101</f>
        <v>0</v>
      </c>
      <c r="AF101" s="6">
        <f ca="1">$M$101*$Z$101</f>
        <v>4833.303372362534</v>
      </c>
      <c r="AG101" s="6">
        <f>$O$101*$AA$101</f>
        <v>3074.678547560251</v>
      </c>
    </row>
    <row r="102" spans="1:33" ht="11.25" customHeight="1" x14ac:dyDescent="0.25">
      <c r="A102" s="4" t="s">
        <v>21</v>
      </c>
      <c r="B102" s="4" t="s">
        <v>38</v>
      </c>
      <c r="C102" s="4" t="s">
        <v>39</v>
      </c>
      <c r="D102" s="4" t="s">
        <v>40</v>
      </c>
      <c r="E102" s="4" t="s">
        <v>25</v>
      </c>
      <c r="F102" s="4" t="s">
        <v>25</v>
      </c>
      <c r="G102" s="4" t="s">
        <v>25</v>
      </c>
      <c r="H102" s="4" t="s">
        <v>33</v>
      </c>
      <c r="I102" s="5">
        <v>44440</v>
      </c>
      <c r="J102" s="6">
        <v>0</v>
      </c>
      <c r="K102" s="6">
        <v>0</v>
      </c>
      <c r="L102" s="6">
        <v>11.365</v>
      </c>
      <c r="M102" s="6">
        <v>11.365</v>
      </c>
      <c r="N102" s="6">
        <v>11.365</v>
      </c>
      <c r="O102" s="6">
        <v>11.365</v>
      </c>
      <c r="P102" s="6">
        <v>0</v>
      </c>
      <c r="Q102" s="4" t="s">
        <v>26</v>
      </c>
      <c r="R102" s="4">
        <v>0</v>
      </c>
      <c r="S102" s="6">
        <v>0</v>
      </c>
      <c r="T102" s="6">
        <v>21</v>
      </c>
      <c r="U102" s="6">
        <v>66</v>
      </c>
      <c r="V102" s="6">
        <f>IF(ISERROR(VLOOKUP($S$102,'TAR FIN'!$A$1:$O$86,15,0)),0,VLOOKUP($S$102,'TAR FIN'!$A$1:$O$86,15,0))</f>
        <v>0</v>
      </c>
      <c r="W102" s="6">
        <f>IF(ISERROR(VLOOKUP($T$102,'TAR FIN'!$A$1:$O$86,15,0)),0,VLOOKUP($T$102,'TAR FIN'!$A$1:$O$86,15,0))</f>
        <v>596.78</v>
      </c>
      <c r="X102" s="6">
        <f>IF(ISERROR(VLOOKUP($U$102,'TAR FIN'!$A$1:$O$86,15,0)),0,VLOOKUP($U$102,'TAR FIN'!$A$1:$O$86,15,0))</f>
        <v>503.82</v>
      </c>
      <c r="Y102" s="6"/>
      <c r="Z102" s="6">
        <f ca="1">('TUSD BE'!$AM$11+'TUSD BF'!$AM$11+'TUSD CVA'!$AM$11)*1</f>
        <v>625.67033946440574</v>
      </c>
      <c r="AA102" s="6">
        <f>('TE BE'!$AB$5+'TE BF'!$AB$5+'TE CVA'!$AB$5)*1</f>
        <v>398.01664046087393</v>
      </c>
      <c r="AB102" s="6">
        <f>$K$102*$V$102</f>
        <v>0</v>
      </c>
      <c r="AC102" s="6">
        <f>$M$102*$W$102</f>
        <v>6782.4047</v>
      </c>
      <c r="AD102" s="6">
        <f>$O$102*$X$102</f>
        <v>5725.9143000000004</v>
      </c>
      <c r="AE102" s="6">
        <f>$K$102*$Y$102</f>
        <v>0</v>
      </c>
      <c r="AF102" s="6">
        <f ca="1">$M$102*$Z$102</f>
        <v>7110.7434080129715</v>
      </c>
      <c r="AG102" s="6">
        <f>$O$102*$AA$102</f>
        <v>4523.4591188378326</v>
      </c>
    </row>
    <row r="103" spans="1:33" ht="11.25" customHeight="1" x14ac:dyDescent="0.25">
      <c r="A103" s="4" t="s">
        <v>27</v>
      </c>
      <c r="B103" s="4" t="s">
        <v>38</v>
      </c>
      <c r="C103" s="4" t="s">
        <v>39</v>
      </c>
      <c r="D103" s="4" t="s">
        <v>40</v>
      </c>
      <c r="E103" s="4" t="s">
        <v>25</v>
      </c>
      <c r="F103" s="4" t="s">
        <v>25</v>
      </c>
      <c r="G103" s="4" t="s">
        <v>25</v>
      </c>
      <c r="H103" s="4" t="s">
        <v>33</v>
      </c>
      <c r="I103" s="5">
        <v>44440</v>
      </c>
      <c r="J103" s="6">
        <v>0</v>
      </c>
      <c r="K103" s="6">
        <v>0</v>
      </c>
      <c r="L103" s="6">
        <v>1.1859999999999999</v>
      </c>
      <c r="M103" s="6">
        <v>1.1859999999999999</v>
      </c>
      <c r="N103" s="6">
        <v>1.1859999999999999</v>
      </c>
      <c r="O103" s="6">
        <v>1.1859999999999999</v>
      </c>
      <c r="P103" s="6">
        <v>0</v>
      </c>
      <c r="Q103" s="4" t="s">
        <v>26</v>
      </c>
      <c r="R103" s="4">
        <v>0</v>
      </c>
      <c r="S103" s="6">
        <v>0</v>
      </c>
      <c r="T103" s="6">
        <v>21</v>
      </c>
      <c r="U103" s="6">
        <v>66</v>
      </c>
      <c r="V103" s="6">
        <f>IF(ISERROR(VLOOKUP($S$103,'TAR FIN'!$A$1:$O$86,15,0)),0,VLOOKUP($S$103,'TAR FIN'!$A$1:$O$86,15,0))</f>
        <v>0</v>
      </c>
      <c r="W103" s="6">
        <f>IF(ISERROR(VLOOKUP($T$103,'TAR FIN'!$A$1:$O$86,15,0)),0,VLOOKUP($T$103,'TAR FIN'!$A$1:$O$86,15,0))</f>
        <v>596.78</v>
      </c>
      <c r="X103" s="6">
        <f>IF(ISERROR(VLOOKUP($U$103,'TAR FIN'!$A$1:$O$86,15,0)),0,VLOOKUP($U$103,'TAR FIN'!$A$1:$O$86,15,0))</f>
        <v>503.82</v>
      </c>
      <c r="Y103" s="6"/>
      <c r="Z103" s="6">
        <f ca="1">('TUSD BE'!$AM$11+'TUSD BF'!$AM$11+'TUSD CVA'!$AM$11)*1</f>
        <v>625.67033946440574</v>
      </c>
      <c r="AA103" s="6">
        <f>('TE BE'!$AB$5+'TE BF'!$AB$5+'TE CVA'!$AB$5)*1</f>
        <v>398.01664046087393</v>
      </c>
      <c r="AB103" s="6">
        <f>$K$103*$V$103</f>
        <v>0</v>
      </c>
      <c r="AC103" s="6">
        <f>$M$103*$W$103</f>
        <v>707.78107999999997</v>
      </c>
      <c r="AD103" s="6">
        <f>$O$103*$X$103</f>
        <v>597.53051999999991</v>
      </c>
      <c r="AE103" s="6">
        <f>$K$103*$Y$103</f>
        <v>0</v>
      </c>
      <c r="AF103" s="6">
        <f ca="1">$M$103*$Z$103</f>
        <v>742.04502260478523</v>
      </c>
      <c r="AG103" s="6">
        <f>$O$103*$AA$103</f>
        <v>472.04773558659645</v>
      </c>
    </row>
    <row r="104" spans="1:33" ht="11.25" customHeight="1" x14ac:dyDescent="0.25">
      <c r="A104" s="4" t="s">
        <v>21</v>
      </c>
      <c r="B104" s="4" t="s">
        <v>38</v>
      </c>
      <c r="C104" s="4" t="s">
        <v>39</v>
      </c>
      <c r="D104" s="4" t="s">
        <v>40</v>
      </c>
      <c r="E104" s="4" t="s">
        <v>25</v>
      </c>
      <c r="F104" s="4" t="s">
        <v>25</v>
      </c>
      <c r="G104" s="4" t="s">
        <v>25</v>
      </c>
      <c r="H104" s="4" t="s">
        <v>33</v>
      </c>
      <c r="I104" s="5">
        <v>44470</v>
      </c>
      <c r="J104" s="6">
        <v>0</v>
      </c>
      <c r="K104" s="6">
        <v>0</v>
      </c>
      <c r="L104" s="6">
        <v>10.680999999999999</v>
      </c>
      <c r="M104" s="6">
        <v>10.680999999999999</v>
      </c>
      <c r="N104" s="6">
        <v>10.680999999999999</v>
      </c>
      <c r="O104" s="6">
        <v>10.680999999999999</v>
      </c>
      <c r="P104" s="6">
        <v>0</v>
      </c>
      <c r="Q104" s="4" t="s">
        <v>26</v>
      </c>
      <c r="R104" s="4">
        <v>0</v>
      </c>
      <c r="S104" s="6">
        <v>0</v>
      </c>
      <c r="T104" s="6">
        <v>21</v>
      </c>
      <c r="U104" s="6">
        <v>66</v>
      </c>
      <c r="V104" s="6">
        <f>IF(ISERROR(VLOOKUP($S$104,'TAR FIN'!$A$1:$O$86,15,0)),0,VLOOKUP($S$104,'TAR FIN'!$A$1:$O$86,15,0))</f>
        <v>0</v>
      </c>
      <c r="W104" s="6">
        <f>IF(ISERROR(VLOOKUP($T$104,'TAR FIN'!$A$1:$O$86,15,0)),0,VLOOKUP($T$104,'TAR FIN'!$A$1:$O$86,15,0))</f>
        <v>596.78</v>
      </c>
      <c r="X104" s="6">
        <f>IF(ISERROR(VLOOKUP($U$104,'TAR FIN'!$A$1:$O$86,15,0)),0,VLOOKUP($U$104,'TAR FIN'!$A$1:$O$86,15,0))</f>
        <v>503.82</v>
      </c>
      <c r="Y104" s="6"/>
      <c r="Z104" s="6">
        <f ca="1">('TUSD BE'!$AM$11+'TUSD BF'!$AM$11+'TUSD CVA'!$AM$11)*1</f>
        <v>625.67033946440574</v>
      </c>
      <c r="AA104" s="6">
        <f>('TE BE'!$AB$5+'TE BF'!$AB$5+'TE CVA'!$AB$5)*1</f>
        <v>398.01664046087393</v>
      </c>
      <c r="AB104" s="6">
        <f>$K$104*$V$104</f>
        <v>0</v>
      </c>
      <c r="AC104" s="6">
        <f>$M$104*$W$104</f>
        <v>6374.2071799999994</v>
      </c>
      <c r="AD104" s="6">
        <f>$O$104*$X$104</f>
        <v>5381.3014199999998</v>
      </c>
      <c r="AE104" s="6">
        <f>$K$104*$Y$104</f>
        <v>0</v>
      </c>
      <c r="AF104" s="6">
        <f ca="1">$M$104*$Z$104</f>
        <v>6682.7848958193172</v>
      </c>
      <c r="AG104" s="6">
        <f>$O$104*$AA$104</f>
        <v>4251.2157367625941</v>
      </c>
    </row>
    <row r="105" spans="1:33" ht="11.25" customHeight="1" x14ac:dyDescent="0.25">
      <c r="A105" s="4" t="s">
        <v>27</v>
      </c>
      <c r="B105" s="4" t="s">
        <v>38</v>
      </c>
      <c r="C105" s="4" t="s">
        <v>39</v>
      </c>
      <c r="D105" s="4" t="s">
        <v>40</v>
      </c>
      <c r="E105" s="4" t="s">
        <v>25</v>
      </c>
      <c r="F105" s="4" t="s">
        <v>25</v>
      </c>
      <c r="G105" s="4" t="s">
        <v>25</v>
      </c>
      <c r="H105" s="4" t="s">
        <v>33</v>
      </c>
      <c r="I105" s="5">
        <v>44470</v>
      </c>
      <c r="J105" s="6">
        <v>0</v>
      </c>
      <c r="K105" s="6">
        <v>0</v>
      </c>
      <c r="L105" s="6">
        <v>6.5030000000000001</v>
      </c>
      <c r="M105" s="6">
        <v>6.5030000000000001</v>
      </c>
      <c r="N105" s="6">
        <v>6.5030000000000001</v>
      </c>
      <c r="O105" s="6">
        <v>6.5030000000000001</v>
      </c>
      <c r="P105" s="6">
        <v>0</v>
      </c>
      <c r="Q105" s="4" t="s">
        <v>26</v>
      </c>
      <c r="R105" s="4">
        <v>0</v>
      </c>
      <c r="S105" s="6">
        <v>0</v>
      </c>
      <c r="T105" s="6">
        <v>21</v>
      </c>
      <c r="U105" s="6">
        <v>66</v>
      </c>
      <c r="V105" s="6">
        <f>IF(ISERROR(VLOOKUP($S$105,'TAR FIN'!$A$1:$O$86,15,0)),0,VLOOKUP($S$105,'TAR FIN'!$A$1:$O$86,15,0))</f>
        <v>0</v>
      </c>
      <c r="W105" s="6">
        <f>IF(ISERROR(VLOOKUP($T$105,'TAR FIN'!$A$1:$O$86,15,0)),0,VLOOKUP($T$105,'TAR FIN'!$A$1:$O$86,15,0))</f>
        <v>596.78</v>
      </c>
      <c r="X105" s="6">
        <f>IF(ISERROR(VLOOKUP($U$105,'TAR FIN'!$A$1:$O$86,15,0)),0,VLOOKUP($U$105,'TAR FIN'!$A$1:$O$86,15,0))</f>
        <v>503.82</v>
      </c>
      <c r="Y105" s="6"/>
      <c r="Z105" s="6">
        <f ca="1">('TUSD BE'!$AM$11+'TUSD BF'!$AM$11+'TUSD CVA'!$AM$11)*1</f>
        <v>625.67033946440574</v>
      </c>
      <c r="AA105" s="6">
        <f>('TE BE'!$AB$5+'TE BF'!$AB$5+'TE CVA'!$AB$5)*1</f>
        <v>398.01664046087393</v>
      </c>
      <c r="AB105" s="6">
        <f>$K$105*$V$105</f>
        <v>0</v>
      </c>
      <c r="AC105" s="6">
        <f>$M$105*$W$105</f>
        <v>3880.8603399999997</v>
      </c>
      <c r="AD105" s="6">
        <f>$O$105*$X$105</f>
        <v>3276.3414600000001</v>
      </c>
      <c r="AE105" s="6">
        <f>$K$105*$Y$105</f>
        <v>0</v>
      </c>
      <c r="AF105" s="6">
        <f ca="1">$M$105*$Z$105</f>
        <v>4068.7342175370304</v>
      </c>
      <c r="AG105" s="6">
        <f>$O$105*$AA$105</f>
        <v>2588.3022129170631</v>
      </c>
    </row>
    <row r="106" spans="1:33" ht="11.25" customHeight="1" x14ac:dyDescent="0.25">
      <c r="A106" s="4" t="s">
        <v>21</v>
      </c>
      <c r="B106" s="4" t="s">
        <v>38</v>
      </c>
      <c r="C106" s="4" t="s">
        <v>39</v>
      </c>
      <c r="D106" s="4" t="s">
        <v>40</v>
      </c>
      <c r="E106" s="4" t="s">
        <v>25</v>
      </c>
      <c r="F106" s="4" t="s">
        <v>25</v>
      </c>
      <c r="G106" s="4" t="s">
        <v>25</v>
      </c>
      <c r="H106" s="4" t="s">
        <v>33</v>
      </c>
      <c r="I106" s="5">
        <v>44501</v>
      </c>
      <c r="J106" s="6">
        <v>0</v>
      </c>
      <c r="K106" s="6">
        <v>0</v>
      </c>
      <c r="L106" s="6">
        <v>37.08</v>
      </c>
      <c r="M106" s="6">
        <v>37.08</v>
      </c>
      <c r="N106" s="6">
        <v>37.08</v>
      </c>
      <c r="O106" s="6">
        <v>37.08</v>
      </c>
      <c r="P106" s="6">
        <v>0</v>
      </c>
      <c r="Q106" s="4" t="s">
        <v>26</v>
      </c>
      <c r="R106" s="4">
        <v>0</v>
      </c>
      <c r="S106" s="6">
        <v>0</v>
      </c>
      <c r="T106" s="6">
        <v>21</v>
      </c>
      <c r="U106" s="6">
        <v>66</v>
      </c>
      <c r="V106" s="6">
        <f>IF(ISERROR(VLOOKUP($S$106,'TAR FIN'!$A$1:$O$86,15,0)),0,VLOOKUP($S$106,'TAR FIN'!$A$1:$O$86,15,0))</f>
        <v>0</v>
      </c>
      <c r="W106" s="6">
        <f>IF(ISERROR(VLOOKUP($T$106,'TAR FIN'!$A$1:$O$86,15,0)),0,VLOOKUP($T$106,'TAR FIN'!$A$1:$O$86,15,0))</f>
        <v>596.78</v>
      </c>
      <c r="X106" s="6">
        <f>IF(ISERROR(VLOOKUP($U$106,'TAR FIN'!$A$1:$O$86,15,0)),0,VLOOKUP($U$106,'TAR FIN'!$A$1:$O$86,15,0))</f>
        <v>503.82</v>
      </c>
      <c r="Y106" s="6"/>
      <c r="Z106" s="6">
        <f ca="1">('TUSD BE'!$AM$11+'TUSD BF'!$AM$11+'TUSD CVA'!$AM$11)*1</f>
        <v>625.67033946440574</v>
      </c>
      <c r="AA106" s="6">
        <f>('TE BE'!$AB$5+'TE BF'!$AB$5+'TE CVA'!$AB$5)*1</f>
        <v>398.01664046087393</v>
      </c>
      <c r="AB106" s="6">
        <f>$K$106*$V$106</f>
        <v>0</v>
      </c>
      <c r="AC106" s="6">
        <f>$M$106*$W$106</f>
        <v>22128.6024</v>
      </c>
      <c r="AD106" s="6">
        <f>$O$106*$X$106</f>
        <v>18681.6456</v>
      </c>
      <c r="AE106" s="6">
        <f>$K$106*$Y$106</f>
        <v>0</v>
      </c>
      <c r="AF106" s="6">
        <f ca="1">$M$106*$Z$106</f>
        <v>23199.856187340163</v>
      </c>
      <c r="AG106" s="6">
        <f>$O$106*$AA$106</f>
        <v>14758.457028289205</v>
      </c>
    </row>
    <row r="107" spans="1:33" ht="11.25" customHeight="1" x14ac:dyDescent="0.25">
      <c r="A107" s="4" t="s">
        <v>27</v>
      </c>
      <c r="B107" s="4" t="s">
        <v>38</v>
      </c>
      <c r="C107" s="4" t="s">
        <v>39</v>
      </c>
      <c r="D107" s="4" t="s">
        <v>40</v>
      </c>
      <c r="E107" s="4" t="s">
        <v>25</v>
      </c>
      <c r="F107" s="4" t="s">
        <v>25</v>
      </c>
      <c r="G107" s="4" t="s">
        <v>25</v>
      </c>
      <c r="H107" s="4" t="s">
        <v>33</v>
      </c>
      <c r="I107" s="5">
        <v>44501</v>
      </c>
      <c r="J107" s="6">
        <v>0</v>
      </c>
      <c r="K107" s="6">
        <v>0</v>
      </c>
      <c r="L107" s="6">
        <v>4.8920000000000003</v>
      </c>
      <c r="M107" s="6">
        <v>4.8920000000000003</v>
      </c>
      <c r="N107" s="6">
        <v>4.8920000000000003</v>
      </c>
      <c r="O107" s="6">
        <v>4.8920000000000003</v>
      </c>
      <c r="P107" s="6">
        <v>0</v>
      </c>
      <c r="Q107" s="4" t="s">
        <v>26</v>
      </c>
      <c r="R107" s="4">
        <v>0</v>
      </c>
      <c r="S107" s="6">
        <v>0</v>
      </c>
      <c r="T107" s="6">
        <v>21</v>
      </c>
      <c r="U107" s="6">
        <v>66</v>
      </c>
      <c r="V107" s="6">
        <f>IF(ISERROR(VLOOKUP($S$107,'TAR FIN'!$A$1:$O$86,15,0)),0,VLOOKUP($S$107,'TAR FIN'!$A$1:$O$86,15,0))</f>
        <v>0</v>
      </c>
      <c r="W107" s="6">
        <f>IF(ISERROR(VLOOKUP($T$107,'TAR FIN'!$A$1:$O$86,15,0)),0,VLOOKUP($T$107,'TAR FIN'!$A$1:$O$86,15,0))</f>
        <v>596.78</v>
      </c>
      <c r="X107" s="6">
        <f>IF(ISERROR(VLOOKUP($U$107,'TAR FIN'!$A$1:$O$86,15,0)),0,VLOOKUP($U$107,'TAR FIN'!$A$1:$O$86,15,0))</f>
        <v>503.82</v>
      </c>
      <c r="Y107" s="6"/>
      <c r="Z107" s="6">
        <f ca="1">('TUSD BE'!$AM$11+'TUSD BF'!$AM$11+'TUSD CVA'!$AM$11)*1</f>
        <v>625.67033946440574</v>
      </c>
      <c r="AA107" s="6">
        <f>('TE BE'!$AB$5+'TE BF'!$AB$5+'TE CVA'!$AB$5)*1</f>
        <v>398.01664046087393</v>
      </c>
      <c r="AB107" s="6">
        <f>$K$107*$V$107</f>
        <v>0</v>
      </c>
      <c r="AC107" s="6">
        <f>$M$107*$W$107</f>
        <v>2919.44776</v>
      </c>
      <c r="AD107" s="6">
        <f>$O$107*$X$107</f>
        <v>2464.6874400000002</v>
      </c>
      <c r="AE107" s="6">
        <f>$K$107*$Y$107</f>
        <v>0</v>
      </c>
      <c r="AF107" s="6">
        <f ca="1">$M$107*$Z$107</f>
        <v>3060.7793006598731</v>
      </c>
      <c r="AG107" s="6">
        <f>$O$107*$AA$107</f>
        <v>1947.0974051345954</v>
      </c>
    </row>
    <row r="108" spans="1:33" ht="11.25" customHeight="1" x14ac:dyDescent="0.25">
      <c r="A108" s="4" t="s">
        <v>21</v>
      </c>
      <c r="B108" s="4" t="s">
        <v>38</v>
      </c>
      <c r="C108" s="4" t="s">
        <v>39</v>
      </c>
      <c r="D108" s="4" t="s">
        <v>40</v>
      </c>
      <c r="E108" s="4" t="s">
        <v>25</v>
      </c>
      <c r="F108" s="4" t="s">
        <v>25</v>
      </c>
      <c r="G108" s="4" t="s">
        <v>25</v>
      </c>
      <c r="H108" s="4" t="s">
        <v>33</v>
      </c>
      <c r="I108" s="5">
        <v>44531</v>
      </c>
      <c r="J108" s="6">
        <v>0</v>
      </c>
      <c r="K108" s="6">
        <v>0</v>
      </c>
      <c r="L108" s="6">
        <v>30.876000000000001</v>
      </c>
      <c r="M108" s="6">
        <v>30.876000000000001</v>
      </c>
      <c r="N108" s="6">
        <v>30.876000000000001</v>
      </c>
      <c r="O108" s="6">
        <v>30.876000000000001</v>
      </c>
      <c r="P108" s="6">
        <v>0</v>
      </c>
      <c r="Q108" s="4" t="s">
        <v>26</v>
      </c>
      <c r="R108" s="4">
        <v>0</v>
      </c>
      <c r="S108" s="6">
        <v>0</v>
      </c>
      <c r="T108" s="6">
        <v>21</v>
      </c>
      <c r="U108" s="6">
        <v>66</v>
      </c>
      <c r="V108" s="6">
        <f>IF(ISERROR(VLOOKUP($S$108,'TAR FIN'!$A$1:$O$86,15,0)),0,VLOOKUP($S$108,'TAR FIN'!$A$1:$O$86,15,0))</f>
        <v>0</v>
      </c>
      <c r="W108" s="6">
        <f>IF(ISERROR(VLOOKUP($T$108,'TAR FIN'!$A$1:$O$86,15,0)),0,VLOOKUP($T$108,'TAR FIN'!$A$1:$O$86,15,0))</f>
        <v>596.78</v>
      </c>
      <c r="X108" s="6">
        <f>IF(ISERROR(VLOOKUP($U$108,'TAR FIN'!$A$1:$O$86,15,0)),0,VLOOKUP($U$108,'TAR FIN'!$A$1:$O$86,15,0))</f>
        <v>503.82</v>
      </c>
      <c r="Y108" s="6"/>
      <c r="Z108" s="6">
        <f ca="1">('TUSD BE'!$AM$11+'TUSD BF'!$AM$11+'TUSD CVA'!$AM$11)*1</f>
        <v>625.67033946440574</v>
      </c>
      <c r="AA108" s="6">
        <f>('TE BE'!$AB$5+'TE BF'!$AB$5+'TE CVA'!$AB$5)*1</f>
        <v>398.01664046087393</v>
      </c>
      <c r="AB108" s="6">
        <f>$K$108*$V$108</f>
        <v>0</v>
      </c>
      <c r="AC108" s="6">
        <f>$M$108*$W$108</f>
        <v>18426.17928</v>
      </c>
      <c r="AD108" s="6">
        <f>$O$108*$X$108</f>
        <v>15555.946320000001</v>
      </c>
      <c r="AE108" s="6">
        <f>$K$108*$Y$108</f>
        <v>0</v>
      </c>
      <c r="AF108" s="6">
        <f ca="1">$M$108*$Z$108</f>
        <v>19318.197401302994</v>
      </c>
      <c r="AG108" s="6">
        <f>$O$108*$AA$108</f>
        <v>12289.161790869945</v>
      </c>
    </row>
    <row r="109" spans="1:33" ht="11.25" customHeight="1" x14ac:dyDescent="0.25">
      <c r="A109" s="4" t="s">
        <v>27</v>
      </c>
      <c r="B109" s="4" t="s">
        <v>38</v>
      </c>
      <c r="C109" s="4" t="s">
        <v>39</v>
      </c>
      <c r="D109" s="4" t="s">
        <v>40</v>
      </c>
      <c r="E109" s="4" t="s">
        <v>25</v>
      </c>
      <c r="F109" s="4" t="s">
        <v>25</v>
      </c>
      <c r="G109" s="4" t="s">
        <v>25</v>
      </c>
      <c r="H109" s="4" t="s">
        <v>33</v>
      </c>
      <c r="I109" s="5">
        <v>44531</v>
      </c>
      <c r="J109" s="6">
        <v>0</v>
      </c>
      <c r="K109" s="6">
        <v>0</v>
      </c>
      <c r="L109" s="6">
        <v>7.8040000000000003</v>
      </c>
      <c r="M109" s="6">
        <v>7.8040000000000003</v>
      </c>
      <c r="N109" s="6">
        <v>7.8040000000000003</v>
      </c>
      <c r="O109" s="6">
        <v>7.8040000000000003</v>
      </c>
      <c r="P109" s="6">
        <v>0</v>
      </c>
      <c r="Q109" s="4" t="s">
        <v>26</v>
      </c>
      <c r="R109" s="4">
        <v>0</v>
      </c>
      <c r="S109" s="6">
        <v>0</v>
      </c>
      <c r="T109" s="6">
        <v>21</v>
      </c>
      <c r="U109" s="6">
        <v>66</v>
      </c>
      <c r="V109" s="6">
        <f>IF(ISERROR(VLOOKUP($S$109,'TAR FIN'!$A$1:$O$86,15,0)),0,VLOOKUP($S$109,'TAR FIN'!$A$1:$O$86,15,0))</f>
        <v>0</v>
      </c>
      <c r="W109" s="6">
        <f>IF(ISERROR(VLOOKUP($T$109,'TAR FIN'!$A$1:$O$86,15,0)),0,VLOOKUP($T$109,'TAR FIN'!$A$1:$O$86,15,0))</f>
        <v>596.78</v>
      </c>
      <c r="X109" s="6">
        <f>IF(ISERROR(VLOOKUP($U$109,'TAR FIN'!$A$1:$O$86,15,0)),0,VLOOKUP($U$109,'TAR FIN'!$A$1:$O$86,15,0))</f>
        <v>503.82</v>
      </c>
      <c r="Y109" s="6"/>
      <c r="Z109" s="6">
        <f ca="1">('TUSD BE'!$AM$11+'TUSD BF'!$AM$11+'TUSD CVA'!$AM$11)*1</f>
        <v>625.67033946440574</v>
      </c>
      <c r="AA109" s="6">
        <f>('TE BE'!$AB$5+'TE BF'!$AB$5+'TE CVA'!$AB$5)*1</f>
        <v>398.01664046087393</v>
      </c>
      <c r="AB109" s="6">
        <f>$K$109*$V$109</f>
        <v>0</v>
      </c>
      <c r="AC109" s="6">
        <f>$M$109*$W$109</f>
        <v>4657.2711200000003</v>
      </c>
      <c r="AD109" s="6">
        <f>$O$109*$X$109</f>
        <v>3931.8112799999999</v>
      </c>
      <c r="AE109" s="6">
        <f>$K$109*$Y$109</f>
        <v>0</v>
      </c>
      <c r="AF109" s="6">
        <f ca="1">$M$109*$Z$109</f>
        <v>4882.7313291802229</v>
      </c>
      <c r="AG109" s="6">
        <f>$O$109*$AA$109</f>
        <v>3106.1218621566604</v>
      </c>
    </row>
    <row r="110" spans="1:33" ht="11.25" customHeight="1" x14ac:dyDescent="0.25">
      <c r="A110" s="4" t="s">
        <v>21</v>
      </c>
      <c r="B110" s="4" t="s">
        <v>38</v>
      </c>
      <c r="C110" s="4" t="s">
        <v>39</v>
      </c>
      <c r="D110" s="4" t="s">
        <v>40</v>
      </c>
      <c r="E110" s="4" t="s">
        <v>25</v>
      </c>
      <c r="F110" s="4" t="s">
        <v>25</v>
      </c>
      <c r="G110" s="4" t="s">
        <v>25</v>
      </c>
      <c r="H110" s="4" t="s">
        <v>33</v>
      </c>
      <c r="I110" s="5">
        <v>44562</v>
      </c>
      <c r="J110" s="6">
        <v>0</v>
      </c>
      <c r="K110" s="6">
        <v>0</v>
      </c>
      <c r="L110" s="6">
        <v>34.972999999999999</v>
      </c>
      <c r="M110" s="6">
        <v>34.972999999999999</v>
      </c>
      <c r="N110" s="6">
        <v>34.972999999999999</v>
      </c>
      <c r="O110" s="6">
        <v>34.972999999999999</v>
      </c>
      <c r="P110" s="6">
        <v>0</v>
      </c>
      <c r="Q110" s="4" t="s">
        <v>26</v>
      </c>
      <c r="R110" s="4">
        <v>0</v>
      </c>
      <c r="S110" s="6">
        <v>0</v>
      </c>
      <c r="T110" s="6">
        <v>21</v>
      </c>
      <c r="U110" s="6">
        <v>66</v>
      </c>
      <c r="V110" s="6">
        <f>IF(ISERROR(VLOOKUP($S$110,'TAR FIN'!$A$1:$O$86,15,0)),0,VLOOKUP($S$110,'TAR FIN'!$A$1:$O$86,15,0))</f>
        <v>0</v>
      </c>
      <c r="W110" s="6">
        <f>IF(ISERROR(VLOOKUP($T$110,'TAR FIN'!$A$1:$O$86,15,0)),0,VLOOKUP($T$110,'TAR FIN'!$A$1:$O$86,15,0))</f>
        <v>596.78</v>
      </c>
      <c r="X110" s="6">
        <f>IF(ISERROR(VLOOKUP($U$110,'TAR FIN'!$A$1:$O$86,15,0)),0,VLOOKUP($U$110,'TAR FIN'!$A$1:$O$86,15,0))</f>
        <v>503.82</v>
      </c>
      <c r="Y110" s="6"/>
      <c r="Z110" s="6">
        <f ca="1">('TUSD BE'!$AM$11+'TUSD BF'!$AM$11+'TUSD CVA'!$AM$11)*1</f>
        <v>625.67033946440574</v>
      </c>
      <c r="AA110" s="6">
        <f>('TE BE'!$AB$5+'TE BF'!$AB$5+'TE CVA'!$AB$5)*1</f>
        <v>398.01664046087393</v>
      </c>
      <c r="AB110" s="6">
        <f>$K$110*$V$110</f>
        <v>0</v>
      </c>
      <c r="AC110" s="6">
        <f>$M$110*$W$110</f>
        <v>20871.18694</v>
      </c>
      <c r="AD110" s="6">
        <f>$O$110*$X$110</f>
        <v>17620.096859999998</v>
      </c>
      <c r="AE110" s="6">
        <f>$K$110*$Y$110</f>
        <v>0</v>
      </c>
      <c r="AF110" s="6">
        <f ca="1">$M$110*$Z$110</f>
        <v>21881.56878208866</v>
      </c>
      <c r="AG110" s="6">
        <f>$O$110*$AA$110</f>
        <v>13919.835966838144</v>
      </c>
    </row>
    <row r="111" spans="1:33" ht="11.25" customHeight="1" x14ac:dyDescent="0.25">
      <c r="A111" s="4" t="s">
        <v>27</v>
      </c>
      <c r="B111" s="4" t="s">
        <v>38</v>
      </c>
      <c r="C111" s="4" t="s">
        <v>39</v>
      </c>
      <c r="D111" s="4" t="s">
        <v>40</v>
      </c>
      <c r="E111" s="4" t="s">
        <v>25</v>
      </c>
      <c r="F111" s="4" t="s">
        <v>25</v>
      </c>
      <c r="G111" s="4" t="s">
        <v>25</v>
      </c>
      <c r="H111" s="4" t="s">
        <v>33</v>
      </c>
      <c r="I111" s="5">
        <v>44562</v>
      </c>
      <c r="J111" s="6">
        <v>0</v>
      </c>
      <c r="K111" s="6">
        <v>0</v>
      </c>
      <c r="L111" s="6">
        <v>13.972</v>
      </c>
      <c r="M111" s="6">
        <v>13.972</v>
      </c>
      <c r="N111" s="6">
        <v>13.972</v>
      </c>
      <c r="O111" s="6">
        <v>13.972</v>
      </c>
      <c r="P111" s="6">
        <v>0</v>
      </c>
      <c r="Q111" s="4" t="s">
        <v>26</v>
      </c>
      <c r="R111" s="4">
        <v>0</v>
      </c>
      <c r="S111" s="6">
        <v>0</v>
      </c>
      <c r="T111" s="6">
        <v>21</v>
      </c>
      <c r="U111" s="6">
        <v>66</v>
      </c>
      <c r="V111" s="6">
        <f>IF(ISERROR(VLOOKUP($S$111,'TAR FIN'!$A$1:$O$86,15,0)),0,VLOOKUP($S$111,'TAR FIN'!$A$1:$O$86,15,0))</f>
        <v>0</v>
      </c>
      <c r="W111" s="6">
        <f>IF(ISERROR(VLOOKUP($T$111,'TAR FIN'!$A$1:$O$86,15,0)),0,VLOOKUP($T$111,'TAR FIN'!$A$1:$O$86,15,0))</f>
        <v>596.78</v>
      </c>
      <c r="X111" s="6">
        <f>IF(ISERROR(VLOOKUP($U$111,'TAR FIN'!$A$1:$O$86,15,0)),0,VLOOKUP($U$111,'TAR FIN'!$A$1:$O$86,15,0))</f>
        <v>503.82</v>
      </c>
      <c r="Y111" s="6"/>
      <c r="Z111" s="6">
        <f ca="1">('TUSD BE'!$AM$11+'TUSD BF'!$AM$11+'TUSD CVA'!$AM$11)*1</f>
        <v>625.67033946440574</v>
      </c>
      <c r="AA111" s="6">
        <f>('TE BE'!$AB$5+'TE BF'!$AB$5+'TE CVA'!$AB$5)*1</f>
        <v>398.01664046087393</v>
      </c>
      <c r="AB111" s="6">
        <f>$K$111*$V$111</f>
        <v>0</v>
      </c>
      <c r="AC111" s="6">
        <f>$M$111*$W$111</f>
        <v>8338.2101599999987</v>
      </c>
      <c r="AD111" s="6">
        <f>$O$111*$X$111</f>
        <v>7039.3730399999995</v>
      </c>
      <c r="AE111" s="6">
        <f>$K$111*$Y$111</f>
        <v>0</v>
      </c>
      <c r="AF111" s="6">
        <f ca="1">$M$111*$Z$111</f>
        <v>8741.8659829966764</v>
      </c>
      <c r="AG111" s="6">
        <f>$O$111*$AA$111</f>
        <v>5561.0885005193304</v>
      </c>
    </row>
    <row r="112" spans="1:33" ht="11.25" customHeight="1" x14ac:dyDescent="0.25">
      <c r="A112" s="4" t="s">
        <v>21</v>
      </c>
      <c r="B112" s="4" t="s">
        <v>38</v>
      </c>
      <c r="C112" s="4" t="s">
        <v>39</v>
      </c>
      <c r="D112" s="4" t="s">
        <v>40</v>
      </c>
      <c r="E112" s="4" t="s">
        <v>25</v>
      </c>
      <c r="F112" s="4" t="s">
        <v>25</v>
      </c>
      <c r="G112" s="4" t="s">
        <v>25</v>
      </c>
      <c r="H112" s="4" t="s">
        <v>33</v>
      </c>
      <c r="I112" s="5">
        <v>44593</v>
      </c>
      <c r="J112" s="6">
        <v>0</v>
      </c>
      <c r="K112" s="6">
        <v>0</v>
      </c>
      <c r="L112" s="6">
        <v>27.006</v>
      </c>
      <c r="M112" s="6">
        <v>27.006</v>
      </c>
      <c r="N112" s="6">
        <v>27.006</v>
      </c>
      <c r="O112" s="6">
        <v>27.006</v>
      </c>
      <c r="P112" s="6">
        <v>0</v>
      </c>
      <c r="Q112" s="4" t="s">
        <v>26</v>
      </c>
      <c r="R112" s="4">
        <v>0</v>
      </c>
      <c r="S112" s="6">
        <v>0</v>
      </c>
      <c r="T112" s="6">
        <v>21</v>
      </c>
      <c r="U112" s="6">
        <v>66</v>
      </c>
      <c r="V112" s="6">
        <f>IF(ISERROR(VLOOKUP($S$112,'TAR FIN'!$A$1:$O$86,15,0)),0,VLOOKUP($S$112,'TAR FIN'!$A$1:$O$86,15,0))</f>
        <v>0</v>
      </c>
      <c r="W112" s="6">
        <f>IF(ISERROR(VLOOKUP($T$112,'TAR FIN'!$A$1:$O$86,15,0)),0,VLOOKUP($T$112,'TAR FIN'!$A$1:$O$86,15,0))</f>
        <v>596.78</v>
      </c>
      <c r="X112" s="6">
        <f>IF(ISERROR(VLOOKUP($U$112,'TAR FIN'!$A$1:$O$86,15,0)),0,VLOOKUP($U$112,'TAR FIN'!$A$1:$O$86,15,0))</f>
        <v>503.82</v>
      </c>
      <c r="Y112" s="6"/>
      <c r="Z112" s="6">
        <f ca="1">('TUSD BE'!$AM$11+'TUSD BF'!$AM$11+'TUSD CVA'!$AM$11)*1</f>
        <v>625.67033946440574</v>
      </c>
      <c r="AA112" s="6">
        <f>('TE BE'!$AB$5+'TE BF'!$AB$5+'TE CVA'!$AB$5)*1</f>
        <v>398.01664046087393</v>
      </c>
      <c r="AB112" s="6">
        <f>$K$112*$V$112</f>
        <v>0</v>
      </c>
      <c r="AC112" s="6">
        <f>$M$112*$W$112</f>
        <v>16116.640679999999</v>
      </c>
      <c r="AD112" s="6">
        <f>$O$112*$X$112</f>
        <v>13606.162920000001</v>
      </c>
      <c r="AE112" s="6">
        <f>$K$112*$Y$112</f>
        <v>0</v>
      </c>
      <c r="AF112" s="6">
        <f ca="1">$M$112*$Z$112</f>
        <v>16896.85318757574</v>
      </c>
      <c r="AG112" s="6">
        <f>$O$112*$AA$112</f>
        <v>10748.837392286361</v>
      </c>
    </row>
    <row r="113" spans="1:33" ht="11.25" customHeight="1" x14ac:dyDescent="0.25">
      <c r="A113" s="4" t="s">
        <v>27</v>
      </c>
      <c r="B113" s="4" t="s">
        <v>38</v>
      </c>
      <c r="C113" s="4" t="s">
        <v>39</v>
      </c>
      <c r="D113" s="4" t="s">
        <v>40</v>
      </c>
      <c r="E113" s="4" t="s">
        <v>25</v>
      </c>
      <c r="F113" s="4" t="s">
        <v>25</v>
      </c>
      <c r="G113" s="4" t="s">
        <v>25</v>
      </c>
      <c r="H113" s="4" t="s">
        <v>33</v>
      </c>
      <c r="I113" s="5">
        <v>44593</v>
      </c>
      <c r="J113" s="6">
        <v>0</v>
      </c>
      <c r="K113" s="6">
        <v>0</v>
      </c>
      <c r="L113" s="6">
        <v>13.486000000000001</v>
      </c>
      <c r="M113" s="6">
        <v>13.486000000000001</v>
      </c>
      <c r="N113" s="6">
        <v>13.486000000000001</v>
      </c>
      <c r="O113" s="6">
        <v>13.486000000000001</v>
      </c>
      <c r="P113" s="6">
        <v>0</v>
      </c>
      <c r="Q113" s="4" t="s">
        <v>26</v>
      </c>
      <c r="R113" s="4">
        <v>0</v>
      </c>
      <c r="S113" s="6">
        <v>0</v>
      </c>
      <c r="T113" s="6">
        <v>21</v>
      </c>
      <c r="U113" s="6">
        <v>66</v>
      </c>
      <c r="V113" s="6">
        <f>IF(ISERROR(VLOOKUP($S$113,'TAR FIN'!$A$1:$O$86,15,0)),0,VLOOKUP($S$113,'TAR FIN'!$A$1:$O$86,15,0))</f>
        <v>0</v>
      </c>
      <c r="W113" s="6">
        <f>IF(ISERROR(VLOOKUP($T$113,'TAR FIN'!$A$1:$O$86,15,0)),0,VLOOKUP($T$113,'TAR FIN'!$A$1:$O$86,15,0))</f>
        <v>596.78</v>
      </c>
      <c r="X113" s="6">
        <f>IF(ISERROR(VLOOKUP($U$113,'TAR FIN'!$A$1:$O$86,15,0)),0,VLOOKUP($U$113,'TAR FIN'!$A$1:$O$86,15,0))</f>
        <v>503.82</v>
      </c>
      <c r="Y113" s="6"/>
      <c r="Z113" s="6">
        <f ca="1">('TUSD BE'!$AM$11+'TUSD BF'!$AM$11+'TUSD CVA'!$AM$11)*1</f>
        <v>625.67033946440574</v>
      </c>
      <c r="AA113" s="6">
        <f>('TE BE'!$AB$5+'TE BF'!$AB$5+'TE CVA'!$AB$5)*1</f>
        <v>398.01664046087393</v>
      </c>
      <c r="AB113" s="6">
        <f>$K$113*$V$113</f>
        <v>0</v>
      </c>
      <c r="AC113" s="6">
        <f>$M$113*$W$113</f>
        <v>8048.17508</v>
      </c>
      <c r="AD113" s="6">
        <f>$O$113*$X$113</f>
        <v>6794.5165200000001</v>
      </c>
      <c r="AE113" s="6">
        <f>$K$113*$Y$113</f>
        <v>0</v>
      </c>
      <c r="AF113" s="6">
        <f ca="1">$M$113*$Z$113</f>
        <v>8437.7901980169754</v>
      </c>
      <c r="AG113" s="6">
        <f>$O$113*$AA$113</f>
        <v>5367.6524132553459</v>
      </c>
    </row>
    <row r="114" spans="1:33" ht="11.25" customHeight="1" x14ac:dyDescent="0.25">
      <c r="A114" s="4" t="s">
        <v>21</v>
      </c>
      <c r="B114" s="4" t="s">
        <v>38</v>
      </c>
      <c r="C114" s="4" t="s">
        <v>39</v>
      </c>
      <c r="D114" s="4" t="s">
        <v>40</v>
      </c>
      <c r="E114" s="4" t="s">
        <v>25</v>
      </c>
      <c r="F114" s="4" t="s">
        <v>25</v>
      </c>
      <c r="G114" s="4" t="s">
        <v>25</v>
      </c>
      <c r="H114" s="4" t="s">
        <v>33</v>
      </c>
      <c r="I114" s="5">
        <v>44621</v>
      </c>
      <c r="J114" s="6">
        <v>0</v>
      </c>
      <c r="K114" s="6">
        <v>0</v>
      </c>
      <c r="L114" s="6">
        <v>41.917000000000002</v>
      </c>
      <c r="M114" s="6">
        <v>41.917000000000002</v>
      </c>
      <c r="N114" s="6">
        <v>41.917000000000002</v>
      </c>
      <c r="O114" s="6">
        <v>41.917000000000002</v>
      </c>
      <c r="P114" s="6">
        <v>0</v>
      </c>
      <c r="Q114" s="4" t="s">
        <v>26</v>
      </c>
      <c r="R114" s="4">
        <v>0</v>
      </c>
      <c r="S114" s="6">
        <v>0</v>
      </c>
      <c r="T114" s="6">
        <v>21</v>
      </c>
      <c r="U114" s="6">
        <v>66</v>
      </c>
      <c r="V114" s="6">
        <f>IF(ISERROR(VLOOKUP($S$114,'TAR FIN'!$A$1:$O$86,15,0)),0,VLOOKUP($S$114,'TAR FIN'!$A$1:$O$86,15,0))</f>
        <v>0</v>
      </c>
      <c r="W114" s="6">
        <f>IF(ISERROR(VLOOKUP($T$114,'TAR FIN'!$A$1:$O$86,15,0)),0,VLOOKUP($T$114,'TAR FIN'!$A$1:$O$86,15,0))</f>
        <v>596.78</v>
      </c>
      <c r="X114" s="6">
        <f>IF(ISERROR(VLOOKUP($U$114,'TAR FIN'!$A$1:$O$86,15,0)),0,VLOOKUP($U$114,'TAR FIN'!$A$1:$O$86,15,0))</f>
        <v>503.82</v>
      </c>
      <c r="Y114" s="6"/>
      <c r="Z114" s="6">
        <f ca="1">('TUSD BE'!$AM$11+'TUSD BF'!$AM$11+'TUSD CVA'!$AM$11)*1</f>
        <v>625.67033946440574</v>
      </c>
      <c r="AA114" s="6">
        <f>('TE BE'!$AB$5+'TE BF'!$AB$5+'TE CVA'!$AB$5)*1</f>
        <v>398.01664046087393</v>
      </c>
      <c r="AB114" s="6">
        <f>$K$114*$V$114</f>
        <v>0</v>
      </c>
      <c r="AC114" s="6">
        <f>$M$114*$W$114</f>
        <v>25015.22726</v>
      </c>
      <c r="AD114" s="6">
        <f>$O$114*$X$114</f>
        <v>21118.622940000001</v>
      </c>
      <c r="AE114" s="6">
        <f>$K$114*$Y$114</f>
        <v>0</v>
      </c>
      <c r="AF114" s="6">
        <f ca="1">$M$114*$Z$114</f>
        <v>26226.223619329496</v>
      </c>
      <c r="AG114" s="6">
        <f>$O$114*$AA$114</f>
        <v>16683.663518198453</v>
      </c>
    </row>
    <row r="115" spans="1:33" ht="11.25" customHeight="1" x14ac:dyDescent="0.25">
      <c r="A115" s="4" t="s">
        <v>27</v>
      </c>
      <c r="B115" s="4" t="s">
        <v>38</v>
      </c>
      <c r="C115" s="4" t="s">
        <v>39</v>
      </c>
      <c r="D115" s="4" t="s">
        <v>40</v>
      </c>
      <c r="E115" s="4" t="s">
        <v>25</v>
      </c>
      <c r="F115" s="4" t="s">
        <v>25</v>
      </c>
      <c r="G115" s="4" t="s">
        <v>25</v>
      </c>
      <c r="H115" s="4" t="s">
        <v>33</v>
      </c>
      <c r="I115" s="5">
        <v>44621</v>
      </c>
      <c r="J115" s="6">
        <v>0</v>
      </c>
      <c r="K115" s="6">
        <v>0</v>
      </c>
      <c r="L115" s="6">
        <v>6.4909999999999997</v>
      </c>
      <c r="M115" s="6">
        <v>6.4909999999999997</v>
      </c>
      <c r="N115" s="6">
        <v>6.4909999999999997</v>
      </c>
      <c r="O115" s="6">
        <v>6.4909999999999997</v>
      </c>
      <c r="P115" s="6">
        <v>0</v>
      </c>
      <c r="Q115" s="4" t="s">
        <v>26</v>
      </c>
      <c r="R115" s="4">
        <v>0</v>
      </c>
      <c r="S115" s="6">
        <v>0</v>
      </c>
      <c r="T115" s="6">
        <v>21</v>
      </c>
      <c r="U115" s="6">
        <v>66</v>
      </c>
      <c r="V115" s="6">
        <f>IF(ISERROR(VLOOKUP($S$115,'TAR FIN'!$A$1:$O$86,15,0)),0,VLOOKUP($S$115,'TAR FIN'!$A$1:$O$86,15,0))</f>
        <v>0</v>
      </c>
      <c r="W115" s="6">
        <f>IF(ISERROR(VLOOKUP($T$115,'TAR FIN'!$A$1:$O$86,15,0)),0,VLOOKUP($T$115,'TAR FIN'!$A$1:$O$86,15,0))</f>
        <v>596.78</v>
      </c>
      <c r="X115" s="6">
        <f>IF(ISERROR(VLOOKUP($U$115,'TAR FIN'!$A$1:$O$86,15,0)),0,VLOOKUP($U$115,'TAR FIN'!$A$1:$O$86,15,0))</f>
        <v>503.82</v>
      </c>
      <c r="Y115" s="6"/>
      <c r="Z115" s="6">
        <f ca="1">('TUSD BE'!$AM$11+'TUSD BF'!$AM$11+'TUSD CVA'!$AM$11)*1</f>
        <v>625.67033946440574</v>
      </c>
      <c r="AA115" s="6">
        <f>('TE BE'!$AB$5+'TE BF'!$AB$5+'TE CVA'!$AB$5)*1</f>
        <v>398.01664046087393</v>
      </c>
      <c r="AB115" s="6">
        <f>$K$115*$V$115</f>
        <v>0</v>
      </c>
      <c r="AC115" s="6">
        <f>$M$115*$W$115</f>
        <v>3873.6989799999997</v>
      </c>
      <c r="AD115" s="6">
        <f>$O$115*$X$115</f>
        <v>3270.2956199999999</v>
      </c>
      <c r="AE115" s="6">
        <f>$K$115*$Y$115</f>
        <v>0</v>
      </c>
      <c r="AF115" s="6">
        <f ca="1">$M$115*$Z$115</f>
        <v>4061.2261734634576</v>
      </c>
      <c r="AG115" s="6">
        <f>$O$115*$AA$115</f>
        <v>2583.5260132315325</v>
      </c>
    </row>
    <row r="116" spans="1:33" ht="11.25" customHeight="1" x14ac:dyDescent="0.25">
      <c r="A116" s="4" t="s">
        <v>21</v>
      </c>
      <c r="B116" s="4" t="s">
        <v>38</v>
      </c>
      <c r="C116" s="4" t="s">
        <v>39</v>
      </c>
      <c r="D116" s="4" t="s">
        <v>40</v>
      </c>
      <c r="E116" s="4" t="s">
        <v>25</v>
      </c>
      <c r="F116" s="4" t="s">
        <v>25</v>
      </c>
      <c r="G116" s="4" t="s">
        <v>25</v>
      </c>
      <c r="H116" s="4" t="s">
        <v>33</v>
      </c>
      <c r="I116" s="5">
        <v>44652</v>
      </c>
      <c r="J116" s="6">
        <v>0</v>
      </c>
      <c r="K116" s="6">
        <v>0</v>
      </c>
      <c r="L116" s="6">
        <v>11.417</v>
      </c>
      <c r="M116" s="6">
        <v>11.417</v>
      </c>
      <c r="N116" s="6">
        <v>11.417</v>
      </c>
      <c r="O116" s="6">
        <v>11.417</v>
      </c>
      <c r="P116" s="6">
        <v>0</v>
      </c>
      <c r="Q116" s="4" t="s">
        <v>26</v>
      </c>
      <c r="R116" s="4">
        <v>0</v>
      </c>
      <c r="S116" s="6">
        <v>0</v>
      </c>
      <c r="T116" s="6">
        <v>21</v>
      </c>
      <c r="U116" s="6">
        <v>66</v>
      </c>
      <c r="V116" s="6">
        <f>IF(ISERROR(VLOOKUP($S$116,'TAR FIN'!$A$1:$O$86,15,0)),0,VLOOKUP($S$116,'TAR FIN'!$A$1:$O$86,15,0))</f>
        <v>0</v>
      </c>
      <c r="W116" s="6">
        <f>IF(ISERROR(VLOOKUP($T$116,'TAR FIN'!$A$1:$O$86,15,0)),0,VLOOKUP($T$116,'TAR FIN'!$A$1:$O$86,15,0))</f>
        <v>596.78</v>
      </c>
      <c r="X116" s="6">
        <f>IF(ISERROR(VLOOKUP($U$116,'TAR FIN'!$A$1:$O$86,15,0)),0,VLOOKUP($U$116,'TAR FIN'!$A$1:$O$86,15,0))</f>
        <v>503.82</v>
      </c>
      <c r="Y116" s="6"/>
      <c r="Z116" s="6">
        <f ca="1">('TUSD BE'!$AM$11+'TUSD BF'!$AM$11+'TUSD CVA'!$AM$11)*1</f>
        <v>625.67033946440574</v>
      </c>
      <c r="AA116" s="6">
        <f>('TE BE'!$AB$5+'TE BF'!$AB$5+'TE CVA'!$AB$5)*1</f>
        <v>398.01664046087393</v>
      </c>
      <c r="AB116" s="6">
        <f>$K$116*$V$116</f>
        <v>0</v>
      </c>
      <c r="AC116" s="6">
        <f>$M$116*$W$116</f>
        <v>6813.4372599999997</v>
      </c>
      <c r="AD116" s="6">
        <f>$O$116*$X$116</f>
        <v>5752.11294</v>
      </c>
      <c r="AE116" s="6">
        <f>$K$116*$Y$116</f>
        <v>0</v>
      </c>
      <c r="AF116" s="6">
        <f ca="1">$M$116*$Z$116</f>
        <v>7143.2782656651207</v>
      </c>
      <c r="AG116" s="6">
        <f>$O$116*$AA$116</f>
        <v>4544.1559841417975</v>
      </c>
    </row>
    <row r="117" spans="1:33" ht="11.25" customHeight="1" x14ac:dyDescent="0.25">
      <c r="A117" s="4" t="s">
        <v>27</v>
      </c>
      <c r="B117" s="4" t="s">
        <v>38</v>
      </c>
      <c r="C117" s="4" t="s">
        <v>39</v>
      </c>
      <c r="D117" s="4" t="s">
        <v>40</v>
      </c>
      <c r="E117" s="4" t="s">
        <v>25</v>
      </c>
      <c r="F117" s="4" t="s">
        <v>25</v>
      </c>
      <c r="G117" s="4" t="s">
        <v>25</v>
      </c>
      <c r="H117" s="4" t="s">
        <v>33</v>
      </c>
      <c r="I117" s="5">
        <v>44652</v>
      </c>
      <c r="J117" s="6">
        <v>0</v>
      </c>
      <c r="K117" s="6">
        <v>0</v>
      </c>
      <c r="L117" s="6">
        <v>9.8030000000000008</v>
      </c>
      <c r="M117" s="6">
        <v>9.8030000000000008</v>
      </c>
      <c r="N117" s="6">
        <v>9.8030000000000008</v>
      </c>
      <c r="O117" s="6">
        <v>9.8030000000000008</v>
      </c>
      <c r="P117" s="6">
        <v>0</v>
      </c>
      <c r="Q117" s="4" t="s">
        <v>26</v>
      </c>
      <c r="R117" s="4">
        <v>0</v>
      </c>
      <c r="S117" s="6">
        <v>0</v>
      </c>
      <c r="T117" s="6">
        <v>21</v>
      </c>
      <c r="U117" s="6">
        <v>66</v>
      </c>
      <c r="V117" s="6">
        <f>IF(ISERROR(VLOOKUP($S$117,'TAR FIN'!$A$1:$O$86,15,0)),0,VLOOKUP($S$117,'TAR FIN'!$A$1:$O$86,15,0))</f>
        <v>0</v>
      </c>
      <c r="W117" s="6">
        <f>IF(ISERROR(VLOOKUP($T$117,'TAR FIN'!$A$1:$O$86,15,0)),0,VLOOKUP($T$117,'TAR FIN'!$A$1:$O$86,15,0))</f>
        <v>596.78</v>
      </c>
      <c r="X117" s="6">
        <f>IF(ISERROR(VLOOKUP($U$117,'TAR FIN'!$A$1:$O$86,15,0)),0,VLOOKUP($U$117,'TAR FIN'!$A$1:$O$86,15,0))</f>
        <v>503.82</v>
      </c>
      <c r="Y117" s="6"/>
      <c r="Z117" s="6">
        <f ca="1">('TUSD BE'!$AM$11+'TUSD BF'!$AM$11+'TUSD CVA'!$AM$11)*1</f>
        <v>625.67033946440574</v>
      </c>
      <c r="AA117" s="6">
        <f>('TE BE'!$AB$5+'TE BF'!$AB$5+'TE CVA'!$AB$5)*1</f>
        <v>398.01664046087393</v>
      </c>
      <c r="AB117" s="6">
        <f>$K$117*$V$117</f>
        <v>0</v>
      </c>
      <c r="AC117" s="6">
        <f>$M$117*$W$117</f>
        <v>5850.23434</v>
      </c>
      <c r="AD117" s="6">
        <f>$O$117*$X$117</f>
        <v>4938.9474600000003</v>
      </c>
      <c r="AE117" s="6">
        <f>$K$117*$Y$117</f>
        <v>0</v>
      </c>
      <c r="AF117" s="6">
        <f ca="1">$M$117*$Z$117</f>
        <v>6133.4463377695702</v>
      </c>
      <c r="AG117" s="6">
        <f>$O$117*$AA$117</f>
        <v>3901.7571264379476</v>
      </c>
    </row>
    <row r="118" spans="1:33" ht="11.25" customHeight="1" x14ac:dyDescent="0.25">
      <c r="A118" s="4" t="s">
        <v>21</v>
      </c>
      <c r="B118" s="4" t="s">
        <v>38</v>
      </c>
      <c r="C118" s="4" t="s">
        <v>39</v>
      </c>
      <c r="D118" s="4" t="s">
        <v>40</v>
      </c>
      <c r="E118" s="4" t="s">
        <v>25</v>
      </c>
      <c r="F118" s="4" t="s">
        <v>25</v>
      </c>
      <c r="G118" s="4" t="s">
        <v>25</v>
      </c>
      <c r="H118" s="4" t="s">
        <v>33</v>
      </c>
      <c r="I118" s="5">
        <v>44682</v>
      </c>
      <c r="J118" s="6">
        <v>0</v>
      </c>
      <c r="K118" s="6">
        <v>0</v>
      </c>
      <c r="L118" s="6">
        <v>13.666</v>
      </c>
      <c r="M118" s="6">
        <v>13.666</v>
      </c>
      <c r="N118" s="6">
        <v>13.666</v>
      </c>
      <c r="O118" s="6">
        <v>13.666</v>
      </c>
      <c r="P118" s="6">
        <v>0</v>
      </c>
      <c r="Q118" s="4" t="s">
        <v>26</v>
      </c>
      <c r="R118" s="4">
        <v>0</v>
      </c>
      <c r="S118" s="6">
        <v>0</v>
      </c>
      <c r="T118" s="6">
        <v>21</v>
      </c>
      <c r="U118" s="6">
        <v>66</v>
      </c>
      <c r="V118" s="6">
        <f>IF(ISERROR(VLOOKUP($S$118,'TAR FIN'!$A$1:$O$86,15,0)),0,VLOOKUP($S$118,'TAR FIN'!$A$1:$O$86,15,0))</f>
        <v>0</v>
      </c>
      <c r="W118" s="6">
        <f>IF(ISERROR(VLOOKUP($T$118,'TAR FIN'!$A$1:$O$86,15,0)),0,VLOOKUP($T$118,'TAR FIN'!$A$1:$O$86,15,0))</f>
        <v>596.78</v>
      </c>
      <c r="X118" s="6">
        <f>IF(ISERROR(VLOOKUP($U$118,'TAR FIN'!$A$1:$O$86,15,0)),0,VLOOKUP($U$118,'TAR FIN'!$A$1:$O$86,15,0))</f>
        <v>503.82</v>
      </c>
      <c r="Y118" s="6"/>
      <c r="Z118" s="6">
        <f ca="1">('TUSD BE'!$AM$11+'TUSD BF'!$AM$11+'TUSD CVA'!$AM$11)*1</f>
        <v>625.67033946440574</v>
      </c>
      <c r="AA118" s="6">
        <f>('TE BE'!$AB$5+'TE BF'!$AB$5+'TE CVA'!$AB$5)*1</f>
        <v>398.01664046087393</v>
      </c>
      <c r="AB118" s="6">
        <f>$K$118*$V$118</f>
        <v>0</v>
      </c>
      <c r="AC118" s="6">
        <f>$M$118*$W$118</f>
        <v>8155.59548</v>
      </c>
      <c r="AD118" s="6">
        <f>$O$118*$X$118</f>
        <v>6885.2041200000003</v>
      </c>
      <c r="AE118" s="6">
        <f>$K$118*$Y$118</f>
        <v>0</v>
      </c>
      <c r="AF118" s="6">
        <f ca="1">$M$118*$Z$118</f>
        <v>8550.4108591205695</v>
      </c>
      <c r="AG118" s="6">
        <f>$O$118*$AA$118</f>
        <v>5439.2954085383035</v>
      </c>
    </row>
    <row r="119" spans="1:33" ht="11.25" customHeight="1" x14ac:dyDescent="0.25">
      <c r="A119" s="4" t="s">
        <v>27</v>
      </c>
      <c r="B119" s="4" t="s">
        <v>38</v>
      </c>
      <c r="C119" s="4" t="s">
        <v>39</v>
      </c>
      <c r="D119" s="4" t="s">
        <v>40</v>
      </c>
      <c r="E119" s="4" t="s">
        <v>25</v>
      </c>
      <c r="F119" s="4" t="s">
        <v>25</v>
      </c>
      <c r="G119" s="4" t="s">
        <v>25</v>
      </c>
      <c r="H119" s="4" t="s">
        <v>33</v>
      </c>
      <c r="I119" s="5">
        <v>44682</v>
      </c>
      <c r="J119" s="6">
        <v>0</v>
      </c>
      <c r="K119" s="6">
        <v>0</v>
      </c>
      <c r="L119" s="6">
        <v>5.7249999999999996</v>
      </c>
      <c r="M119" s="6">
        <v>5.7249999999999996</v>
      </c>
      <c r="N119" s="6">
        <v>5.7249999999999996</v>
      </c>
      <c r="O119" s="6">
        <v>5.7249999999999996</v>
      </c>
      <c r="P119" s="6">
        <v>0</v>
      </c>
      <c r="Q119" s="4" t="s">
        <v>26</v>
      </c>
      <c r="R119" s="4">
        <v>0</v>
      </c>
      <c r="S119" s="6">
        <v>0</v>
      </c>
      <c r="T119" s="6">
        <v>21</v>
      </c>
      <c r="U119" s="6">
        <v>66</v>
      </c>
      <c r="V119" s="6">
        <f>IF(ISERROR(VLOOKUP($S$119,'TAR FIN'!$A$1:$O$86,15,0)),0,VLOOKUP($S$119,'TAR FIN'!$A$1:$O$86,15,0))</f>
        <v>0</v>
      </c>
      <c r="W119" s="6">
        <f>IF(ISERROR(VLOOKUP($T$119,'TAR FIN'!$A$1:$O$86,15,0)),0,VLOOKUP($T$119,'TAR FIN'!$A$1:$O$86,15,0))</f>
        <v>596.78</v>
      </c>
      <c r="X119" s="6">
        <f>IF(ISERROR(VLOOKUP($U$119,'TAR FIN'!$A$1:$O$86,15,0)),0,VLOOKUP($U$119,'TAR FIN'!$A$1:$O$86,15,0))</f>
        <v>503.82</v>
      </c>
      <c r="Y119" s="6"/>
      <c r="Z119" s="6">
        <f ca="1">('TUSD BE'!$AM$11+'TUSD BF'!$AM$11+'TUSD CVA'!$AM$11)*1</f>
        <v>625.67033946440574</v>
      </c>
      <c r="AA119" s="6">
        <f>('TE BE'!$AB$5+'TE BF'!$AB$5+'TE CVA'!$AB$5)*1</f>
        <v>398.01664046087393</v>
      </c>
      <c r="AB119" s="6">
        <f>$K$119*$V$119</f>
        <v>0</v>
      </c>
      <c r="AC119" s="6">
        <f>$M$119*$W$119</f>
        <v>3416.5654999999997</v>
      </c>
      <c r="AD119" s="6">
        <f>$O$119*$X$119</f>
        <v>2884.3694999999998</v>
      </c>
      <c r="AE119" s="6">
        <f>$K$119*$Y$119</f>
        <v>0</v>
      </c>
      <c r="AF119" s="6">
        <f ca="1">$M$119*$Z$119</f>
        <v>3581.9626934337225</v>
      </c>
      <c r="AG119" s="6">
        <f>$O$119*$AA$119</f>
        <v>2278.645266638503</v>
      </c>
    </row>
    <row r="120" spans="1:33" ht="11.25" customHeight="1" x14ac:dyDescent="0.25">
      <c r="A120" s="4" t="s">
        <v>55</v>
      </c>
      <c r="B120" s="4" t="s">
        <v>38</v>
      </c>
      <c r="C120" s="4" t="s">
        <v>39</v>
      </c>
      <c r="D120" s="4" t="s">
        <v>40</v>
      </c>
      <c r="E120" s="4" t="s">
        <v>25</v>
      </c>
      <c r="F120" s="4" t="s">
        <v>25</v>
      </c>
      <c r="G120" s="4" t="s">
        <v>25</v>
      </c>
      <c r="H120" s="4" t="s">
        <v>33</v>
      </c>
      <c r="I120" s="5">
        <v>44713</v>
      </c>
      <c r="J120" s="6">
        <v>0</v>
      </c>
      <c r="K120" s="6">
        <v>0</v>
      </c>
      <c r="L120" s="6">
        <v>13.666</v>
      </c>
      <c r="M120" s="6">
        <v>13.666</v>
      </c>
      <c r="N120" s="6">
        <v>13.666</v>
      </c>
      <c r="O120" s="6">
        <v>13.666</v>
      </c>
      <c r="P120" s="6">
        <v>0</v>
      </c>
      <c r="Q120" s="4" t="s">
        <v>26</v>
      </c>
      <c r="R120" s="4">
        <v>0</v>
      </c>
      <c r="S120" s="6">
        <v>0</v>
      </c>
      <c r="T120" s="6">
        <v>21</v>
      </c>
      <c r="U120" s="6">
        <v>66</v>
      </c>
      <c r="V120" s="6">
        <f>IF(ISERROR(VLOOKUP($S$120,'TAR FIN'!$A$1:$O$86,15,0)),0,VLOOKUP($S$120,'TAR FIN'!$A$1:$O$86,15,0))</f>
        <v>0</v>
      </c>
      <c r="W120" s="6">
        <f>IF(ISERROR(VLOOKUP($T$120,'TAR FIN'!$A$1:$O$86,15,0)),0,VLOOKUP($T$120,'TAR FIN'!$A$1:$O$86,15,0))</f>
        <v>596.78</v>
      </c>
      <c r="X120" s="6">
        <f>IF(ISERROR(VLOOKUP($U$120,'TAR FIN'!$A$1:$O$86,15,0)),0,VLOOKUP($U$120,'TAR FIN'!$A$1:$O$86,15,0))</f>
        <v>503.82</v>
      </c>
      <c r="Y120" s="6"/>
      <c r="Z120" s="6">
        <f ca="1">('TUSD BE'!$AM$11+'TUSD BF'!$AM$11+'TUSD CVA'!$AM$11)*1</f>
        <v>625.67033946440574</v>
      </c>
      <c r="AA120" s="6">
        <f>('TE BE'!$AB$5+'TE BF'!$AB$5+'TE CVA'!$AB$5)*1</f>
        <v>398.01664046087393</v>
      </c>
      <c r="AB120" s="6">
        <f>$K$120*$V$120</f>
        <v>0</v>
      </c>
      <c r="AC120" s="6">
        <f>$M$120*$W$120</f>
        <v>8155.59548</v>
      </c>
      <c r="AD120" s="6">
        <f>$O$120*$X$120</f>
        <v>6885.2041200000003</v>
      </c>
      <c r="AE120" s="6">
        <f>$K$120*$Y$120</f>
        <v>0</v>
      </c>
      <c r="AF120" s="6">
        <f ca="1">$M$120*$Z$120</f>
        <v>8550.4108591205695</v>
      </c>
      <c r="AG120" s="6">
        <f>$O$120*$AA$120</f>
        <v>5439.2954085383035</v>
      </c>
    </row>
    <row r="121" spans="1:33" ht="11.25" customHeight="1" x14ac:dyDescent="0.25">
      <c r="A121" s="4" t="s">
        <v>55</v>
      </c>
      <c r="B121" s="4" t="s">
        <v>38</v>
      </c>
      <c r="C121" s="4" t="s">
        <v>39</v>
      </c>
      <c r="D121" s="4" t="s">
        <v>40</v>
      </c>
      <c r="E121" s="4" t="s">
        <v>25</v>
      </c>
      <c r="F121" s="4" t="s">
        <v>25</v>
      </c>
      <c r="G121" s="4" t="s">
        <v>25</v>
      </c>
      <c r="H121" s="4" t="s">
        <v>33</v>
      </c>
      <c r="I121" s="5">
        <v>44713</v>
      </c>
      <c r="J121" s="6">
        <v>0</v>
      </c>
      <c r="K121" s="6">
        <v>0</v>
      </c>
      <c r="L121" s="6">
        <v>5.7249999999999996</v>
      </c>
      <c r="M121" s="6">
        <v>5.7249999999999996</v>
      </c>
      <c r="N121" s="6">
        <v>5.7249999999999996</v>
      </c>
      <c r="O121" s="6">
        <v>5.7249999999999996</v>
      </c>
      <c r="P121" s="6">
        <v>0</v>
      </c>
      <c r="Q121" s="4" t="s">
        <v>26</v>
      </c>
      <c r="R121" s="4">
        <v>0</v>
      </c>
      <c r="S121" s="6">
        <v>0</v>
      </c>
      <c r="T121" s="6">
        <v>21</v>
      </c>
      <c r="U121" s="6">
        <v>66</v>
      </c>
      <c r="V121" s="6">
        <f>IF(ISERROR(VLOOKUP($S$121,'TAR FIN'!$A$1:$O$86,15,0)),0,VLOOKUP($S$121,'TAR FIN'!$A$1:$O$86,15,0))</f>
        <v>0</v>
      </c>
      <c r="W121" s="6">
        <f>IF(ISERROR(VLOOKUP($T$121,'TAR FIN'!$A$1:$O$86,15,0)),0,VLOOKUP($T$121,'TAR FIN'!$A$1:$O$86,15,0))</f>
        <v>596.78</v>
      </c>
      <c r="X121" s="6">
        <f>IF(ISERROR(VLOOKUP($U$121,'TAR FIN'!$A$1:$O$86,15,0)),0,VLOOKUP($U$121,'TAR FIN'!$A$1:$O$86,15,0))</f>
        <v>503.82</v>
      </c>
      <c r="Y121" s="6"/>
      <c r="Z121" s="6">
        <f ca="1">('TUSD BE'!$AM$11+'TUSD BF'!$AM$11+'TUSD CVA'!$AM$11)*1</f>
        <v>625.67033946440574</v>
      </c>
      <c r="AA121" s="6">
        <f>('TE BE'!$AB$5+'TE BF'!$AB$5+'TE CVA'!$AB$5)*1</f>
        <v>398.01664046087393</v>
      </c>
      <c r="AB121" s="6">
        <f>$K$121*$V$121</f>
        <v>0</v>
      </c>
      <c r="AC121" s="6">
        <f>$M$121*$W$121</f>
        <v>3416.5654999999997</v>
      </c>
      <c r="AD121" s="6">
        <f>$O$121*$X$121</f>
        <v>2884.3694999999998</v>
      </c>
      <c r="AE121" s="6">
        <f>$K$121*$Y$121</f>
        <v>0</v>
      </c>
      <c r="AF121" s="6">
        <f ca="1">$M$121*$Z$121</f>
        <v>3581.9626934337225</v>
      </c>
      <c r="AG121" s="6">
        <f>$O$121*$AA$121</f>
        <v>2278.645266638503</v>
      </c>
    </row>
    <row r="122" spans="1:33" ht="11.25" customHeight="1" x14ac:dyDescent="0.25">
      <c r="A122" s="4" t="s">
        <v>21</v>
      </c>
      <c r="B122" s="4" t="s">
        <v>38</v>
      </c>
      <c r="C122" s="4" t="s">
        <v>39</v>
      </c>
      <c r="D122" s="4" t="s">
        <v>37</v>
      </c>
      <c r="E122" s="4" t="s">
        <v>25</v>
      </c>
      <c r="F122" s="4" t="s">
        <v>56</v>
      </c>
      <c r="G122" s="4" t="s">
        <v>25</v>
      </c>
      <c r="H122" s="4" t="s">
        <v>34</v>
      </c>
      <c r="I122" s="5">
        <v>44378</v>
      </c>
      <c r="J122" s="6">
        <v>0</v>
      </c>
      <c r="K122" s="6">
        <v>0</v>
      </c>
      <c r="L122" s="6">
        <v>3583.413</v>
      </c>
      <c r="M122" s="6">
        <v>3583.413</v>
      </c>
      <c r="N122" s="6">
        <v>0</v>
      </c>
      <c r="O122" s="6">
        <v>0</v>
      </c>
      <c r="P122" s="6">
        <v>0</v>
      </c>
      <c r="Q122" s="4" t="s">
        <v>57</v>
      </c>
      <c r="R122" s="4">
        <v>0</v>
      </c>
      <c r="S122" s="6">
        <v>0</v>
      </c>
      <c r="T122" s="6">
        <v>17</v>
      </c>
      <c r="U122" s="6">
        <v>0</v>
      </c>
      <c r="V122" s="6">
        <f>IF(ISERROR(VLOOKUP($S$122,'TAR FIN'!$A$1:$O$86,15,0)),0,VLOOKUP($S$122,'TAR FIN'!$A$1:$O$86,15,0))</f>
        <v>0</v>
      </c>
      <c r="W122" s="6">
        <f>IF(ISERROR(VLOOKUP($T$122,'TAR FIN'!$A$1:$O$86,15,0)),0,VLOOKUP($T$122,'TAR FIN'!$A$1:$O$86,15,0))</f>
        <v>71.260000000000005</v>
      </c>
      <c r="X122" s="6">
        <f>IF(ISERROR(VLOOKUP($U$122,'TAR FIN'!$A$1:$O$86,15,0)),0,VLOOKUP($U$122,'TAR FIN'!$A$1:$O$86,15,0))</f>
        <v>0</v>
      </c>
      <c r="Y122" s="6"/>
      <c r="Z122" s="6">
        <f ca="1">('TUSD BE'!$AM$12+'TUSD BF'!$AM$12+'TUSD CVA'!$AM$12)*1</f>
        <v>95.815448102611441</v>
      </c>
      <c r="AA122" s="6"/>
      <c r="AB122" s="6">
        <f>$K$122*$V$122</f>
        <v>0</v>
      </c>
      <c r="AC122" s="6">
        <f>$M$122*$W$122</f>
        <v>255354.01038000002</v>
      </c>
      <c r="AD122" s="6">
        <f>$O$122*$X$122</f>
        <v>0</v>
      </c>
      <c r="AE122" s="6">
        <f>$K$122*$Y$122</f>
        <v>0</v>
      </c>
      <c r="AF122" s="6">
        <f ca="1">$M$122*$Z$122</f>
        <v>343346.32233172318</v>
      </c>
      <c r="AG122" s="6">
        <f>$O$122*$AA$122</f>
        <v>0</v>
      </c>
    </row>
    <row r="123" spans="1:33" ht="11.25" customHeight="1" x14ac:dyDescent="0.25">
      <c r="A123" s="4" t="s">
        <v>21</v>
      </c>
      <c r="B123" s="4" t="s">
        <v>38</v>
      </c>
      <c r="C123" s="4" t="s">
        <v>39</v>
      </c>
      <c r="D123" s="4" t="s">
        <v>37</v>
      </c>
      <c r="E123" s="4" t="s">
        <v>25</v>
      </c>
      <c r="F123" s="4" t="s">
        <v>56</v>
      </c>
      <c r="G123" s="4" t="s">
        <v>25</v>
      </c>
      <c r="H123" s="4" t="s">
        <v>34</v>
      </c>
      <c r="I123" s="5">
        <v>44409</v>
      </c>
      <c r="J123" s="6">
        <v>0</v>
      </c>
      <c r="K123" s="6">
        <v>0</v>
      </c>
      <c r="L123" s="6">
        <v>3805.9349999999999</v>
      </c>
      <c r="M123" s="6">
        <v>3805.9349999999999</v>
      </c>
      <c r="N123" s="6">
        <v>0</v>
      </c>
      <c r="O123" s="6">
        <v>0</v>
      </c>
      <c r="P123" s="6">
        <v>0</v>
      </c>
      <c r="Q123" s="4" t="s">
        <v>57</v>
      </c>
      <c r="R123" s="4">
        <v>0</v>
      </c>
      <c r="S123" s="6">
        <v>0</v>
      </c>
      <c r="T123" s="6">
        <v>17</v>
      </c>
      <c r="U123" s="6">
        <v>0</v>
      </c>
      <c r="V123" s="6">
        <f>IF(ISERROR(VLOOKUP($S$123,'TAR FIN'!$A$1:$O$86,15,0)),0,VLOOKUP($S$123,'TAR FIN'!$A$1:$O$86,15,0))</f>
        <v>0</v>
      </c>
      <c r="W123" s="6">
        <f>IF(ISERROR(VLOOKUP($T$123,'TAR FIN'!$A$1:$O$86,15,0)),0,VLOOKUP($T$123,'TAR FIN'!$A$1:$O$86,15,0))</f>
        <v>71.260000000000005</v>
      </c>
      <c r="X123" s="6">
        <f>IF(ISERROR(VLOOKUP($U$123,'TAR FIN'!$A$1:$O$86,15,0)),0,VLOOKUP($U$123,'TAR FIN'!$A$1:$O$86,15,0))</f>
        <v>0</v>
      </c>
      <c r="Y123" s="6"/>
      <c r="Z123" s="6">
        <f ca="1">('TUSD BE'!$AM$12+'TUSD BF'!$AM$12+'TUSD CVA'!$AM$12)*1</f>
        <v>95.815448102611441</v>
      </c>
      <c r="AA123" s="6"/>
      <c r="AB123" s="6">
        <f>$K$123*$V$123</f>
        <v>0</v>
      </c>
      <c r="AC123" s="6">
        <f>$M$123*$W$123</f>
        <v>271210.92810000002</v>
      </c>
      <c r="AD123" s="6">
        <f>$O$123*$X$123</f>
        <v>0</v>
      </c>
      <c r="AE123" s="6">
        <f>$K$123*$Y$123</f>
        <v>0</v>
      </c>
      <c r="AF123" s="6">
        <f ca="1">$M$123*$Z$123</f>
        <v>364667.36747441249</v>
      </c>
      <c r="AG123" s="6">
        <f>$O$123*$AA$123</f>
        <v>0</v>
      </c>
    </row>
    <row r="124" spans="1:33" ht="11.25" customHeight="1" x14ac:dyDescent="0.25">
      <c r="A124" s="4" t="s">
        <v>21</v>
      </c>
      <c r="B124" s="4" t="s">
        <v>38</v>
      </c>
      <c r="C124" s="4" t="s">
        <v>39</v>
      </c>
      <c r="D124" s="4" t="s">
        <v>37</v>
      </c>
      <c r="E124" s="4" t="s">
        <v>25</v>
      </c>
      <c r="F124" s="4" t="s">
        <v>56</v>
      </c>
      <c r="G124" s="4" t="s">
        <v>25</v>
      </c>
      <c r="H124" s="4" t="s">
        <v>34</v>
      </c>
      <c r="I124" s="5">
        <v>44440</v>
      </c>
      <c r="J124" s="6">
        <v>0</v>
      </c>
      <c r="K124" s="6">
        <v>0</v>
      </c>
      <c r="L124" s="6">
        <v>3521.2339999999999</v>
      </c>
      <c r="M124" s="6">
        <v>3521.2339999999999</v>
      </c>
      <c r="N124" s="6">
        <v>0</v>
      </c>
      <c r="O124" s="6">
        <v>0</v>
      </c>
      <c r="P124" s="6">
        <v>0</v>
      </c>
      <c r="Q124" s="4" t="s">
        <v>57</v>
      </c>
      <c r="R124" s="4">
        <v>0</v>
      </c>
      <c r="S124" s="6">
        <v>0</v>
      </c>
      <c r="T124" s="6">
        <v>17</v>
      </c>
      <c r="U124" s="6">
        <v>0</v>
      </c>
      <c r="V124" s="6">
        <f>IF(ISERROR(VLOOKUP($S$124,'TAR FIN'!$A$1:$O$86,15,0)),0,VLOOKUP($S$124,'TAR FIN'!$A$1:$O$86,15,0))</f>
        <v>0</v>
      </c>
      <c r="W124" s="6">
        <f>IF(ISERROR(VLOOKUP($T$124,'TAR FIN'!$A$1:$O$86,15,0)),0,VLOOKUP($T$124,'TAR FIN'!$A$1:$O$86,15,0))</f>
        <v>71.260000000000005</v>
      </c>
      <c r="X124" s="6">
        <f>IF(ISERROR(VLOOKUP($U$124,'TAR FIN'!$A$1:$O$86,15,0)),0,VLOOKUP($U$124,'TAR FIN'!$A$1:$O$86,15,0))</f>
        <v>0</v>
      </c>
      <c r="Y124" s="6"/>
      <c r="Z124" s="6">
        <f ca="1">('TUSD BE'!$AM$12+'TUSD BF'!$AM$12+'TUSD CVA'!$AM$12)*1</f>
        <v>95.815448102611441</v>
      </c>
      <c r="AA124" s="6"/>
      <c r="AB124" s="6">
        <f>$K$124*$V$124</f>
        <v>0</v>
      </c>
      <c r="AC124" s="6">
        <f>$M$124*$W$124</f>
        <v>250923.13484000001</v>
      </c>
      <c r="AD124" s="6">
        <f>$O$124*$X$124</f>
        <v>0</v>
      </c>
      <c r="AE124" s="6">
        <f>$K$124*$Y$124</f>
        <v>0</v>
      </c>
      <c r="AF124" s="6">
        <f ca="1">$M$124*$Z$124</f>
        <v>337388.61358415091</v>
      </c>
      <c r="AG124" s="6">
        <f>$O$124*$AA$124</f>
        <v>0</v>
      </c>
    </row>
    <row r="125" spans="1:33" ht="11.25" customHeight="1" x14ac:dyDescent="0.25">
      <c r="A125" s="4" t="s">
        <v>21</v>
      </c>
      <c r="B125" s="4" t="s">
        <v>38</v>
      </c>
      <c r="C125" s="4" t="s">
        <v>39</v>
      </c>
      <c r="D125" s="4" t="s">
        <v>37</v>
      </c>
      <c r="E125" s="4" t="s">
        <v>25</v>
      </c>
      <c r="F125" s="4" t="s">
        <v>56</v>
      </c>
      <c r="G125" s="4" t="s">
        <v>25</v>
      </c>
      <c r="H125" s="4" t="s">
        <v>34</v>
      </c>
      <c r="I125" s="5">
        <v>44470</v>
      </c>
      <c r="J125" s="6">
        <v>0</v>
      </c>
      <c r="K125" s="6">
        <v>0</v>
      </c>
      <c r="L125" s="6">
        <v>3488.46</v>
      </c>
      <c r="M125" s="6">
        <v>3488.46</v>
      </c>
      <c r="N125" s="6">
        <v>0</v>
      </c>
      <c r="O125" s="6">
        <v>0</v>
      </c>
      <c r="P125" s="6">
        <v>0</v>
      </c>
      <c r="Q125" s="4" t="s">
        <v>57</v>
      </c>
      <c r="R125" s="4">
        <v>0</v>
      </c>
      <c r="S125" s="6">
        <v>0</v>
      </c>
      <c r="T125" s="6">
        <v>17</v>
      </c>
      <c r="U125" s="6">
        <v>0</v>
      </c>
      <c r="V125" s="6">
        <f>IF(ISERROR(VLOOKUP($S$125,'TAR FIN'!$A$1:$O$86,15,0)),0,VLOOKUP($S$125,'TAR FIN'!$A$1:$O$86,15,0))</f>
        <v>0</v>
      </c>
      <c r="W125" s="6">
        <f>IF(ISERROR(VLOOKUP($T$125,'TAR FIN'!$A$1:$O$86,15,0)),0,VLOOKUP($T$125,'TAR FIN'!$A$1:$O$86,15,0))</f>
        <v>71.260000000000005</v>
      </c>
      <c r="X125" s="6">
        <f>IF(ISERROR(VLOOKUP($U$125,'TAR FIN'!$A$1:$O$86,15,0)),0,VLOOKUP($U$125,'TAR FIN'!$A$1:$O$86,15,0))</f>
        <v>0</v>
      </c>
      <c r="Y125" s="6"/>
      <c r="Z125" s="6">
        <f ca="1">('TUSD BE'!$AM$12+'TUSD BF'!$AM$12+'TUSD CVA'!$AM$12)*1</f>
        <v>95.815448102611441</v>
      </c>
      <c r="AA125" s="6"/>
      <c r="AB125" s="6">
        <f>$K$125*$V$125</f>
        <v>0</v>
      </c>
      <c r="AC125" s="6">
        <f>$M$125*$W$125</f>
        <v>248587.65960000001</v>
      </c>
      <c r="AD125" s="6">
        <f>$O$125*$X$125</f>
        <v>0</v>
      </c>
      <c r="AE125" s="6">
        <f>$K$125*$Y$125</f>
        <v>0</v>
      </c>
      <c r="AF125" s="6">
        <f ca="1">$M$125*$Z$125</f>
        <v>334248.35808803589</v>
      </c>
      <c r="AG125" s="6">
        <f>$O$125*$AA$125</f>
        <v>0</v>
      </c>
    </row>
    <row r="126" spans="1:33" ht="11.25" customHeight="1" x14ac:dyDescent="0.25">
      <c r="A126" s="4" t="s">
        <v>21</v>
      </c>
      <c r="B126" s="4" t="s">
        <v>38</v>
      </c>
      <c r="C126" s="4" t="s">
        <v>39</v>
      </c>
      <c r="D126" s="4" t="s">
        <v>37</v>
      </c>
      <c r="E126" s="4" t="s">
        <v>25</v>
      </c>
      <c r="F126" s="4" t="s">
        <v>56</v>
      </c>
      <c r="G126" s="4" t="s">
        <v>25</v>
      </c>
      <c r="H126" s="4" t="s">
        <v>34</v>
      </c>
      <c r="I126" s="5">
        <v>44501</v>
      </c>
      <c r="J126" s="6">
        <v>0</v>
      </c>
      <c r="K126" s="6">
        <v>0</v>
      </c>
      <c r="L126" s="6">
        <v>3759.0949999999998</v>
      </c>
      <c r="M126" s="6">
        <v>3759.0949999999998</v>
      </c>
      <c r="N126" s="6">
        <v>0</v>
      </c>
      <c r="O126" s="6">
        <v>0</v>
      </c>
      <c r="P126" s="6">
        <v>0</v>
      </c>
      <c r="Q126" s="4" t="s">
        <v>57</v>
      </c>
      <c r="R126" s="4">
        <v>0</v>
      </c>
      <c r="S126" s="6">
        <v>0</v>
      </c>
      <c r="T126" s="6">
        <v>17</v>
      </c>
      <c r="U126" s="6">
        <v>0</v>
      </c>
      <c r="V126" s="6">
        <f>IF(ISERROR(VLOOKUP($S$126,'TAR FIN'!$A$1:$O$86,15,0)),0,VLOOKUP($S$126,'TAR FIN'!$A$1:$O$86,15,0))</f>
        <v>0</v>
      </c>
      <c r="W126" s="6">
        <f>IF(ISERROR(VLOOKUP($T$126,'TAR FIN'!$A$1:$O$86,15,0)),0,VLOOKUP($T$126,'TAR FIN'!$A$1:$O$86,15,0))</f>
        <v>71.260000000000005</v>
      </c>
      <c r="X126" s="6">
        <f>IF(ISERROR(VLOOKUP($U$126,'TAR FIN'!$A$1:$O$86,15,0)),0,VLOOKUP($U$126,'TAR FIN'!$A$1:$O$86,15,0))</f>
        <v>0</v>
      </c>
      <c r="Y126" s="6"/>
      <c r="Z126" s="6">
        <f ca="1">('TUSD BE'!$AM$12+'TUSD BF'!$AM$12+'TUSD CVA'!$AM$12)*1</f>
        <v>95.815448102611441</v>
      </c>
      <c r="AA126" s="6"/>
      <c r="AB126" s="6">
        <f>$K$126*$V$126</f>
        <v>0</v>
      </c>
      <c r="AC126" s="6">
        <f>$M$126*$W$126</f>
        <v>267873.10970000003</v>
      </c>
      <c r="AD126" s="6">
        <f>$O$126*$X$126</f>
        <v>0</v>
      </c>
      <c r="AE126" s="6">
        <f>$K$126*$Y$126</f>
        <v>0</v>
      </c>
      <c r="AF126" s="6">
        <f ca="1">$M$126*$Z$126</f>
        <v>360179.37188528612</v>
      </c>
      <c r="AG126" s="6">
        <f>$O$126*$AA$126</f>
        <v>0</v>
      </c>
    </row>
    <row r="127" spans="1:33" ht="11.25" customHeight="1" x14ac:dyDescent="0.25">
      <c r="A127" s="4" t="s">
        <v>21</v>
      </c>
      <c r="B127" s="4" t="s">
        <v>38</v>
      </c>
      <c r="C127" s="4" t="s">
        <v>39</v>
      </c>
      <c r="D127" s="4" t="s">
        <v>37</v>
      </c>
      <c r="E127" s="4" t="s">
        <v>25</v>
      </c>
      <c r="F127" s="4" t="s">
        <v>56</v>
      </c>
      <c r="G127" s="4" t="s">
        <v>25</v>
      </c>
      <c r="H127" s="4" t="s">
        <v>34</v>
      </c>
      <c r="I127" s="5">
        <v>44531</v>
      </c>
      <c r="J127" s="6">
        <v>0</v>
      </c>
      <c r="K127" s="6">
        <v>0</v>
      </c>
      <c r="L127" s="6">
        <v>3501.3580000000002</v>
      </c>
      <c r="M127" s="6">
        <v>3501.3580000000002</v>
      </c>
      <c r="N127" s="6">
        <v>0</v>
      </c>
      <c r="O127" s="6">
        <v>0</v>
      </c>
      <c r="P127" s="6">
        <v>0</v>
      </c>
      <c r="Q127" s="4" t="s">
        <v>57</v>
      </c>
      <c r="R127" s="4">
        <v>0</v>
      </c>
      <c r="S127" s="6">
        <v>0</v>
      </c>
      <c r="T127" s="6">
        <v>17</v>
      </c>
      <c r="U127" s="6">
        <v>0</v>
      </c>
      <c r="V127" s="6">
        <f>IF(ISERROR(VLOOKUP($S$127,'TAR FIN'!$A$1:$O$86,15,0)),0,VLOOKUP($S$127,'TAR FIN'!$A$1:$O$86,15,0))</f>
        <v>0</v>
      </c>
      <c r="W127" s="6">
        <f>IF(ISERROR(VLOOKUP($T$127,'TAR FIN'!$A$1:$O$86,15,0)),0,VLOOKUP($T$127,'TAR FIN'!$A$1:$O$86,15,0))</f>
        <v>71.260000000000005</v>
      </c>
      <c r="X127" s="6">
        <f>IF(ISERROR(VLOOKUP($U$127,'TAR FIN'!$A$1:$O$86,15,0)),0,VLOOKUP($U$127,'TAR FIN'!$A$1:$O$86,15,0))</f>
        <v>0</v>
      </c>
      <c r="Y127" s="6"/>
      <c r="Z127" s="6">
        <f ca="1">('TUSD BE'!$AM$12+'TUSD BF'!$AM$12+'TUSD CVA'!$AM$12)*1</f>
        <v>95.815448102611441</v>
      </c>
      <c r="AA127" s="6"/>
      <c r="AB127" s="6">
        <f>$K$127*$V$127</f>
        <v>0</v>
      </c>
      <c r="AC127" s="6">
        <f>$M$127*$W$127</f>
        <v>249506.77108000003</v>
      </c>
      <c r="AD127" s="6">
        <f>$O$127*$X$127</f>
        <v>0</v>
      </c>
      <c r="AE127" s="6">
        <f>$K$127*$Y$127</f>
        <v>0</v>
      </c>
      <c r="AF127" s="6">
        <f ca="1">$M$127*$Z$127</f>
        <v>335484.18573766341</v>
      </c>
      <c r="AG127" s="6">
        <f>$O$127*$AA$127</f>
        <v>0</v>
      </c>
    </row>
    <row r="128" spans="1:33" ht="11.25" customHeight="1" x14ac:dyDescent="0.25">
      <c r="A128" s="4" t="s">
        <v>21</v>
      </c>
      <c r="B128" s="4" t="s">
        <v>38</v>
      </c>
      <c r="C128" s="4" t="s">
        <v>39</v>
      </c>
      <c r="D128" s="4" t="s">
        <v>37</v>
      </c>
      <c r="E128" s="4" t="s">
        <v>25</v>
      </c>
      <c r="F128" s="4" t="s">
        <v>56</v>
      </c>
      <c r="G128" s="4" t="s">
        <v>25</v>
      </c>
      <c r="H128" s="4" t="s">
        <v>34</v>
      </c>
      <c r="I128" s="5">
        <v>44562</v>
      </c>
      <c r="J128" s="6">
        <v>0</v>
      </c>
      <c r="K128" s="6">
        <v>0</v>
      </c>
      <c r="L128" s="6">
        <v>3808.7330000000002</v>
      </c>
      <c r="M128" s="6">
        <v>3808.7330000000002</v>
      </c>
      <c r="N128" s="6">
        <v>0</v>
      </c>
      <c r="O128" s="6">
        <v>0</v>
      </c>
      <c r="P128" s="6">
        <v>0</v>
      </c>
      <c r="Q128" s="4" t="s">
        <v>57</v>
      </c>
      <c r="R128" s="4">
        <v>0</v>
      </c>
      <c r="S128" s="6">
        <v>0</v>
      </c>
      <c r="T128" s="6">
        <v>17</v>
      </c>
      <c r="U128" s="6">
        <v>0</v>
      </c>
      <c r="V128" s="6">
        <f>IF(ISERROR(VLOOKUP($S$128,'TAR FIN'!$A$1:$O$86,15,0)),0,VLOOKUP($S$128,'TAR FIN'!$A$1:$O$86,15,0))</f>
        <v>0</v>
      </c>
      <c r="W128" s="6">
        <f>IF(ISERROR(VLOOKUP($T$128,'TAR FIN'!$A$1:$O$86,15,0)),0,VLOOKUP($T$128,'TAR FIN'!$A$1:$O$86,15,0))</f>
        <v>71.260000000000005</v>
      </c>
      <c r="X128" s="6">
        <f>IF(ISERROR(VLOOKUP($U$128,'TAR FIN'!$A$1:$O$86,15,0)),0,VLOOKUP($U$128,'TAR FIN'!$A$1:$O$86,15,0))</f>
        <v>0</v>
      </c>
      <c r="Y128" s="6"/>
      <c r="Z128" s="6">
        <f ca="1">('TUSD BE'!$AM$12+'TUSD BF'!$AM$12+'TUSD CVA'!$AM$12)*1</f>
        <v>95.815448102611441</v>
      </c>
      <c r="AA128" s="6"/>
      <c r="AB128" s="6">
        <f>$K$128*$V$128</f>
        <v>0</v>
      </c>
      <c r="AC128" s="6">
        <f>$M$128*$W$128</f>
        <v>271410.31358000002</v>
      </c>
      <c r="AD128" s="6">
        <f>$O$128*$X$128</f>
        <v>0</v>
      </c>
      <c r="AE128" s="6">
        <f>$K$128*$Y$128</f>
        <v>0</v>
      </c>
      <c r="AF128" s="6">
        <f ca="1">$M$128*$Z$128</f>
        <v>364935.45909820357</v>
      </c>
      <c r="AG128" s="6">
        <f>$O$128*$AA$128</f>
        <v>0</v>
      </c>
    </row>
    <row r="129" spans="1:33" ht="11.25" customHeight="1" x14ac:dyDescent="0.25">
      <c r="A129" s="4" t="s">
        <v>21</v>
      </c>
      <c r="B129" s="4" t="s">
        <v>38</v>
      </c>
      <c r="C129" s="4" t="s">
        <v>39</v>
      </c>
      <c r="D129" s="4" t="s">
        <v>37</v>
      </c>
      <c r="E129" s="4" t="s">
        <v>25</v>
      </c>
      <c r="F129" s="4" t="s">
        <v>56</v>
      </c>
      <c r="G129" s="4" t="s">
        <v>25</v>
      </c>
      <c r="H129" s="4" t="s">
        <v>34</v>
      </c>
      <c r="I129" s="5">
        <v>44593</v>
      </c>
      <c r="J129" s="6">
        <v>0</v>
      </c>
      <c r="K129" s="6">
        <v>0</v>
      </c>
      <c r="L129" s="6">
        <v>3887.973</v>
      </c>
      <c r="M129" s="6">
        <v>3887.973</v>
      </c>
      <c r="N129" s="6">
        <v>0</v>
      </c>
      <c r="O129" s="6">
        <v>0</v>
      </c>
      <c r="P129" s="6">
        <v>0</v>
      </c>
      <c r="Q129" s="4" t="s">
        <v>57</v>
      </c>
      <c r="R129" s="4">
        <v>0</v>
      </c>
      <c r="S129" s="6">
        <v>0</v>
      </c>
      <c r="T129" s="6">
        <v>17</v>
      </c>
      <c r="U129" s="6">
        <v>0</v>
      </c>
      <c r="V129" s="6">
        <f>IF(ISERROR(VLOOKUP($S$129,'TAR FIN'!$A$1:$O$86,15,0)),0,VLOOKUP($S$129,'TAR FIN'!$A$1:$O$86,15,0))</f>
        <v>0</v>
      </c>
      <c r="W129" s="6">
        <f>IF(ISERROR(VLOOKUP($T$129,'TAR FIN'!$A$1:$O$86,15,0)),0,VLOOKUP($T$129,'TAR FIN'!$A$1:$O$86,15,0))</f>
        <v>71.260000000000005</v>
      </c>
      <c r="X129" s="6">
        <f>IF(ISERROR(VLOOKUP($U$129,'TAR FIN'!$A$1:$O$86,15,0)),0,VLOOKUP($U$129,'TAR FIN'!$A$1:$O$86,15,0))</f>
        <v>0</v>
      </c>
      <c r="Y129" s="6"/>
      <c r="Z129" s="6">
        <f ca="1">('TUSD BE'!$AM$12+'TUSD BF'!$AM$12+'TUSD CVA'!$AM$12)*1</f>
        <v>95.815448102611441</v>
      </c>
      <c r="AA129" s="6"/>
      <c r="AB129" s="6">
        <f>$K$129*$V$129</f>
        <v>0</v>
      </c>
      <c r="AC129" s="6">
        <f>$M$129*$W$129</f>
        <v>277056.95598000003</v>
      </c>
      <c r="AD129" s="6">
        <f>$O$129*$X$129</f>
        <v>0</v>
      </c>
      <c r="AE129" s="6">
        <f>$K$129*$Y$129</f>
        <v>0</v>
      </c>
      <c r="AF129" s="6">
        <f ca="1">$M$129*$Z$129</f>
        <v>372527.87520585454</v>
      </c>
      <c r="AG129" s="6">
        <f>$O$129*$AA$129</f>
        <v>0</v>
      </c>
    </row>
    <row r="130" spans="1:33" ht="11.25" customHeight="1" x14ac:dyDescent="0.25">
      <c r="A130" s="4" t="s">
        <v>21</v>
      </c>
      <c r="B130" s="4" t="s">
        <v>38</v>
      </c>
      <c r="C130" s="4" t="s">
        <v>39</v>
      </c>
      <c r="D130" s="4" t="s">
        <v>37</v>
      </c>
      <c r="E130" s="4" t="s">
        <v>25</v>
      </c>
      <c r="F130" s="4" t="s">
        <v>56</v>
      </c>
      <c r="G130" s="4" t="s">
        <v>25</v>
      </c>
      <c r="H130" s="4" t="s">
        <v>34</v>
      </c>
      <c r="I130" s="5">
        <v>44621</v>
      </c>
      <c r="J130" s="6">
        <v>0</v>
      </c>
      <c r="K130" s="6">
        <v>0</v>
      </c>
      <c r="L130" s="6">
        <v>4502.0200000000004</v>
      </c>
      <c r="M130" s="6">
        <v>4502.0200000000004</v>
      </c>
      <c r="N130" s="6">
        <v>0</v>
      </c>
      <c r="O130" s="6">
        <v>0</v>
      </c>
      <c r="P130" s="6">
        <v>0</v>
      </c>
      <c r="Q130" s="4" t="s">
        <v>57</v>
      </c>
      <c r="R130" s="4">
        <v>0</v>
      </c>
      <c r="S130" s="6">
        <v>0</v>
      </c>
      <c r="T130" s="6">
        <v>17</v>
      </c>
      <c r="U130" s="6">
        <v>0</v>
      </c>
      <c r="V130" s="6">
        <f>IF(ISERROR(VLOOKUP($S$130,'TAR FIN'!$A$1:$O$86,15,0)),0,VLOOKUP($S$130,'TAR FIN'!$A$1:$O$86,15,0))</f>
        <v>0</v>
      </c>
      <c r="W130" s="6">
        <f>IF(ISERROR(VLOOKUP($T$130,'TAR FIN'!$A$1:$O$86,15,0)),0,VLOOKUP($T$130,'TAR FIN'!$A$1:$O$86,15,0))</f>
        <v>71.260000000000005</v>
      </c>
      <c r="X130" s="6">
        <f>IF(ISERROR(VLOOKUP($U$130,'TAR FIN'!$A$1:$O$86,15,0)),0,VLOOKUP($U$130,'TAR FIN'!$A$1:$O$86,15,0))</f>
        <v>0</v>
      </c>
      <c r="Y130" s="6"/>
      <c r="Z130" s="6">
        <f ca="1">('TUSD BE'!$AM$12+'TUSD BF'!$AM$12+'TUSD CVA'!$AM$12)*1</f>
        <v>95.815448102611441</v>
      </c>
      <c r="AA130" s="6"/>
      <c r="AB130" s="6">
        <f>$K$130*$V$130</f>
        <v>0</v>
      </c>
      <c r="AC130" s="6">
        <f>$M$130*$W$130</f>
        <v>320813.94520000007</v>
      </c>
      <c r="AD130" s="6">
        <f>$O$130*$X$130</f>
        <v>0</v>
      </c>
      <c r="AE130" s="6">
        <f>$K$130*$Y$130</f>
        <v>0</v>
      </c>
      <c r="AF130" s="6">
        <f ca="1">$M$130*$Z$130</f>
        <v>431363.06366691878</v>
      </c>
      <c r="AG130" s="6">
        <f>$O$130*$AA$130</f>
        <v>0</v>
      </c>
    </row>
    <row r="131" spans="1:33" ht="11.25" customHeight="1" x14ac:dyDescent="0.25">
      <c r="A131" s="4" t="s">
        <v>21</v>
      </c>
      <c r="B131" s="4" t="s">
        <v>38</v>
      </c>
      <c r="C131" s="4" t="s">
        <v>39</v>
      </c>
      <c r="D131" s="4" t="s">
        <v>37</v>
      </c>
      <c r="E131" s="4" t="s">
        <v>25</v>
      </c>
      <c r="F131" s="4" t="s">
        <v>56</v>
      </c>
      <c r="G131" s="4" t="s">
        <v>25</v>
      </c>
      <c r="H131" s="4" t="s">
        <v>34</v>
      </c>
      <c r="I131" s="5">
        <v>44652</v>
      </c>
      <c r="J131" s="6">
        <v>0</v>
      </c>
      <c r="K131" s="6">
        <v>0</v>
      </c>
      <c r="L131" s="6">
        <v>4039.2190000000001</v>
      </c>
      <c r="M131" s="6">
        <v>4039.2190000000001</v>
      </c>
      <c r="N131" s="6">
        <v>0</v>
      </c>
      <c r="O131" s="6">
        <v>0</v>
      </c>
      <c r="P131" s="6">
        <v>0</v>
      </c>
      <c r="Q131" s="4" t="s">
        <v>57</v>
      </c>
      <c r="R131" s="4">
        <v>0</v>
      </c>
      <c r="S131" s="6">
        <v>0</v>
      </c>
      <c r="T131" s="6">
        <v>17</v>
      </c>
      <c r="U131" s="6">
        <v>0</v>
      </c>
      <c r="V131" s="6">
        <f>IF(ISERROR(VLOOKUP($S$131,'TAR FIN'!$A$1:$O$86,15,0)),0,VLOOKUP($S$131,'TAR FIN'!$A$1:$O$86,15,0))</f>
        <v>0</v>
      </c>
      <c r="W131" s="6">
        <f>IF(ISERROR(VLOOKUP($T$131,'TAR FIN'!$A$1:$O$86,15,0)),0,VLOOKUP($T$131,'TAR FIN'!$A$1:$O$86,15,0))</f>
        <v>71.260000000000005</v>
      </c>
      <c r="X131" s="6">
        <f>IF(ISERROR(VLOOKUP($U$131,'TAR FIN'!$A$1:$O$86,15,0)),0,VLOOKUP($U$131,'TAR FIN'!$A$1:$O$86,15,0))</f>
        <v>0</v>
      </c>
      <c r="Y131" s="6"/>
      <c r="Z131" s="6">
        <f ca="1">('TUSD BE'!$AM$12+'TUSD BF'!$AM$12+'TUSD CVA'!$AM$12)*1</f>
        <v>95.815448102611441</v>
      </c>
      <c r="AA131" s="6"/>
      <c r="AB131" s="6">
        <f>$K$131*$V$131</f>
        <v>0</v>
      </c>
      <c r="AC131" s="6">
        <f>$M$131*$W$131</f>
        <v>287834.74594000005</v>
      </c>
      <c r="AD131" s="6">
        <f>$O$131*$X$131</f>
        <v>0</v>
      </c>
      <c r="AE131" s="6">
        <f>$K$131*$Y$131</f>
        <v>0</v>
      </c>
      <c r="AF131" s="6">
        <f ca="1">$M$131*$Z$131</f>
        <v>387019.57846958208</v>
      </c>
      <c r="AG131" s="6">
        <f>$O$131*$AA$131</f>
        <v>0</v>
      </c>
    </row>
    <row r="132" spans="1:33" ht="11.25" customHeight="1" x14ac:dyDescent="0.25">
      <c r="A132" s="4" t="s">
        <v>21</v>
      </c>
      <c r="B132" s="4" t="s">
        <v>38</v>
      </c>
      <c r="C132" s="4" t="s">
        <v>39</v>
      </c>
      <c r="D132" s="4" t="s">
        <v>37</v>
      </c>
      <c r="E132" s="4" t="s">
        <v>25</v>
      </c>
      <c r="F132" s="4" t="s">
        <v>56</v>
      </c>
      <c r="G132" s="4" t="s">
        <v>25</v>
      </c>
      <c r="H132" s="4" t="s">
        <v>34</v>
      </c>
      <c r="I132" s="5">
        <v>44682</v>
      </c>
      <c r="J132" s="6">
        <v>0</v>
      </c>
      <c r="K132" s="6">
        <v>0</v>
      </c>
      <c r="L132" s="6">
        <v>4380.7709999999997</v>
      </c>
      <c r="M132" s="6">
        <v>4380.7709999999997</v>
      </c>
      <c r="N132" s="6">
        <v>0</v>
      </c>
      <c r="O132" s="6">
        <v>0</v>
      </c>
      <c r="P132" s="6">
        <v>0</v>
      </c>
      <c r="Q132" s="4" t="s">
        <v>57</v>
      </c>
      <c r="R132" s="4">
        <v>0</v>
      </c>
      <c r="S132" s="6">
        <v>0</v>
      </c>
      <c r="T132" s="6">
        <v>17</v>
      </c>
      <c r="U132" s="6">
        <v>0</v>
      </c>
      <c r="V132" s="6">
        <f>IF(ISERROR(VLOOKUP($S$132,'TAR FIN'!$A$1:$O$86,15,0)),0,VLOOKUP($S$132,'TAR FIN'!$A$1:$O$86,15,0))</f>
        <v>0</v>
      </c>
      <c r="W132" s="6">
        <f>IF(ISERROR(VLOOKUP($T$132,'TAR FIN'!$A$1:$O$86,15,0)),0,VLOOKUP($T$132,'TAR FIN'!$A$1:$O$86,15,0))</f>
        <v>71.260000000000005</v>
      </c>
      <c r="X132" s="6">
        <f>IF(ISERROR(VLOOKUP($U$132,'TAR FIN'!$A$1:$O$86,15,0)),0,VLOOKUP($U$132,'TAR FIN'!$A$1:$O$86,15,0))</f>
        <v>0</v>
      </c>
      <c r="Y132" s="6"/>
      <c r="Z132" s="6">
        <f ca="1">('TUSD BE'!$AM$12+'TUSD BF'!$AM$12+'TUSD CVA'!$AM$12)*1</f>
        <v>95.815448102611441</v>
      </c>
      <c r="AA132" s="6"/>
      <c r="AB132" s="6">
        <f>$K$132*$V$132</f>
        <v>0</v>
      </c>
      <c r="AC132" s="6">
        <f>$M$132*$W$132</f>
        <v>312173.74145999999</v>
      </c>
      <c r="AD132" s="6">
        <f>$O$132*$X$132</f>
        <v>0</v>
      </c>
      <c r="AE132" s="6">
        <f>$K$132*$Y$132</f>
        <v>0</v>
      </c>
      <c r="AF132" s="6">
        <f ca="1">$M$132*$Z$132</f>
        <v>419745.53639992519</v>
      </c>
      <c r="AG132" s="6">
        <f>$O$132*$AA$132</f>
        <v>0</v>
      </c>
    </row>
    <row r="133" spans="1:33" ht="11.25" customHeight="1" x14ac:dyDescent="0.25">
      <c r="A133" s="4" t="s">
        <v>55</v>
      </c>
      <c r="B133" s="4" t="s">
        <v>38</v>
      </c>
      <c r="C133" s="4" t="s">
        <v>39</v>
      </c>
      <c r="D133" s="4" t="s">
        <v>37</v>
      </c>
      <c r="E133" s="4" t="s">
        <v>25</v>
      </c>
      <c r="F133" s="4" t="s">
        <v>56</v>
      </c>
      <c r="G133" s="4" t="s">
        <v>25</v>
      </c>
      <c r="H133" s="4" t="s">
        <v>34</v>
      </c>
      <c r="I133" s="5">
        <v>44713</v>
      </c>
      <c r="J133" s="6">
        <v>0</v>
      </c>
      <c r="K133" s="6">
        <v>0</v>
      </c>
      <c r="L133" s="6">
        <v>4380.7709999999997</v>
      </c>
      <c r="M133" s="6">
        <v>4380.7709999999997</v>
      </c>
      <c r="N133" s="6">
        <v>0</v>
      </c>
      <c r="O133" s="6">
        <v>0</v>
      </c>
      <c r="P133" s="6">
        <v>0</v>
      </c>
      <c r="Q133" s="4" t="s">
        <v>57</v>
      </c>
      <c r="R133" s="4">
        <v>0</v>
      </c>
      <c r="S133" s="6">
        <v>0</v>
      </c>
      <c r="T133" s="6">
        <v>17</v>
      </c>
      <c r="U133" s="6">
        <v>0</v>
      </c>
      <c r="V133" s="6">
        <f>IF(ISERROR(VLOOKUP($S$133,'TAR FIN'!$A$1:$O$86,15,0)),0,VLOOKUP($S$133,'TAR FIN'!$A$1:$O$86,15,0))</f>
        <v>0</v>
      </c>
      <c r="W133" s="6">
        <f>IF(ISERROR(VLOOKUP($T$133,'TAR FIN'!$A$1:$O$86,15,0)),0,VLOOKUP($T$133,'TAR FIN'!$A$1:$O$86,15,0))</f>
        <v>71.260000000000005</v>
      </c>
      <c r="X133" s="6">
        <f>IF(ISERROR(VLOOKUP($U$133,'TAR FIN'!$A$1:$O$86,15,0)),0,VLOOKUP($U$133,'TAR FIN'!$A$1:$O$86,15,0))</f>
        <v>0</v>
      </c>
      <c r="Y133" s="6"/>
      <c r="Z133" s="6">
        <f ca="1">('TUSD BE'!$AM$12+'TUSD BF'!$AM$12+'TUSD CVA'!$AM$12)*1</f>
        <v>95.815448102611441</v>
      </c>
      <c r="AA133" s="6"/>
      <c r="AB133" s="6">
        <f>$K$133*$V$133</f>
        <v>0</v>
      </c>
      <c r="AC133" s="6">
        <f>$M$133*$W$133</f>
        <v>312173.74145999999</v>
      </c>
      <c r="AD133" s="6">
        <f>$O$133*$X$133</f>
        <v>0</v>
      </c>
      <c r="AE133" s="6">
        <f>$K$133*$Y$133</f>
        <v>0</v>
      </c>
      <c r="AF133" s="6">
        <f ca="1">$M$133*$Z$133</f>
        <v>419745.53639992519</v>
      </c>
      <c r="AG133" s="6">
        <f>$O$133*$AA$133</f>
        <v>0</v>
      </c>
    </row>
    <row r="134" spans="1:33" ht="11.25" customHeight="1" x14ac:dyDescent="0.25">
      <c r="A134" s="4" t="s">
        <v>21</v>
      </c>
      <c r="B134" s="4" t="s">
        <v>38</v>
      </c>
      <c r="C134" s="4" t="s">
        <v>39</v>
      </c>
      <c r="D134" s="4" t="s">
        <v>37</v>
      </c>
      <c r="E134" s="4" t="s">
        <v>25</v>
      </c>
      <c r="F134" s="4" t="s">
        <v>56</v>
      </c>
      <c r="G134" s="4" t="s">
        <v>25</v>
      </c>
      <c r="H134" s="4" t="s">
        <v>25</v>
      </c>
      <c r="I134" s="5">
        <v>44378</v>
      </c>
      <c r="J134" s="6">
        <v>10417</v>
      </c>
      <c r="K134" s="6">
        <v>5208.5</v>
      </c>
      <c r="L134" s="6">
        <v>0</v>
      </c>
      <c r="M134" s="6">
        <v>0</v>
      </c>
      <c r="N134" s="6">
        <v>0</v>
      </c>
      <c r="O134" s="6">
        <v>0</v>
      </c>
      <c r="P134" s="6">
        <v>6</v>
      </c>
      <c r="Q134" s="4" t="s">
        <v>57</v>
      </c>
      <c r="R134" s="4">
        <v>0</v>
      </c>
      <c r="S134" s="6">
        <v>19</v>
      </c>
      <c r="T134" s="6">
        <v>0</v>
      </c>
      <c r="U134" s="6">
        <v>0</v>
      </c>
      <c r="V134" s="6">
        <f>IF(ISERROR(VLOOKUP($S$134,'TAR FIN'!$A$1:$O$86,15,0)),0,VLOOKUP($S$134,'TAR FIN'!$A$1:$O$86,15,0))</f>
        <v>16.29</v>
      </c>
      <c r="W134" s="6">
        <f>IF(ISERROR(VLOOKUP($T$134,'TAR FIN'!$A$1:$O$86,15,0)),0,VLOOKUP($T$134,'TAR FIN'!$A$1:$O$86,15,0))</f>
        <v>0</v>
      </c>
      <c r="X134" s="6">
        <f>IF(ISERROR(VLOOKUP($U$134,'TAR FIN'!$A$1:$O$86,15,0)),0,VLOOKUP($U$134,'TAR FIN'!$A$1:$O$86,15,0))</f>
        <v>0</v>
      </c>
      <c r="Y134" s="6">
        <f ca="1">('TUSD BE'!$AM$10+'TUSD BF'!$AM$10+'TUSD CVA'!$AM$10)*1</f>
        <v>21.139573525578484</v>
      </c>
      <c r="Z134" s="6"/>
      <c r="AA134" s="6"/>
      <c r="AB134" s="6">
        <f>$K$134*$V$134</f>
        <v>84846.464999999997</v>
      </c>
      <c r="AC134" s="6">
        <f>$M$134*$W$134</f>
        <v>0</v>
      </c>
      <c r="AD134" s="6">
        <f>$O$134*$X$134</f>
        <v>0</v>
      </c>
      <c r="AE134" s="6">
        <f ca="1">$K$134*$Y$134</f>
        <v>110105.46870797554</v>
      </c>
      <c r="AF134" s="6">
        <f>$M$134*$Z$134</f>
        <v>0</v>
      </c>
      <c r="AG134" s="6">
        <f>$O$134*$AA$134</f>
        <v>0</v>
      </c>
    </row>
    <row r="135" spans="1:33" ht="11.25" customHeight="1" x14ac:dyDescent="0.25">
      <c r="A135" s="4" t="s">
        <v>21</v>
      </c>
      <c r="B135" s="4" t="s">
        <v>38</v>
      </c>
      <c r="C135" s="4" t="s">
        <v>39</v>
      </c>
      <c r="D135" s="4" t="s">
        <v>37</v>
      </c>
      <c r="E135" s="4" t="s">
        <v>25</v>
      </c>
      <c r="F135" s="4" t="s">
        <v>56</v>
      </c>
      <c r="G135" s="4" t="s">
        <v>25</v>
      </c>
      <c r="H135" s="4" t="s">
        <v>25</v>
      </c>
      <c r="I135" s="5">
        <v>44409</v>
      </c>
      <c r="J135" s="6">
        <v>10895</v>
      </c>
      <c r="K135" s="6">
        <v>5447.5</v>
      </c>
      <c r="L135" s="6">
        <v>0</v>
      </c>
      <c r="M135" s="6">
        <v>0</v>
      </c>
      <c r="N135" s="6">
        <v>0</v>
      </c>
      <c r="O135" s="6">
        <v>0</v>
      </c>
      <c r="P135" s="6">
        <v>7</v>
      </c>
      <c r="Q135" s="4" t="s">
        <v>57</v>
      </c>
      <c r="R135" s="4">
        <v>0</v>
      </c>
      <c r="S135" s="6">
        <v>19</v>
      </c>
      <c r="T135" s="6">
        <v>0</v>
      </c>
      <c r="U135" s="6">
        <v>0</v>
      </c>
      <c r="V135" s="6">
        <f>IF(ISERROR(VLOOKUP($S$135,'TAR FIN'!$A$1:$O$86,15,0)),0,VLOOKUP($S$135,'TAR FIN'!$A$1:$O$86,15,0))</f>
        <v>16.29</v>
      </c>
      <c r="W135" s="6">
        <f>IF(ISERROR(VLOOKUP($T$135,'TAR FIN'!$A$1:$O$86,15,0)),0,VLOOKUP($T$135,'TAR FIN'!$A$1:$O$86,15,0))</f>
        <v>0</v>
      </c>
      <c r="X135" s="6">
        <f>IF(ISERROR(VLOOKUP($U$135,'TAR FIN'!$A$1:$O$86,15,0)),0,VLOOKUP($U$135,'TAR FIN'!$A$1:$O$86,15,0))</f>
        <v>0</v>
      </c>
      <c r="Y135" s="6">
        <f ca="1">('TUSD BE'!$AM$10+'TUSD BF'!$AM$10+'TUSD CVA'!$AM$10)*1</f>
        <v>21.139573525578484</v>
      </c>
      <c r="Z135" s="6"/>
      <c r="AA135" s="6"/>
      <c r="AB135" s="6">
        <f>$K$135*$V$135</f>
        <v>88739.774999999994</v>
      </c>
      <c r="AC135" s="6">
        <f>$M$135*$W$135</f>
        <v>0</v>
      </c>
      <c r="AD135" s="6">
        <f>$O$135*$X$135</f>
        <v>0</v>
      </c>
      <c r="AE135" s="6">
        <f ca="1">$K$135*$Y$135</f>
        <v>115157.82678058879</v>
      </c>
      <c r="AF135" s="6">
        <f>$M$135*$Z$135</f>
        <v>0</v>
      </c>
      <c r="AG135" s="6">
        <f>$O$135*$AA$135</f>
        <v>0</v>
      </c>
    </row>
    <row r="136" spans="1:33" ht="11.25" customHeight="1" x14ac:dyDescent="0.25">
      <c r="A136" s="4" t="s">
        <v>21</v>
      </c>
      <c r="B136" s="4" t="s">
        <v>38</v>
      </c>
      <c r="C136" s="4" t="s">
        <v>39</v>
      </c>
      <c r="D136" s="4" t="s">
        <v>37</v>
      </c>
      <c r="E136" s="4" t="s">
        <v>25</v>
      </c>
      <c r="F136" s="4" t="s">
        <v>56</v>
      </c>
      <c r="G136" s="4" t="s">
        <v>25</v>
      </c>
      <c r="H136" s="4" t="s">
        <v>25</v>
      </c>
      <c r="I136" s="5">
        <v>44440</v>
      </c>
      <c r="J136" s="6">
        <v>10925</v>
      </c>
      <c r="K136" s="6">
        <v>5462.5</v>
      </c>
      <c r="L136" s="6">
        <v>0</v>
      </c>
      <c r="M136" s="6">
        <v>0</v>
      </c>
      <c r="N136" s="6">
        <v>0</v>
      </c>
      <c r="O136" s="6">
        <v>0</v>
      </c>
      <c r="P136" s="6">
        <v>7</v>
      </c>
      <c r="Q136" s="4" t="s">
        <v>57</v>
      </c>
      <c r="R136" s="4">
        <v>0</v>
      </c>
      <c r="S136" s="6">
        <v>19</v>
      </c>
      <c r="T136" s="6">
        <v>0</v>
      </c>
      <c r="U136" s="6">
        <v>0</v>
      </c>
      <c r="V136" s="6">
        <f>IF(ISERROR(VLOOKUP($S$136,'TAR FIN'!$A$1:$O$86,15,0)),0,VLOOKUP($S$136,'TAR FIN'!$A$1:$O$86,15,0))</f>
        <v>16.29</v>
      </c>
      <c r="W136" s="6">
        <f>IF(ISERROR(VLOOKUP($T$136,'TAR FIN'!$A$1:$O$86,15,0)),0,VLOOKUP($T$136,'TAR FIN'!$A$1:$O$86,15,0))</f>
        <v>0</v>
      </c>
      <c r="X136" s="6">
        <f>IF(ISERROR(VLOOKUP($U$136,'TAR FIN'!$A$1:$O$86,15,0)),0,VLOOKUP($U$136,'TAR FIN'!$A$1:$O$86,15,0))</f>
        <v>0</v>
      </c>
      <c r="Y136" s="6">
        <f ca="1">('TUSD BE'!$AM$10+'TUSD BF'!$AM$10+'TUSD CVA'!$AM$10)*1</f>
        <v>21.139573525578484</v>
      </c>
      <c r="Z136" s="6"/>
      <c r="AA136" s="6"/>
      <c r="AB136" s="6">
        <f>$K$136*$V$136</f>
        <v>88984.125</v>
      </c>
      <c r="AC136" s="6">
        <f>$M$136*$W$136</f>
        <v>0</v>
      </c>
      <c r="AD136" s="6">
        <f>$O$136*$X$136</f>
        <v>0</v>
      </c>
      <c r="AE136" s="6">
        <f ca="1">$K$136*$Y$136</f>
        <v>115474.92038347248</v>
      </c>
      <c r="AF136" s="6">
        <f>$M$136*$Z$136</f>
        <v>0</v>
      </c>
      <c r="AG136" s="6">
        <f>$O$136*$AA$136</f>
        <v>0</v>
      </c>
    </row>
    <row r="137" spans="1:33" ht="11.25" customHeight="1" x14ac:dyDescent="0.25">
      <c r="A137" s="4" t="s">
        <v>21</v>
      </c>
      <c r="B137" s="4" t="s">
        <v>38</v>
      </c>
      <c r="C137" s="4" t="s">
        <v>39</v>
      </c>
      <c r="D137" s="4" t="s">
        <v>37</v>
      </c>
      <c r="E137" s="4" t="s">
        <v>25</v>
      </c>
      <c r="F137" s="4" t="s">
        <v>56</v>
      </c>
      <c r="G137" s="4" t="s">
        <v>25</v>
      </c>
      <c r="H137" s="4" t="s">
        <v>25</v>
      </c>
      <c r="I137" s="5">
        <v>44470</v>
      </c>
      <c r="J137" s="6">
        <v>10895</v>
      </c>
      <c r="K137" s="6">
        <v>5447.5</v>
      </c>
      <c r="L137" s="6">
        <v>0</v>
      </c>
      <c r="M137" s="6">
        <v>0</v>
      </c>
      <c r="N137" s="6">
        <v>0</v>
      </c>
      <c r="O137" s="6">
        <v>0</v>
      </c>
      <c r="P137" s="6">
        <v>7</v>
      </c>
      <c r="Q137" s="4" t="s">
        <v>57</v>
      </c>
      <c r="R137" s="4">
        <v>0</v>
      </c>
      <c r="S137" s="6">
        <v>19</v>
      </c>
      <c r="T137" s="6">
        <v>0</v>
      </c>
      <c r="U137" s="6">
        <v>0</v>
      </c>
      <c r="V137" s="6">
        <f>IF(ISERROR(VLOOKUP($S$137,'TAR FIN'!$A$1:$O$86,15,0)),0,VLOOKUP($S$137,'TAR FIN'!$A$1:$O$86,15,0))</f>
        <v>16.29</v>
      </c>
      <c r="W137" s="6">
        <f>IF(ISERROR(VLOOKUP($T$137,'TAR FIN'!$A$1:$O$86,15,0)),0,VLOOKUP($T$137,'TAR FIN'!$A$1:$O$86,15,0))</f>
        <v>0</v>
      </c>
      <c r="X137" s="6">
        <f>IF(ISERROR(VLOOKUP($U$137,'TAR FIN'!$A$1:$O$86,15,0)),0,VLOOKUP($U$137,'TAR FIN'!$A$1:$O$86,15,0))</f>
        <v>0</v>
      </c>
      <c r="Y137" s="6">
        <f ca="1">('TUSD BE'!$AM$10+'TUSD BF'!$AM$10+'TUSD CVA'!$AM$10)*1</f>
        <v>21.139573525578484</v>
      </c>
      <c r="Z137" s="6"/>
      <c r="AA137" s="6"/>
      <c r="AB137" s="6">
        <f>$K$137*$V$137</f>
        <v>88739.774999999994</v>
      </c>
      <c r="AC137" s="6">
        <f>$M$137*$W$137</f>
        <v>0</v>
      </c>
      <c r="AD137" s="6">
        <f>$O$137*$X$137</f>
        <v>0</v>
      </c>
      <c r="AE137" s="6">
        <f ca="1">$K$137*$Y$137</f>
        <v>115157.82678058879</v>
      </c>
      <c r="AF137" s="6">
        <f>$M$137*$Z$137</f>
        <v>0</v>
      </c>
      <c r="AG137" s="6">
        <f>$O$137*$AA$137</f>
        <v>0</v>
      </c>
    </row>
    <row r="138" spans="1:33" ht="11.25" customHeight="1" x14ac:dyDescent="0.25">
      <c r="A138" s="4" t="s">
        <v>21</v>
      </c>
      <c r="B138" s="4" t="s">
        <v>38</v>
      </c>
      <c r="C138" s="4" t="s">
        <v>39</v>
      </c>
      <c r="D138" s="4" t="s">
        <v>37</v>
      </c>
      <c r="E138" s="4" t="s">
        <v>25</v>
      </c>
      <c r="F138" s="4" t="s">
        <v>56</v>
      </c>
      <c r="G138" s="4" t="s">
        <v>25</v>
      </c>
      <c r="H138" s="4" t="s">
        <v>25</v>
      </c>
      <c r="I138" s="5">
        <v>44501</v>
      </c>
      <c r="J138" s="6">
        <v>11405</v>
      </c>
      <c r="K138" s="6">
        <v>5702.5</v>
      </c>
      <c r="L138" s="6">
        <v>0</v>
      </c>
      <c r="M138" s="6">
        <v>0</v>
      </c>
      <c r="N138" s="6">
        <v>0</v>
      </c>
      <c r="O138" s="6">
        <v>0</v>
      </c>
      <c r="P138" s="6">
        <v>8</v>
      </c>
      <c r="Q138" s="4" t="s">
        <v>57</v>
      </c>
      <c r="R138" s="4">
        <v>0</v>
      </c>
      <c r="S138" s="6">
        <v>19</v>
      </c>
      <c r="T138" s="6">
        <v>0</v>
      </c>
      <c r="U138" s="6">
        <v>0</v>
      </c>
      <c r="V138" s="6">
        <f>IF(ISERROR(VLOOKUP($S$138,'TAR FIN'!$A$1:$O$86,15,0)),0,VLOOKUP($S$138,'TAR FIN'!$A$1:$O$86,15,0))</f>
        <v>16.29</v>
      </c>
      <c r="W138" s="6">
        <f>IF(ISERROR(VLOOKUP($T$138,'TAR FIN'!$A$1:$O$86,15,0)),0,VLOOKUP($T$138,'TAR FIN'!$A$1:$O$86,15,0))</f>
        <v>0</v>
      </c>
      <c r="X138" s="6">
        <f>IF(ISERROR(VLOOKUP($U$138,'TAR FIN'!$A$1:$O$86,15,0)),0,VLOOKUP($U$138,'TAR FIN'!$A$1:$O$86,15,0))</f>
        <v>0</v>
      </c>
      <c r="Y138" s="6">
        <f ca="1">('TUSD BE'!$AM$10+'TUSD BF'!$AM$10+'TUSD CVA'!$AM$10)*1</f>
        <v>21.139573525578484</v>
      </c>
      <c r="Z138" s="6"/>
      <c r="AA138" s="6"/>
      <c r="AB138" s="6">
        <f>$K$138*$V$138</f>
        <v>92893.724999999991</v>
      </c>
      <c r="AC138" s="6">
        <f>$M$138*$W$138</f>
        <v>0</v>
      </c>
      <c r="AD138" s="6">
        <f>$O$138*$X$138</f>
        <v>0</v>
      </c>
      <c r="AE138" s="6">
        <f ca="1">$K$138*$Y$138</f>
        <v>120548.4180296113</v>
      </c>
      <c r="AF138" s="6">
        <f>$M$138*$Z$138</f>
        <v>0</v>
      </c>
      <c r="AG138" s="6">
        <f>$O$138*$AA$138</f>
        <v>0</v>
      </c>
    </row>
    <row r="139" spans="1:33" ht="11.25" customHeight="1" x14ac:dyDescent="0.25">
      <c r="A139" s="4" t="s">
        <v>21</v>
      </c>
      <c r="B139" s="4" t="s">
        <v>38</v>
      </c>
      <c r="C139" s="4" t="s">
        <v>39</v>
      </c>
      <c r="D139" s="4" t="s">
        <v>37</v>
      </c>
      <c r="E139" s="4" t="s">
        <v>25</v>
      </c>
      <c r="F139" s="4" t="s">
        <v>56</v>
      </c>
      <c r="G139" s="4" t="s">
        <v>25</v>
      </c>
      <c r="H139" s="4" t="s">
        <v>25</v>
      </c>
      <c r="I139" s="5">
        <v>44531</v>
      </c>
      <c r="J139" s="6">
        <v>11395</v>
      </c>
      <c r="K139" s="6">
        <v>5697.5</v>
      </c>
      <c r="L139" s="6">
        <v>0</v>
      </c>
      <c r="M139" s="6">
        <v>0</v>
      </c>
      <c r="N139" s="6">
        <v>0</v>
      </c>
      <c r="O139" s="6">
        <v>0</v>
      </c>
      <c r="P139" s="6">
        <v>8</v>
      </c>
      <c r="Q139" s="4" t="s">
        <v>57</v>
      </c>
      <c r="R139" s="4">
        <v>0</v>
      </c>
      <c r="S139" s="6">
        <v>19</v>
      </c>
      <c r="T139" s="6">
        <v>0</v>
      </c>
      <c r="U139" s="6">
        <v>0</v>
      </c>
      <c r="V139" s="6">
        <f>IF(ISERROR(VLOOKUP($S$139,'TAR FIN'!$A$1:$O$86,15,0)),0,VLOOKUP($S$139,'TAR FIN'!$A$1:$O$86,15,0))</f>
        <v>16.29</v>
      </c>
      <c r="W139" s="6">
        <f>IF(ISERROR(VLOOKUP($T$139,'TAR FIN'!$A$1:$O$86,15,0)),0,VLOOKUP($T$139,'TAR FIN'!$A$1:$O$86,15,0))</f>
        <v>0</v>
      </c>
      <c r="X139" s="6">
        <f>IF(ISERROR(VLOOKUP($U$139,'TAR FIN'!$A$1:$O$86,15,0)),0,VLOOKUP($U$139,'TAR FIN'!$A$1:$O$86,15,0))</f>
        <v>0</v>
      </c>
      <c r="Y139" s="6">
        <f ca="1">('TUSD BE'!$AM$10+'TUSD BF'!$AM$10+'TUSD CVA'!$AM$10)*1</f>
        <v>21.139573525578484</v>
      </c>
      <c r="Z139" s="6"/>
      <c r="AA139" s="6"/>
      <c r="AB139" s="6">
        <f>$K$139*$V$139</f>
        <v>92812.274999999994</v>
      </c>
      <c r="AC139" s="6">
        <f>$M$139*$W$139</f>
        <v>0</v>
      </c>
      <c r="AD139" s="6">
        <f>$O$139*$X$139</f>
        <v>0</v>
      </c>
      <c r="AE139" s="6">
        <f ca="1">$K$139*$Y$139</f>
        <v>120442.72016198341</v>
      </c>
      <c r="AF139" s="6">
        <f>$M$139*$Z$139</f>
        <v>0</v>
      </c>
      <c r="AG139" s="6">
        <f>$O$139*$AA$139</f>
        <v>0</v>
      </c>
    </row>
    <row r="140" spans="1:33" ht="11.25" customHeight="1" x14ac:dyDescent="0.25">
      <c r="A140" s="4" t="s">
        <v>21</v>
      </c>
      <c r="B140" s="4" t="s">
        <v>38</v>
      </c>
      <c r="C140" s="4" t="s">
        <v>39</v>
      </c>
      <c r="D140" s="4" t="s">
        <v>37</v>
      </c>
      <c r="E140" s="4" t="s">
        <v>25</v>
      </c>
      <c r="F140" s="4" t="s">
        <v>56</v>
      </c>
      <c r="G140" s="4" t="s">
        <v>25</v>
      </c>
      <c r="H140" s="4" t="s">
        <v>25</v>
      </c>
      <c r="I140" s="5">
        <v>44562</v>
      </c>
      <c r="J140" s="6">
        <v>11448</v>
      </c>
      <c r="K140" s="6">
        <v>5724</v>
      </c>
      <c r="L140" s="6">
        <v>0</v>
      </c>
      <c r="M140" s="6">
        <v>0</v>
      </c>
      <c r="N140" s="6">
        <v>0</v>
      </c>
      <c r="O140" s="6">
        <v>0</v>
      </c>
      <c r="P140" s="6">
        <v>8</v>
      </c>
      <c r="Q140" s="4" t="s">
        <v>57</v>
      </c>
      <c r="R140" s="4">
        <v>0</v>
      </c>
      <c r="S140" s="6">
        <v>19</v>
      </c>
      <c r="T140" s="6">
        <v>0</v>
      </c>
      <c r="U140" s="6">
        <v>0</v>
      </c>
      <c r="V140" s="6">
        <f>IF(ISERROR(VLOOKUP($S$140,'TAR FIN'!$A$1:$O$86,15,0)),0,VLOOKUP($S$140,'TAR FIN'!$A$1:$O$86,15,0))</f>
        <v>16.29</v>
      </c>
      <c r="W140" s="6">
        <f>IF(ISERROR(VLOOKUP($T$140,'TAR FIN'!$A$1:$O$86,15,0)),0,VLOOKUP($T$140,'TAR FIN'!$A$1:$O$86,15,0))</f>
        <v>0</v>
      </c>
      <c r="X140" s="6">
        <f>IF(ISERROR(VLOOKUP($U$140,'TAR FIN'!$A$1:$O$86,15,0)),0,VLOOKUP($U$140,'TAR FIN'!$A$1:$O$86,15,0))</f>
        <v>0</v>
      </c>
      <c r="Y140" s="6">
        <f ca="1">('TUSD BE'!$AM$10+'TUSD BF'!$AM$10+'TUSD CVA'!$AM$10)*1</f>
        <v>21.139573525578484</v>
      </c>
      <c r="Z140" s="6"/>
      <c r="AA140" s="6"/>
      <c r="AB140" s="6">
        <f>$K$140*$V$140</f>
        <v>93243.959999999992</v>
      </c>
      <c r="AC140" s="6">
        <f>$M$140*$W$140</f>
        <v>0</v>
      </c>
      <c r="AD140" s="6">
        <f>$O$140*$X$140</f>
        <v>0</v>
      </c>
      <c r="AE140" s="6">
        <f ca="1">$K$140*$Y$140</f>
        <v>121002.91886041124</v>
      </c>
      <c r="AF140" s="6">
        <f>$M$140*$Z$140</f>
        <v>0</v>
      </c>
      <c r="AG140" s="6">
        <f>$O$140*$AA$140</f>
        <v>0</v>
      </c>
    </row>
    <row r="141" spans="1:33" ht="11.25" customHeight="1" x14ac:dyDescent="0.25">
      <c r="A141" s="4" t="s">
        <v>21</v>
      </c>
      <c r="B141" s="4" t="s">
        <v>38</v>
      </c>
      <c r="C141" s="4" t="s">
        <v>39</v>
      </c>
      <c r="D141" s="4" t="s">
        <v>37</v>
      </c>
      <c r="E141" s="4" t="s">
        <v>25</v>
      </c>
      <c r="F141" s="4" t="s">
        <v>56</v>
      </c>
      <c r="G141" s="4" t="s">
        <v>25</v>
      </c>
      <c r="H141" s="4" t="s">
        <v>25</v>
      </c>
      <c r="I141" s="5">
        <v>44593</v>
      </c>
      <c r="J141" s="6">
        <v>12306</v>
      </c>
      <c r="K141" s="6">
        <v>6153</v>
      </c>
      <c r="L141" s="6">
        <v>0</v>
      </c>
      <c r="M141" s="6">
        <v>0</v>
      </c>
      <c r="N141" s="6">
        <v>0</v>
      </c>
      <c r="O141" s="6">
        <v>0</v>
      </c>
      <c r="P141" s="6">
        <v>9</v>
      </c>
      <c r="Q141" s="4" t="s">
        <v>57</v>
      </c>
      <c r="R141" s="4">
        <v>0</v>
      </c>
      <c r="S141" s="6">
        <v>19</v>
      </c>
      <c r="T141" s="6">
        <v>0</v>
      </c>
      <c r="U141" s="6">
        <v>0</v>
      </c>
      <c r="V141" s="6">
        <f>IF(ISERROR(VLOOKUP($S$141,'TAR FIN'!$A$1:$O$86,15,0)),0,VLOOKUP($S$141,'TAR FIN'!$A$1:$O$86,15,0))</f>
        <v>16.29</v>
      </c>
      <c r="W141" s="6">
        <f>IF(ISERROR(VLOOKUP($T$141,'TAR FIN'!$A$1:$O$86,15,0)),0,VLOOKUP($T$141,'TAR FIN'!$A$1:$O$86,15,0))</f>
        <v>0</v>
      </c>
      <c r="X141" s="6">
        <f>IF(ISERROR(VLOOKUP($U$141,'TAR FIN'!$A$1:$O$86,15,0)),0,VLOOKUP($U$141,'TAR FIN'!$A$1:$O$86,15,0))</f>
        <v>0</v>
      </c>
      <c r="Y141" s="6">
        <f ca="1">('TUSD BE'!$AM$10+'TUSD BF'!$AM$10+'TUSD CVA'!$AM$10)*1</f>
        <v>21.139573525578484</v>
      </c>
      <c r="Z141" s="6"/>
      <c r="AA141" s="6"/>
      <c r="AB141" s="6">
        <f>$K$141*$V$141</f>
        <v>100232.37</v>
      </c>
      <c r="AC141" s="6">
        <f>$M$141*$W$141</f>
        <v>0</v>
      </c>
      <c r="AD141" s="6">
        <f>$O$141*$X$141</f>
        <v>0</v>
      </c>
      <c r="AE141" s="6">
        <f ca="1">$K$141*$Y$141</f>
        <v>130071.79590288442</v>
      </c>
      <c r="AF141" s="6">
        <f>$M$141*$Z$141</f>
        <v>0</v>
      </c>
      <c r="AG141" s="6">
        <f>$O$141*$AA$141</f>
        <v>0</v>
      </c>
    </row>
    <row r="142" spans="1:33" ht="11.25" customHeight="1" x14ac:dyDescent="0.25">
      <c r="A142" s="4" t="s">
        <v>21</v>
      </c>
      <c r="B142" s="4" t="s">
        <v>38</v>
      </c>
      <c r="C142" s="4" t="s">
        <v>39</v>
      </c>
      <c r="D142" s="4" t="s">
        <v>37</v>
      </c>
      <c r="E142" s="4" t="s">
        <v>25</v>
      </c>
      <c r="F142" s="4" t="s">
        <v>56</v>
      </c>
      <c r="G142" s="4" t="s">
        <v>25</v>
      </c>
      <c r="H142" s="4" t="s">
        <v>25</v>
      </c>
      <c r="I142" s="5">
        <v>44621</v>
      </c>
      <c r="J142" s="6">
        <v>12381</v>
      </c>
      <c r="K142" s="6">
        <v>6190.5</v>
      </c>
      <c r="L142" s="6">
        <v>0</v>
      </c>
      <c r="M142" s="6">
        <v>0</v>
      </c>
      <c r="N142" s="6">
        <v>0</v>
      </c>
      <c r="O142" s="6">
        <v>0</v>
      </c>
      <c r="P142" s="6">
        <v>9</v>
      </c>
      <c r="Q142" s="4" t="s">
        <v>57</v>
      </c>
      <c r="R142" s="4">
        <v>0</v>
      </c>
      <c r="S142" s="6">
        <v>19</v>
      </c>
      <c r="T142" s="6">
        <v>0</v>
      </c>
      <c r="U142" s="6">
        <v>0</v>
      </c>
      <c r="V142" s="6">
        <f>IF(ISERROR(VLOOKUP($S$142,'TAR FIN'!$A$1:$O$86,15,0)),0,VLOOKUP($S$142,'TAR FIN'!$A$1:$O$86,15,0))</f>
        <v>16.29</v>
      </c>
      <c r="W142" s="6">
        <f>IF(ISERROR(VLOOKUP($T$142,'TAR FIN'!$A$1:$O$86,15,0)),0,VLOOKUP($T$142,'TAR FIN'!$A$1:$O$86,15,0))</f>
        <v>0</v>
      </c>
      <c r="X142" s="6">
        <f>IF(ISERROR(VLOOKUP($U$142,'TAR FIN'!$A$1:$O$86,15,0)),0,VLOOKUP($U$142,'TAR FIN'!$A$1:$O$86,15,0))</f>
        <v>0</v>
      </c>
      <c r="Y142" s="6">
        <f ca="1">('TUSD BE'!$AM$10+'TUSD BF'!$AM$10+'TUSD CVA'!$AM$10)*1</f>
        <v>21.139573525578484</v>
      </c>
      <c r="Z142" s="6"/>
      <c r="AA142" s="6"/>
      <c r="AB142" s="6">
        <f>$K$142*$V$142</f>
        <v>100843.245</v>
      </c>
      <c r="AC142" s="6">
        <f>$M$142*$W$142</f>
        <v>0</v>
      </c>
      <c r="AD142" s="6">
        <f>$O$142*$X$142</f>
        <v>0</v>
      </c>
      <c r="AE142" s="6">
        <f ca="1">$K$142*$Y$142</f>
        <v>130864.52991009361</v>
      </c>
      <c r="AF142" s="6">
        <f>$M$142*$Z$142</f>
        <v>0</v>
      </c>
      <c r="AG142" s="6">
        <f>$O$142*$AA$142</f>
        <v>0</v>
      </c>
    </row>
    <row r="143" spans="1:33" ht="11.25" customHeight="1" x14ac:dyDescent="0.25">
      <c r="A143" s="4" t="s">
        <v>21</v>
      </c>
      <c r="B143" s="4" t="s">
        <v>38</v>
      </c>
      <c r="C143" s="4" t="s">
        <v>39</v>
      </c>
      <c r="D143" s="4" t="s">
        <v>37</v>
      </c>
      <c r="E143" s="4" t="s">
        <v>25</v>
      </c>
      <c r="F143" s="4" t="s">
        <v>56</v>
      </c>
      <c r="G143" s="4" t="s">
        <v>25</v>
      </c>
      <c r="H143" s="4" t="s">
        <v>25</v>
      </c>
      <c r="I143" s="5">
        <v>44652</v>
      </c>
      <c r="J143" s="6">
        <v>12368</v>
      </c>
      <c r="K143" s="6">
        <v>6184</v>
      </c>
      <c r="L143" s="6">
        <v>0</v>
      </c>
      <c r="M143" s="6">
        <v>0</v>
      </c>
      <c r="N143" s="6">
        <v>0</v>
      </c>
      <c r="O143" s="6">
        <v>0</v>
      </c>
      <c r="P143" s="6">
        <v>9</v>
      </c>
      <c r="Q143" s="4" t="s">
        <v>57</v>
      </c>
      <c r="R143" s="4">
        <v>0</v>
      </c>
      <c r="S143" s="6">
        <v>19</v>
      </c>
      <c r="T143" s="6">
        <v>0</v>
      </c>
      <c r="U143" s="6">
        <v>0</v>
      </c>
      <c r="V143" s="6">
        <f>IF(ISERROR(VLOOKUP($S$143,'TAR FIN'!$A$1:$O$86,15,0)),0,VLOOKUP($S$143,'TAR FIN'!$A$1:$O$86,15,0))</f>
        <v>16.29</v>
      </c>
      <c r="W143" s="6">
        <f>IF(ISERROR(VLOOKUP($T$143,'TAR FIN'!$A$1:$O$86,15,0)),0,VLOOKUP($T$143,'TAR FIN'!$A$1:$O$86,15,0))</f>
        <v>0</v>
      </c>
      <c r="X143" s="6">
        <f>IF(ISERROR(VLOOKUP($U$143,'TAR FIN'!$A$1:$O$86,15,0)),0,VLOOKUP($U$143,'TAR FIN'!$A$1:$O$86,15,0))</f>
        <v>0</v>
      </c>
      <c r="Y143" s="6">
        <f ca="1">('TUSD BE'!$AM$10+'TUSD BF'!$AM$10+'TUSD CVA'!$AM$10)*1</f>
        <v>21.139573525578484</v>
      </c>
      <c r="Z143" s="6"/>
      <c r="AA143" s="6"/>
      <c r="AB143" s="6">
        <f>$K$143*$V$143</f>
        <v>100737.36</v>
      </c>
      <c r="AC143" s="6">
        <f>$M$143*$W$143</f>
        <v>0</v>
      </c>
      <c r="AD143" s="6">
        <f>$O$143*$X$143</f>
        <v>0</v>
      </c>
      <c r="AE143" s="6">
        <f ca="1">$K$143*$Y$143</f>
        <v>130727.12268217735</v>
      </c>
      <c r="AF143" s="6">
        <f>$M$143*$Z$143</f>
        <v>0</v>
      </c>
      <c r="AG143" s="6">
        <f>$O$143*$AA$143</f>
        <v>0</v>
      </c>
    </row>
    <row r="144" spans="1:33" ht="11.25" customHeight="1" x14ac:dyDescent="0.25">
      <c r="A144" s="4" t="s">
        <v>21</v>
      </c>
      <c r="B144" s="4" t="s">
        <v>38</v>
      </c>
      <c r="C144" s="4" t="s">
        <v>39</v>
      </c>
      <c r="D144" s="4" t="s">
        <v>37</v>
      </c>
      <c r="E144" s="4" t="s">
        <v>25</v>
      </c>
      <c r="F144" s="4" t="s">
        <v>56</v>
      </c>
      <c r="G144" s="4" t="s">
        <v>25</v>
      </c>
      <c r="H144" s="4" t="s">
        <v>25</v>
      </c>
      <c r="I144" s="5">
        <v>44682</v>
      </c>
      <c r="J144" s="6">
        <v>12339</v>
      </c>
      <c r="K144" s="6">
        <v>6169.5</v>
      </c>
      <c r="L144" s="6">
        <v>0</v>
      </c>
      <c r="M144" s="6">
        <v>0</v>
      </c>
      <c r="N144" s="6">
        <v>0</v>
      </c>
      <c r="O144" s="6">
        <v>0</v>
      </c>
      <c r="P144" s="6">
        <v>9</v>
      </c>
      <c r="Q144" s="4" t="s">
        <v>57</v>
      </c>
      <c r="R144" s="4">
        <v>0</v>
      </c>
      <c r="S144" s="6">
        <v>19</v>
      </c>
      <c r="T144" s="6">
        <v>0</v>
      </c>
      <c r="U144" s="6">
        <v>0</v>
      </c>
      <c r="V144" s="6">
        <f>IF(ISERROR(VLOOKUP($S$144,'TAR FIN'!$A$1:$O$86,15,0)),0,VLOOKUP($S$144,'TAR FIN'!$A$1:$O$86,15,0))</f>
        <v>16.29</v>
      </c>
      <c r="W144" s="6">
        <f>IF(ISERROR(VLOOKUP($T$144,'TAR FIN'!$A$1:$O$86,15,0)),0,VLOOKUP($T$144,'TAR FIN'!$A$1:$O$86,15,0))</f>
        <v>0</v>
      </c>
      <c r="X144" s="6">
        <f>IF(ISERROR(VLOOKUP($U$144,'TAR FIN'!$A$1:$O$86,15,0)),0,VLOOKUP($U$144,'TAR FIN'!$A$1:$O$86,15,0))</f>
        <v>0</v>
      </c>
      <c r="Y144" s="6">
        <f ca="1">('TUSD BE'!$AM$10+'TUSD BF'!$AM$10+'TUSD CVA'!$AM$10)*1</f>
        <v>21.139573525578484</v>
      </c>
      <c r="Z144" s="6"/>
      <c r="AA144" s="6"/>
      <c r="AB144" s="6">
        <f>$K$144*$V$144</f>
        <v>100501.155</v>
      </c>
      <c r="AC144" s="6">
        <f>$M$144*$W$144</f>
        <v>0</v>
      </c>
      <c r="AD144" s="6">
        <f>$O$144*$X$144</f>
        <v>0</v>
      </c>
      <c r="AE144" s="6">
        <f ca="1">$K$144*$Y$144</f>
        <v>130420.59886605646</v>
      </c>
      <c r="AF144" s="6">
        <f>$M$144*$Z$144</f>
        <v>0</v>
      </c>
      <c r="AG144" s="6">
        <f>$O$144*$AA$144</f>
        <v>0</v>
      </c>
    </row>
    <row r="145" spans="1:33" ht="11.25" customHeight="1" x14ac:dyDescent="0.25">
      <c r="A145" s="4" t="s">
        <v>55</v>
      </c>
      <c r="B145" s="4" t="s">
        <v>38</v>
      </c>
      <c r="C145" s="4" t="s">
        <v>39</v>
      </c>
      <c r="D145" s="4" t="s">
        <v>37</v>
      </c>
      <c r="E145" s="4" t="s">
        <v>25</v>
      </c>
      <c r="F145" s="4" t="s">
        <v>56</v>
      </c>
      <c r="G145" s="4" t="s">
        <v>25</v>
      </c>
      <c r="H145" s="4" t="s">
        <v>25</v>
      </c>
      <c r="I145" s="5">
        <v>44713</v>
      </c>
      <c r="J145" s="6">
        <v>12339</v>
      </c>
      <c r="K145" s="6">
        <v>6169.5</v>
      </c>
      <c r="L145" s="6">
        <v>0</v>
      </c>
      <c r="M145" s="6">
        <v>0</v>
      </c>
      <c r="N145" s="6">
        <v>0</v>
      </c>
      <c r="O145" s="6">
        <v>0</v>
      </c>
      <c r="P145" s="6">
        <v>9</v>
      </c>
      <c r="Q145" s="4" t="s">
        <v>57</v>
      </c>
      <c r="R145" s="4">
        <v>0</v>
      </c>
      <c r="S145" s="6">
        <v>19</v>
      </c>
      <c r="T145" s="6">
        <v>0</v>
      </c>
      <c r="U145" s="6">
        <v>0</v>
      </c>
      <c r="V145" s="6">
        <f>IF(ISERROR(VLOOKUP($S$145,'TAR FIN'!$A$1:$O$86,15,0)),0,VLOOKUP($S$145,'TAR FIN'!$A$1:$O$86,15,0))</f>
        <v>16.29</v>
      </c>
      <c r="W145" s="6">
        <f>IF(ISERROR(VLOOKUP($T$145,'TAR FIN'!$A$1:$O$86,15,0)),0,VLOOKUP($T$145,'TAR FIN'!$A$1:$O$86,15,0))</f>
        <v>0</v>
      </c>
      <c r="X145" s="6">
        <f>IF(ISERROR(VLOOKUP($U$145,'TAR FIN'!$A$1:$O$86,15,0)),0,VLOOKUP($U$145,'TAR FIN'!$A$1:$O$86,15,0))</f>
        <v>0</v>
      </c>
      <c r="Y145" s="6">
        <f ca="1">('TUSD BE'!$AM$10+'TUSD BF'!$AM$10+'TUSD CVA'!$AM$10)*1</f>
        <v>21.139573525578484</v>
      </c>
      <c r="Z145" s="6"/>
      <c r="AA145" s="6"/>
      <c r="AB145" s="6">
        <f>$K$145*$V$145</f>
        <v>100501.155</v>
      </c>
      <c r="AC145" s="6">
        <f>$M$145*$W$145</f>
        <v>0</v>
      </c>
      <c r="AD145" s="6">
        <f>$O$145*$X$145</f>
        <v>0</v>
      </c>
      <c r="AE145" s="6">
        <f ca="1">$K$145*$Y$145</f>
        <v>130420.59886605646</v>
      </c>
      <c r="AF145" s="6">
        <f>$M$145*$Z$145</f>
        <v>0</v>
      </c>
      <c r="AG145" s="6">
        <f>$O$145*$AA$145</f>
        <v>0</v>
      </c>
    </row>
    <row r="146" spans="1:33" ht="11.25" customHeight="1" x14ac:dyDescent="0.25">
      <c r="A146" s="4" t="s">
        <v>21</v>
      </c>
      <c r="B146" s="4" t="s">
        <v>38</v>
      </c>
      <c r="C146" s="4" t="s">
        <v>39</v>
      </c>
      <c r="D146" s="4" t="s">
        <v>37</v>
      </c>
      <c r="E146" s="4" t="s">
        <v>25</v>
      </c>
      <c r="F146" s="4" t="s">
        <v>56</v>
      </c>
      <c r="G146" s="4" t="s">
        <v>25</v>
      </c>
      <c r="H146" s="4" t="s">
        <v>33</v>
      </c>
      <c r="I146" s="5">
        <v>44378</v>
      </c>
      <c r="J146" s="6">
        <v>0</v>
      </c>
      <c r="K146" s="6">
        <v>0</v>
      </c>
      <c r="L146" s="6">
        <v>400.85399999999998</v>
      </c>
      <c r="M146" s="6">
        <v>222.99508019999999</v>
      </c>
      <c r="N146" s="6">
        <v>0</v>
      </c>
      <c r="O146" s="6">
        <v>0</v>
      </c>
      <c r="P146" s="6">
        <v>0</v>
      </c>
      <c r="Q146" s="4" t="s">
        <v>57</v>
      </c>
      <c r="R146" s="4">
        <v>0</v>
      </c>
      <c r="S146" s="6">
        <v>0</v>
      </c>
      <c r="T146" s="6">
        <v>21</v>
      </c>
      <c r="U146" s="6">
        <v>0</v>
      </c>
      <c r="V146" s="6">
        <f>IF(ISERROR(VLOOKUP($S$146,'TAR FIN'!$A$1:$O$86,15,0)),0,VLOOKUP($S$146,'TAR FIN'!$A$1:$O$86,15,0))</f>
        <v>0</v>
      </c>
      <c r="W146" s="6">
        <f>IF(ISERROR(VLOOKUP($T$146,'TAR FIN'!$A$1:$O$86,15,0)),0,VLOOKUP($T$146,'TAR FIN'!$A$1:$O$86,15,0))</f>
        <v>596.78</v>
      </c>
      <c r="X146" s="6">
        <f>IF(ISERROR(VLOOKUP($U$146,'TAR FIN'!$A$1:$O$86,15,0)),0,VLOOKUP($U$146,'TAR FIN'!$A$1:$O$86,15,0))</f>
        <v>0</v>
      </c>
      <c r="Y146" s="6"/>
      <c r="Z146" s="6">
        <f ca="1">('TUSD BE'!$AM$11+'TUSD BF'!$AM$11+'TUSD CVA'!$AM$11)*1</f>
        <v>625.67033946440574</v>
      </c>
      <c r="AA146" s="6"/>
      <c r="AB146" s="6">
        <f>$K$146*$V$146</f>
        <v>0</v>
      </c>
      <c r="AC146" s="6">
        <f>$M$146*$W$146</f>
        <v>133079.00396175598</v>
      </c>
      <c r="AD146" s="6">
        <f>$O$146*$X$146</f>
        <v>0</v>
      </c>
      <c r="AE146" s="6">
        <f>$K$146*$Y$146</f>
        <v>0</v>
      </c>
      <c r="AF146" s="6">
        <f ca="1">$M$146*$Z$146</f>
        <v>139521.40752762638</v>
      </c>
      <c r="AG146" s="6">
        <f>$O$146*$AA$146</f>
        <v>0</v>
      </c>
    </row>
    <row r="147" spans="1:33" ht="11.25" customHeight="1" x14ac:dyDescent="0.25">
      <c r="A147" s="4" t="s">
        <v>21</v>
      </c>
      <c r="B147" s="4" t="s">
        <v>38</v>
      </c>
      <c r="C147" s="4" t="s">
        <v>39</v>
      </c>
      <c r="D147" s="4" t="s">
        <v>37</v>
      </c>
      <c r="E147" s="4" t="s">
        <v>25</v>
      </c>
      <c r="F147" s="4" t="s">
        <v>56</v>
      </c>
      <c r="G147" s="4" t="s">
        <v>25</v>
      </c>
      <c r="H147" s="4" t="s">
        <v>33</v>
      </c>
      <c r="I147" s="5">
        <v>44409</v>
      </c>
      <c r="J147" s="6">
        <v>0</v>
      </c>
      <c r="K147" s="6">
        <v>0</v>
      </c>
      <c r="L147" s="6">
        <v>417.75700000000001</v>
      </c>
      <c r="M147" s="6">
        <v>233.8185929</v>
      </c>
      <c r="N147" s="6">
        <v>0</v>
      </c>
      <c r="O147" s="6">
        <v>0</v>
      </c>
      <c r="P147" s="6">
        <v>0</v>
      </c>
      <c r="Q147" s="4" t="s">
        <v>57</v>
      </c>
      <c r="R147" s="4">
        <v>0</v>
      </c>
      <c r="S147" s="6">
        <v>0</v>
      </c>
      <c r="T147" s="6">
        <v>21</v>
      </c>
      <c r="U147" s="6">
        <v>0</v>
      </c>
      <c r="V147" s="6">
        <f>IF(ISERROR(VLOOKUP($S$147,'TAR FIN'!$A$1:$O$86,15,0)),0,VLOOKUP($S$147,'TAR FIN'!$A$1:$O$86,15,0))</f>
        <v>0</v>
      </c>
      <c r="W147" s="6">
        <f>IF(ISERROR(VLOOKUP($T$147,'TAR FIN'!$A$1:$O$86,15,0)),0,VLOOKUP($T$147,'TAR FIN'!$A$1:$O$86,15,0))</f>
        <v>596.78</v>
      </c>
      <c r="X147" s="6">
        <f>IF(ISERROR(VLOOKUP($U$147,'TAR FIN'!$A$1:$O$86,15,0)),0,VLOOKUP($U$147,'TAR FIN'!$A$1:$O$86,15,0))</f>
        <v>0</v>
      </c>
      <c r="Y147" s="6"/>
      <c r="Z147" s="6">
        <f ca="1">('TUSD BE'!$AM$11+'TUSD BF'!$AM$11+'TUSD CVA'!$AM$11)*1</f>
        <v>625.67033946440574</v>
      </c>
      <c r="AA147" s="6"/>
      <c r="AB147" s="6">
        <f>$K$147*$V$147</f>
        <v>0</v>
      </c>
      <c r="AC147" s="6">
        <f>$M$147*$W$147</f>
        <v>139538.25987086201</v>
      </c>
      <c r="AD147" s="6">
        <f>$O$147*$X$147</f>
        <v>0</v>
      </c>
      <c r="AE147" s="6">
        <f>$K$147*$Y$147</f>
        <v>0</v>
      </c>
      <c r="AF147" s="6">
        <f ca="1">$M$147*$Z$147</f>
        <v>146293.35839283268</v>
      </c>
      <c r="AG147" s="6">
        <f>$O$147*$AA$147</f>
        <v>0</v>
      </c>
    </row>
    <row r="148" spans="1:33" ht="11.25" customHeight="1" x14ac:dyDescent="0.25">
      <c r="A148" s="4" t="s">
        <v>21</v>
      </c>
      <c r="B148" s="4" t="s">
        <v>38</v>
      </c>
      <c r="C148" s="4" t="s">
        <v>39</v>
      </c>
      <c r="D148" s="4" t="s">
        <v>37</v>
      </c>
      <c r="E148" s="4" t="s">
        <v>25</v>
      </c>
      <c r="F148" s="4" t="s">
        <v>56</v>
      </c>
      <c r="G148" s="4" t="s">
        <v>25</v>
      </c>
      <c r="H148" s="4" t="s">
        <v>33</v>
      </c>
      <c r="I148" s="5">
        <v>44440</v>
      </c>
      <c r="J148" s="6">
        <v>0</v>
      </c>
      <c r="K148" s="6">
        <v>0</v>
      </c>
      <c r="L148" s="6">
        <v>380.99599999999998</v>
      </c>
      <c r="M148" s="6">
        <v>213.24346120000001</v>
      </c>
      <c r="N148" s="6">
        <v>0</v>
      </c>
      <c r="O148" s="6">
        <v>0</v>
      </c>
      <c r="P148" s="6">
        <v>0</v>
      </c>
      <c r="Q148" s="4" t="s">
        <v>57</v>
      </c>
      <c r="R148" s="4">
        <v>0</v>
      </c>
      <c r="S148" s="6">
        <v>0</v>
      </c>
      <c r="T148" s="6">
        <v>21</v>
      </c>
      <c r="U148" s="6">
        <v>0</v>
      </c>
      <c r="V148" s="6">
        <f>IF(ISERROR(VLOOKUP($S$148,'TAR FIN'!$A$1:$O$86,15,0)),0,VLOOKUP($S$148,'TAR FIN'!$A$1:$O$86,15,0))</f>
        <v>0</v>
      </c>
      <c r="W148" s="6">
        <f>IF(ISERROR(VLOOKUP($T$148,'TAR FIN'!$A$1:$O$86,15,0)),0,VLOOKUP($T$148,'TAR FIN'!$A$1:$O$86,15,0))</f>
        <v>596.78</v>
      </c>
      <c r="X148" s="6">
        <f>IF(ISERROR(VLOOKUP($U$148,'TAR FIN'!$A$1:$O$86,15,0)),0,VLOOKUP($U$148,'TAR FIN'!$A$1:$O$86,15,0))</f>
        <v>0</v>
      </c>
      <c r="Y148" s="6"/>
      <c r="Z148" s="6">
        <f ca="1">('TUSD BE'!$AM$11+'TUSD BF'!$AM$11+'TUSD CVA'!$AM$11)*1</f>
        <v>625.67033946440574</v>
      </c>
      <c r="AA148" s="6"/>
      <c r="AB148" s="6">
        <f>$K$148*$V$148</f>
        <v>0</v>
      </c>
      <c r="AC148" s="6">
        <f>$M$148*$W$148</f>
        <v>127259.43277493601</v>
      </c>
      <c r="AD148" s="6">
        <f>$O$148*$X$148</f>
        <v>0</v>
      </c>
      <c r="AE148" s="6">
        <f>$K$148*$Y$148</f>
        <v>0</v>
      </c>
      <c r="AF148" s="6">
        <f ca="1">$M$148*$Z$148</f>
        <v>133420.10875756884</v>
      </c>
      <c r="AG148" s="6">
        <f>$O$148*$AA$148</f>
        <v>0</v>
      </c>
    </row>
    <row r="149" spans="1:33" ht="11.25" customHeight="1" x14ac:dyDescent="0.25">
      <c r="A149" s="4" t="s">
        <v>21</v>
      </c>
      <c r="B149" s="4" t="s">
        <v>38</v>
      </c>
      <c r="C149" s="4" t="s">
        <v>39</v>
      </c>
      <c r="D149" s="4" t="s">
        <v>37</v>
      </c>
      <c r="E149" s="4" t="s">
        <v>25</v>
      </c>
      <c r="F149" s="4" t="s">
        <v>56</v>
      </c>
      <c r="G149" s="4" t="s">
        <v>25</v>
      </c>
      <c r="H149" s="4" t="s">
        <v>33</v>
      </c>
      <c r="I149" s="5">
        <v>44470</v>
      </c>
      <c r="J149" s="6">
        <v>0</v>
      </c>
      <c r="K149" s="6">
        <v>0</v>
      </c>
      <c r="L149" s="6">
        <v>352.47500000000002</v>
      </c>
      <c r="M149" s="6">
        <v>197.2802575</v>
      </c>
      <c r="N149" s="6">
        <v>0</v>
      </c>
      <c r="O149" s="6">
        <v>0</v>
      </c>
      <c r="P149" s="6">
        <v>0</v>
      </c>
      <c r="Q149" s="4" t="s">
        <v>57</v>
      </c>
      <c r="R149" s="4">
        <v>0</v>
      </c>
      <c r="S149" s="6">
        <v>0</v>
      </c>
      <c r="T149" s="6">
        <v>21</v>
      </c>
      <c r="U149" s="6">
        <v>0</v>
      </c>
      <c r="V149" s="6">
        <f>IF(ISERROR(VLOOKUP($S$149,'TAR FIN'!$A$1:$O$86,15,0)),0,VLOOKUP($S$149,'TAR FIN'!$A$1:$O$86,15,0))</f>
        <v>0</v>
      </c>
      <c r="W149" s="6">
        <f>IF(ISERROR(VLOOKUP($T$149,'TAR FIN'!$A$1:$O$86,15,0)),0,VLOOKUP($T$149,'TAR FIN'!$A$1:$O$86,15,0))</f>
        <v>596.78</v>
      </c>
      <c r="X149" s="6">
        <f>IF(ISERROR(VLOOKUP($U$149,'TAR FIN'!$A$1:$O$86,15,0)),0,VLOOKUP($U$149,'TAR FIN'!$A$1:$O$86,15,0))</f>
        <v>0</v>
      </c>
      <c r="Y149" s="6"/>
      <c r="Z149" s="6">
        <f ca="1">('TUSD BE'!$AM$11+'TUSD BF'!$AM$11+'TUSD CVA'!$AM$11)*1</f>
        <v>625.67033946440574</v>
      </c>
      <c r="AA149" s="6"/>
      <c r="AB149" s="6">
        <f>$K$149*$V$149</f>
        <v>0</v>
      </c>
      <c r="AC149" s="6">
        <f>$M$149*$W$149</f>
        <v>117732.91207085</v>
      </c>
      <c r="AD149" s="6">
        <f>$O$149*$X$149</f>
        <v>0</v>
      </c>
      <c r="AE149" s="6">
        <f>$K$149*$Y$149</f>
        <v>0</v>
      </c>
      <c r="AF149" s="6">
        <f ca="1">$M$149*$Z$149</f>
        <v>123432.40567965039</v>
      </c>
      <c r="AG149" s="6">
        <f>$O$149*$AA$149</f>
        <v>0</v>
      </c>
    </row>
    <row r="150" spans="1:33" ht="11.25" customHeight="1" x14ac:dyDescent="0.25">
      <c r="A150" s="4" t="s">
        <v>21</v>
      </c>
      <c r="B150" s="4" t="s">
        <v>38</v>
      </c>
      <c r="C150" s="4" t="s">
        <v>39</v>
      </c>
      <c r="D150" s="4" t="s">
        <v>37</v>
      </c>
      <c r="E150" s="4" t="s">
        <v>25</v>
      </c>
      <c r="F150" s="4" t="s">
        <v>56</v>
      </c>
      <c r="G150" s="4" t="s">
        <v>25</v>
      </c>
      <c r="H150" s="4" t="s">
        <v>33</v>
      </c>
      <c r="I150" s="5">
        <v>44501</v>
      </c>
      <c r="J150" s="6">
        <v>0</v>
      </c>
      <c r="K150" s="6">
        <v>0</v>
      </c>
      <c r="L150" s="6">
        <v>395.25299999999999</v>
      </c>
      <c r="M150" s="6">
        <v>221.2231041</v>
      </c>
      <c r="N150" s="6">
        <v>0</v>
      </c>
      <c r="O150" s="6">
        <v>0</v>
      </c>
      <c r="P150" s="6">
        <v>0</v>
      </c>
      <c r="Q150" s="4" t="s">
        <v>57</v>
      </c>
      <c r="R150" s="4">
        <v>0</v>
      </c>
      <c r="S150" s="6">
        <v>0</v>
      </c>
      <c r="T150" s="6">
        <v>21</v>
      </c>
      <c r="U150" s="6">
        <v>0</v>
      </c>
      <c r="V150" s="6">
        <f>IF(ISERROR(VLOOKUP($S$150,'TAR FIN'!$A$1:$O$86,15,0)),0,VLOOKUP($S$150,'TAR FIN'!$A$1:$O$86,15,0))</f>
        <v>0</v>
      </c>
      <c r="W150" s="6">
        <f>IF(ISERROR(VLOOKUP($T$150,'TAR FIN'!$A$1:$O$86,15,0)),0,VLOOKUP($T$150,'TAR FIN'!$A$1:$O$86,15,0))</f>
        <v>596.78</v>
      </c>
      <c r="X150" s="6">
        <f>IF(ISERROR(VLOOKUP($U$150,'TAR FIN'!$A$1:$O$86,15,0)),0,VLOOKUP($U$150,'TAR FIN'!$A$1:$O$86,15,0))</f>
        <v>0</v>
      </c>
      <c r="Y150" s="6"/>
      <c r="Z150" s="6">
        <f ca="1">('TUSD BE'!$AM$11+'TUSD BF'!$AM$11+'TUSD CVA'!$AM$11)*1</f>
        <v>625.67033946440574</v>
      </c>
      <c r="AA150" s="6"/>
      <c r="AB150" s="6">
        <f>$K$150*$V$150</f>
        <v>0</v>
      </c>
      <c r="AC150" s="6">
        <f>$M$150*$W$150</f>
        <v>132021.524064798</v>
      </c>
      <c r="AD150" s="6">
        <f>$O$150*$X$150</f>
        <v>0</v>
      </c>
      <c r="AE150" s="6">
        <f>$K$150*$Y$150</f>
        <v>0</v>
      </c>
      <c r="AF150" s="6">
        <f ca="1">$M$150*$Z$150</f>
        <v>138412.73463961657</v>
      </c>
      <c r="AG150" s="6">
        <f>$O$150*$AA$150</f>
        <v>0</v>
      </c>
    </row>
    <row r="151" spans="1:33" ht="11.25" customHeight="1" x14ac:dyDescent="0.25">
      <c r="A151" s="4" t="s">
        <v>21</v>
      </c>
      <c r="B151" s="4" t="s">
        <v>38</v>
      </c>
      <c r="C151" s="4" t="s">
        <v>39</v>
      </c>
      <c r="D151" s="4" t="s">
        <v>37</v>
      </c>
      <c r="E151" s="4" t="s">
        <v>25</v>
      </c>
      <c r="F151" s="4" t="s">
        <v>56</v>
      </c>
      <c r="G151" s="4" t="s">
        <v>25</v>
      </c>
      <c r="H151" s="4" t="s">
        <v>33</v>
      </c>
      <c r="I151" s="5">
        <v>44531</v>
      </c>
      <c r="J151" s="6">
        <v>0</v>
      </c>
      <c r="K151" s="6">
        <v>0</v>
      </c>
      <c r="L151" s="6">
        <v>383.084</v>
      </c>
      <c r="M151" s="6">
        <v>214.41211480000001</v>
      </c>
      <c r="N151" s="6">
        <v>0</v>
      </c>
      <c r="O151" s="6">
        <v>0</v>
      </c>
      <c r="P151" s="6">
        <v>0</v>
      </c>
      <c r="Q151" s="4" t="s">
        <v>57</v>
      </c>
      <c r="R151" s="4">
        <v>0</v>
      </c>
      <c r="S151" s="6">
        <v>0</v>
      </c>
      <c r="T151" s="6">
        <v>21</v>
      </c>
      <c r="U151" s="6">
        <v>0</v>
      </c>
      <c r="V151" s="6">
        <f>IF(ISERROR(VLOOKUP($S$151,'TAR FIN'!$A$1:$O$86,15,0)),0,VLOOKUP($S$151,'TAR FIN'!$A$1:$O$86,15,0))</f>
        <v>0</v>
      </c>
      <c r="W151" s="6">
        <f>IF(ISERROR(VLOOKUP($T$151,'TAR FIN'!$A$1:$O$86,15,0)),0,VLOOKUP($T$151,'TAR FIN'!$A$1:$O$86,15,0))</f>
        <v>596.78</v>
      </c>
      <c r="X151" s="6">
        <f>IF(ISERROR(VLOOKUP($U$151,'TAR FIN'!$A$1:$O$86,15,0)),0,VLOOKUP($U$151,'TAR FIN'!$A$1:$O$86,15,0))</f>
        <v>0</v>
      </c>
      <c r="Y151" s="6"/>
      <c r="Z151" s="6">
        <f ca="1">('TUSD BE'!$AM$11+'TUSD BF'!$AM$11+'TUSD CVA'!$AM$11)*1</f>
        <v>625.67033946440574</v>
      </c>
      <c r="AA151" s="6"/>
      <c r="AB151" s="6">
        <f>$K$151*$V$151</f>
        <v>0</v>
      </c>
      <c r="AC151" s="6">
        <f>$M$151*$W$151</f>
        <v>127956.861870344</v>
      </c>
      <c r="AD151" s="6">
        <f>$O$151*$X$151</f>
        <v>0</v>
      </c>
      <c r="AE151" s="6">
        <f>$K$151*$Y$151</f>
        <v>0</v>
      </c>
      <c r="AF151" s="6">
        <f ca="1">$M$151*$Z$151</f>
        <v>134151.30065219715</v>
      </c>
      <c r="AG151" s="6">
        <f>$O$151*$AA$151</f>
        <v>0</v>
      </c>
    </row>
    <row r="152" spans="1:33" ht="11.25" customHeight="1" x14ac:dyDescent="0.25">
      <c r="A152" s="4" t="s">
        <v>21</v>
      </c>
      <c r="B152" s="4" t="s">
        <v>38</v>
      </c>
      <c r="C152" s="4" t="s">
        <v>39</v>
      </c>
      <c r="D152" s="4" t="s">
        <v>37</v>
      </c>
      <c r="E152" s="4" t="s">
        <v>25</v>
      </c>
      <c r="F152" s="4" t="s">
        <v>56</v>
      </c>
      <c r="G152" s="4" t="s">
        <v>25</v>
      </c>
      <c r="H152" s="4" t="s">
        <v>33</v>
      </c>
      <c r="I152" s="5">
        <v>44562</v>
      </c>
      <c r="J152" s="6">
        <v>0</v>
      </c>
      <c r="K152" s="6">
        <v>0</v>
      </c>
      <c r="L152" s="6">
        <v>410.00799999999998</v>
      </c>
      <c r="M152" s="6">
        <v>229.48147760000001</v>
      </c>
      <c r="N152" s="6">
        <v>0</v>
      </c>
      <c r="O152" s="6">
        <v>0</v>
      </c>
      <c r="P152" s="6">
        <v>0</v>
      </c>
      <c r="Q152" s="4" t="s">
        <v>57</v>
      </c>
      <c r="R152" s="4">
        <v>0</v>
      </c>
      <c r="S152" s="6">
        <v>0</v>
      </c>
      <c r="T152" s="6">
        <v>21</v>
      </c>
      <c r="U152" s="6">
        <v>0</v>
      </c>
      <c r="V152" s="6">
        <f>IF(ISERROR(VLOOKUP($S$152,'TAR FIN'!$A$1:$O$86,15,0)),0,VLOOKUP($S$152,'TAR FIN'!$A$1:$O$86,15,0))</f>
        <v>0</v>
      </c>
      <c r="W152" s="6">
        <f>IF(ISERROR(VLOOKUP($T$152,'TAR FIN'!$A$1:$O$86,15,0)),0,VLOOKUP($T$152,'TAR FIN'!$A$1:$O$86,15,0))</f>
        <v>596.78</v>
      </c>
      <c r="X152" s="6">
        <f>IF(ISERROR(VLOOKUP($U$152,'TAR FIN'!$A$1:$O$86,15,0)),0,VLOOKUP($U$152,'TAR FIN'!$A$1:$O$86,15,0))</f>
        <v>0</v>
      </c>
      <c r="Y152" s="6"/>
      <c r="Z152" s="6">
        <f ca="1">('TUSD BE'!$AM$11+'TUSD BF'!$AM$11+'TUSD CVA'!$AM$11)*1</f>
        <v>625.67033946440574</v>
      </c>
      <c r="AA152" s="6"/>
      <c r="AB152" s="6">
        <f>$K$152*$V$152</f>
        <v>0</v>
      </c>
      <c r="AC152" s="6">
        <f>$M$152*$W$152</f>
        <v>136949.956202128</v>
      </c>
      <c r="AD152" s="6">
        <f>$O$152*$X$152</f>
        <v>0</v>
      </c>
      <c r="AE152" s="6">
        <f>$K$152*$Y$152</f>
        <v>0</v>
      </c>
      <c r="AF152" s="6">
        <f ca="1">$M$152*$Z$152</f>
        <v>143579.75399078542</v>
      </c>
      <c r="AG152" s="6">
        <f>$O$152*$AA$152</f>
        <v>0</v>
      </c>
    </row>
    <row r="153" spans="1:33" ht="11.25" customHeight="1" x14ac:dyDescent="0.25">
      <c r="A153" s="4" t="s">
        <v>21</v>
      </c>
      <c r="B153" s="4" t="s">
        <v>38</v>
      </c>
      <c r="C153" s="4" t="s">
        <v>39</v>
      </c>
      <c r="D153" s="4" t="s">
        <v>37</v>
      </c>
      <c r="E153" s="4" t="s">
        <v>25</v>
      </c>
      <c r="F153" s="4" t="s">
        <v>56</v>
      </c>
      <c r="G153" s="4" t="s">
        <v>25</v>
      </c>
      <c r="H153" s="4" t="s">
        <v>33</v>
      </c>
      <c r="I153" s="5">
        <v>44593</v>
      </c>
      <c r="J153" s="6">
        <v>0</v>
      </c>
      <c r="K153" s="6">
        <v>0</v>
      </c>
      <c r="L153" s="6">
        <v>428.41199999999998</v>
      </c>
      <c r="M153" s="6">
        <v>239.7821964</v>
      </c>
      <c r="N153" s="6">
        <v>0</v>
      </c>
      <c r="O153" s="6">
        <v>0</v>
      </c>
      <c r="P153" s="6">
        <v>0</v>
      </c>
      <c r="Q153" s="4" t="s">
        <v>57</v>
      </c>
      <c r="R153" s="4">
        <v>0</v>
      </c>
      <c r="S153" s="6">
        <v>0</v>
      </c>
      <c r="T153" s="6">
        <v>21</v>
      </c>
      <c r="U153" s="6">
        <v>0</v>
      </c>
      <c r="V153" s="6">
        <f>IF(ISERROR(VLOOKUP($S$153,'TAR FIN'!$A$1:$O$86,15,0)),0,VLOOKUP($S$153,'TAR FIN'!$A$1:$O$86,15,0))</f>
        <v>0</v>
      </c>
      <c r="W153" s="6">
        <f>IF(ISERROR(VLOOKUP($T$153,'TAR FIN'!$A$1:$O$86,15,0)),0,VLOOKUP($T$153,'TAR FIN'!$A$1:$O$86,15,0))</f>
        <v>596.78</v>
      </c>
      <c r="X153" s="6">
        <f>IF(ISERROR(VLOOKUP($U$153,'TAR FIN'!$A$1:$O$86,15,0)),0,VLOOKUP($U$153,'TAR FIN'!$A$1:$O$86,15,0))</f>
        <v>0</v>
      </c>
      <c r="Y153" s="6"/>
      <c r="Z153" s="6">
        <f ca="1">('TUSD BE'!$AM$11+'TUSD BF'!$AM$11+'TUSD CVA'!$AM$11)*1</f>
        <v>625.67033946440574</v>
      </c>
      <c r="AA153" s="6"/>
      <c r="AB153" s="6">
        <f>$K$153*$V$153</f>
        <v>0</v>
      </c>
      <c r="AC153" s="6">
        <f>$M$153*$W$153</f>
        <v>143097.219167592</v>
      </c>
      <c r="AD153" s="6">
        <f>$O$153*$X$153</f>
        <v>0</v>
      </c>
      <c r="AE153" s="6">
        <f>$K$153*$Y$153</f>
        <v>0</v>
      </c>
      <c r="AF153" s="6">
        <f ca="1">$M$153*$Z$153</f>
        <v>150024.60821910881</v>
      </c>
      <c r="AG153" s="6">
        <f>$O$153*$AA$153</f>
        <v>0</v>
      </c>
    </row>
    <row r="154" spans="1:33" ht="11.25" customHeight="1" x14ac:dyDescent="0.25">
      <c r="A154" s="4" t="s">
        <v>21</v>
      </c>
      <c r="B154" s="4" t="s">
        <v>38</v>
      </c>
      <c r="C154" s="4" t="s">
        <v>39</v>
      </c>
      <c r="D154" s="4" t="s">
        <v>37</v>
      </c>
      <c r="E154" s="4" t="s">
        <v>25</v>
      </c>
      <c r="F154" s="4" t="s">
        <v>56</v>
      </c>
      <c r="G154" s="4" t="s">
        <v>25</v>
      </c>
      <c r="H154" s="4" t="s">
        <v>33</v>
      </c>
      <c r="I154" s="5">
        <v>44621</v>
      </c>
      <c r="J154" s="6">
        <v>0</v>
      </c>
      <c r="K154" s="6">
        <v>0</v>
      </c>
      <c r="L154" s="6">
        <v>492.738</v>
      </c>
      <c r="M154" s="6">
        <v>275.78545860000003</v>
      </c>
      <c r="N154" s="6">
        <v>0</v>
      </c>
      <c r="O154" s="6">
        <v>0</v>
      </c>
      <c r="P154" s="6">
        <v>0</v>
      </c>
      <c r="Q154" s="4" t="s">
        <v>57</v>
      </c>
      <c r="R154" s="4">
        <v>0</v>
      </c>
      <c r="S154" s="6">
        <v>0</v>
      </c>
      <c r="T154" s="6">
        <v>21</v>
      </c>
      <c r="U154" s="6">
        <v>0</v>
      </c>
      <c r="V154" s="6">
        <f>IF(ISERROR(VLOOKUP($S$154,'TAR FIN'!$A$1:$O$86,15,0)),0,VLOOKUP($S$154,'TAR FIN'!$A$1:$O$86,15,0))</f>
        <v>0</v>
      </c>
      <c r="W154" s="6">
        <f>IF(ISERROR(VLOOKUP($T$154,'TAR FIN'!$A$1:$O$86,15,0)),0,VLOOKUP($T$154,'TAR FIN'!$A$1:$O$86,15,0))</f>
        <v>596.78</v>
      </c>
      <c r="X154" s="6">
        <f>IF(ISERROR(VLOOKUP($U$154,'TAR FIN'!$A$1:$O$86,15,0)),0,VLOOKUP($U$154,'TAR FIN'!$A$1:$O$86,15,0))</f>
        <v>0</v>
      </c>
      <c r="Y154" s="6"/>
      <c r="Z154" s="6">
        <f ca="1">('TUSD BE'!$AM$11+'TUSD BF'!$AM$11+'TUSD CVA'!$AM$11)*1</f>
        <v>625.67033946440574</v>
      </c>
      <c r="AA154" s="6"/>
      <c r="AB154" s="6">
        <f>$K$154*$V$154</f>
        <v>0</v>
      </c>
      <c r="AC154" s="6">
        <f>$M$154*$W$154</f>
        <v>164583.24598330801</v>
      </c>
      <c r="AD154" s="6">
        <f>$O$154*$X$154</f>
        <v>0</v>
      </c>
      <c r="AE154" s="6">
        <f>$K$154*$Y$154</f>
        <v>0</v>
      </c>
      <c r="AF154" s="6">
        <f ca="1">$M$154*$Z$154</f>
        <v>172550.78150160884</v>
      </c>
      <c r="AG154" s="6">
        <f>$O$154*$AA$154</f>
        <v>0</v>
      </c>
    </row>
    <row r="155" spans="1:33" ht="11.25" customHeight="1" x14ac:dyDescent="0.25">
      <c r="A155" s="4" t="s">
        <v>21</v>
      </c>
      <c r="B155" s="4" t="s">
        <v>38</v>
      </c>
      <c r="C155" s="4" t="s">
        <v>39</v>
      </c>
      <c r="D155" s="4" t="s">
        <v>37</v>
      </c>
      <c r="E155" s="4" t="s">
        <v>25</v>
      </c>
      <c r="F155" s="4" t="s">
        <v>56</v>
      </c>
      <c r="G155" s="4" t="s">
        <v>25</v>
      </c>
      <c r="H155" s="4" t="s">
        <v>33</v>
      </c>
      <c r="I155" s="5">
        <v>44652</v>
      </c>
      <c r="J155" s="6">
        <v>0</v>
      </c>
      <c r="K155" s="6">
        <v>0</v>
      </c>
      <c r="L155" s="6">
        <v>423.49700000000001</v>
      </c>
      <c r="M155" s="6">
        <v>237.03127090000001</v>
      </c>
      <c r="N155" s="6">
        <v>0</v>
      </c>
      <c r="O155" s="6">
        <v>0</v>
      </c>
      <c r="P155" s="6">
        <v>0</v>
      </c>
      <c r="Q155" s="4" t="s">
        <v>57</v>
      </c>
      <c r="R155" s="4">
        <v>0</v>
      </c>
      <c r="S155" s="6">
        <v>0</v>
      </c>
      <c r="T155" s="6">
        <v>21</v>
      </c>
      <c r="U155" s="6">
        <v>0</v>
      </c>
      <c r="V155" s="6">
        <f>IF(ISERROR(VLOOKUP($S$155,'TAR FIN'!$A$1:$O$86,15,0)),0,VLOOKUP($S$155,'TAR FIN'!$A$1:$O$86,15,0))</f>
        <v>0</v>
      </c>
      <c r="W155" s="6">
        <f>IF(ISERROR(VLOOKUP($T$155,'TAR FIN'!$A$1:$O$86,15,0)),0,VLOOKUP($T$155,'TAR FIN'!$A$1:$O$86,15,0))</f>
        <v>596.78</v>
      </c>
      <c r="X155" s="6">
        <f>IF(ISERROR(VLOOKUP($U$155,'TAR FIN'!$A$1:$O$86,15,0)),0,VLOOKUP($U$155,'TAR FIN'!$A$1:$O$86,15,0))</f>
        <v>0</v>
      </c>
      <c r="Y155" s="6"/>
      <c r="Z155" s="6">
        <f ca="1">('TUSD BE'!$AM$11+'TUSD BF'!$AM$11+'TUSD CVA'!$AM$11)*1</f>
        <v>625.67033946440574</v>
      </c>
      <c r="AA155" s="6"/>
      <c r="AB155" s="6">
        <f>$K$155*$V$155</f>
        <v>0</v>
      </c>
      <c r="AC155" s="6">
        <f>$M$155*$W$155</f>
        <v>141455.52184770201</v>
      </c>
      <c r="AD155" s="6">
        <f>$O$155*$X$155</f>
        <v>0</v>
      </c>
      <c r="AE155" s="6">
        <f>$K$155*$Y$155</f>
        <v>0</v>
      </c>
      <c r="AF155" s="6">
        <f ca="1">$M$155*$Z$155</f>
        <v>148303.43572768252</v>
      </c>
      <c r="AG155" s="6">
        <f>$O$155*$AA$155</f>
        <v>0</v>
      </c>
    </row>
    <row r="156" spans="1:33" ht="11.25" customHeight="1" x14ac:dyDescent="0.25">
      <c r="A156" s="4" t="s">
        <v>21</v>
      </c>
      <c r="B156" s="4" t="s">
        <v>38</v>
      </c>
      <c r="C156" s="4" t="s">
        <v>39</v>
      </c>
      <c r="D156" s="4" t="s">
        <v>37</v>
      </c>
      <c r="E156" s="4" t="s">
        <v>25</v>
      </c>
      <c r="F156" s="4" t="s">
        <v>56</v>
      </c>
      <c r="G156" s="4" t="s">
        <v>25</v>
      </c>
      <c r="H156" s="4" t="s">
        <v>33</v>
      </c>
      <c r="I156" s="5">
        <v>44682</v>
      </c>
      <c r="J156" s="6">
        <v>0</v>
      </c>
      <c r="K156" s="6">
        <v>0</v>
      </c>
      <c r="L156" s="6">
        <v>495.89800000000002</v>
      </c>
      <c r="M156" s="6">
        <v>277.5541106</v>
      </c>
      <c r="N156" s="6">
        <v>0</v>
      </c>
      <c r="O156" s="6">
        <v>0</v>
      </c>
      <c r="P156" s="6">
        <v>0</v>
      </c>
      <c r="Q156" s="4" t="s">
        <v>57</v>
      </c>
      <c r="R156" s="4">
        <v>0</v>
      </c>
      <c r="S156" s="6">
        <v>0</v>
      </c>
      <c r="T156" s="6">
        <v>21</v>
      </c>
      <c r="U156" s="6">
        <v>0</v>
      </c>
      <c r="V156" s="6">
        <f>IF(ISERROR(VLOOKUP($S$156,'TAR FIN'!$A$1:$O$86,15,0)),0,VLOOKUP($S$156,'TAR FIN'!$A$1:$O$86,15,0))</f>
        <v>0</v>
      </c>
      <c r="W156" s="6">
        <f>IF(ISERROR(VLOOKUP($T$156,'TAR FIN'!$A$1:$O$86,15,0)),0,VLOOKUP($T$156,'TAR FIN'!$A$1:$O$86,15,0))</f>
        <v>596.78</v>
      </c>
      <c r="X156" s="6">
        <f>IF(ISERROR(VLOOKUP($U$156,'TAR FIN'!$A$1:$O$86,15,0)),0,VLOOKUP($U$156,'TAR FIN'!$A$1:$O$86,15,0))</f>
        <v>0</v>
      </c>
      <c r="Y156" s="6"/>
      <c r="Z156" s="6">
        <f ca="1">('TUSD BE'!$AM$11+'TUSD BF'!$AM$11+'TUSD CVA'!$AM$11)*1</f>
        <v>625.67033946440574</v>
      </c>
      <c r="AA156" s="6"/>
      <c r="AB156" s="6">
        <f>$K$156*$V$156</f>
        <v>0</v>
      </c>
      <c r="AC156" s="6">
        <f>$M$156*$W$156</f>
        <v>165638.742123868</v>
      </c>
      <c r="AD156" s="6">
        <f>$O$156*$X$156</f>
        <v>0</v>
      </c>
      <c r="AE156" s="6">
        <f>$K$156*$Y$156</f>
        <v>0</v>
      </c>
      <c r="AF156" s="6">
        <f ca="1">$M$156*$Z$156</f>
        <v>173657.37459884322</v>
      </c>
      <c r="AG156" s="6">
        <f>$O$156*$AA$156</f>
        <v>0</v>
      </c>
    </row>
    <row r="157" spans="1:33" ht="11.25" customHeight="1" x14ac:dyDescent="0.25">
      <c r="A157" s="4" t="s">
        <v>55</v>
      </c>
      <c r="B157" s="4" t="s">
        <v>38</v>
      </c>
      <c r="C157" s="4" t="s">
        <v>39</v>
      </c>
      <c r="D157" s="4" t="s">
        <v>37</v>
      </c>
      <c r="E157" s="4" t="s">
        <v>25</v>
      </c>
      <c r="F157" s="4" t="s">
        <v>56</v>
      </c>
      <c r="G157" s="4" t="s">
        <v>25</v>
      </c>
      <c r="H157" s="4" t="s">
        <v>33</v>
      </c>
      <c r="I157" s="5">
        <v>44713</v>
      </c>
      <c r="J157" s="6">
        <v>0</v>
      </c>
      <c r="K157" s="6">
        <v>0</v>
      </c>
      <c r="L157" s="6">
        <v>495.89800000000002</v>
      </c>
      <c r="M157" s="6">
        <v>277.5541106</v>
      </c>
      <c r="N157" s="6">
        <v>0</v>
      </c>
      <c r="O157" s="6">
        <v>0</v>
      </c>
      <c r="P157" s="6">
        <v>0</v>
      </c>
      <c r="Q157" s="4" t="s">
        <v>57</v>
      </c>
      <c r="R157" s="4">
        <v>0</v>
      </c>
      <c r="S157" s="6">
        <v>0</v>
      </c>
      <c r="T157" s="6">
        <v>21</v>
      </c>
      <c r="U157" s="6">
        <v>0</v>
      </c>
      <c r="V157" s="6">
        <f>IF(ISERROR(VLOOKUP($S$157,'TAR FIN'!$A$1:$O$86,15,0)),0,VLOOKUP($S$157,'TAR FIN'!$A$1:$O$86,15,0))</f>
        <v>0</v>
      </c>
      <c r="W157" s="6">
        <f>IF(ISERROR(VLOOKUP($T$157,'TAR FIN'!$A$1:$O$86,15,0)),0,VLOOKUP($T$157,'TAR FIN'!$A$1:$O$86,15,0))</f>
        <v>596.78</v>
      </c>
      <c r="X157" s="6">
        <f>IF(ISERROR(VLOOKUP($U$157,'TAR FIN'!$A$1:$O$86,15,0)),0,VLOOKUP($U$157,'TAR FIN'!$A$1:$O$86,15,0))</f>
        <v>0</v>
      </c>
      <c r="Y157" s="6"/>
      <c r="Z157" s="6">
        <f ca="1">('TUSD BE'!$AM$11+'TUSD BF'!$AM$11+'TUSD CVA'!$AM$11)*1</f>
        <v>625.67033946440574</v>
      </c>
      <c r="AA157" s="6"/>
      <c r="AB157" s="6">
        <f>$K$157*$V$157</f>
        <v>0</v>
      </c>
      <c r="AC157" s="6">
        <f>$M$157*$W$157</f>
        <v>165638.742123868</v>
      </c>
      <c r="AD157" s="6">
        <f>$O$157*$X$157</f>
        <v>0</v>
      </c>
      <c r="AE157" s="6">
        <f>$K$157*$Y$157</f>
        <v>0</v>
      </c>
      <c r="AF157" s="6">
        <f ca="1">$M$157*$Z$157</f>
        <v>173657.37459884322</v>
      </c>
      <c r="AG157" s="6">
        <f>$O$157*$AA$157</f>
        <v>0</v>
      </c>
    </row>
    <row r="158" spans="1:33" ht="11.25" customHeight="1" x14ac:dyDescent="0.25">
      <c r="A158" s="4" t="s">
        <v>21</v>
      </c>
      <c r="B158" s="4" t="s">
        <v>38</v>
      </c>
      <c r="C158" s="4" t="s">
        <v>39</v>
      </c>
      <c r="D158" s="4" t="s">
        <v>37</v>
      </c>
      <c r="E158" s="4" t="s">
        <v>25</v>
      </c>
      <c r="F158" s="4" t="s">
        <v>25</v>
      </c>
      <c r="G158" s="4" t="s">
        <v>25</v>
      </c>
      <c r="H158" s="4" t="s">
        <v>34</v>
      </c>
      <c r="I158" s="5">
        <v>44378</v>
      </c>
      <c r="J158" s="6">
        <v>0</v>
      </c>
      <c r="K158" s="6">
        <v>0</v>
      </c>
      <c r="L158" s="6">
        <v>953.23400000000004</v>
      </c>
      <c r="M158" s="6">
        <v>953.23400000000004</v>
      </c>
      <c r="N158" s="6">
        <v>953.23400000000004</v>
      </c>
      <c r="O158" s="6">
        <v>953.23400000000004</v>
      </c>
      <c r="P158" s="6">
        <v>0</v>
      </c>
      <c r="Q158" s="4" t="s">
        <v>26</v>
      </c>
      <c r="R158" s="4">
        <v>0</v>
      </c>
      <c r="S158" s="6">
        <v>0</v>
      </c>
      <c r="T158" s="6">
        <v>17</v>
      </c>
      <c r="U158" s="6">
        <v>78</v>
      </c>
      <c r="V158" s="6">
        <f>IF(ISERROR(VLOOKUP($S$158,'TAR FIN'!$A$1:$O$86,15,0)),0,VLOOKUP($S$158,'TAR FIN'!$A$1:$O$86,15,0))</f>
        <v>0</v>
      </c>
      <c r="W158" s="6">
        <f>IF(ISERROR(VLOOKUP($T$158,'TAR FIN'!$A$1:$O$86,15,0)),0,VLOOKUP($T$158,'TAR FIN'!$A$1:$O$86,15,0))</f>
        <v>71.260000000000005</v>
      </c>
      <c r="X158" s="6">
        <f>IF(ISERROR(VLOOKUP($U$158,'TAR FIN'!$A$1:$O$86,15,0)),0,VLOOKUP($U$158,'TAR FIN'!$A$1:$O$86,15,0))</f>
        <v>297.31</v>
      </c>
      <c r="Y158" s="6"/>
      <c r="Z158" s="6">
        <f ca="1">('TUSD BE'!$AM$12+'TUSD BF'!$AM$12+'TUSD CVA'!$AM$12)*1</f>
        <v>95.815448102611441</v>
      </c>
      <c r="AA158" s="6">
        <f>('TE BE'!$AB$6+'TE BF'!$AB$6+'TE CVA'!$AB$6)*1</f>
        <v>235.33989117487977</v>
      </c>
      <c r="AB158" s="6">
        <f>$K$158*$V$158</f>
        <v>0</v>
      </c>
      <c r="AC158" s="6">
        <f>$M$158*$W$158</f>
        <v>67927.454840000006</v>
      </c>
      <c r="AD158" s="6">
        <f>$O$158*$X$158</f>
        <v>283406.00054000004</v>
      </c>
      <c r="AE158" s="6">
        <f>$K$158*$Y$158</f>
        <v>0</v>
      </c>
      <c r="AF158" s="6">
        <f ca="1">$M$158*$Z$158</f>
        <v>91334.542856644723</v>
      </c>
      <c r="AG158" s="6">
        <f>$O$158*$AA$158</f>
        <v>224333.98582419535</v>
      </c>
    </row>
    <row r="159" spans="1:33" ht="11.25" customHeight="1" x14ac:dyDescent="0.25">
      <c r="A159" s="4" t="s">
        <v>27</v>
      </c>
      <c r="B159" s="4" t="s">
        <v>38</v>
      </c>
      <c r="C159" s="4" t="s">
        <v>39</v>
      </c>
      <c r="D159" s="4" t="s">
        <v>37</v>
      </c>
      <c r="E159" s="4" t="s">
        <v>25</v>
      </c>
      <c r="F159" s="4" t="s">
        <v>25</v>
      </c>
      <c r="G159" s="4" t="s">
        <v>25</v>
      </c>
      <c r="H159" s="4" t="s">
        <v>34</v>
      </c>
      <c r="I159" s="5">
        <v>44378</v>
      </c>
      <c r="J159" s="6">
        <v>0</v>
      </c>
      <c r="K159" s="6">
        <v>0</v>
      </c>
      <c r="L159" s="6">
        <v>86.888999999999996</v>
      </c>
      <c r="M159" s="6">
        <v>86.888999999999996</v>
      </c>
      <c r="N159" s="6">
        <v>86.888999999999996</v>
      </c>
      <c r="O159" s="6">
        <v>86.888999999999996</v>
      </c>
      <c r="P159" s="6">
        <v>0</v>
      </c>
      <c r="Q159" s="4" t="s">
        <v>26</v>
      </c>
      <c r="R159" s="4">
        <v>0</v>
      </c>
      <c r="S159" s="6">
        <v>0</v>
      </c>
      <c r="T159" s="6">
        <v>17</v>
      </c>
      <c r="U159" s="6">
        <v>78</v>
      </c>
      <c r="V159" s="6">
        <f>IF(ISERROR(VLOOKUP($S$159,'TAR FIN'!$A$1:$O$86,15,0)),0,VLOOKUP($S$159,'TAR FIN'!$A$1:$O$86,15,0))</f>
        <v>0</v>
      </c>
      <c r="W159" s="6">
        <f>IF(ISERROR(VLOOKUP($T$159,'TAR FIN'!$A$1:$O$86,15,0)),0,VLOOKUP($T$159,'TAR FIN'!$A$1:$O$86,15,0))</f>
        <v>71.260000000000005</v>
      </c>
      <c r="X159" s="6">
        <f>IF(ISERROR(VLOOKUP($U$159,'TAR FIN'!$A$1:$O$86,15,0)),0,VLOOKUP($U$159,'TAR FIN'!$A$1:$O$86,15,0))</f>
        <v>297.31</v>
      </c>
      <c r="Y159" s="6"/>
      <c r="Z159" s="6">
        <f ca="1">('TUSD BE'!$AM$12+'TUSD BF'!$AM$12+'TUSD CVA'!$AM$12)*1</f>
        <v>95.815448102611441</v>
      </c>
      <c r="AA159" s="6">
        <f>('TE BE'!$AB$6+'TE BF'!$AB$6+'TE CVA'!$AB$6)*1</f>
        <v>235.33989117487977</v>
      </c>
      <c r="AB159" s="6">
        <f>$K$159*$V$159</f>
        <v>0</v>
      </c>
      <c r="AC159" s="6">
        <f>$M$159*$W$159</f>
        <v>6191.7101400000001</v>
      </c>
      <c r="AD159" s="6">
        <f>$O$159*$X$159</f>
        <v>25832.96859</v>
      </c>
      <c r="AE159" s="6">
        <f>$K$159*$Y$159</f>
        <v>0</v>
      </c>
      <c r="AF159" s="6">
        <f ca="1">$M$159*$Z$159</f>
        <v>8325.3084701878051</v>
      </c>
      <c r="AG159" s="6">
        <f>$O$159*$AA$159</f>
        <v>20448.447804294126</v>
      </c>
    </row>
    <row r="160" spans="1:33" ht="11.25" customHeight="1" x14ac:dyDescent="0.25">
      <c r="A160" s="4" t="s">
        <v>21</v>
      </c>
      <c r="B160" s="4" t="s">
        <v>38</v>
      </c>
      <c r="C160" s="4" t="s">
        <v>39</v>
      </c>
      <c r="D160" s="4" t="s">
        <v>37</v>
      </c>
      <c r="E160" s="4" t="s">
        <v>25</v>
      </c>
      <c r="F160" s="4" t="s">
        <v>25</v>
      </c>
      <c r="G160" s="4" t="s">
        <v>25</v>
      </c>
      <c r="H160" s="4" t="s">
        <v>34</v>
      </c>
      <c r="I160" s="5">
        <v>44409</v>
      </c>
      <c r="J160" s="6">
        <v>0</v>
      </c>
      <c r="K160" s="6">
        <v>0</v>
      </c>
      <c r="L160" s="6">
        <v>806.63900000000001</v>
      </c>
      <c r="M160" s="6">
        <v>806.63900000000001</v>
      </c>
      <c r="N160" s="6">
        <v>806.63900000000001</v>
      </c>
      <c r="O160" s="6">
        <v>806.63900000000001</v>
      </c>
      <c r="P160" s="6">
        <v>0</v>
      </c>
      <c r="Q160" s="4" t="s">
        <v>26</v>
      </c>
      <c r="R160" s="4">
        <v>0</v>
      </c>
      <c r="S160" s="6">
        <v>0</v>
      </c>
      <c r="T160" s="6">
        <v>17</v>
      </c>
      <c r="U160" s="6">
        <v>78</v>
      </c>
      <c r="V160" s="6">
        <f>IF(ISERROR(VLOOKUP($S$160,'TAR FIN'!$A$1:$O$86,15,0)),0,VLOOKUP($S$160,'TAR FIN'!$A$1:$O$86,15,0))</f>
        <v>0</v>
      </c>
      <c r="W160" s="6">
        <f>IF(ISERROR(VLOOKUP($T$160,'TAR FIN'!$A$1:$O$86,15,0)),0,VLOOKUP($T$160,'TAR FIN'!$A$1:$O$86,15,0))</f>
        <v>71.260000000000005</v>
      </c>
      <c r="X160" s="6">
        <f>IF(ISERROR(VLOOKUP($U$160,'TAR FIN'!$A$1:$O$86,15,0)),0,VLOOKUP($U$160,'TAR FIN'!$A$1:$O$86,15,0))</f>
        <v>297.31</v>
      </c>
      <c r="Y160" s="6"/>
      <c r="Z160" s="6">
        <f ca="1">('TUSD BE'!$AM$12+'TUSD BF'!$AM$12+'TUSD CVA'!$AM$12)*1</f>
        <v>95.815448102611441</v>
      </c>
      <c r="AA160" s="6">
        <f>('TE BE'!$AB$6+'TE BF'!$AB$6+'TE CVA'!$AB$6)*1</f>
        <v>235.33989117487977</v>
      </c>
      <c r="AB160" s="6">
        <f>$K$160*$V$160</f>
        <v>0</v>
      </c>
      <c r="AC160" s="6">
        <f>$M$160*$W$160</f>
        <v>57481.095140000005</v>
      </c>
      <c r="AD160" s="6">
        <f>$O$160*$X$160</f>
        <v>239821.84109</v>
      </c>
      <c r="AE160" s="6">
        <f>$K$160*$Y$160</f>
        <v>0</v>
      </c>
      <c r="AF160" s="6">
        <f ca="1">$M$160*$Z$160</f>
        <v>77288.477242042398</v>
      </c>
      <c r="AG160" s="6">
        <f>$O$160*$AA$160</f>
        <v>189834.33447741385</v>
      </c>
    </row>
    <row r="161" spans="1:33" ht="11.25" customHeight="1" x14ac:dyDescent="0.25">
      <c r="A161" s="4" t="s">
        <v>27</v>
      </c>
      <c r="B161" s="4" t="s">
        <v>38</v>
      </c>
      <c r="C161" s="4" t="s">
        <v>39</v>
      </c>
      <c r="D161" s="4" t="s">
        <v>37</v>
      </c>
      <c r="E161" s="4" t="s">
        <v>25</v>
      </c>
      <c r="F161" s="4" t="s">
        <v>25</v>
      </c>
      <c r="G161" s="4" t="s">
        <v>25</v>
      </c>
      <c r="H161" s="4" t="s">
        <v>34</v>
      </c>
      <c r="I161" s="5">
        <v>44409</v>
      </c>
      <c r="J161" s="6">
        <v>0</v>
      </c>
      <c r="K161" s="6">
        <v>0</v>
      </c>
      <c r="L161" s="6">
        <v>78.623000000000005</v>
      </c>
      <c r="M161" s="6">
        <v>78.623000000000005</v>
      </c>
      <c r="N161" s="6">
        <v>78.623000000000005</v>
      </c>
      <c r="O161" s="6">
        <v>78.623000000000005</v>
      </c>
      <c r="P161" s="6">
        <v>0</v>
      </c>
      <c r="Q161" s="4" t="s">
        <v>26</v>
      </c>
      <c r="R161" s="4">
        <v>0</v>
      </c>
      <c r="S161" s="6">
        <v>0</v>
      </c>
      <c r="T161" s="6">
        <v>17</v>
      </c>
      <c r="U161" s="6">
        <v>78</v>
      </c>
      <c r="V161" s="6">
        <f>IF(ISERROR(VLOOKUP($S$161,'TAR FIN'!$A$1:$O$86,15,0)),0,VLOOKUP($S$161,'TAR FIN'!$A$1:$O$86,15,0))</f>
        <v>0</v>
      </c>
      <c r="W161" s="6">
        <f>IF(ISERROR(VLOOKUP($T$161,'TAR FIN'!$A$1:$O$86,15,0)),0,VLOOKUP($T$161,'TAR FIN'!$A$1:$O$86,15,0))</f>
        <v>71.260000000000005</v>
      </c>
      <c r="X161" s="6">
        <f>IF(ISERROR(VLOOKUP($U$161,'TAR FIN'!$A$1:$O$86,15,0)),0,VLOOKUP($U$161,'TAR FIN'!$A$1:$O$86,15,0))</f>
        <v>297.31</v>
      </c>
      <c r="Y161" s="6"/>
      <c r="Z161" s="6">
        <f ca="1">('TUSD BE'!$AM$12+'TUSD BF'!$AM$12+'TUSD CVA'!$AM$12)*1</f>
        <v>95.815448102611441</v>
      </c>
      <c r="AA161" s="6">
        <f>('TE BE'!$AB$6+'TE BF'!$AB$6+'TE CVA'!$AB$6)*1</f>
        <v>235.33989117487977</v>
      </c>
      <c r="AB161" s="6">
        <f>$K$161*$V$161</f>
        <v>0</v>
      </c>
      <c r="AC161" s="6">
        <f>$M$161*$W$161</f>
        <v>5602.6749800000007</v>
      </c>
      <c r="AD161" s="6">
        <f>$O$161*$X$161</f>
        <v>23375.404130000003</v>
      </c>
      <c r="AE161" s="6">
        <f>$K$161*$Y$161</f>
        <v>0</v>
      </c>
      <c r="AF161" s="6">
        <f ca="1">$M$161*$Z$161</f>
        <v>7533.2979761716197</v>
      </c>
      <c r="AG161" s="6">
        <f>$O$161*$AA$161</f>
        <v>18503.128263842573</v>
      </c>
    </row>
    <row r="162" spans="1:33" ht="11.25" customHeight="1" x14ac:dyDescent="0.25">
      <c r="A162" s="4" t="s">
        <v>21</v>
      </c>
      <c r="B162" s="4" t="s">
        <v>38</v>
      </c>
      <c r="C162" s="4" t="s">
        <v>39</v>
      </c>
      <c r="D162" s="4" t="s">
        <v>37</v>
      </c>
      <c r="E162" s="4" t="s">
        <v>25</v>
      </c>
      <c r="F162" s="4" t="s">
        <v>25</v>
      </c>
      <c r="G162" s="4" t="s">
        <v>25</v>
      </c>
      <c r="H162" s="4" t="s">
        <v>34</v>
      </c>
      <c r="I162" s="5">
        <v>44440</v>
      </c>
      <c r="J162" s="6">
        <v>0</v>
      </c>
      <c r="K162" s="6">
        <v>0</v>
      </c>
      <c r="L162" s="6">
        <v>779.10400000000004</v>
      </c>
      <c r="M162" s="6">
        <v>779.10400000000004</v>
      </c>
      <c r="N162" s="6">
        <v>779.10400000000004</v>
      </c>
      <c r="O162" s="6">
        <v>779.10400000000004</v>
      </c>
      <c r="P162" s="6">
        <v>0</v>
      </c>
      <c r="Q162" s="4" t="s">
        <v>26</v>
      </c>
      <c r="R162" s="4">
        <v>0</v>
      </c>
      <c r="S162" s="6">
        <v>0</v>
      </c>
      <c r="T162" s="6">
        <v>17</v>
      </c>
      <c r="U162" s="6">
        <v>78</v>
      </c>
      <c r="V162" s="6">
        <f>IF(ISERROR(VLOOKUP($S$162,'TAR FIN'!$A$1:$O$86,15,0)),0,VLOOKUP($S$162,'TAR FIN'!$A$1:$O$86,15,0))</f>
        <v>0</v>
      </c>
      <c r="W162" s="6">
        <f>IF(ISERROR(VLOOKUP($T$162,'TAR FIN'!$A$1:$O$86,15,0)),0,VLOOKUP($T$162,'TAR FIN'!$A$1:$O$86,15,0))</f>
        <v>71.260000000000005</v>
      </c>
      <c r="X162" s="6">
        <f>IF(ISERROR(VLOOKUP($U$162,'TAR FIN'!$A$1:$O$86,15,0)),0,VLOOKUP($U$162,'TAR FIN'!$A$1:$O$86,15,0))</f>
        <v>297.31</v>
      </c>
      <c r="Y162" s="6"/>
      <c r="Z162" s="6">
        <f ca="1">('TUSD BE'!$AM$12+'TUSD BF'!$AM$12+'TUSD CVA'!$AM$12)*1</f>
        <v>95.815448102611441</v>
      </c>
      <c r="AA162" s="6">
        <f>('TE BE'!$AB$6+'TE BF'!$AB$6+'TE CVA'!$AB$6)*1</f>
        <v>235.33989117487977</v>
      </c>
      <c r="AB162" s="6">
        <f>$K$162*$V$162</f>
        <v>0</v>
      </c>
      <c r="AC162" s="6">
        <f>$M$162*$W$162</f>
        <v>55518.951040000007</v>
      </c>
      <c r="AD162" s="6">
        <f>$O$162*$X$162</f>
        <v>231635.41024000003</v>
      </c>
      <c r="AE162" s="6">
        <f>$K$162*$Y$162</f>
        <v>0</v>
      </c>
      <c r="AF162" s="6">
        <f ca="1">$M$162*$Z$162</f>
        <v>74650.19887853699</v>
      </c>
      <c r="AG162" s="6">
        <f>$O$162*$AA$162</f>
        <v>183354.25057391354</v>
      </c>
    </row>
    <row r="163" spans="1:33" ht="11.25" customHeight="1" x14ac:dyDescent="0.25">
      <c r="A163" s="4" t="s">
        <v>27</v>
      </c>
      <c r="B163" s="4" t="s">
        <v>38</v>
      </c>
      <c r="C163" s="4" t="s">
        <v>39</v>
      </c>
      <c r="D163" s="4" t="s">
        <v>37</v>
      </c>
      <c r="E163" s="4" t="s">
        <v>25</v>
      </c>
      <c r="F163" s="4" t="s">
        <v>25</v>
      </c>
      <c r="G163" s="4" t="s">
        <v>25</v>
      </c>
      <c r="H163" s="4" t="s">
        <v>34</v>
      </c>
      <c r="I163" s="5">
        <v>44440</v>
      </c>
      <c r="J163" s="6">
        <v>0</v>
      </c>
      <c r="K163" s="6">
        <v>0</v>
      </c>
      <c r="L163" s="6">
        <v>67.760999999999996</v>
      </c>
      <c r="M163" s="6">
        <v>67.760999999999996</v>
      </c>
      <c r="N163" s="6">
        <v>67.760999999999996</v>
      </c>
      <c r="O163" s="6">
        <v>67.760999999999996</v>
      </c>
      <c r="P163" s="6">
        <v>0</v>
      </c>
      <c r="Q163" s="4" t="s">
        <v>26</v>
      </c>
      <c r="R163" s="4">
        <v>0</v>
      </c>
      <c r="S163" s="6">
        <v>0</v>
      </c>
      <c r="T163" s="6">
        <v>17</v>
      </c>
      <c r="U163" s="6">
        <v>78</v>
      </c>
      <c r="V163" s="6">
        <f>IF(ISERROR(VLOOKUP($S$163,'TAR FIN'!$A$1:$O$86,15,0)),0,VLOOKUP($S$163,'TAR FIN'!$A$1:$O$86,15,0))</f>
        <v>0</v>
      </c>
      <c r="W163" s="6">
        <f>IF(ISERROR(VLOOKUP($T$163,'TAR FIN'!$A$1:$O$86,15,0)),0,VLOOKUP($T$163,'TAR FIN'!$A$1:$O$86,15,0))</f>
        <v>71.260000000000005</v>
      </c>
      <c r="X163" s="6">
        <f>IF(ISERROR(VLOOKUP($U$163,'TAR FIN'!$A$1:$O$86,15,0)),0,VLOOKUP($U$163,'TAR FIN'!$A$1:$O$86,15,0))</f>
        <v>297.31</v>
      </c>
      <c r="Y163" s="6"/>
      <c r="Z163" s="6">
        <f ca="1">('TUSD BE'!$AM$12+'TUSD BF'!$AM$12+'TUSD CVA'!$AM$12)*1</f>
        <v>95.815448102611441</v>
      </c>
      <c r="AA163" s="6">
        <f>('TE BE'!$AB$6+'TE BF'!$AB$6+'TE CVA'!$AB$6)*1</f>
        <v>235.33989117487977</v>
      </c>
      <c r="AB163" s="6">
        <f>$K$163*$V$163</f>
        <v>0</v>
      </c>
      <c r="AC163" s="6">
        <f>$M$163*$W$163</f>
        <v>4828.6488600000002</v>
      </c>
      <c r="AD163" s="6">
        <f>$O$163*$X$163</f>
        <v>20146.02291</v>
      </c>
      <c r="AE163" s="6">
        <f>$K$163*$Y$163</f>
        <v>0</v>
      </c>
      <c r="AF163" s="6">
        <f ca="1">$M$163*$Z$163</f>
        <v>6492.5505788810533</v>
      </c>
      <c r="AG163" s="6">
        <f>$O$163*$AA$163</f>
        <v>15946.866365901027</v>
      </c>
    </row>
    <row r="164" spans="1:33" ht="11.25" customHeight="1" x14ac:dyDescent="0.25">
      <c r="A164" s="4" t="s">
        <v>21</v>
      </c>
      <c r="B164" s="4" t="s">
        <v>38</v>
      </c>
      <c r="C164" s="4" t="s">
        <v>39</v>
      </c>
      <c r="D164" s="4" t="s">
        <v>37</v>
      </c>
      <c r="E164" s="4" t="s">
        <v>25</v>
      </c>
      <c r="F164" s="4" t="s">
        <v>25</v>
      </c>
      <c r="G164" s="4" t="s">
        <v>25</v>
      </c>
      <c r="H164" s="4" t="s">
        <v>34</v>
      </c>
      <c r="I164" s="5">
        <v>44470</v>
      </c>
      <c r="J164" s="6">
        <v>0</v>
      </c>
      <c r="K164" s="6">
        <v>0</v>
      </c>
      <c r="L164" s="6">
        <v>797.78599999999994</v>
      </c>
      <c r="M164" s="6">
        <v>797.78599999999994</v>
      </c>
      <c r="N164" s="6">
        <v>797.78599999999994</v>
      </c>
      <c r="O164" s="6">
        <v>797.78599999999994</v>
      </c>
      <c r="P164" s="6">
        <v>0</v>
      </c>
      <c r="Q164" s="4" t="s">
        <v>26</v>
      </c>
      <c r="R164" s="4">
        <v>0</v>
      </c>
      <c r="S164" s="6">
        <v>0</v>
      </c>
      <c r="T164" s="6">
        <v>17</v>
      </c>
      <c r="U164" s="6">
        <v>78</v>
      </c>
      <c r="V164" s="6">
        <f>IF(ISERROR(VLOOKUP($S$164,'TAR FIN'!$A$1:$O$86,15,0)),0,VLOOKUP($S$164,'TAR FIN'!$A$1:$O$86,15,0))</f>
        <v>0</v>
      </c>
      <c r="W164" s="6">
        <f>IF(ISERROR(VLOOKUP($T$164,'TAR FIN'!$A$1:$O$86,15,0)),0,VLOOKUP($T$164,'TAR FIN'!$A$1:$O$86,15,0))</f>
        <v>71.260000000000005</v>
      </c>
      <c r="X164" s="6">
        <f>IF(ISERROR(VLOOKUP($U$164,'TAR FIN'!$A$1:$O$86,15,0)),0,VLOOKUP($U$164,'TAR FIN'!$A$1:$O$86,15,0))</f>
        <v>297.31</v>
      </c>
      <c r="Y164" s="6"/>
      <c r="Z164" s="6">
        <f ca="1">('TUSD BE'!$AM$12+'TUSD BF'!$AM$12+'TUSD CVA'!$AM$12)*1</f>
        <v>95.815448102611441</v>
      </c>
      <c r="AA164" s="6">
        <f>('TE BE'!$AB$6+'TE BF'!$AB$6+'TE CVA'!$AB$6)*1</f>
        <v>235.33989117487977</v>
      </c>
      <c r="AB164" s="6">
        <f>$K$164*$V$164</f>
        <v>0</v>
      </c>
      <c r="AC164" s="6">
        <f>$M$164*$W$164</f>
        <v>56850.230360000001</v>
      </c>
      <c r="AD164" s="6">
        <f>$O$164*$X$164</f>
        <v>237189.75566</v>
      </c>
      <c r="AE164" s="6">
        <f>$K$164*$Y$164</f>
        <v>0</v>
      </c>
      <c r="AF164" s="6">
        <f ca="1">$M$164*$Z$164</f>
        <v>76440.22307998997</v>
      </c>
      <c r="AG164" s="6">
        <f>$O$164*$AA$164</f>
        <v>187750.87042084261</v>
      </c>
    </row>
    <row r="165" spans="1:33" ht="11.25" customHeight="1" x14ac:dyDescent="0.25">
      <c r="A165" s="4" t="s">
        <v>27</v>
      </c>
      <c r="B165" s="4" t="s">
        <v>38</v>
      </c>
      <c r="C165" s="4" t="s">
        <v>39</v>
      </c>
      <c r="D165" s="4" t="s">
        <v>37</v>
      </c>
      <c r="E165" s="4" t="s">
        <v>25</v>
      </c>
      <c r="F165" s="4" t="s">
        <v>25</v>
      </c>
      <c r="G165" s="4" t="s">
        <v>25</v>
      </c>
      <c r="H165" s="4" t="s">
        <v>34</v>
      </c>
      <c r="I165" s="5">
        <v>44470</v>
      </c>
      <c r="J165" s="6">
        <v>0</v>
      </c>
      <c r="K165" s="6">
        <v>0</v>
      </c>
      <c r="L165" s="6">
        <v>34.271000000000001</v>
      </c>
      <c r="M165" s="6">
        <v>34.271000000000001</v>
      </c>
      <c r="N165" s="6">
        <v>34.271000000000001</v>
      </c>
      <c r="O165" s="6">
        <v>34.271000000000001</v>
      </c>
      <c r="P165" s="6">
        <v>0</v>
      </c>
      <c r="Q165" s="4" t="s">
        <v>26</v>
      </c>
      <c r="R165" s="4">
        <v>0</v>
      </c>
      <c r="S165" s="6">
        <v>0</v>
      </c>
      <c r="T165" s="6">
        <v>17</v>
      </c>
      <c r="U165" s="6">
        <v>78</v>
      </c>
      <c r="V165" s="6">
        <f>IF(ISERROR(VLOOKUP($S$165,'TAR FIN'!$A$1:$O$86,15,0)),0,VLOOKUP($S$165,'TAR FIN'!$A$1:$O$86,15,0))</f>
        <v>0</v>
      </c>
      <c r="W165" s="6">
        <f>IF(ISERROR(VLOOKUP($T$165,'TAR FIN'!$A$1:$O$86,15,0)),0,VLOOKUP($T$165,'TAR FIN'!$A$1:$O$86,15,0))</f>
        <v>71.260000000000005</v>
      </c>
      <c r="X165" s="6">
        <f>IF(ISERROR(VLOOKUP($U$165,'TAR FIN'!$A$1:$O$86,15,0)),0,VLOOKUP($U$165,'TAR FIN'!$A$1:$O$86,15,0))</f>
        <v>297.31</v>
      </c>
      <c r="Y165" s="6"/>
      <c r="Z165" s="6">
        <f ca="1">('TUSD BE'!$AM$12+'TUSD BF'!$AM$12+'TUSD CVA'!$AM$12)*1</f>
        <v>95.815448102611441</v>
      </c>
      <c r="AA165" s="6">
        <f>('TE BE'!$AB$6+'TE BF'!$AB$6+'TE CVA'!$AB$6)*1</f>
        <v>235.33989117487977</v>
      </c>
      <c r="AB165" s="6">
        <f>$K$165*$V$165</f>
        <v>0</v>
      </c>
      <c r="AC165" s="6">
        <f>$M$165*$W$165</f>
        <v>2442.15146</v>
      </c>
      <c r="AD165" s="6">
        <f>$O$165*$X$165</f>
        <v>10189.111010000001</v>
      </c>
      <c r="AE165" s="6">
        <f>$K$165*$Y$165</f>
        <v>0</v>
      </c>
      <c r="AF165" s="6">
        <f ca="1">$M$165*$Z$165</f>
        <v>3283.6912219245969</v>
      </c>
      <c r="AG165" s="6">
        <f>$O$165*$AA$165</f>
        <v>8065.3334104543046</v>
      </c>
    </row>
    <row r="166" spans="1:33" ht="11.25" customHeight="1" x14ac:dyDescent="0.25">
      <c r="A166" s="4" t="s">
        <v>21</v>
      </c>
      <c r="B166" s="4" t="s">
        <v>38</v>
      </c>
      <c r="C166" s="4" t="s">
        <v>39</v>
      </c>
      <c r="D166" s="4" t="s">
        <v>37</v>
      </c>
      <c r="E166" s="4" t="s">
        <v>25</v>
      </c>
      <c r="F166" s="4" t="s">
        <v>25</v>
      </c>
      <c r="G166" s="4" t="s">
        <v>25</v>
      </c>
      <c r="H166" s="4" t="s">
        <v>34</v>
      </c>
      <c r="I166" s="5">
        <v>44501</v>
      </c>
      <c r="J166" s="6">
        <v>0</v>
      </c>
      <c r="K166" s="6">
        <v>0</v>
      </c>
      <c r="L166" s="6">
        <v>666.92700000000002</v>
      </c>
      <c r="M166" s="6">
        <v>666.92700000000002</v>
      </c>
      <c r="N166" s="6">
        <v>666.92700000000002</v>
      </c>
      <c r="O166" s="6">
        <v>666.92700000000002</v>
      </c>
      <c r="P166" s="6">
        <v>0</v>
      </c>
      <c r="Q166" s="4" t="s">
        <v>26</v>
      </c>
      <c r="R166" s="4">
        <v>0</v>
      </c>
      <c r="S166" s="6">
        <v>0</v>
      </c>
      <c r="T166" s="6">
        <v>17</v>
      </c>
      <c r="U166" s="6">
        <v>78</v>
      </c>
      <c r="V166" s="6">
        <f>IF(ISERROR(VLOOKUP($S$166,'TAR FIN'!$A$1:$O$86,15,0)),0,VLOOKUP($S$166,'TAR FIN'!$A$1:$O$86,15,0))</f>
        <v>0</v>
      </c>
      <c r="W166" s="6">
        <f>IF(ISERROR(VLOOKUP($T$166,'TAR FIN'!$A$1:$O$86,15,0)),0,VLOOKUP($T$166,'TAR FIN'!$A$1:$O$86,15,0))</f>
        <v>71.260000000000005</v>
      </c>
      <c r="X166" s="6">
        <f>IF(ISERROR(VLOOKUP($U$166,'TAR FIN'!$A$1:$O$86,15,0)),0,VLOOKUP($U$166,'TAR FIN'!$A$1:$O$86,15,0))</f>
        <v>297.31</v>
      </c>
      <c r="Y166" s="6"/>
      <c r="Z166" s="6">
        <f ca="1">('TUSD BE'!$AM$12+'TUSD BF'!$AM$12+'TUSD CVA'!$AM$12)*1</f>
        <v>95.815448102611441</v>
      </c>
      <c r="AA166" s="6">
        <f>('TE BE'!$AB$6+'TE BF'!$AB$6+'TE CVA'!$AB$6)*1</f>
        <v>235.33989117487977</v>
      </c>
      <c r="AB166" s="6">
        <f>$K$166*$V$166</f>
        <v>0</v>
      </c>
      <c r="AC166" s="6">
        <f>$M$166*$W$166</f>
        <v>47525.218020000008</v>
      </c>
      <c r="AD166" s="6">
        <f>$O$166*$X$166</f>
        <v>198284.06637000002</v>
      </c>
      <c r="AE166" s="6">
        <f>$K$166*$Y$166</f>
        <v>0</v>
      </c>
      <c r="AF166" s="6">
        <f ca="1">$M$166*$Z$166</f>
        <v>63901.909356730343</v>
      </c>
      <c r="AG166" s="6">
        <f>$O$166*$AA$166</f>
        <v>156954.52760158904</v>
      </c>
    </row>
    <row r="167" spans="1:33" ht="11.25" customHeight="1" x14ac:dyDescent="0.25">
      <c r="A167" s="4" t="s">
        <v>27</v>
      </c>
      <c r="B167" s="4" t="s">
        <v>38</v>
      </c>
      <c r="C167" s="4" t="s">
        <v>39</v>
      </c>
      <c r="D167" s="4" t="s">
        <v>37</v>
      </c>
      <c r="E167" s="4" t="s">
        <v>25</v>
      </c>
      <c r="F167" s="4" t="s">
        <v>25</v>
      </c>
      <c r="G167" s="4" t="s">
        <v>25</v>
      </c>
      <c r="H167" s="4" t="s">
        <v>34</v>
      </c>
      <c r="I167" s="5">
        <v>44501</v>
      </c>
      <c r="J167" s="6">
        <v>0</v>
      </c>
      <c r="K167" s="6">
        <v>0</v>
      </c>
      <c r="L167" s="6">
        <v>48.011000000000003</v>
      </c>
      <c r="M167" s="6">
        <v>48.011000000000003</v>
      </c>
      <c r="N167" s="6">
        <v>48.011000000000003</v>
      </c>
      <c r="O167" s="6">
        <v>48.011000000000003</v>
      </c>
      <c r="P167" s="6">
        <v>0</v>
      </c>
      <c r="Q167" s="4" t="s">
        <v>26</v>
      </c>
      <c r="R167" s="4">
        <v>0</v>
      </c>
      <c r="S167" s="6">
        <v>0</v>
      </c>
      <c r="T167" s="6">
        <v>17</v>
      </c>
      <c r="U167" s="6">
        <v>78</v>
      </c>
      <c r="V167" s="6">
        <f>IF(ISERROR(VLOOKUP($S$167,'TAR FIN'!$A$1:$O$86,15,0)),0,VLOOKUP($S$167,'TAR FIN'!$A$1:$O$86,15,0))</f>
        <v>0</v>
      </c>
      <c r="W167" s="6">
        <f>IF(ISERROR(VLOOKUP($T$167,'TAR FIN'!$A$1:$O$86,15,0)),0,VLOOKUP($T$167,'TAR FIN'!$A$1:$O$86,15,0))</f>
        <v>71.260000000000005</v>
      </c>
      <c r="X167" s="6">
        <f>IF(ISERROR(VLOOKUP($U$167,'TAR FIN'!$A$1:$O$86,15,0)),0,VLOOKUP($U$167,'TAR FIN'!$A$1:$O$86,15,0))</f>
        <v>297.31</v>
      </c>
      <c r="Y167" s="6"/>
      <c r="Z167" s="6">
        <f ca="1">('TUSD BE'!$AM$12+'TUSD BF'!$AM$12+'TUSD CVA'!$AM$12)*1</f>
        <v>95.815448102611441</v>
      </c>
      <c r="AA167" s="6">
        <f>('TE BE'!$AB$6+'TE BF'!$AB$6+'TE CVA'!$AB$6)*1</f>
        <v>235.33989117487977</v>
      </c>
      <c r="AB167" s="6">
        <f>$K$167*$V$167</f>
        <v>0</v>
      </c>
      <c r="AC167" s="6">
        <f>$M$167*$W$167</f>
        <v>3421.2638600000005</v>
      </c>
      <c r="AD167" s="6">
        <f>$O$167*$X$167</f>
        <v>14274.15041</v>
      </c>
      <c r="AE167" s="6">
        <f>$K$167*$Y$167</f>
        <v>0</v>
      </c>
      <c r="AF167" s="6">
        <f ca="1">$M$167*$Z$167</f>
        <v>4600.1954788544781</v>
      </c>
      <c r="AG167" s="6">
        <f>$O$167*$AA$167</f>
        <v>11298.903515197153</v>
      </c>
    </row>
    <row r="168" spans="1:33" ht="11.25" customHeight="1" x14ac:dyDescent="0.25">
      <c r="A168" s="4" t="s">
        <v>21</v>
      </c>
      <c r="B168" s="4" t="s">
        <v>38</v>
      </c>
      <c r="C168" s="4" t="s">
        <v>39</v>
      </c>
      <c r="D168" s="4" t="s">
        <v>37</v>
      </c>
      <c r="E168" s="4" t="s">
        <v>25</v>
      </c>
      <c r="F168" s="4" t="s">
        <v>25</v>
      </c>
      <c r="G168" s="4" t="s">
        <v>25</v>
      </c>
      <c r="H168" s="4" t="s">
        <v>34</v>
      </c>
      <c r="I168" s="5">
        <v>44531</v>
      </c>
      <c r="J168" s="6">
        <v>0</v>
      </c>
      <c r="K168" s="6">
        <v>0</v>
      </c>
      <c r="L168" s="6">
        <v>649.78300000000002</v>
      </c>
      <c r="M168" s="6">
        <v>649.78300000000002</v>
      </c>
      <c r="N168" s="6">
        <v>649.78300000000002</v>
      </c>
      <c r="O168" s="6">
        <v>649.78300000000002</v>
      </c>
      <c r="P168" s="6">
        <v>0</v>
      </c>
      <c r="Q168" s="4" t="s">
        <v>26</v>
      </c>
      <c r="R168" s="4">
        <v>0</v>
      </c>
      <c r="S168" s="6">
        <v>0</v>
      </c>
      <c r="T168" s="6">
        <v>17</v>
      </c>
      <c r="U168" s="6">
        <v>78</v>
      </c>
      <c r="V168" s="6">
        <f>IF(ISERROR(VLOOKUP($S$168,'TAR FIN'!$A$1:$O$86,15,0)),0,VLOOKUP($S$168,'TAR FIN'!$A$1:$O$86,15,0))</f>
        <v>0</v>
      </c>
      <c r="W168" s="6">
        <f>IF(ISERROR(VLOOKUP($T$168,'TAR FIN'!$A$1:$O$86,15,0)),0,VLOOKUP($T$168,'TAR FIN'!$A$1:$O$86,15,0))</f>
        <v>71.260000000000005</v>
      </c>
      <c r="X168" s="6">
        <f>IF(ISERROR(VLOOKUP($U$168,'TAR FIN'!$A$1:$O$86,15,0)),0,VLOOKUP($U$168,'TAR FIN'!$A$1:$O$86,15,0))</f>
        <v>297.31</v>
      </c>
      <c r="Y168" s="6"/>
      <c r="Z168" s="6">
        <f ca="1">('TUSD BE'!$AM$12+'TUSD BF'!$AM$12+'TUSD CVA'!$AM$12)*1</f>
        <v>95.815448102611441</v>
      </c>
      <c r="AA168" s="6">
        <f>('TE BE'!$AB$6+'TE BF'!$AB$6+'TE CVA'!$AB$6)*1</f>
        <v>235.33989117487977</v>
      </c>
      <c r="AB168" s="6">
        <f>$K$168*$V$168</f>
        <v>0</v>
      </c>
      <c r="AC168" s="6">
        <f>$M$168*$W$168</f>
        <v>46303.536580000007</v>
      </c>
      <c r="AD168" s="6">
        <f>$O$168*$X$168</f>
        <v>193186.98373000001</v>
      </c>
      <c r="AE168" s="6">
        <f>$K$168*$Y$168</f>
        <v>0</v>
      </c>
      <c r="AF168" s="6">
        <f ca="1">$M$168*$Z$168</f>
        <v>62259.249314459172</v>
      </c>
      <c r="AG168" s="6">
        <f>$O$168*$AA$168</f>
        <v>152919.86050728691</v>
      </c>
    </row>
    <row r="169" spans="1:33" ht="11.25" customHeight="1" x14ac:dyDescent="0.25">
      <c r="A169" s="4" t="s">
        <v>27</v>
      </c>
      <c r="B169" s="4" t="s">
        <v>38</v>
      </c>
      <c r="C169" s="4" t="s">
        <v>39</v>
      </c>
      <c r="D169" s="4" t="s">
        <v>37</v>
      </c>
      <c r="E169" s="4" t="s">
        <v>25</v>
      </c>
      <c r="F169" s="4" t="s">
        <v>25</v>
      </c>
      <c r="G169" s="4" t="s">
        <v>25</v>
      </c>
      <c r="H169" s="4" t="s">
        <v>34</v>
      </c>
      <c r="I169" s="5">
        <v>44531</v>
      </c>
      <c r="J169" s="6">
        <v>0</v>
      </c>
      <c r="K169" s="6">
        <v>0</v>
      </c>
      <c r="L169" s="6">
        <v>44.158999999999999</v>
      </c>
      <c r="M169" s="6">
        <v>44.158999999999999</v>
      </c>
      <c r="N169" s="6">
        <v>44.158999999999999</v>
      </c>
      <c r="O169" s="6">
        <v>44.158999999999999</v>
      </c>
      <c r="P169" s="6">
        <v>0</v>
      </c>
      <c r="Q169" s="4" t="s">
        <v>26</v>
      </c>
      <c r="R169" s="4">
        <v>0</v>
      </c>
      <c r="S169" s="6">
        <v>0</v>
      </c>
      <c r="T169" s="6">
        <v>17</v>
      </c>
      <c r="U169" s="6">
        <v>78</v>
      </c>
      <c r="V169" s="6">
        <f>IF(ISERROR(VLOOKUP($S$169,'TAR FIN'!$A$1:$O$86,15,0)),0,VLOOKUP($S$169,'TAR FIN'!$A$1:$O$86,15,0))</f>
        <v>0</v>
      </c>
      <c r="W169" s="6">
        <f>IF(ISERROR(VLOOKUP($T$169,'TAR FIN'!$A$1:$O$86,15,0)),0,VLOOKUP($T$169,'TAR FIN'!$A$1:$O$86,15,0))</f>
        <v>71.260000000000005</v>
      </c>
      <c r="X169" s="6">
        <f>IF(ISERROR(VLOOKUP($U$169,'TAR FIN'!$A$1:$O$86,15,0)),0,VLOOKUP($U$169,'TAR FIN'!$A$1:$O$86,15,0))</f>
        <v>297.31</v>
      </c>
      <c r="Y169" s="6"/>
      <c r="Z169" s="6">
        <f ca="1">('TUSD BE'!$AM$12+'TUSD BF'!$AM$12+'TUSD CVA'!$AM$12)*1</f>
        <v>95.815448102611441</v>
      </c>
      <c r="AA169" s="6">
        <f>('TE BE'!$AB$6+'TE BF'!$AB$6+'TE CVA'!$AB$6)*1</f>
        <v>235.33989117487977</v>
      </c>
      <c r="AB169" s="6">
        <f>$K$169*$V$169</f>
        <v>0</v>
      </c>
      <c r="AC169" s="6">
        <f>$M$169*$W$169</f>
        <v>3146.77034</v>
      </c>
      <c r="AD169" s="6">
        <f>$O$169*$X$169</f>
        <v>13128.91229</v>
      </c>
      <c r="AE169" s="6">
        <f>$K$169*$Y$169</f>
        <v>0</v>
      </c>
      <c r="AF169" s="6">
        <f ca="1">$M$169*$Z$169</f>
        <v>4231.1143727632189</v>
      </c>
      <c r="AG169" s="6">
        <f>$O$169*$AA$169</f>
        <v>10392.374254391516</v>
      </c>
    </row>
    <row r="170" spans="1:33" ht="11.25" customHeight="1" x14ac:dyDescent="0.25">
      <c r="A170" s="4" t="s">
        <v>21</v>
      </c>
      <c r="B170" s="4" t="s">
        <v>38</v>
      </c>
      <c r="C170" s="4" t="s">
        <v>39</v>
      </c>
      <c r="D170" s="4" t="s">
        <v>37</v>
      </c>
      <c r="E170" s="4" t="s">
        <v>25</v>
      </c>
      <c r="F170" s="4" t="s">
        <v>25</v>
      </c>
      <c r="G170" s="4" t="s">
        <v>25</v>
      </c>
      <c r="H170" s="4" t="s">
        <v>34</v>
      </c>
      <c r="I170" s="5">
        <v>44562</v>
      </c>
      <c r="J170" s="6">
        <v>0</v>
      </c>
      <c r="K170" s="6">
        <v>0</v>
      </c>
      <c r="L170" s="6">
        <v>573.60400000000004</v>
      </c>
      <c r="M170" s="6">
        <v>573.60400000000004</v>
      </c>
      <c r="N170" s="6">
        <v>573.60400000000004</v>
      </c>
      <c r="O170" s="6">
        <v>573.60400000000004</v>
      </c>
      <c r="P170" s="6">
        <v>0</v>
      </c>
      <c r="Q170" s="4" t="s">
        <v>26</v>
      </c>
      <c r="R170" s="4">
        <v>0</v>
      </c>
      <c r="S170" s="6">
        <v>0</v>
      </c>
      <c r="T170" s="6">
        <v>17</v>
      </c>
      <c r="U170" s="6">
        <v>78</v>
      </c>
      <c r="V170" s="6">
        <f>IF(ISERROR(VLOOKUP($S$170,'TAR FIN'!$A$1:$O$86,15,0)),0,VLOOKUP($S$170,'TAR FIN'!$A$1:$O$86,15,0))</f>
        <v>0</v>
      </c>
      <c r="W170" s="6">
        <f>IF(ISERROR(VLOOKUP($T$170,'TAR FIN'!$A$1:$O$86,15,0)),0,VLOOKUP($T$170,'TAR FIN'!$A$1:$O$86,15,0))</f>
        <v>71.260000000000005</v>
      </c>
      <c r="X170" s="6">
        <f>IF(ISERROR(VLOOKUP($U$170,'TAR FIN'!$A$1:$O$86,15,0)),0,VLOOKUP($U$170,'TAR FIN'!$A$1:$O$86,15,0))</f>
        <v>297.31</v>
      </c>
      <c r="Y170" s="6"/>
      <c r="Z170" s="6">
        <f ca="1">('TUSD BE'!$AM$12+'TUSD BF'!$AM$12+'TUSD CVA'!$AM$12)*1</f>
        <v>95.815448102611441</v>
      </c>
      <c r="AA170" s="6">
        <f>('TE BE'!$AB$6+'TE BF'!$AB$6+'TE CVA'!$AB$6)*1</f>
        <v>235.33989117487977</v>
      </c>
      <c r="AB170" s="6">
        <f>$K$170*$V$170</f>
        <v>0</v>
      </c>
      <c r="AC170" s="6">
        <f>$M$170*$W$170</f>
        <v>40875.021040000007</v>
      </c>
      <c r="AD170" s="6">
        <f>$O$170*$X$170</f>
        <v>170538.20524000001</v>
      </c>
      <c r="AE170" s="6">
        <f>$K$170*$Y$170</f>
        <v>0</v>
      </c>
      <c r="AF170" s="6">
        <f ca="1">$M$170*$Z$170</f>
        <v>54960.124293450339</v>
      </c>
      <c r="AG170" s="6">
        <f>$O$170*$AA$170</f>
        <v>134991.90293747574</v>
      </c>
    </row>
    <row r="171" spans="1:33" ht="11.25" customHeight="1" x14ac:dyDescent="0.25">
      <c r="A171" s="4" t="s">
        <v>27</v>
      </c>
      <c r="B171" s="4" t="s">
        <v>38</v>
      </c>
      <c r="C171" s="4" t="s">
        <v>39</v>
      </c>
      <c r="D171" s="4" t="s">
        <v>37</v>
      </c>
      <c r="E171" s="4" t="s">
        <v>25</v>
      </c>
      <c r="F171" s="4" t="s">
        <v>25</v>
      </c>
      <c r="G171" s="4" t="s">
        <v>25</v>
      </c>
      <c r="H171" s="4" t="s">
        <v>34</v>
      </c>
      <c r="I171" s="5">
        <v>44562</v>
      </c>
      <c r="J171" s="6">
        <v>0</v>
      </c>
      <c r="K171" s="6">
        <v>0</v>
      </c>
      <c r="L171" s="6">
        <v>52.064</v>
      </c>
      <c r="M171" s="6">
        <v>52.064</v>
      </c>
      <c r="N171" s="6">
        <v>52.064</v>
      </c>
      <c r="O171" s="6">
        <v>52.064</v>
      </c>
      <c r="P171" s="6">
        <v>0</v>
      </c>
      <c r="Q171" s="4" t="s">
        <v>26</v>
      </c>
      <c r="R171" s="4">
        <v>0</v>
      </c>
      <c r="S171" s="6">
        <v>0</v>
      </c>
      <c r="T171" s="6">
        <v>17</v>
      </c>
      <c r="U171" s="6">
        <v>78</v>
      </c>
      <c r="V171" s="6">
        <f>IF(ISERROR(VLOOKUP($S$171,'TAR FIN'!$A$1:$O$86,15,0)),0,VLOOKUP($S$171,'TAR FIN'!$A$1:$O$86,15,0))</f>
        <v>0</v>
      </c>
      <c r="W171" s="6">
        <f>IF(ISERROR(VLOOKUP($T$171,'TAR FIN'!$A$1:$O$86,15,0)),0,VLOOKUP($T$171,'TAR FIN'!$A$1:$O$86,15,0))</f>
        <v>71.260000000000005</v>
      </c>
      <c r="X171" s="6">
        <f>IF(ISERROR(VLOOKUP($U$171,'TAR FIN'!$A$1:$O$86,15,0)),0,VLOOKUP($U$171,'TAR FIN'!$A$1:$O$86,15,0))</f>
        <v>297.31</v>
      </c>
      <c r="Y171" s="6"/>
      <c r="Z171" s="6">
        <f ca="1">('TUSD BE'!$AM$12+'TUSD BF'!$AM$12+'TUSD CVA'!$AM$12)*1</f>
        <v>95.815448102611441</v>
      </c>
      <c r="AA171" s="6">
        <f>('TE BE'!$AB$6+'TE BF'!$AB$6+'TE CVA'!$AB$6)*1</f>
        <v>235.33989117487977</v>
      </c>
      <c r="AB171" s="6">
        <f>$K$171*$V$171</f>
        <v>0</v>
      </c>
      <c r="AC171" s="6">
        <f>$M$171*$W$171</f>
        <v>3710.0806400000001</v>
      </c>
      <c r="AD171" s="6">
        <f>$O$171*$X$171</f>
        <v>15479.14784</v>
      </c>
      <c r="AE171" s="6">
        <f>$K$171*$Y$171</f>
        <v>0</v>
      </c>
      <c r="AF171" s="6">
        <f ca="1">$M$171*$Z$171</f>
        <v>4988.535490014362</v>
      </c>
      <c r="AG171" s="6">
        <f>$O$171*$AA$171</f>
        <v>12252.736094128941</v>
      </c>
    </row>
    <row r="172" spans="1:33" ht="11.25" customHeight="1" x14ac:dyDescent="0.25">
      <c r="A172" s="4" t="s">
        <v>21</v>
      </c>
      <c r="B172" s="4" t="s">
        <v>38</v>
      </c>
      <c r="C172" s="4" t="s">
        <v>39</v>
      </c>
      <c r="D172" s="4" t="s">
        <v>37</v>
      </c>
      <c r="E172" s="4" t="s">
        <v>25</v>
      </c>
      <c r="F172" s="4" t="s">
        <v>25</v>
      </c>
      <c r="G172" s="4" t="s">
        <v>25</v>
      </c>
      <c r="H172" s="4" t="s">
        <v>34</v>
      </c>
      <c r="I172" s="5">
        <v>44593</v>
      </c>
      <c r="J172" s="6">
        <v>0</v>
      </c>
      <c r="K172" s="6">
        <v>0</v>
      </c>
      <c r="L172" s="6">
        <v>334.14800000000002</v>
      </c>
      <c r="M172" s="6">
        <v>334.14800000000002</v>
      </c>
      <c r="N172" s="6">
        <v>334.14800000000002</v>
      </c>
      <c r="O172" s="6">
        <v>334.14800000000002</v>
      </c>
      <c r="P172" s="6">
        <v>0</v>
      </c>
      <c r="Q172" s="4" t="s">
        <v>26</v>
      </c>
      <c r="R172" s="4">
        <v>0</v>
      </c>
      <c r="S172" s="6">
        <v>0</v>
      </c>
      <c r="T172" s="6">
        <v>17</v>
      </c>
      <c r="U172" s="6">
        <v>78</v>
      </c>
      <c r="V172" s="6">
        <f>IF(ISERROR(VLOOKUP($S$172,'TAR FIN'!$A$1:$O$86,15,0)),0,VLOOKUP($S$172,'TAR FIN'!$A$1:$O$86,15,0))</f>
        <v>0</v>
      </c>
      <c r="W172" s="6">
        <f>IF(ISERROR(VLOOKUP($T$172,'TAR FIN'!$A$1:$O$86,15,0)),0,VLOOKUP($T$172,'TAR FIN'!$A$1:$O$86,15,0))</f>
        <v>71.260000000000005</v>
      </c>
      <c r="X172" s="6">
        <f>IF(ISERROR(VLOOKUP($U$172,'TAR FIN'!$A$1:$O$86,15,0)),0,VLOOKUP($U$172,'TAR FIN'!$A$1:$O$86,15,0))</f>
        <v>297.31</v>
      </c>
      <c r="Y172" s="6"/>
      <c r="Z172" s="6">
        <f ca="1">('TUSD BE'!$AM$12+'TUSD BF'!$AM$12+'TUSD CVA'!$AM$12)*1</f>
        <v>95.815448102611441</v>
      </c>
      <c r="AA172" s="6">
        <f>('TE BE'!$AB$6+'TE BF'!$AB$6+'TE CVA'!$AB$6)*1</f>
        <v>235.33989117487977</v>
      </c>
      <c r="AB172" s="6">
        <f>$K$172*$V$172</f>
        <v>0</v>
      </c>
      <c r="AC172" s="6">
        <f>$M$172*$W$172</f>
        <v>23811.386480000005</v>
      </c>
      <c r="AD172" s="6">
        <f>$O$172*$X$172</f>
        <v>99345.541880000004</v>
      </c>
      <c r="AE172" s="6">
        <f>$K$172*$Y$172</f>
        <v>0</v>
      </c>
      <c r="AF172" s="6">
        <f ca="1">$M$172*$Z$172</f>
        <v>32016.540352591412</v>
      </c>
      <c r="AG172" s="6">
        <f>$O$172*$AA$172</f>
        <v>78638.353956303734</v>
      </c>
    </row>
    <row r="173" spans="1:33" ht="11.25" customHeight="1" x14ac:dyDescent="0.25">
      <c r="A173" s="4" t="s">
        <v>27</v>
      </c>
      <c r="B173" s="4" t="s">
        <v>38</v>
      </c>
      <c r="C173" s="4" t="s">
        <v>39</v>
      </c>
      <c r="D173" s="4" t="s">
        <v>37</v>
      </c>
      <c r="E173" s="4" t="s">
        <v>25</v>
      </c>
      <c r="F173" s="4" t="s">
        <v>25</v>
      </c>
      <c r="G173" s="4" t="s">
        <v>25</v>
      </c>
      <c r="H173" s="4" t="s">
        <v>34</v>
      </c>
      <c r="I173" s="5">
        <v>44593</v>
      </c>
      <c r="J173" s="6">
        <v>0</v>
      </c>
      <c r="K173" s="6">
        <v>0</v>
      </c>
      <c r="L173" s="6">
        <v>84.363</v>
      </c>
      <c r="M173" s="6">
        <v>84.363</v>
      </c>
      <c r="N173" s="6">
        <v>84.363</v>
      </c>
      <c r="O173" s="6">
        <v>84.363</v>
      </c>
      <c r="P173" s="6">
        <v>0</v>
      </c>
      <c r="Q173" s="4" t="s">
        <v>26</v>
      </c>
      <c r="R173" s="4">
        <v>0</v>
      </c>
      <c r="S173" s="6">
        <v>0</v>
      </c>
      <c r="T173" s="6">
        <v>17</v>
      </c>
      <c r="U173" s="6">
        <v>78</v>
      </c>
      <c r="V173" s="6">
        <f>IF(ISERROR(VLOOKUP($S$173,'TAR FIN'!$A$1:$O$86,15,0)),0,VLOOKUP($S$173,'TAR FIN'!$A$1:$O$86,15,0))</f>
        <v>0</v>
      </c>
      <c r="W173" s="6">
        <f>IF(ISERROR(VLOOKUP($T$173,'TAR FIN'!$A$1:$O$86,15,0)),0,VLOOKUP($T$173,'TAR FIN'!$A$1:$O$86,15,0))</f>
        <v>71.260000000000005</v>
      </c>
      <c r="X173" s="6">
        <f>IF(ISERROR(VLOOKUP($U$173,'TAR FIN'!$A$1:$O$86,15,0)),0,VLOOKUP($U$173,'TAR FIN'!$A$1:$O$86,15,0))</f>
        <v>297.31</v>
      </c>
      <c r="Y173" s="6"/>
      <c r="Z173" s="6">
        <f ca="1">('TUSD BE'!$AM$12+'TUSD BF'!$AM$12+'TUSD CVA'!$AM$12)*1</f>
        <v>95.815448102611441</v>
      </c>
      <c r="AA173" s="6">
        <f>('TE BE'!$AB$6+'TE BF'!$AB$6+'TE CVA'!$AB$6)*1</f>
        <v>235.33989117487977</v>
      </c>
      <c r="AB173" s="6">
        <f>$K$173*$V$173</f>
        <v>0</v>
      </c>
      <c r="AC173" s="6">
        <f>$M$173*$W$173</f>
        <v>6011.7073800000007</v>
      </c>
      <c r="AD173" s="6">
        <f>$O$173*$X$173</f>
        <v>25081.963530000001</v>
      </c>
      <c r="AE173" s="6">
        <f>$K$173*$Y$173</f>
        <v>0</v>
      </c>
      <c r="AF173" s="6">
        <f ca="1">$M$173*$Z$173</f>
        <v>8083.2786482806086</v>
      </c>
      <c r="AG173" s="6">
        <f>$O$173*$AA$173</f>
        <v>19853.979239186381</v>
      </c>
    </row>
    <row r="174" spans="1:33" ht="11.25" customHeight="1" x14ac:dyDescent="0.25">
      <c r="A174" s="4" t="s">
        <v>21</v>
      </c>
      <c r="B174" s="4" t="s">
        <v>38</v>
      </c>
      <c r="C174" s="4" t="s">
        <v>39</v>
      </c>
      <c r="D174" s="4" t="s">
        <v>37</v>
      </c>
      <c r="E174" s="4" t="s">
        <v>25</v>
      </c>
      <c r="F174" s="4" t="s">
        <v>25</v>
      </c>
      <c r="G174" s="4" t="s">
        <v>25</v>
      </c>
      <c r="H174" s="4" t="s">
        <v>34</v>
      </c>
      <c r="I174" s="5">
        <v>44621</v>
      </c>
      <c r="J174" s="6">
        <v>0</v>
      </c>
      <c r="K174" s="6">
        <v>0</v>
      </c>
      <c r="L174" s="6">
        <v>376.52600000000001</v>
      </c>
      <c r="M174" s="6">
        <v>376.52600000000001</v>
      </c>
      <c r="N174" s="6">
        <v>376.52600000000001</v>
      </c>
      <c r="O174" s="6">
        <v>376.52600000000001</v>
      </c>
      <c r="P174" s="6">
        <v>0</v>
      </c>
      <c r="Q174" s="4" t="s">
        <v>26</v>
      </c>
      <c r="R174" s="4">
        <v>0</v>
      </c>
      <c r="S174" s="6">
        <v>0</v>
      </c>
      <c r="T174" s="6">
        <v>17</v>
      </c>
      <c r="U174" s="6">
        <v>78</v>
      </c>
      <c r="V174" s="6">
        <f>IF(ISERROR(VLOOKUP($S$174,'TAR FIN'!$A$1:$O$86,15,0)),0,VLOOKUP($S$174,'TAR FIN'!$A$1:$O$86,15,0))</f>
        <v>0</v>
      </c>
      <c r="W174" s="6">
        <f>IF(ISERROR(VLOOKUP($T$174,'TAR FIN'!$A$1:$O$86,15,0)),0,VLOOKUP($T$174,'TAR FIN'!$A$1:$O$86,15,0))</f>
        <v>71.260000000000005</v>
      </c>
      <c r="X174" s="6">
        <f>IF(ISERROR(VLOOKUP($U$174,'TAR FIN'!$A$1:$O$86,15,0)),0,VLOOKUP($U$174,'TAR FIN'!$A$1:$O$86,15,0))</f>
        <v>297.31</v>
      </c>
      <c r="Y174" s="6"/>
      <c r="Z174" s="6">
        <f ca="1">('TUSD BE'!$AM$12+'TUSD BF'!$AM$12+'TUSD CVA'!$AM$12)*1</f>
        <v>95.815448102611441</v>
      </c>
      <c r="AA174" s="6">
        <f>('TE BE'!$AB$6+'TE BF'!$AB$6+'TE CVA'!$AB$6)*1</f>
        <v>235.33989117487977</v>
      </c>
      <c r="AB174" s="6">
        <f>$K$174*$V$174</f>
        <v>0</v>
      </c>
      <c r="AC174" s="6">
        <f>$M$174*$W$174</f>
        <v>26831.242760000001</v>
      </c>
      <c r="AD174" s="6">
        <f>$O$174*$X$174</f>
        <v>111944.94506</v>
      </c>
      <c r="AE174" s="6">
        <f>$K$174*$Y$174</f>
        <v>0</v>
      </c>
      <c r="AF174" s="6">
        <f ca="1">$M$174*$Z$174</f>
        <v>36077.007412283878</v>
      </c>
      <c r="AG174" s="6">
        <f>$O$174*$AA$174</f>
        <v>88611.587864512781</v>
      </c>
    </row>
    <row r="175" spans="1:33" ht="11.25" customHeight="1" x14ac:dyDescent="0.25">
      <c r="A175" s="4" t="s">
        <v>27</v>
      </c>
      <c r="B175" s="4" t="s">
        <v>38</v>
      </c>
      <c r="C175" s="4" t="s">
        <v>39</v>
      </c>
      <c r="D175" s="4" t="s">
        <v>37</v>
      </c>
      <c r="E175" s="4" t="s">
        <v>25</v>
      </c>
      <c r="F175" s="4" t="s">
        <v>25</v>
      </c>
      <c r="G175" s="4" t="s">
        <v>25</v>
      </c>
      <c r="H175" s="4" t="s">
        <v>34</v>
      </c>
      <c r="I175" s="5">
        <v>44621</v>
      </c>
      <c r="J175" s="6">
        <v>0</v>
      </c>
      <c r="K175" s="6">
        <v>0</v>
      </c>
      <c r="L175" s="6">
        <v>136.93700000000001</v>
      </c>
      <c r="M175" s="6">
        <v>136.93700000000001</v>
      </c>
      <c r="N175" s="6">
        <v>136.93700000000001</v>
      </c>
      <c r="O175" s="6">
        <v>136.93700000000001</v>
      </c>
      <c r="P175" s="6">
        <v>0</v>
      </c>
      <c r="Q175" s="4" t="s">
        <v>26</v>
      </c>
      <c r="R175" s="4">
        <v>0</v>
      </c>
      <c r="S175" s="6">
        <v>0</v>
      </c>
      <c r="T175" s="6">
        <v>17</v>
      </c>
      <c r="U175" s="6">
        <v>78</v>
      </c>
      <c r="V175" s="6">
        <f>IF(ISERROR(VLOOKUP($S$175,'TAR FIN'!$A$1:$O$86,15,0)),0,VLOOKUP($S$175,'TAR FIN'!$A$1:$O$86,15,0))</f>
        <v>0</v>
      </c>
      <c r="W175" s="6">
        <f>IF(ISERROR(VLOOKUP($T$175,'TAR FIN'!$A$1:$O$86,15,0)),0,VLOOKUP($T$175,'TAR FIN'!$A$1:$O$86,15,0))</f>
        <v>71.260000000000005</v>
      </c>
      <c r="X175" s="6">
        <f>IF(ISERROR(VLOOKUP($U$175,'TAR FIN'!$A$1:$O$86,15,0)),0,VLOOKUP($U$175,'TAR FIN'!$A$1:$O$86,15,0))</f>
        <v>297.31</v>
      </c>
      <c r="Y175" s="6"/>
      <c r="Z175" s="6">
        <f ca="1">('TUSD BE'!$AM$12+'TUSD BF'!$AM$12+'TUSD CVA'!$AM$12)*1</f>
        <v>95.815448102611441</v>
      </c>
      <c r="AA175" s="6">
        <f>('TE BE'!$AB$6+'TE BF'!$AB$6+'TE CVA'!$AB$6)*1</f>
        <v>235.33989117487977</v>
      </c>
      <c r="AB175" s="6">
        <f>$K$175*$V$175</f>
        <v>0</v>
      </c>
      <c r="AC175" s="6">
        <f>$M$175*$W$175</f>
        <v>9758.1306200000017</v>
      </c>
      <c r="AD175" s="6">
        <f>$O$175*$X$175</f>
        <v>40712.73947</v>
      </c>
      <c r="AE175" s="6">
        <f>$K$175*$Y$175</f>
        <v>0</v>
      </c>
      <c r="AF175" s="6">
        <f ca="1">$M$175*$Z$175</f>
        <v>13120.680016827304</v>
      </c>
      <c r="AG175" s="6">
        <f>$O$175*$AA$175</f>
        <v>32226.738677814512</v>
      </c>
    </row>
    <row r="176" spans="1:33" ht="11.25" customHeight="1" x14ac:dyDescent="0.25">
      <c r="A176" s="4" t="s">
        <v>21</v>
      </c>
      <c r="B176" s="4" t="s">
        <v>38</v>
      </c>
      <c r="C176" s="4" t="s">
        <v>39</v>
      </c>
      <c r="D176" s="4" t="s">
        <v>37</v>
      </c>
      <c r="E176" s="4" t="s">
        <v>25</v>
      </c>
      <c r="F176" s="4" t="s">
        <v>25</v>
      </c>
      <c r="G176" s="4" t="s">
        <v>25</v>
      </c>
      <c r="H176" s="4" t="s">
        <v>34</v>
      </c>
      <c r="I176" s="5">
        <v>44652</v>
      </c>
      <c r="J176" s="6">
        <v>0</v>
      </c>
      <c r="K176" s="6">
        <v>0</v>
      </c>
      <c r="L176" s="6">
        <v>311.97199999999998</v>
      </c>
      <c r="M176" s="6">
        <v>311.97199999999998</v>
      </c>
      <c r="N176" s="6">
        <v>311.97199999999998</v>
      </c>
      <c r="O176" s="6">
        <v>311.97199999999998</v>
      </c>
      <c r="P176" s="6">
        <v>0</v>
      </c>
      <c r="Q176" s="4" t="s">
        <v>26</v>
      </c>
      <c r="R176" s="4">
        <v>0</v>
      </c>
      <c r="S176" s="6">
        <v>0</v>
      </c>
      <c r="T176" s="6">
        <v>17</v>
      </c>
      <c r="U176" s="6">
        <v>78</v>
      </c>
      <c r="V176" s="6">
        <f>IF(ISERROR(VLOOKUP($S$176,'TAR FIN'!$A$1:$O$86,15,0)),0,VLOOKUP($S$176,'TAR FIN'!$A$1:$O$86,15,0))</f>
        <v>0</v>
      </c>
      <c r="W176" s="6">
        <f>IF(ISERROR(VLOOKUP($T$176,'TAR FIN'!$A$1:$O$86,15,0)),0,VLOOKUP($T$176,'TAR FIN'!$A$1:$O$86,15,0))</f>
        <v>71.260000000000005</v>
      </c>
      <c r="X176" s="6">
        <f>IF(ISERROR(VLOOKUP($U$176,'TAR FIN'!$A$1:$O$86,15,0)),0,VLOOKUP($U$176,'TAR FIN'!$A$1:$O$86,15,0))</f>
        <v>297.31</v>
      </c>
      <c r="Y176" s="6"/>
      <c r="Z176" s="6">
        <f ca="1">('TUSD BE'!$AM$12+'TUSD BF'!$AM$12+'TUSD CVA'!$AM$12)*1</f>
        <v>95.815448102611441</v>
      </c>
      <c r="AA176" s="6">
        <f>('TE BE'!$AB$6+'TE BF'!$AB$6+'TE CVA'!$AB$6)*1</f>
        <v>235.33989117487977</v>
      </c>
      <c r="AB176" s="6">
        <f>$K$176*$V$176</f>
        <v>0</v>
      </c>
      <c r="AC176" s="6">
        <f>$M$176*$W$176</f>
        <v>22231.12472</v>
      </c>
      <c r="AD176" s="6">
        <f>$O$176*$X$176</f>
        <v>92752.395319999996</v>
      </c>
      <c r="AE176" s="6">
        <f>$K$176*$Y$176</f>
        <v>0</v>
      </c>
      <c r="AF176" s="6">
        <f ca="1">$M$176*$Z$176</f>
        <v>29891.736975467895</v>
      </c>
      <c r="AG176" s="6">
        <f>$O$176*$AA$176</f>
        <v>73419.456529609583</v>
      </c>
    </row>
    <row r="177" spans="1:33" ht="11.25" customHeight="1" x14ac:dyDescent="0.25">
      <c r="A177" s="4" t="s">
        <v>27</v>
      </c>
      <c r="B177" s="4" t="s">
        <v>38</v>
      </c>
      <c r="C177" s="4" t="s">
        <v>39</v>
      </c>
      <c r="D177" s="4" t="s">
        <v>37</v>
      </c>
      <c r="E177" s="4" t="s">
        <v>25</v>
      </c>
      <c r="F177" s="4" t="s">
        <v>25</v>
      </c>
      <c r="G177" s="4" t="s">
        <v>25</v>
      </c>
      <c r="H177" s="4" t="s">
        <v>34</v>
      </c>
      <c r="I177" s="5">
        <v>44652</v>
      </c>
      <c r="J177" s="6">
        <v>0</v>
      </c>
      <c r="K177" s="6">
        <v>0</v>
      </c>
      <c r="L177" s="6">
        <v>86.587999999999994</v>
      </c>
      <c r="M177" s="6">
        <v>86.587999999999994</v>
      </c>
      <c r="N177" s="6">
        <v>86.587999999999994</v>
      </c>
      <c r="O177" s="6">
        <v>86.587999999999994</v>
      </c>
      <c r="P177" s="6">
        <v>0</v>
      </c>
      <c r="Q177" s="4" t="s">
        <v>26</v>
      </c>
      <c r="R177" s="4">
        <v>0</v>
      </c>
      <c r="S177" s="6">
        <v>0</v>
      </c>
      <c r="T177" s="6">
        <v>17</v>
      </c>
      <c r="U177" s="6">
        <v>78</v>
      </c>
      <c r="V177" s="6">
        <f>IF(ISERROR(VLOOKUP($S$177,'TAR FIN'!$A$1:$O$86,15,0)),0,VLOOKUP($S$177,'TAR FIN'!$A$1:$O$86,15,0))</f>
        <v>0</v>
      </c>
      <c r="W177" s="6">
        <f>IF(ISERROR(VLOOKUP($T$177,'TAR FIN'!$A$1:$O$86,15,0)),0,VLOOKUP($T$177,'TAR FIN'!$A$1:$O$86,15,0))</f>
        <v>71.260000000000005</v>
      </c>
      <c r="X177" s="6">
        <f>IF(ISERROR(VLOOKUP($U$177,'TAR FIN'!$A$1:$O$86,15,0)),0,VLOOKUP($U$177,'TAR FIN'!$A$1:$O$86,15,0))</f>
        <v>297.31</v>
      </c>
      <c r="Y177" s="6"/>
      <c r="Z177" s="6">
        <f ca="1">('TUSD BE'!$AM$12+'TUSD BF'!$AM$12+'TUSD CVA'!$AM$12)*1</f>
        <v>95.815448102611441</v>
      </c>
      <c r="AA177" s="6">
        <f>('TE BE'!$AB$6+'TE BF'!$AB$6+'TE CVA'!$AB$6)*1</f>
        <v>235.33989117487977</v>
      </c>
      <c r="AB177" s="6">
        <f>$K$177*$V$177</f>
        <v>0</v>
      </c>
      <c r="AC177" s="6">
        <f>$M$177*$W$177</f>
        <v>6170.2608799999998</v>
      </c>
      <c r="AD177" s="6">
        <f>$O$177*$X$177</f>
        <v>25743.478279999999</v>
      </c>
      <c r="AE177" s="6">
        <f>$K$177*$Y$177</f>
        <v>0</v>
      </c>
      <c r="AF177" s="6">
        <f ca="1">$M$177*$Z$177</f>
        <v>8296.4680203089192</v>
      </c>
      <c r="AG177" s="6">
        <f>$O$177*$AA$177</f>
        <v>20377.610497050489</v>
      </c>
    </row>
    <row r="178" spans="1:33" ht="11.25" customHeight="1" x14ac:dyDescent="0.25">
      <c r="A178" s="4" t="s">
        <v>21</v>
      </c>
      <c r="B178" s="4" t="s">
        <v>38</v>
      </c>
      <c r="C178" s="4" t="s">
        <v>39</v>
      </c>
      <c r="D178" s="4" t="s">
        <v>37</v>
      </c>
      <c r="E178" s="4" t="s">
        <v>25</v>
      </c>
      <c r="F178" s="4" t="s">
        <v>25</v>
      </c>
      <c r="G178" s="4" t="s">
        <v>25</v>
      </c>
      <c r="H178" s="4" t="s">
        <v>34</v>
      </c>
      <c r="I178" s="5">
        <v>44682</v>
      </c>
      <c r="J178" s="6">
        <v>0</v>
      </c>
      <c r="K178" s="6">
        <v>0</v>
      </c>
      <c r="L178" s="6">
        <v>344.964</v>
      </c>
      <c r="M178" s="6">
        <v>344.964</v>
      </c>
      <c r="N178" s="6">
        <v>344.964</v>
      </c>
      <c r="O178" s="6">
        <v>344.964</v>
      </c>
      <c r="P178" s="6">
        <v>0</v>
      </c>
      <c r="Q178" s="4" t="s">
        <v>26</v>
      </c>
      <c r="R178" s="4">
        <v>0</v>
      </c>
      <c r="S178" s="6">
        <v>0</v>
      </c>
      <c r="T178" s="6">
        <v>17</v>
      </c>
      <c r="U178" s="6">
        <v>78</v>
      </c>
      <c r="V178" s="6">
        <f>IF(ISERROR(VLOOKUP($S$178,'TAR FIN'!$A$1:$O$86,15,0)),0,VLOOKUP($S$178,'TAR FIN'!$A$1:$O$86,15,0))</f>
        <v>0</v>
      </c>
      <c r="W178" s="6">
        <f>IF(ISERROR(VLOOKUP($T$178,'TAR FIN'!$A$1:$O$86,15,0)),0,VLOOKUP($T$178,'TAR FIN'!$A$1:$O$86,15,0))</f>
        <v>71.260000000000005</v>
      </c>
      <c r="X178" s="6">
        <f>IF(ISERROR(VLOOKUP($U$178,'TAR FIN'!$A$1:$O$86,15,0)),0,VLOOKUP($U$178,'TAR FIN'!$A$1:$O$86,15,0))</f>
        <v>297.31</v>
      </c>
      <c r="Y178" s="6"/>
      <c r="Z178" s="6">
        <f ca="1">('TUSD BE'!$AM$12+'TUSD BF'!$AM$12+'TUSD CVA'!$AM$12)*1</f>
        <v>95.815448102611441</v>
      </c>
      <c r="AA178" s="6">
        <f>('TE BE'!$AB$6+'TE BF'!$AB$6+'TE CVA'!$AB$6)*1</f>
        <v>235.33989117487977</v>
      </c>
      <c r="AB178" s="6">
        <f>$K$178*$V$178</f>
        <v>0</v>
      </c>
      <c r="AC178" s="6">
        <f>$M$178*$W$178</f>
        <v>24582.13464</v>
      </c>
      <c r="AD178" s="6">
        <f>$O$178*$X$178</f>
        <v>102561.24684000001</v>
      </c>
      <c r="AE178" s="6">
        <f>$K$178*$Y$178</f>
        <v>0</v>
      </c>
      <c r="AF178" s="6">
        <f ca="1">$M$178*$Z$178</f>
        <v>33052.880239269252</v>
      </c>
      <c r="AG178" s="6">
        <f>$O$178*$AA$178</f>
        <v>81183.790219251227</v>
      </c>
    </row>
    <row r="179" spans="1:33" ht="11.25" customHeight="1" x14ac:dyDescent="0.25">
      <c r="A179" s="4" t="s">
        <v>27</v>
      </c>
      <c r="B179" s="4" t="s">
        <v>38</v>
      </c>
      <c r="C179" s="4" t="s">
        <v>39</v>
      </c>
      <c r="D179" s="4" t="s">
        <v>37</v>
      </c>
      <c r="E179" s="4" t="s">
        <v>25</v>
      </c>
      <c r="F179" s="4" t="s">
        <v>25</v>
      </c>
      <c r="G179" s="4" t="s">
        <v>25</v>
      </c>
      <c r="H179" s="4" t="s">
        <v>34</v>
      </c>
      <c r="I179" s="5">
        <v>44682</v>
      </c>
      <c r="J179" s="6">
        <v>0</v>
      </c>
      <c r="K179" s="6">
        <v>0</v>
      </c>
      <c r="L179" s="6">
        <v>121.572</v>
      </c>
      <c r="M179" s="6">
        <v>121.572</v>
      </c>
      <c r="N179" s="6">
        <v>121.572</v>
      </c>
      <c r="O179" s="6">
        <v>121.572</v>
      </c>
      <c r="P179" s="6">
        <v>0</v>
      </c>
      <c r="Q179" s="4" t="s">
        <v>26</v>
      </c>
      <c r="R179" s="4">
        <v>0</v>
      </c>
      <c r="S179" s="6">
        <v>0</v>
      </c>
      <c r="T179" s="6">
        <v>17</v>
      </c>
      <c r="U179" s="6">
        <v>78</v>
      </c>
      <c r="V179" s="6">
        <f>IF(ISERROR(VLOOKUP($S$179,'TAR FIN'!$A$1:$O$86,15,0)),0,VLOOKUP($S$179,'TAR FIN'!$A$1:$O$86,15,0))</f>
        <v>0</v>
      </c>
      <c r="W179" s="6">
        <f>IF(ISERROR(VLOOKUP($T$179,'TAR FIN'!$A$1:$O$86,15,0)),0,VLOOKUP($T$179,'TAR FIN'!$A$1:$O$86,15,0))</f>
        <v>71.260000000000005</v>
      </c>
      <c r="X179" s="6">
        <f>IF(ISERROR(VLOOKUP($U$179,'TAR FIN'!$A$1:$O$86,15,0)),0,VLOOKUP($U$179,'TAR FIN'!$A$1:$O$86,15,0))</f>
        <v>297.31</v>
      </c>
      <c r="Y179" s="6"/>
      <c r="Z179" s="6">
        <f ca="1">('TUSD BE'!$AM$12+'TUSD BF'!$AM$12+'TUSD CVA'!$AM$12)*1</f>
        <v>95.815448102611441</v>
      </c>
      <c r="AA179" s="6">
        <f>('TE BE'!$AB$6+'TE BF'!$AB$6+'TE CVA'!$AB$6)*1</f>
        <v>235.33989117487977</v>
      </c>
      <c r="AB179" s="6">
        <f>$K$179*$V$179</f>
        <v>0</v>
      </c>
      <c r="AC179" s="6">
        <f>$M$179*$W$179</f>
        <v>8663.2207200000012</v>
      </c>
      <c r="AD179" s="6">
        <f>$O$179*$X$179</f>
        <v>36144.571320000003</v>
      </c>
      <c r="AE179" s="6">
        <f>$K$179*$Y$179</f>
        <v>0</v>
      </c>
      <c r="AF179" s="6">
        <f ca="1">$M$179*$Z$179</f>
        <v>11648.475656730678</v>
      </c>
      <c r="AG179" s="6">
        <f>$O$179*$AA$179</f>
        <v>28610.741249912484</v>
      </c>
    </row>
    <row r="180" spans="1:33" ht="11.25" customHeight="1" x14ac:dyDescent="0.25">
      <c r="A180" s="4" t="s">
        <v>55</v>
      </c>
      <c r="B180" s="4" t="s">
        <v>38</v>
      </c>
      <c r="C180" s="4" t="s">
        <v>39</v>
      </c>
      <c r="D180" s="4" t="s">
        <v>37</v>
      </c>
      <c r="E180" s="4" t="s">
        <v>25</v>
      </c>
      <c r="F180" s="4" t="s">
        <v>25</v>
      </c>
      <c r="G180" s="4" t="s">
        <v>25</v>
      </c>
      <c r="H180" s="4" t="s">
        <v>34</v>
      </c>
      <c r="I180" s="5">
        <v>44713</v>
      </c>
      <c r="J180" s="6">
        <v>0</v>
      </c>
      <c r="K180" s="6">
        <v>0</v>
      </c>
      <c r="L180" s="6">
        <v>344.964</v>
      </c>
      <c r="M180" s="6">
        <v>344.964</v>
      </c>
      <c r="N180" s="6">
        <v>344.964</v>
      </c>
      <c r="O180" s="6">
        <v>344.964</v>
      </c>
      <c r="P180" s="6">
        <v>0</v>
      </c>
      <c r="Q180" s="4" t="s">
        <v>26</v>
      </c>
      <c r="R180" s="4">
        <v>0</v>
      </c>
      <c r="S180" s="6">
        <v>0</v>
      </c>
      <c r="T180" s="6">
        <v>17</v>
      </c>
      <c r="U180" s="6">
        <v>78</v>
      </c>
      <c r="V180" s="6">
        <f>IF(ISERROR(VLOOKUP($S$180,'TAR FIN'!$A$1:$O$86,15,0)),0,VLOOKUP($S$180,'TAR FIN'!$A$1:$O$86,15,0))</f>
        <v>0</v>
      </c>
      <c r="W180" s="6">
        <f>IF(ISERROR(VLOOKUP($T$180,'TAR FIN'!$A$1:$O$86,15,0)),0,VLOOKUP($T$180,'TAR FIN'!$A$1:$O$86,15,0))</f>
        <v>71.260000000000005</v>
      </c>
      <c r="X180" s="6">
        <f>IF(ISERROR(VLOOKUP($U$180,'TAR FIN'!$A$1:$O$86,15,0)),0,VLOOKUP($U$180,'TAR FIN'!$A$1:$O$86,15,0))</f>
        <v>297.31</v>
      </c>
      <c r="Y180" s="6"/>
      <c r="Z180" s="6">
        <f ca="1">('TUSD BE'!$AM$12+'TUSD BF'!$AM$12+'TUSD CVA'!$AM$12)*1</f>
        <v>95.815448102611441</v>
      </c>
      <c r="AA180" s="6">
        <f>('TE BE'!$AB$6+'TE BF'!$AB$6+'TE CVA'!$AB$6)*1</f>
        <v>235.33989117487977</v>
      </c>
      <c r="AB180" s="6">
        <f>$K$180*$V$180</f>
        <v>0</v>
      </c>
      <c r="AC180" s="6">
        <f>$M$180*$W$180</f>
        <v>24582.13464</v>
      </c>
      <c r="AD180" s="6">
        <f>$O$180*$X$180</f>
        <v>102561.24684000001</v>
      </c>
      <c r="AE180" s="6">
        <f>$K$180*$Y$180</f>
        <v>0</v>
      </c>
      <c r="AF180" s="6">
        <f ca="1">$M$180*$Z$180</f>
        <v>33052.880239269252</v>
      </c>
      <c r="AG180" s="6">
        <f>$O$180*$AA$180</f>
        <v>81183.790219251227</v>
      </c>
    </row>
    <row r="181" spans="1:33" ht="11.25" customHeight="1" x14ac:dyDescent="0.25">
      <c r="A181" s="4" t="s">
        <v>55</v>
      </c>
      <c r="B181" s="4" t="s">
        <v>38</v>
      </c>
      <c r="C181" s="4" t="s">
        <v>39</v>
      </c>
      <c r="D181" s="4" t="s">
        <v>37</v>
      </c>
      <c r="E181" s="4" t="s">
        <v>25</v>
      </c>
      <c r="F181" s="4" t="s">
        <v>25</v>
      </c>
      <c r="G181" s="4" t="s">
        <v>25</v>
      </c>
      <c r="H181" s="4" t="s">
        <v>34</v>
      </c>
      <c r="I181" s="5">
        <v>44713</v>
      </c>
      <c r="J181" s="6">
        <v>0</v>
      </c>
      <c r="K181" s="6">
        <v>0</v>
      </c>
      <c r="L181" s="6">
        <v>121.572</v>
      </c>
      <c r="M181" s="6">
        <v>121.572</v>
      </c>
      <c r="N181" s="6">
        <v>121.572</v>
      </c>
      <c r="O181" s="6">
        <v>121.572</v>
      </c>
      <c r="P181" s="6">
        <v>0</v>
      </c>
      <c r="Q181" s="4" t="s">
        <v>26</v>
      </c>
      <c r="R181" s="4">
        <v>0</v>
      </c>
      <c r="S181" s="6">
        <v>0</v>
      </c>
      <c r="T181" s="6">
        <v>17</v>
      </c>
      <c r="U181" s="6">
        <v>78</v>
      </c>
      <c r="V181" s="6">
        <f>IF(ISERROR(VLOOKUP($S$181,'TAR FIN'!$A$1:$O$86,15,0)),0,VLOOKUP($S$181,'TAR FIN'!$A$1:$O$86,15,0))</f>
        <v>0</v>
      </c>
      <c r="W181" s="6">
        <f>IF(ISERROR(VLOOKUP($T$181,'TAR FIN'!$A$1:$O$86,15,0)),0,VLOOKUP($T$181,'TAR FIN'!$A$1:$O$86,15,0))</f>
        <v>71.260000000000005</v>
      </c>
      <c r="X181" s="6">
        <f>IF(ISERROR(VLOOKUP($U$181,'TAR FIN'!$A$1:$O$86,15,0)),0,VLOOKUP($U$181,'TAR FIN'!$A$1:$O$86,15,0))</f>
        <v>297.31</v>
      </c>
      <c r="Y181" s="6"/>
      <c r="Z181" s="6">
        <f ca="1">('TUSD BE'!$AM$12+'TUSD BF'!$AM$12+'TUSD CVA'!$AM$12)*1</f>
        <v>95.815448102611441</v>
      </c>
      <c r="AA181" s="6">
        <f>('TE BE'!$AB$6+'TE BF'!$AB$6+'TE CVA'!$AB$6)*1</f>
        <v>235.33989117487977</v>
      </c>
      <c r="AB181" s="6">
        <f>$K$181*$V$181</f>
        <v>0</v>
      </c>
      <c r="AC181" s="6">
        <f>$M$181*$W$181</f>
        <v>8663.2207200000012</v>
      </c>
      <c r="AD181" s="6">
        <f>$O$181*$X$181</f>
        <v>36144.571320000003</v>
      </c>
      <c r="AE181" s="6">
        <f>$K$181*$Y$181</f>
        <v>0</v>
      </c>
      <c r="AF181" s="6">
        <f ca="1">$M$181*$Z$181</f>
        <v>11648.475656730678</v>
      </c>
      <c r="AG181" s="6">
        <f>$O$181*$AA$181</f>
        <v>28610.741249912484</v>
      </c>
    </row>
    <row r="182" spans="1:33" ht="11.25" customHeight="1" x14ac:dyDescent="0.25">
      <c r="A182" s="4" t="s">
        <v>21</v>
      </c>
      <c r="B182" s="4" t="s">
        <v>38</v>
      </c>
      <c r="C182" s="4" t="s">
        <v>39</v>
      </c>
      <c r="D182" s="4" t="s">
        <v>37</v>
      </c>
      <c r="E182" s="4" t="s">
        <v>25</v>
      </c>
      <c r="F182" s="4" t="s">
        <v>25</v>
      </c>
      <c r="G182" s="4" t="s">
        <v>25</v>
      </c>
      <c r="H182" s="4" t="s">
        <v>25</v>
      </c>
      <c r="I182" s="5">
        <v>44378</v>
      </c>
      <c r="J182" s="6">
        <v>4762</v>
      </c>
      <c r="K182" s="6">
        <v>4762</v>
      </c>
      <c r="L182" s="6">
        <v>0</v>
      </c>
      <c r="M182" s="6">
        <v>0</v>
      </c>
      <c r="N182" s="6">
        <v>0</v>
      </c>
      <c r="O182" s="6">
        <v>0</v>
      </c>
      <c r="P182" s="6">
        <v>28</v>
      </c>
      <c r="Q182" s="4" t="s">
        <v>26</v>
      </c>
      <c r="R182" s="4">
        <v>0</v>
      </c>
      <c r="S182" s="6">
        <v>19</v>
      </c>
      <c r="T182" s="6">
        <v>0</v>
      </c>
      <c r="U182" s="6">
        <v>0</v>
      </c>
      <c r="V182" s="6">
        <f>IF(ISERROR(VLOOKUP($S$182,'TAR FIN'!$A$1:$O$86,15,0)),0,VLOOKUP($S$182,'TAR FIN'!$A$1:$O$86,15,0))</f>
        <v>16.29</v>
      </c>
      <c r="W182" s="6">
        <f>IF(ISERROR(VLOOKUP($T$182,'TAR FIN'!$A$1:$O$86,15,0)),0,VLOOKUP($T$182,'TAR FIN'!$A$1:$O$86,15,0))</f>
        <v>0</v>
      </c>
      <c r="X182" s="6">
        <f>IF(ISERROR(VLOOKUP($U$182,'TAR FIN'!$A$1:$O$86,15,0)),0,VLOOKUP($U$182,'TAR FIN'!$A$1:$O$86,15,0))</f>
        <v>0</v>
      </c>
      <c r="Y182" s="6">
        <f ca="1">('TUSD BE'!$AM$10+'TUSD BF'!$AM$10+'TUSD CVA'!$AM$10)*1</f>
        <v>21.139573525578484</v>
      </c>
      <c r="Z182" s="6"/>
      <c r="AA182" s="6"/>
      <c r="AB182" s="6">
        <f>$K$182*$V$182</f>
        <v>77572.98</v>
      </c>
      <c r="AC182" s="6">
        <f>$M$182*$W$182</f>
        <v>0</v>
      </c>
      <c r="AD182" s="6">
        <f>$O$182*$X$182</f>
        <v>0</v>
      </c>
      <c r="AE182" s="6">
        <f ca="1">$K$182*$Y$182</f>
        <v>100666.64912880474</v>
      </c>
      <c r="AF182" s="6">
        <f>$M$182*$Z$182</f>
        <v>0</v>
      </c>
      <c r="AG182" s="6">
        <f>$O$182*$AA$182</f>
        <v>0</v>
      </c>
    </row>
    <row r="183" spans="1:33" ht="11.25" customHeight="1" x14ac:dyDescent="0.25">
      <c r="A183" s="4" t="s">
        <v>27</v>
      </c>
      <c r="B183" s="4" t="s">
        <v>38</v>
      </c>
      <c r="C183" s="4" t="s">
        <v>39</v>
      </c>
      <c r="D183" s="4" t="s">
        <v>37</v>
      </c>
      <c r="E183" s="4" t="s">
        <v>25</v>
      </c>
      <c r="F183" s="4" t="s">
        <v>25</v>
      </c>
      <c r="G183" s="4" t="s">
        <v>25</v>
      </c>
      <c r="H183" s="4" t="s">
        <v>25</v>
      </c>
      <c r="I183" s="5">
        <v>44378</v>
      </c>
      <c r="J183" s="6">
        <v>847</v>
      </c>
      <c r="K183" s="6">
        <v>847</v>
      </c>
      <c r="L183" s="6">
        <v>0</v>
      </c>
      <c r="M183" s="6">
        <v>0</v>
      </c>
      <c r="N183" s="6">
        <v>0</v>
      </c>
      <c r="O183" s="6">
        <v>0</v>
      </c>
      <c r="P183" s="6">
        <v>7</v>
      </c>
      <c r="Q183" s="4" t="s">
        <v>26</v>
      </c>
      <c r="R183" s="4">
        <v>0</v>
      </c>
      <c r="S183" s="6">
        <v>19</v>
      </c>
      <c r="T183" s="6">
        <v>0</v>
      </c>
      <c r="U183" s="6">
        <v>0</v>
      </c>
      <c r="V183" s="6">
        <f>IF(ISERROR(VLOOKUP($S$183,'TAR FIN'!$A$1:$O$86,15,0)),0,VLOOKUP($S$183,'TAR FIN'!$A$1:$O$86,15,0))</f>
        <v>16.29</v>
      </c>
      <c r="W183" s="6">
        <f>IF(ISERROR(VLOOKUP($T$183,'TAR FIN'!$A$1:$O$86,15,0)),0,VLOOKUP($T$183,'TAR FIN'!$A$1:$O$86,15,0))</f>
        <v>0</v>
      </c>
      <c r="X183" s="6">
        <f>IF(ISERROR(VLOOKUP($U$183,'TAR FIN'!$A$1:$O$86,15,0)),0,VLOOKUP($U$183,'TAR FIN'!$A$1:$O$86,15,0))</f>
        <v>0</v>
      </c>
      <c r="Y183" s="6">
        <f ca="1">('TUSD BE'!$AM$10+'TUSD BF'!$AM$10+'TUSD CVA'!$AM$10)*1</f>
        <v>21.139573525578484</v>
      </c>
      <c r="Z183" s="6"/>
      <c r="AA183" s="6"/>
      <c r="AB183" s="6">
        <f>$K$183*$V$183</f>
        <v>13797.63</v>
      </c>
      <c r="AC183" s="6">
        <f>$M$183*$W$183</f>
        <v>0</v>
      </c>
      <c r="AD183" s="6">
        <f>$O$183*$X$183</f>
        <v>0</v>
      </c>
      <c r="AE183" s="6">
        <f ca="1">$K$183*$Y$183</f>
        <v>17905.218776164977</v>
      </c>
      <c r="AF183" s="6">
        <f>$M$183*$Z$183</f>
        <v>0</v>
      </c>
      <c r="AG183" s="6">
        <f>$O$183*$AA$183</f>
        <v>0</v>
      </c>
    </row>
    <row r="184" spans="1:33" ht="11.25" customHeight="1" x14ac:dyDescent="0.25">
      <c r="A184" s="4" t="s">
        <v>21</v>
      </c>
      <c r="B184" s="4" t="s">
        <v>38</v>
      </c>
      <c r="C184" s="4" t="s">
        <v>39</v>
      </c>
      <c r="D184" s="4" t="s">
        <v>37</v>
      </c>
      <c r="E184" s="4" t="s">
        <v>25</v>
      </c>
      <c r="F184" s="4" t="s">
        <v>25</v>
      </c>
      <c r="G184" s="4" t="s">
        <v>25</v>
      </c>
      <c r="H184" s="4" t="s">
        <v>25</v>
      </c>
      <c r="I184" s="5">
        <v>44409</v>
      </c>
      <c r="J184" s="6">
        <v>4340</v>
      </c>
      <c r="K184" s="6">
        <v>4340</v>
      </c>
      <c r="L184" s="6">
        <v>0</v>
      </c>
      <c r="M184" s="6">
        <v>0</v>
      </c>
      <c r="N184" s="6">
        <v>0</v>
      </c>
      <c r="O184" s="6">
        <v>0</v>
      </c>
      <c r="P184" s="6">
        <v>27</v>
      </c>
      <c r="Q184" s="4" t="s">
        <v>26</v>
      </c>
      <c r="R184" s="4">
        <v>0</v>
      </c>
      <c r="S184" s="6">
        <v>19</v>
      </c>
      <c r="T184" s="6">
        <v>0</v>
      </c>
      <c r="U184" s="6">
        <v>0</v>
      </c>
      <c r="V184" s="6">
        <f>IF(ISERROR(VLOOKUP($S$184,'TAR FIN'!$A$1:$O$86,15,0)),0,VLOOKUP($S$184,'TAR FIN'!$A$1:$O$86,15,0))</f>
        <v>16.29</v>
      </c>
      <c r="W184" s="6">
        <f>IF(ISERROR(VLOOKUP($T$184,'TAR FIN'!$A$1:$O$86,15,0)),0,VLOOKUP($T$184,'TAR FIN'!$A$1:$O$86,15,0))</f>
        <v>0</v>
      </c>
      <c r="X184" s="6">
        <f>IF(ISERROR(VLOOKUP($U$184,'TAR FIN'!$A$1:$O$86,15,0)),0,VLOOKUP($U$184,'TAR FIN'!$A$1:$O$86,15,0))</f>
        <v>0</v>
      </c>
      <c r="Y184" s="6">
        <f ca="1">('TUSD BE'!$AM$10+'TUSD BF'!$AM$10+'TUSD CVA'!$AM$10)*1</f>
        <v>21.139573525578484</v>
      </c>
      <c r="Z184" s="6"/>
      <c r="AA184" s="6"/>
      <c r="AB184" s="6">
        <f>$K$184*$V$184</f>
        <v>70698.599999999991</v>
      </c>
      <c r="AC184" s="6">
        <f>$M$184*$W$184</f>
        <v>0</v>
      </c>
      <c r="AD184" s="6">
        <f>$O$184*$X$184</f>
        <v>0</v>
      </c>
      <c r="AE184" s="6">
        <f ca="1">$K$184*$Y$184</f>
        <v>91745.749101010617</v>
      </c>
      <c r="AF184" s="6">
        <f>$M$184*$Z$184</f>
        <v>0</v>
      </c>
      <c r="AG184" s="6">
        <f>$O$184*$AA$184</f>
        <v>0</v>
      </c>
    </row>
    <row r="185" spans="1:33" ht="11.25" customHeight="1" x14ac:dyDescent="0.25">
      <c r="A185" s="4" t="s">
        <v>27</v>
      </c>
      <c r="B185" s="4" t="s">
        <v>38</v>
      </c>
      <c r="C185" s="4" t="s">
        <v>39</v>
      </c>
      <c r="D185" s="4" t="s">
        <v>37</v>
      </c>
      <c r="E185" s="4" t="s">
        <v>25</v>
      </c>
      <c r="F185" s="4" t="s">
        <v>25</v>
      </c>
      <c r="G185" s="4" t="s">
        <v>25</v>
      </c>
      <c r="H185" s="4" t="s">
        <v>25</v>
      </c>
      <c r="I185" s="5">
        <v>44409</v>
      </c>
      <c r="J185" s="6">
        <v>824</v>
      </c>
      <c r="K185" s="6">
        <v>824</v>
      </c>
      <c r="L185" s="6">
        <v>0</v>
      </c>
      <c r="M185" s="6">
        <v>0</v>
      </c>
      <c r="N185" s="6">
        <v>0</v>
      </c>
      <c r="O185" s="6">
        <v>0</v>
      </c>
      <c r="P185" s="6">
        <v>7</v>
      </c>
      <c r="Q185" s="4" t="s">
        <v>26</v>
      </c>
      <c r="R185" s="4">
        <v>0</v>
      </c>
      <c r="S185" s="6">
        <v>19</v>
      </c>
      <c r="T185" s="6">
        <v>0</v>
      </c>
      <c r="U185" s="6">
        <v>0</v>
      </c>
      <c r="V185" s="6">
        <f>IF(ISERROR(VLOOKUP($S$185,'TAR FIN'!$A$1:$O$86,15,0)),0,VLOOKUP($S$185,'TAR FIN'!$A$1:$O$86,15,0))</f>
        <v>16.29</v>
      </c>
      <c r="W185" s="6">
        <f>IF(ISERROR(VLOOKUP($T$185,'TAR FIN'!$A$1:$O$86,15,0)),0,VLOOKUP($T$185,'TAR FIN'!$A$1:$O$86,15,0))</f>
        <v>0</v>
      </c>
      <c r="X185" s="6">
        <f>IF(ISERROR(VLOOKUP($U$185,'TAR FIN'!$A$1:$O$86,15,0)),0,VLOOKUP($U$185,'TAR FIN'!$A$1:$O$86,15,0))</f>
        <v>0</v>
      </c>
      <c r="Y185" s="6">
        <f ca="1">('TUSD BE'!$AM$10+'TUSD BF'!$AM$10+'TUSD CVA'!$AM$10)*1</f>
        <v>21.139573525578484</v>
      </c>
      <c r="Z185" s="6"/>
      <c r="AA185" s="6"/>
      <c r="AB185" s="6">
        <f>$K$185*$V$185</f>
        <v>13422.96</v>
      </c>
      <c r="AC185" s="6">
        <f>$M$185*$W$185</f>
        <v>0</v>
      </c>
      <c r="AD185" s="6">
        <f>$O$185*$X$185</f>
        <v>0</v>
      </c>
      <c r="AE185" s="6">
        <f ca="1">$K$185*$Y$185</f>
        <v>17419.00858507667</v>
      </c>
      <c r="AF185" s="6">
        <f>$M$185*$Z$185</f>
        <v>0</v>
      </c>
      <c r="AG185" s="6">
        <f>$O$185*$AA$185</f>
        <v>0</v>
      </c>
    </row>
    <row r="186" spans="1:33" ht="11.25" customHeight="1" x14ac:dyDescent="0.25">
      <c r="A186" s="4" t="s">
        <v>21</v>
      </c>
      <c r="B186" s="4" t="s">
        <v>38</v>
      </c>
      <c r="C186" s="4" t="s">
        <v>39</v>
      </c>
      <c r="D186" s="4" t="s">
        <v>37</v>
      </c>
      <c r="E186" s="4" t="s">
        <v>25</v>
      </c>
      <c r="F186" s="4" t="s">
        <v>25</v>
      </c>
      <c r="G186" s="4" t="s">
        <v>25</v>
      </c>
      <c r="H186" s="4" t="s">
        <v>25</v>
      </c>
      <c r="I186" s="5">
        <v>44440</v>
      </c>
      <c r="J186" s="6">
        <v>4325</v>
      </c>
      <c r="K186" s="6">
        <v>4325</v>
      </c>
      <c r="L186" s="6">
        <v>0</v>
      </c>
      <c r="M186" s="6">
        <v>0</v>
      </c>
      <c r="N186" s="6">
        <v>0</v>
      </c>
      <c r="O186" s="6">
        <v>0</v>
      </c>
      <c r="P186" s="6">
        <v>27</v>
      </c>
      <c r="Q186" s="4" t="s">
        <v>26</v>
      </c>
      <c r="R186" s="4">
        <v>0</v>
      </c>
      <c r="S186" s="6">
        <v>19</v>
      </c>
      <c r="T186" s="6">
        <v>0</v>
      </c>
      <c r="U186" s="6">
        <v>0</v>
      </c>
      <c r="V186" s="6">
        <f>IF(ISERROR(VLOOKUP($S$186,'TAR FIN'!$A$1:$O$86,15,0)),0,VLOOKUP($S$186,'TAR FIN'!$A$1:$O$86,15,0))</f>
        <v>16.29</v>
      </c>
      <c r="W186" s="6">
        <f>IF(ISERROR(VLOOKUP($T$186,'TAR FIN'!$A$1:$O$86,15,0)),0,VLOOKUP($T$186,'TAR FIN'!$A$1:$O$86,15,0))</f>
        <v>0</v>
      </c>
      <c r="X186" s="6">
        <f>IF(ISERROR(VLOOKUP($U$186,'TAR FIN'!$A$1:$O$86,15,0)),0,VLOOKUP($U$186,'TAR FIN'!$A$1:$O$86,15,0))</f>
        <v>0</v>
      </c>
      <c r="Y186" s="6">
        <f ca="1">('TUSD BE'!$AM$10+'TUSD BF'!$AM$10+'TUSD CVA'!$AM$10)*1</f>
        <v>21.139573525578484</v>
      </c>
      <c r="Z186" s="6"/>
      <c r="AA186" s="6"/>
      <c r="AB186" s="6">
        <f>$K$186*$V$186</f>
        <v>70454.25</v>
      </c>
      <c r="AC186" s="6">
        <f>$M$186*$W$186</f>
        <v>0</v>
      </c>
      <c r="AD186" s="6">
        <f>$O$186*$X$186</f>
        <v>0</v>
      </c>
      <c r="AE186" s="6">
        <f ca="1">$K$186*$Y$186</f>
        <v>91428.655498126944</v>
      </c>
      <c r="AF186" s="6">
        <f>$M$186*$Z$186</f>
        <v>0</v>
      </c>
      <c r="AG186" s="6">
        <f>$O$186*$AA$186</f>
        <v>0</v>
      </c>
    </row>
    <row r="187" spans="1:33" ht="11.25" customHeight="1" x14ac:dyDescent="0.25">
      <c r="A187" s="4" t="s">
        <v>27</v>
      </c>
      <c r="B187" s="4" t="s">
        <v>38</v>
      </c>
      <c r="C187" s="4" t="s">
        <v>39</v>
      </c>
      <c r="D187" s="4" t="s">
        <v>37</v>
      </c>
      <c r="E187" s="4" t="s">
        <v>25</v>
      </c>
      <c r="F187" s="4" t="s">
        <v>25</v>
      </c>
      <c r="G187" s="4" t="s">
        <v>25</v>
      </c>
      <c r="H187" s="4" t="s">
        <v>25</v>
      </c>
      <c r="I187" s="5">
        <v>44440</v>
      </c>
      <c r="J187" s="6">
        <v>844</v>
      </c>
      <c r="K187" s="6">
        <v>844</v>
      </c>
      <c r="L187" s="6">
        <v>0</v>
      </c>
      <c r="M187" s="6">
        <v>0</v>
      </c>
      <c r="N187" s="6">
        <v>0</v>
      </c>
      <c r="O187" s="6">
        <v>0</v>
      </c>
      <c r="P187" s="6">
        <v>7</v>
      </c>
      <c r="Q187" s="4" t="s">
        <v>26</v>
      </c>
      <c r="R187" s="4">
        <v>0</v>
      </c>
      <c r="S187" s="6">
        <v>19</v>
      </c>
      <c r="T187" s="6">
        <v>0</v>
      </c>
      <c r="U187" s="6">
        <v>0</v>
      </c>
      <c r="V187" s="6">
        <f>IF(ISERROR(VLOOKUP($S$187,'TAR FIN'!$A$1:$O$86,15,0)),0,VLOOKUP($S$187,'TAR FIN'!$A$1:$O$86,15,0))</f>
        <v>16.29</v>
      </c>
      <c r="W187" s="6">
        <f>IF(ISERROR(VLOOKUP($T$187,'TAR FIN'!$A$1:$O$86,15,0)),0,VLOOKUP($T$187,'TAR FIN'!$A$1:$O$86,15,0))</f>
        <v>0</v>
      </c>
      <c r="X187" s="6">
        <f>IF(ISERROR(VLOOKUP($U$187,'TAR FIN'!$A$1:$O$86,15,0)),0,VLOOKUP($U$187,'TAR FIN'!$A$1:$O$86,15,0))</f>
        <v>0</v>
      </c>
      <c r="Y187" s="6">
        <f ca="1">('TUSD BE'!$AM$10+'TUSD BF'!$AM$10+'TUSD CVA'!$AM$10)*1</f>
        <v>21.139573525578484</v>
      </c>
      <c r="Z187" s="6"/>
      <c r="AA187" s="6"/>
      <c r="AB187" s="6">
        <f>$K$187*$V$187</f>
        <v>13748.759999999998</v>
      </c>
      <c r="AC187" s="6">
        <f>$M$187*$W$187</f>
        <v>0</v>
      </c>
      <c r="AD187" s="6">
        <f>$O$187*$X$187</f>
        <v>0</v>
      </c>
      <c r="AE187" s="6">
        <f ca="1">$K$187*$Y$187</f>
        <v>17841.800055588239</v>
      </c>
      <c r="AF187" s="6">
        <f>$M$187*$Z$187</f>
        <v>0</v>
      </c>
      <c r="AG187" s="6">
        <f>$O$187*$AA$187</f>
        <v>0</v>
      </c>
    </row>
    <row r="188" spans="1:33" ht="11.25" customHeight="1" x14ac:dyDescent="0.25">
      <c r="A188" s="4" t="s">
        <v>21</v>
      </c>
      <c r="B188" s="4" t="s">
        <v>38</v>
      </c>
      <c r="C188" s="4" t="s">
        <v>39</v>
      </c>
      <c r="D188" s="4" t="s">
        <v>37</v>
      </c>
      <c r="E188" s="4" t="s">
        <v>25</v>
      </c>
      <c r="F188" s="4" t="s">
        <v>25</v>
      </c>
      <c r="G188" s="4" t="s">
        <v>25</v>
      </c>
      <c r="H188" s="4" t="s">
        <v>25</v>
      </c>
      <c r="I188" s="5">
        <v>44470</v>
      </c>
      <c r="J188" s="6">
        <v>4335</v>
      </c>
      <c r="K188" s="6">
        <v>4335</v>
      </c>
      <c r="L188" s="6">
        <v>0</v>
      </c>
      <c r="M188" s="6">
        <v>0</v>
      </c>
      <c r="N188" s="6">
        <v>0</v>
      </c>
      <c r="O188" s="6">
        <v>0</v>
      </c>
      <c r="P188" s="6">
        <v>27</v>
      </c>
      <c r="Q188" s="4" t="s">
        <v>26</v>
      </c>
      <c r="R188" s="4">
        <v>0</v>
      </c>
      <c r="S188" s="6">
        <v>19</v>
      </c>
      <c r="T188" s="6">
        <v>0</v>
      </c>
      <c r="U188" s="6">
        <v>0</v>
      </c>
      <c r="V188" s="6">
        <f>IF(ISERROR(VLOOKUP($S$188,'TAR FIN'!$A$1:$O$86,15,0)),0,VLOOKUP($S$188,'TAR FIN'!$A$1:$O$86,15,0))</f>
        <v>16.29</v>
      </c>
      <c r="W188" s="6">
        <f>IF(ISERROR(VLOOKUP($T$188,'TAR FIN'!$A$1:$O$86,15,0)),0,VLOOKUP($T$188,'TAR FIN'!$A$1:$O$86,15,0))</f>
        <v>0</v>
      </c>
      <c r="X188" s="6">
        <f>IF(ISERROR(VLOOKUP($U$188,'TAR FIN'!$A$1:$O$86,15,0)),0,VLOOKUP($U$188,'TAR FIN'!$A$1:$O$86,15,0))</f>
        <v>0</v>
      </c>
      <c r="Y188" s="6">
        <f ca="1">('TUSD BE'!$AM$10+'TUSD BF'!$AM$10+'TUSD CVA'!$AM$10)*1</f>
        <v>21.139573525578484</v>
      </c>
      <c r="Z188" s="6"/>
      <c r="AA188" s="6"/>
      <c r="AB188" s="6">
        <f>$K$188*$V$188</f>
        <v>70617.149999999994</v>
      </c>
      <c r="AC188" s="6">
        <f>$M$188*$W$188</f>
        <v>0</v>
      </c>
      <c r="AD188" s="6">
        <f>$O$188*$X$188</f>
        <v>0</v>
      </c>
      <c r="AE188" s="6">
        <f ca="1">$K$188*$Y$188</f>
        <v>91640.051233382736</v>
      </c>
      <c r="AF188" s="6">
        <f>$M$188*$Z$188</f>
        <v>0</v>
      </c>
      <c r="AG188" s="6">
        <f>$O$188*$AA$188</f>
        <v>0</v>
      </c>
    </row>
    <row r="189" spans="1:33" ht="11.25" customHeight="1" x14ac:dyDescent="0.25">
      <c r="A189" s="4" t="s">
        <v>27</v>
      </c>
      <c r="B189" s="4" t="s">
        <v>38</v>
      </c>
      <c r="C189" s="4" t="s">
        <v>39</v>
      </c>
      <c r="D189" s="4" t="s">
        <v>37</v>
      </c>
      <c r="E189" s="4" t="s">
        <v>25</v>
      </c>
      <c r="F189" s="4" t="s">
        <v>25</v>
      </c>
      <c r="G189" s="4" t="s">
        <v>25</v>
      </c>
      <c r="H189" s="4" t="s">
        <v>25</v>
      </c>
      <c r="I189" s="5">
        <v>44470</v>
      </c>
      <c r="J189" s="6">
        <v>822</v>
      </c>
      <c r="K189" s="6">
        <v>822</v>
      </c>
      <c r="L189" s="6">
        <v>0</v>
      </c>
      <c r="M189" s="6">
        <v>0</v>
      </c>
      <c r="N189" s="6">
        <v>0</v>
      </c>
      <c r="O189" s="6">
        <v>0</v>
      </c>
      <c r="P189" s="6">
        <v>7</v>
      </c>
      <c r="Q189" s="4" t="s">
        <v>26</v>
      </c>
      <c r="R189" s="4">
        <v>0</v>
      </c>
      <c r="S189" s="6">
        <v>19</v>
      </c>
      <c r="T189" s="6">
        <v>0</v>
      </c>
      <c r="U189" s="6">
        <v>0</v>
      </c>
      <c r="V189" s="6">
        <f>IF(ISERROR(VLOOKUP($S$189,'TAR FIN'!$A$1:$O$86,15,0)),0,VLOOKUP($S$189,'TAR FIN'!$A$1:$O$86,15,0))</f>
        <v>16.29</v>
      </c>
      <c r="W189" s="6">
        <f>IF(ISERROR(VLOOKUP($T$189,'TAR FIN'!$A$1:$O$86,15,0)),0,VLOOKUP($T$189,'TAR FIN'!$A$1:$O$86,15,0))</f>
        <v>0</v>
      </c>
      <c r="X189" s="6">
        <f>IF(ISERROR(VLOOKUP($U$189,'TAR FIN'!$A$1:$O$86,15,0)),0,VLOOKUP($U$189,'TAR FIN'!$A$1:$O$86,15,0))</f>
        <v>0</v>
      </c>
      <c r="Y189" s="6">
        <f ca="1">('TUSD BE'!$AM$10+'TUSD BF'!$AM$10+'TUSD CVA'!$AM$10)*1</f>
        <v>21.139573525578484</v>
      </c>
      <c r="Z189" s="6"/>
      <c r="AA189" s="6"/>
      <c r="AB189" s="6">
        <f>$K$189*$V$189</f>
        <v>13390.38</v>
      </c>
      <c r="AC189" s="6">
        <f>$M$189*$W$189</f>
        <v>0</v>
      </c>
      <c r="AD189" s="6">
        <f>$O$189*$X$189</f>
        <v>0</v>
      </c>
      <c r="AE189" s="6">
        <f ca="1">$K$189*$Y$189</f>
        <v>17376.729438025515</v>
      </c>
      <c r="AF189" s="6">
        <f>$M$189*$Z$189</f>
        <v>0</v>
      </c>
      <c r="AG189" s="6">
        <f>$O$189*$AA$189</f>
        <v>0</v>
      </c>
    </row>
    <row r="190" spans="1:33" ht="11.25" customHeight="1" x14ac:dyDescent="0.25">
      <c r="A190" s="4" t="s">
        <v>21</v>
      </c>
      <c r="B190" s="4" t="s">
        <v>38</v>
      </c>
      <c r="C190" s="4" t="s">
        <v>39</v>
      </c>
      <c r="D190" s="4" t="s">
        <v>37</v>
      </c>
      <c r="E190" s="4" t="s">
        <v>25</v>
      </c>
      <c r="F190" s="4" t="s">
        <v>25</v>
      </c>
      <c r="G190" s="4" t="s">
        <v>25</v>
      </c>
      <c r="H190" s="4" t="s">
        <v>25</v>
      </c>
      <c r="I190" s="5">
        <v>44501</v>
      </c>
      <c r="J190" s="6">
        <v>3855</v>
      </c>
      <c r="K190" s="6">
        <v>3855</v>
      </c>
      <c r="L190" s="6">
        <v>0</v>
      </c>
      <c r="M190" s="6">
        <v>0</v>
      </c>
      <c r="N190" s="6">
        <v>0</v>
      </c>
      <c r="O190" s="6">
        <v>0</v>
      </c>
      <c r="P190" s="6">
        <v>25</v>
      </c>
      <c r="Q190" s="4" t="s">
        <v>26</v>
      </c>
      <c r="R190" s="4">
        <v>0</v>
      </c>
      <c r="S190" s="6">
        <v>19</v>
      </c>
      <c r="T190" s="6">
        <v>0</v>
      </c>
      <c r="U190" s="6">
        <v>0</v>
      </c>
      <c r="V190" s="6">
        <f>IF(ISERROR(VLOOKUP($S$190,'TAR FIN'!$A$1:$O$86,15,0)),0,VLOOKUP($S$190,'TAR FIN'!$A$1:$O$86,15,0))</f>
        <v>16.29</v>
      </c>
      <c r="W190" s="6">
        <f>IF(ISERROR(VLOOKUP($T$190,'TAR FIN'!$A$1:$O$86,15,0)),0,VLOOKUP($T$190,'TAR FIN'!$A$1:$O$86,15,0))</f>
        <v>0</v>
      </c>
      <c r="X190" s="6">
        <f>IF(ISERROR(VLOOKUP($U$190,'TAR FIN'!$A$1:$O$86,15,0)),0,VLOOKUP($U$190,'TAR FIN'!$A$1:$O$86,15,0))</f>
        <v>0</v>
      </c>
      <c r="Y190" s="6">
        <f ca="1">('TUSD BE'!$AM$10+'TUSD BF'!$AM$10+'TUSD CVA'!$AM$10)*1</f>
        <v>21.139573525578484</v>
      </c>
      <c r="Z190" s="6"/>
      <c r="AA190" s="6"/>
      <c r="AB190" s="6">
        <f>$K$190*$V$190</f>
        <v>62797.95</v>
      </c>
      <c r="AC190" s="6">
        <f>$M$190*$W$190</f>
        <v>0</v>
      </c>
      <c r="AD190" s="6">
        <f>$O$190*$X$190</f>
        <v>0</v>
      </c>
      <c r="AE190" s="6">
        <f ca="1">$K$190*$Y$190</f>
        <v>81493.055941105064</v>
      </c>
      <c r="AF190" s="6">
        <f>$M$190*$Z$190</f>
        <v>0</v>
      </c>
      <c r="AG190" s="6">
        <f>$O$190*$AA$190</f>
        <v>0</v>
      </c>
    </row>
    <row r="191" spans="1:33" ht="11.25" customHeight="1" x14ac:dyDescent="0.25">
      <c r="A191" s="4" t="s">
        <v>27</v>
      </c>
      <c r="B191" s="4" t="s">
        <v>38</v>
      </c>
      <c r="C191" s="4" t="s">
        <v>39</v>
      </c>
      <c r="D191" s="4" t="s">
        <v>37</v>
      </c>
      <c r="E191" s="4" t="s">
        <v>25</v>
      </c>
      <c r="F191" s="4" t="s">
        <v>25</v>
      </c>
      <c r="G191" s="4" t="s">
        <v>25</v>
      </c>
      <c r="H191" s="4" t="s">
        <v>25</v>
      </c>
      <c r="I191" s="5">
        <v>44501</v>
      </c>
      <c r="J191" s="6">
        <v>1074</v>
      </c>
      <c r="K191" s="6">
        <v>1074</v>
      </c>
      <c r="L191" s="6">
        <v>0</v>
      </c>
      <c r="M191" s="6">
        <v>0</v>
      </c>
      <c r="N191" s="6">
        <v>0</v>
      </c>
      <c r="O191" s="6">
        <v>0</v>
      </c>
      <c r="P191" s="6">
        <v>8</v>
      </c>
      <c r="Q191" s="4" t="s">
        <v>26</v>
      </c>
      <c r="R191" s="4">
        <v>0</v>
      </c>
      <c r="S191" s="6">
        <v>19</v>
      </c>
      <c r="T191" s="6">
        <v>0</v>
      </c>
      <c r="U191" s="6">
        <v>0</v>
      </c>
      <c r="V191" s="6">
        <f>IF(ISERROR(VLOOKUP($S$191,'TAR FIN'!$A$1:$O$86,15,0)),0,VLOOKUP($S$191,'TAR FIN'!$A$1:$O$86,15,0))</f>
        <v>16.29</v>
      </c>
      <c r="W191" s="6">
        <f>IF(ISERROR(VLOOKUP($T$191,'TAR FIN'!$A$1:$O$86,15,0)),0,VLOOKUP($T$191,'TAR FIN'!$A$1:$O$86,15,0))</f>
        <v>0</v>
      </c>
      <c r="X191" s="6">
        <f>IF(ISERROR(VLOOKUP($U$191,'TAR FIN'!$A$1:$O$86,15,0)),0,VLOOKUP($U$191,'TAR FIN'!$A$1:$O$86,15,0))</f>
        <v>0</v>
      </c>
      <c r="Y191" s="6">
        <f ca="1">('TUSD BE'!$AM$10+'TUSD BF'!$AM$10+'TUSD CVA'!$AM$10)*1</f>
        <v>21.139573525578484</v>
      </c>
      <c r="Z191" s="6"/>
      <c r="AA191" s="6"/>
      <c r="AB191" s="6">
        <f>$K$191*$V$191</f>
        <v>17495.46</v>
      </c>
      <c r="AC191" s="6">
        <f>$M$191*$W$191</f>
        <v>0</v>
      </c>
      <c r="AD191" s="6">
        <f>$O$191*$X$191</f>
        <v>0</v>
      </c>
      <c r="AE191" s="6">
        <f ca="1">$K$191*$Y$191</f>
        <v>22703.901966471291</v>
      </c>
      <c r="AF191" s="6">
        <f>$M$191*$Z$191</f>
        <v>0</v>
      </c>
      <c r="AG191" s="6">
        <f>$O$191*$AA$191</f>
        <v>0</v>
      </c>
    </row>
    <row r="192" spans="1:33" ht="11.25" customHeight="1" x14ac:dyDescent="0.25">
      <c r="A192" s="4" t="s">
        <v>21</v>
      </c>
      <c r="B192" s="4" t="s">
        <v>38</v>
      </c>
      <c r="C192" s="4" t="s">
        <v>39</v>
      </c>
      <c r="D192" s="4" t="s">
        <v>37</v>
      </c>
      <c r="E192" s="4" t="s">
        <v>25</v>
      </c>
      <c r="F192" s="4" t="s">
        <v>25</v>
      </c>
      <c r="G192" s="4" t="s">
        <v>25</v>
      </c>
      <c r="H192" s="4" t="s">
        <v>25</v>
      </c>
      <c r="I192" s="5">
        <v>44531</v>
      </c>
      <c r="J192" s="6">
        <v>3815</v>
      </c>
      <c r="K192" s="6">
        <v>3815</v>
      </c>
      <c r="L192" s="6">
        <v>0</v>
      </c>
      <c r="M192" s="6">
        <v>0</v>
      </c>
      <c r="N192" s="6">
        <v>0</v>
      </c>
      <c r="O192" s="6">
        <v>0</v>
      </c>
      <c r="P192" s="6">
        <v>24</v>
      </c>
      <c r="Q192" s="4" t="s">
        <v>26</v>
      </c>
      <c r="R192" s="4">
        <v>0</v>
      </c>
      <c r="S192" s="6">
        <v>19</v>
      </c>
      <c r="T192" s="6">
        <v>0</v>
      </c>
      <c r="U192" s="6">
        <v>0</v>
      </c>
      <c r="V192" s="6">
        <f>IF(ISERROR(VLOOKUP($S$192,'TAR FIN'!$A$1:$O$86,15,0)),0,VLOOKUP($S$192,'TAR FIN'!$A$1:$O$86,15,0))</f>
        <v>16.29</v>
      </c>
      <c r="W192" s="6">
        <f>IF(ISERROR(VLOOKUP($T$192,'TAR FIN'!$A$1:$O$86,15,0)),0,VLOOKUP($T$192,'TAR FIN'!$A$1:$O$86,15,0))</f>
        <v>0</v>
      </c>
      <c r="X192" s="6">
        <f>IF(ISERROR(VLOOKUP($U$192,'TAR FIN'!$A$1:$O$86,15,0)),0,VLOOKUP($U$192,'TAR FIN'!$A$1:$O$86,15,0))</f>
        <v>0</v>
      </c>
      <c r="Y192" s="6">
        <f ca="1">('TUSD BE'!$AM$10+'TUSD BF'!$AM$10+'TUSD CVA'!$AM$10)*1</f>
        <v>21.139573525578484</v>
      </c>
      <c r="Z192" s="6"/>
      <c r="AA192" s="6"/>
      <c r="AB192" s="6">
        <f>$K$192*$V$192</f>
        <v>62146.35</v>
      </c>
      <c r="AC192" s="6">
        <f>$M$192*$W$192</f>
        <v>0</v>
      </c>
      <c r="AD192" s="6">
        <f>$O$192*$X$192</f>
        <v>0</v>
      </c>
      <c r="AE192" s="6">
        <f ca="1">$K$192*$Y$192</f>
        <v>80647.473000081911</v>
      </c>
      <c r="AF192" s="6">
        <f>$M$192*$Z$192</f>
        <v>0</v>
      </c>
      <c r="AG192" s="6">
        <f>$O$192*$AA$192</f>
        <v>0</v>
      </c>
    </row>
    <row r="193" spans="1:33" ht="11.25" customHeight="1" x14ac:dyDescent="0.25">
      <c r="A193" s="4" t="s">
        <v>27</v>
      </c>
      <c r="B193" s="4" t="s">
        <v>38</v>
      </c>
      <c r="C193" s="4" t="s">
        <v>39</v>
      </c>
      <c r="D193" s="4" t="s">
        <v>37</v>
      </c>
      <c r="E193" s="4" t="s">
        <v>25</v>
      </c>
      <c r="F193" s="4" t="s">
        <v>25</v>
      </c>
      <c r="G193" s="4" t="s">
        <v>25</v>
      </c>
      <c r="H193" s="4" t="s">
        <v>25</v>
      </c>
      <c r="I193" s="5">
        <v>44531</v>
      </c>
      <c r="J193" s="6">
        <v>1199</v>
      </c>
      <c r="K193" s="6">
        <v>1199</v>
      </c>
      <c r="L193" s="6">
        <v>0</v>
      </c>
      <c r="M193" s="6">
        <v>0</v>
      </c>
      <c r="N193" s="6">
        <v>0</v>
      </c>
      <c r="O193" s="6">
        <v>0</v>
      </c>
      <c r="P193" s="6">
        <v>9</v>
      </c>
      <c r="Q193" s="4" t="s">
        <v>26</v>
      </c>
      <c r="R193" s="4">
        <v>0</v>
      </c>
      <c r="S193" s="6">
        <v>19</v>
      </c>
      <c r="T193" s="6">
        <v>0</v>
      </c>
      <c r="U193" s="6">
        <v>0</v>
      </c>
      <c r="V193" s="6">
        <f>IF(ISERROR(VLOOKUP($S$193,'TAR FIN'!$A$1:$O$86,15,0)),0,VLOOKUP($S$193,'TAR FIN'!$A$1:$O$86,15,0))</f>
        <v>16.29</v>
      </c>
      <c r="W193" s="6">
        <f>IF(ISERROR(VLOOKUP($T$193,'TAR FIN'!$A$1:$O$86,15,0)),0,VLOOKUP($T$193,'TAR FIN'!$A$1:$O$86,15,0))</f>
        <v>0</v>
      </c>
      <c r="X193" s="6">
        <f>IF(ISERROR(VLOOKUP($U$193,'TAR FIN'!$A$1:$O$86,15,0)),0,VLOOKUP($U$193,'TAR FIN'!$A$1:$O$86,15,0))</f>
        <v>0</v>
      </c>
      <c r="Y193" s="6">
        <f ca="1">('TUSD BE'!$AM$10+'TUSD BF'!$AM$10+'TUSD CVA'!$AM$10)*1</f>
        <v>21.139573525578484</v>
      </c>
      <c r="Z193" s="6"/>
      <c r="AA193" s="6"/>
      <c r="AB193" s="6">
        <f>$K$193*$V$193</f>
        <v>19531.71</v>
      </c>
      <c r="AC193" s="6">
        <f>$M$193*$W$193</f>
        <v>0</v>
      </c>
      <c r="AD193" s="6">
        <f>$O$193*$X$193</f>
        <v>0</v>
      </c>
      <c r="AE193" s="6">
        <f ca="1">$K$193*$Y$193</f>
        <v>25346.348657168604</v>
      </c>
      <c r="AF193" s="6">
        <f>$M$193*$Z$193</f>
        <v>0</v>
      </c>
      <c r="AG193" s="6">
        <f>$O$193*$AA$193</f>
        <v>0</v>
      </c>
    </row>
    <row r="194" spans="1:33" ht="11.25" customHeight="1" x14ac:dyDescent="0.25">
      <c r="A194" s="4" t="s">
        <v>21</v>
      </c>
      <c r="B194" s="4" t="s">
        <v>38</v>
      </c>
      <c r="C194" s="4" t="s">
        <v>39</v>
      </c>
      <c r="D194" s="4" t="s">
        <v>37</v>
      </c>
      <c r="E194" s="4" t="s">
        <v>25</v>
      </c>
      <c r="F194" s="4" t="s">
        <v>25</v>
      </c>
      <c r="G194" s="4" t="s">
        <v>25</v>
      </c>
      <c r="H194" s="4" t="s">
        <v>25</v>
      </c>
      <c r="I194" s="5">
        <v>44562</v>
      </c>
      <c r="J194" s="6">
        <v>3690</v>
      </c>
      <c r="K194" s="6">
        <v>3690</v>
      </c>
      <c r="L194" s="6">
        <v>0</v>
      </c>
      <c r="M194" s="6">
        <v>0</v>
      </c>
      <c r="N194" s="6">
        <v>0</v>
      </c>
      <c r="O194" s="6">
        <v>0</v>
      </c>
      <c r="P194" s="6">
        <v>24</v>
      </c>
      <c r="Q194" s="4" t="s">
        <v>26</v>
      </c>
      <c r="R194" s="4">
        <v>0</v>
      </c>
      <c r="S194" s="6">
        <v>19</v>
      </c>
      <c r="T194" s="6">
        <v>0</v>
      </c>
      <c r="U194" s="6">
        <v>0</v>
      </c>
      <c r="V194" s="6">
        <f>IF(ISERROR(VLOOKUP($S$194,'TAR FIN'!$A$1:$O$86,15,0)),0,VLOOKUP($S$194,'TAR FIN'!$A$1:$O$86,15,0))</f>
        <v>16.29</v>
      </c>
      <c r="W194" s="6">
        <f>IF(ISERROR(VLOOKUP($T$194,'TAR FIN'!$A$1:$O$86,15,0)),0,VLOOKUP($T$194,'TAR FIN'!$A$1:$O$86,15,0))</f>
        <v>0</v>
      </c>
      <c r="X194" s="6">
        <f>IF(ISERROR(VLOOKUP($U$194,'TAR FIN'!$A$1:$O$86,15,0)),0,VLOOKUP($U$194,'TAR FIN'!$A$1:$O$86,15,0))</f>
        <v>0</v>
      </c>
      <c r="Y194" s="6">
        <f ca="1">('TUSD BE'!$AM$10+'TUSD BF'!$AM$10+'TUSD CVA'!$AM$10)*1</f>
        <v>21.139573525578484</v>
      </c>
      <c r="Z194" s="6"/>
      <c r="AA194" s="6"/>
      <c r="AB194" s="6">
        <f>$K$194*$V$194</f>
        <v>60110.1</v>
      </c>
      <c r="AC194" s="6">
        <f>$M$194*$W$194</f>
        <v>0</v>
      </c>
      <c r="AD194" s="6">
        <f>$O$194*$X$194</f>
        <v>0</v>
      </c>
      <c r="AE194" s="6">
        <f ca="1">$K$194*$Y$194</f>
        <v>78005.026309384601</v>
      </c>
      <c r="AF194" s="6">
        <f>$M$194*$Z$194</f>
        <v>0</v>
      </c>
      <c r="AG194" s="6">
        <f>$O$194*$AA$194</f>
        <v>0</v>
      </c>
    </row>
    <row r="195" spans="1:33" ht="11.25" customHeight="1" x14ac:dyDescent="0.25">
      <c r="A195" s="4" t="s">
        <v>27</v>
      </c>
      <c r="B195" s="4" t="s">
        <v>38</v>
      </c>
      <c r="C195" s="4" t="s">
        <v>39</v>
      </c>
      <c r="D195" s="4" t="s">
        <v>37</v>
      </c>
      <c r="E195" s="4" t="s">
        <v>25</v>
      </c>
      <c r="F195" s="4" t="s">
        <v>25</v>
      </c>
      <c r="G195" s="4" t="s">
        <v>25</v>
      </c>
      <c r="H195" s="4" t="s">
        <v>25</v>
      </c>
      <c r="I195" s="5">
        <v>44562</v>
      </c>
      <c r="J195" s="6">
        <v>1139</v>
      </c>
      <c r="K195" s="6">
        <v>1139</v>
      </c>
      <c r="L195" s="6">
        <v>0</v>
      </c>
      <c r="M195" s="6">
        <v>0</v>
      </c>
      <c r="N195" s="6">
        <v>0</v>
      </c>
      <c r="O195" s="6">
        <v>0</v>
      </c>
      <c r="P195" s="6">
        <v>9</v>
      </c>
      <c r="Q195" s="4" t="s">
        <v>26</v>
      </c>
      <c r="R195" s="4">
        <v>0</v>
      </c>
      <c r="S195" s="6">
        <v>19</v>
      </c>
      <c r="T195" s="6">
        <v>0</v>
      </c>
      <c r="U195" s="6">
        <v>0</v>
      </c>
      <c r="V195" s="6">
        <f>IF(ISERROR(VLOOKUP($S$195,'TAR FIN'!$A$1:$O$86,15,0)),0,VLOOKUP($S$195,'TAR FIN'!$A$1:$O$86,15,0))</f>
        <v>16.29</v>
      </c>
      <c r="W195" s="6">
        <f>IF(ISERROR(VLOOKUP($T$195,'TAR FIN'!$A$1:$O$86,15,0)),0,VLOOKUP($T$195,'TAR FIN'!$A$1:$O$86,15,0))</f>
        <v>0</v>
      </c>
      <c r="X195" s="6">
        <f>IF(ISERROR(VLOOKUP($U$195,'TAR FIN'!$A$1:$O$86,15,0)),0,VLOOKUP($U$195,'TAR FIN'!$A$1:$O$86,15,0))</f>
        <v>0</v>
      </c>
      <c r="Y195" s="6">
        <f ca="1">('TUSD BE'!$AM$10+'TUSD BF'!$AM$10+'TUSD CVA'!$AM$10)*1</f>
        <v>21.139573525578484</v>
      </c>
      <c r="Z195" s="6"/>
      <c r="AA195" s="6"/>
      <c r="AB195" s="6">
        <f>$K$195*$V$195</f>
        <v>18554.309999999998</v>
      </c>
      <c r="AC195" s="6">
        <f>$M$195*$W$195</f>
        <v>0</v>
      </c>
      <c r="AD195" s="6">
        <f>$O$195*$X$195</f>
        <v>0</v>
      </c>
      <c r="AE195" s="6">
        <f ca="1">$K$195*$Y$195</f>
        <v>24077.974245633894</v>
      </c>
      <c r="AF195" s="6">
        <f>$M$195*$Z$195</f>
        <v>0</v>
      </c>
      <c r="AG195" s="6">
        <f>$O$195*$AA$195</f>
        <v>0</v>
      </c>
    </row>
    <row r="196" spans="1:33" ht="11.25" customHeight="1" x14ac:dyDescent="0.25">
      <c r="A196" s="4" t="s">
        <v>21</v>
      </c>
      <c r="B196" s="4" t="s">
        <v>38</v>
      </c>
      <c r="C196" s="4" t="s">
        <v>39</v>
      </c>
      <c r="D196" s="4" t="s">
        <v>37</v>
      </c>
      <c r="E196" s="4" t="s">
        <v>25</v>
      </c>
      <c r="F196" s="4" t="s">
        <v>25</v>
      </c>
      <c r="G196" s="4" t="s">
        <v>25</v>
      </c>
      <c r="H196" s="4" t="s">
        <v>25</v>
      </c>
      <c r="I196" s="5">
        <v>44593</v>
      </c>
      <c r="J196" s="6">
        <v>2915</v>
      </c>
      <c r="K196" s="6">
        <v>2915</v>
      </c>
      <c r="L196" s="6">
        <v>0</v>
      </c>
      <c r="M196" s="6">
        <v>0</v>
      </c>
      <c r="N196" s="6">
        <v>0</v>
      </c>
      <c r="O196" s="6">
        <v>0</v>
      </c>
      <c r="P196" s="6">
        <v>23</v>
      </c>
      <c r="Q196" s="4" t="s">
        <v>26</v>
      </c>
      <c r="R196" s="4">
        <v>0</v>
      </c>
      <c r="S196" s="6">
        <v>19</v>
      </c>
      <c r="T196" s="6">
        <v>0</v>
      </c>
      <c r="U196" s="6">
        <v>0</v>
      </c>
      <c r="V196" s="6">
        <f>IF(ISERROR(VLOOKUP($S$196,'TAR FIN'!$A$1:$O$86,15,0)),0,VLOOKUP($S$196,'TAR FIN'!$A$1:$O$86,15,0))</f>
        <v>16.29</v>
      </c>
      <c r="W196" s="6">
        <f>IF(ISERROR(VLOOKUP($T$196,'TAR FIN'!$A$1:$O$86,15,0)),0,VLOOKUP($T$196,'TAR FIN'!$A$1:$O$86,15,0))</f>
        <v>0</v>
      </c>
      <c r="X196" s="6">
        <f>IF(ISERROR(VLOOKUP($U$196,'TAR FIN'!$A$1:$O$86,15,0)),0,VLOOKUP($U$196,'TAR FIN'!$A$1:$O$86,15,0))</f>
        <v>0</v>
      </c>
      <c r="Y196" s="6">
        <f ca="1">('TUSD BE'!$AM$10+'TUSD BF'!$AM$10+'TUSD CVA'!$AM$10)*1</f>
        <v>21.139573525578484</v>
      </c>
      <c r="Z196" s="6"/>
      <c r="AA196" s="6"/>
      <c r="AB196" s="6">
        <f>$K$196*$V$196</f>
        <v>47485.35</v>
      </c>
      <c r="AC196" s="6">
        <f>$M$196*$W$196</f>
        <v>0</v>
      </c>
      <c r="AD196" s="6">
        <f>$O$196*$X$196</f>
        <v>0</v>
      </c>
      <c r="AE196" s="6">
        <f ca="1">$K$196*$Y$196</f>
        <v>61621.856827061281</v>
      </c>
      <c r="AF196" s="6">
        <f>$M$196*$Z$196</f>
        <v>0</v>
      </c>
      <c r="AG196" s="6">
        <f>$O$196*$AA$196</f>
        <v>0</v>
      </c>
    </row>
    <row r="197" spans="1:33" ht="11.25" customHeight="1" x14ac:dyDescent="0.25">
      <c r="A197" s="4" t="s">
        <v>27</v>
      </c>
      <c r="B197" s="4" t="s">
        <v>38</v>
      </c>
      <c r="C197" s="4" t="s">
        <v>39</v>
      </c>
      <c r="D197" s="4" t="s">
        <v>37</v>
      </c>
      <c r="E197" s="4" t="s">
        <v>25</v>
      </c>
      <c r="F197" s="4" t="s">
        <v>25</v>
      </c>
      <c r="G197" s="4" t="s">
        <v>25</v>
      </c>
      <c r="H197" s="4" t="s">
        <v>25</v>
      </c>
      <c r="I197" s="5">
        <v>44593</v>
      </c>
      <c r="J197" s="6">
        <v>1169</v>
      </c>
      <c r="K197" s="6">
        <v>1169</v>
      </c>
      <c r="L197" s="6">
        <v>0</v>
      </c>
      <c r="M197" s="6">
        <v>0</v>
      </c>
      <c r="N197" s="6">
        <v>0</v>
      </c>
      <c r="O197" s="6">
        <v>0</v>
      </c>
      <c r="P197" s="6">
        <v>9</v>
      </c>
      <c r="Q197" s="4" t="s">
        <v>26</v>
      </c>
      <c r="R197" s="4">
        <v>0</v>
      </c>
      <c r="S197" s="6">
        <v>19</v>
      </c>
      <c r="T197" s="6">
        <v>0</v>
      </c>
      <c r="U197" s="6">
        <v>0</v>
      </c>
      <c r="V197" s="6">
        <f>IF(ISERROR(VLOOKUP($S$197,'TAR FIN'!$A$1:$O$86,15,0)),0,VLOOKUP($S$197,'TAR FIN'!$A$1:$O$86,15,0))</f>
        <v>16.29</v>
      </c>
      <c r="W197" s="6">
        <f>IF(ISERROR(VLOOKUP($T$197,'TAR FIN'!$A$1:$O$86,15,0)),0,VLOOKUP($T$197,'TAR FIN'!$A$1:$O$86,15,0))</f>
        <v>0</v>
      </c>
      <c r="X197" s="6">
        <f>IF(ISERROR(VLOOKUP($U$197,'TAR FIN'!$A$1:$O$86,15,0)),0,VLOOKUP($U$197,'TAR FIN'!$A$1:$O$86,15,0))</f>
        <v>0</v>
      </c>
      <c r="Y197" s="6">
        <f ca="1">('TUSD BE'!$AM$10+'TUSD BF'!$AM$10+'TUSD CVA'!$AM$10)*1</f>
        <v>21.139573525578484</v>
      </c>
      <c r="Z197" s="6"/>
      <c r="AA197" s="6"/>
      <c r="AB197" s="6">
        <f>$K$197*$V$197</f>
        <v>19043.009999999998</v>
      </c>
      <c r="AC197" s="6">
        <f>$M$197*$W$197</f>
        <v>0</v>
      </c>
      <c r="AD197" s="6">
        <f>$O$197*$X$197</f>
        <v>0</v>
      </c>
      <c r="AE197" s="6">
        <f ca="1">$K$197*$Y$197</f>
        <v>24712.161451401247</v>
      </c>
      <c r="AF197" s="6">
        <f>$M$197*$Z$197</f>
        <v>0</v>
      </c>
      <c r="AG197" s="6">
        <f>$O$197*$AA$197</f>
        <v>0</v>
      </c>
    </row>
    <row r="198" spans="1:33" ht="11.25" customHeight="1" x14ac:dyDescent="0.25">
      <c r="A198" s="4" t="s">
        <v>21</v>
      </c>
      <c r="B198" s="4" t="s">
        <v>38</v>
      </c>
      <c r="C198" s="4" t="s">
        <v>39</v>
      </c>
      <c r="D198" s="4" t="s">
        <v>37</v>
      </c>
      <c r="E198" s="4" t="s">
        <v>25</v>
      </c>
      <c r="F198" s="4" t="s">
        <v>25</v>
      </c>
      <c r="G198" s="4" t="s">
        <v>25</v>
      </c>
      <c r="H198" s="4" t="s">
        <v>25</v>
      </c>
      <c r="I198" s="5">
        <v>44621</v>
      </c>
      <c r="J198" s="6">
        <v>2821</v>
      </c>
      <c r="K198" s="6">
        <v>2821</v>
      </c>
      <c r="L198" s="6">
        <v>0</v>
      </c>
      <c r="M198" s="6">
        <v>0</v>
      </c>
      <c r="N198" s="6">
        <v>0</v>
      </c>
      <c r="O198" s="6">
        <v>0</v>
      </c>
      <c r="P198" s="6">
        <v>23</v>
      </c>
      <c r="Q198" s="4" t="s">
        <v>26</v>
      </c>
      <c r="R198" s="4">
        <v>0</v>
      </c>
      <c r="S198" s="6">
        <v>19</v>
      </c>
      <c r="T198" s="6">
        <v>0</v>
      </c>
      <c r="U198" s="6">
        <v>0</v>
      </c>
      <c r="V198" s="6">
        <f>IF(ISERROR(VLOOKUP($S$198,'TAR FIN'!$A$1:$O$86,15,0)),0,VLOOKUP($S$198,'TAR FIN'!$A$1:$O$86,15,0))</f>
        <v>16.29</v>
      </c>
      <c r="W198" s="6">
        <f>IF(ISERROR(VLOOKUP($T$198,'TAR FIN'!$A$1:$O$86,15,0)),0,VLOOKUP($T$198,'TAR FIN'!$A$1:$O$86,15,0))</f>
        <v>0</v>
      </c>
      <c r="X198" s="6">
        <f>IF(ISERROR(VLOOKUP($U$198,'TAR FIN'!$A$1:$O$86,15,0)),0,VLOOKUP($U$198,'TAR FIN'!$A$1:$O$86,15,0))</f>
        <v>0</v>
      </c>
      <c r="Y198" s="6">
        <f ca="1">('TUSD BE'!$AM$10+'TUSD BF'!$AM$10+'TUSD CVA'!$AM$10)*1</f>
        <v>21.139573525578484</v>
      </c>
      <c r="Z198" s="6"/>
      <c r="AA198" s="6"/>
      <c r="AB198" s="6">
        <f>$K$198*$V$198</f>
        <v>45954.09</v>
      </c>
      <c r="AC198" s="6">
        <f>$M$198*$W$198</f>
        <v>0</v>
      </c>
      <c r="AD198" s="6">
        <f>$O$198*$X$198</f>
        <v>0</v>
      </c>
      <c r="AE198" s="6">
        <f ca="1">$K$198*$Y$198</f>
        <v>59634.736915656904</v>
      </c>
      <c r="AF198" s="6">
        <f>$M$198*$Z$198</f>
        <v>0</v>
      </c>
      <c r="AG198" s="6">
        <f>$O$198*$AA$198</f>
        <v>0</v>
      </c>
    </row>
    <row r="199" spans="1:33" ht="11.25" customHeight="1" x14ac:dyDescent="0.25">
      <c r="A199" s="4" t="s">
        <v>27</v>
      </c>
      <c r="B199" s="4" t="s">
        <v>38</v>
      </c>
      <c r="C199" s="4" t="s">
        <v>39</v>
      </c>
      <c r="D199" s="4" t="s">
        <v>37</v>
      </c>
      <c r="E199" s="4" t="s">
        <v>25</v>
      </c>
      <c r="F199" s="4" t="s">
        <v>25</v>
      </c>
      <c r="G199" s="4" t="s">
        <v>25</v>
      </c>
      <c r="H199" s="4" t="s">
        <v>25</v>
      </c>
      <c r="I199" s="5">
        <v>44621</v>
      </c>
      <c r="J199" s="6">
        <v>1283</v>
      </c>
      <c r="K199" s="6">
        <v>1283</v>
      </c>
      <c r="L199" s="6">
        <v>0</v>
      </c>
      <c r="M199" s="6">
        <v>0</v>
      </c>
      <c r="N199" s="6">
        <v>0</v>
      </c>
      <c r="O199" s="6">
        <v>0</v>
      </c>
      <c r="P199" s="6">
        <v>10</v>
      </c>
      <c r="Q199" s="4" t="s">
        <v>26</v>
      </c>
      <c r="R199" s="4">
        <v>0</v>
      </c>
      <c r="S199" s="6">
        <v>19</v>
      </c>
      <c r="T199" s="6">
        <v>0</v>
      </c>
      <c r="U199" s="6">
        <v>0</v>
      </c>
      <c r="V199" s="6">
        <f>IF(ISERROR(VLOOKUP($S$199,'TAR FIN'!$A$1:$O$86,15,0)),0,VLOOKUP($S$199,'TAR FIN'!$A$1:$O$86,15,0))</f>
        <v>16.29</v>
      </c>
      <c r="W199" s="6">
        <f>IF(ISERROR(VLOOKUP($T$199,'TAR FIN'!$A$1:$O$86,15,0)),0,VLOOKUP($T$199,'TAR FIN'!$A$1:$O$86,15,0))</f>
        <v>0</v>
      </c>
      <c r="X199" s="6">
        <f>IF(ISERROR(VLOOKUP($U$199,'TAR FIN'!$A$1:$O$86,15,0)),0,VLOOKUP($U$199,'TAR FIN'!$A$1:$O$86,15,0))</f>
        <v>0</v>
      </c>
      <c r="Y199" s="6">
        <f ca="1">('TUSD BE'!$AM$10+'TUSD BF'!$AM$10+'TUSD CVA'!$AM$10)*1</f>
        <v>21.139573525578484</v>
      </c>
      <c r="Z199" s="6"/>
      <c r="AA199" s="6"/>
      <c r="AB199" s="6">
        <f>$K$199*$V$199</f>
        <v>20900.07</v>
      </c>
      <c r="AC199" s="6">
        <f>$M$199*$W$199</f>
        <v>0</v>
      </c>
      <c r="AD199" s="6">
        <f>$O$199*$X$199</f>
        <v>0</v>
      </c>
      <c r="AE199" s="6">
        <f ca="1">$K$199*$Y$199</f>
        <v>27122.072833317194</v>
      </c>
      <c r="AF199" s="6">
        <f>$M$199*$Z$199</f>
        <v>0</v>
      </c>
      <c r="AG199" s="6">
        <f>$O$199*$AA$199</f>
        <v>0</v>
      </c>
    </row>
    <row r="200" spans="1:33" ht="11.25" customHeight="1" x14ac:dyDescent="0.25">
      <c r="A200" s="4" t="s">
        <v>21</v>
      </c>
      <c r="B200" s="4" t="s">
        <v>38</v>
      </c>
      <c r="C200" s="4" t="s">
        <v>39</v>
      </c>
      <c r="D200" s="4" t="s">
        <v>37</v>
      </c>
      <c r="E200" s="4" t="s">
        <v>25</v>
      </c>
      <c r="F200" s="4" t="s">
        <v>25</v>
      </c>
      <c r="G200" s="4" t="s">
        <v>25</v>
      </c>
      <c r="H200" s="4" t="s">
        <v>25</v>
      </c>
      <c r="I200" s="5">
        <v>44652</v>
      </c>
      <c r="J200" s="6">
        <v>3132</v>
      </c>
      <c r="K200" s="6">
        <v>3132</v>
      </c>
      <c r="L200" s="6">
        <v>0</v>
      </c>
      <c r="M200" s="6">
        <v>0</v>
      </c>
      <c r="N200" s="6">
        <v>0</v>
      </c>
      <c r="O200" s="6">
        <v>0</v>
      </c>
      <c r="P200" s="6">
        <v>23</v>
      </c>
      <c r="Q200" s="4" t="s">
        <v>26</v>
      </c>
      <c r="R200" s="4">
        <v>0</v>
      </c>
      <c r="S200" s="6">
        <v>19</v>
      </c>
      <c r="T200" s="6">
        <v>0</v>
      </c>
      <c r="U200" s="6">
        <v>0</v>
      </c>
      <c r="V200" s="6">
        <f>IF(ISERROR(VLOOKUP($S$200,'TAR FIN'!$A$1:$O$86,15,0)),0,VLOOKUP($S$200,'TAR FIN'!$A$1:$O$86,15,0))</f>
        <v>16.29</v>
      </c>
      <c r="W200" s="6">
        <f>IF(ISERROR(VLOOKUP($T$200,'TAR FIN'!$A$1:$O$86,15,0)),0,VLOOKUP($T$200,'TAR FIN'!$A$1:$O$86,15,0))</f>
        <v>0</v>
      </c>
      <c r="X200" s="6">
        <f>IF(ISERROR(VLOOKUP($U$200,'TAR FIN'!$A$1:$O$86,15,0)),0,VLOOKUP($U$200,'TAR FIN'!$A$1:$O$86,15,0))</f>
        <v>0</v>
      </c>
      <c r="Y200" s="6">
        <f ca="1">('TUSD BE'!$AM$10+'TUSD BF'!$AM$10+'TUSD CVA'!$AM$10)*1</f>
        <v>21.139573525578484</v>
      </c>
      <c r="Z200" s="6"/>
      <c r="AA200" s="6"/>
      <c r="AB200" s="6">
        <f>$K$200*$V$200</f>
        <v>51020.28</v>
      </c>
      <c r="AC200" s="6">
        <f>$M$200*$W$200</f>
        <v>0</v>
      </c>
      <c r="AD200" s="6">
        <f>$O$200*$X$200</f>
        <v>0</v>
      </c>
      <c r="AE200" s="6">
        <f ca="1">$K$200*$Y$200</f>
        <v>66209.144282111811</v>
      </c>
      <c r="AF200" s="6">
        <f>$M$200*$Z$200</f>
        <v>0</v>
      </c>
      <c r="AG200" s="6">
        <f>$O$200*$AA$200</f>
        <v>0</v>
      </c>
    </row>
    <row r="201" spans="1:33" ht="11.25" customHeight="1" x14ac:dyDescent="0.25">
      <c r="A201" s="4" t="s">
        <v>27</v>
      </c>
      <c r="B201" s="4" t="s">
        <v>38</v>
      </c>
      <c r="C201" s="4" t="s">
        <v>39</v>
      </c>
      <c r="D201" s="4" t="s">
        <v>37</v>
      </c>
      <c r="E201" s="4" t="s">
        <v>25</v>
      </c>
      <c r="F201" s="4" t="s">
        <v>25</v>
      </c>
      <c r="G201" s="4" t="s">
        <v>25</v>
      </c>
      <c r="H201" s="4" t="s">
        <v>25</v>
      </c>
      <c r="I201" s="5">
        <v>44652</v>
      </c>
      <c r="J201" s="6">
        <v>1318</v>
      </c>
      <c r="K201" s="6">
        <v>1318</v>
      </c>
      <c r="L201" s="6">
        <v>0</v>
      </c>
      <c r="M201" s="6">
        <v>0</v>
      </c>
      <c r="N201" s="6">
        <v>0</v>
      </c>
      <c r="O201" s="6">
        <v>0</v>
      </c>
      <c r="P201" s="6">
        <v>10</v>
      </c>
      <c r="Q201" s="4" t="s">
        <v>26</v>
      </c>
      <c r="R201" s="4">
        <v>0</v>
      </c>
      <c r="S201" s="6">
        <v>19</v>
      </c>
      <c r="T201" s="6">
        <v>0</v>
      </c>
      <c r="U201" s="6">
        <v>0</v>
      </c>
      <c r="V201" s="6">
        <f>IF(ISERROR(VLOOKUP($S$201,'TAR FIN'!$A$1:$O$86,15,0)),0,VLOOKUP($S$201,'TAR FIN'!$A$1:$O$86,15,0))</f>
        <v>16.29</v>
      </c>
      <c r="W201" s="6">
        <f>IF(ISERROR(VLOOKUP($T$201,'TAR FIN'!$A$1:$O$86,15,0)),0,VLOOKUP($T$201,'TAR FIN'!$A$1:$O$86,15,0))</f>
        <v>0</v>
      </c>
      <c r="X201" s="6">
        <f>IF(ISERROR(VLOOKUP($U$201,'TAR FIN'!$A$1:$O$86,15,0)),0,VLOOKUP($U$201,'TAR FIN'!$A$1:$O$86,15,0))</f>
        <v>0</v>
      </c>
      <c r="Y201" s="6">
        <f ca="1">('TUSD BE'!$AM$10+'TUSD BF'!$AM$10+'TUSD CVA'!$AM$10)*1</f>
        <v>21.139573525578484</v>
      </c>
      <c r="Z201" s="6"/>
      <c r="AA201" s="6"/>
      <c r="AB201" s="6">
        <f>$K$201*$V$201</f>
        <v>21470.219999999998</v>
      </c>
      <c r="AC201" s="6">
        <f>$M$201*$W$201</f>
        <v>0</v>
      </c>
      <c r="AD201" s="6">
        <f>$O$201*$X$201</f>
        <v>0</v>
      </c>
      <c r="AE201" s="6">
        <f ca="1">$K$201*$Y$201</f>
        <v>27861.957906712443</v>
      </c>
      <c r="AF201" s="6">
        <f>$M$201*$Z$201</f>
        <v>0</v>
      </c>
      <c r="AG201" s="6">
        <f>$O$201*$AA$201</f>
        <v>0</v>
      </c>
    </row>
    <row r="202" spans="1:33" ht="11.25" customHeight="1" x14ac:dyDescent="0.25">
      <c r="A202" s="4" t="s">
        <v>21</v>
      </c>
      <c r="B202" s="4" t="s">
        <v>38</v>
      </c>
      <c r="C202" s="4" t="s">
        <v>39</v>
      </c>
      <c r="D202" s="4" t="s">
        <v>37</v>
      </c>
      <c r="E202" s="4" t="s">
        <v>25</v>
      </c>
      <c r="F202" s="4" t="s">
        <v>25</v>
      </c>
      <c r="G202" s="4" t="s">
        <v>25</v>
      </c>
      <c r="H202" s="4" t="s">
        <v>25</v>
      </c>
      <c r="I202" s="5">
        <v>44682</v>
      </c>
      <c r="J202" s="6">
        <v>3043</v>
      </c>
      <c r="K202" s="6">
        <v>3043</v>
      </c>
      <c r="L202" s="6">
        <v>0</v>
      </c>
      <c r="M202" s="6">
        <v>0</v>
      </c>
      <c r="N202" s="6">
        <v>0</v>
      </c>
      <c r="O202" s="6">
        <v>0</v>
      </c>
      <c r="P202" s="6">
        <v>22</v>
      </c>
      <c r="Q202" s="4" t="s">
        <v>26</v>
      </c>
      <c r="R202" s="4">
        <v>0</v>
      </c>
      <c r="S202" s="6">
        <v>19</v>
      </c>
      <c r="T202" s="6">
        <v>0</v>
      </c>
      <c r="U202" s="6">
        <v>0</v>
      </c>
      <c r="V202" s="6">
        <f>IF(ISERROR(VLOOKUP($S$202,'TAR FIN'!$A$1:$O$86,15,0)),0,VLOOKUP($S$202,'TAR FIN'!$A$1:$O$86,15,0))</f>
        <v>16.29</v>
      </c>
      <c r="W202" s="6">
        <f>IF(ISERROR(VLOOKUP($T$202,'TAR FIN'!$A$1:$O$86,15,0)),0,VLOOKUP($T$202,'TAR FIN'!$A$1:$O$86,15,0))</f>
        <v>0</v>
      </c>
      <c r="X202" s="6">
        <f>IF(ISERROR(VLOOKUP($U$202,'TAR FIN'!$A$1:$O$86,15,0)),0,VLOOKUP($U$202,'TAR FIN'!$A$1:$O$86,15,0))</f>
        <v>0</v>
      </c>
      <c r="Y202" s="6">
        <f ca="1">('TUSD BE'!$AM$10+'TUSD BF'!$AM$10+'TUSD CVA'!$AM$10)*1</f>
        <v>21.139573525578484</v>
      </c>
      <c r="Z202" s="6"/>
      <c r="AA202" s="6"/>
      <c r="AB202" s="6">
        <f>$K$202*$V$202</f>
        <v>49570.469999999994</v>
      </c>
      <c r="AC202" s="6">
        <f>$M$202*$W$202</f>
        <v>0</v>
      </c>
      <c r="AD202" s="6">
        <f>$O$202*$X$202</f>
        <v>0</v>
      </c>
      <c r="AE202" s="6">
        <f ca="1">$K$202*$Y$202</f>
        <v>64327.722238335329</v>
      </c>
      <c r="AF202" s="6">
        <f>$M$202*$Z$202</f>
        <v>0</v>
      </c>
      <c r="AG202" s="6">
        <f>$O$202*$AA$202</f>
        <v>0</v>
      </c>
    </row>
    <row r="203" spans="1:33" ht="11.25" customHeight="1" x14ac:dyDescent="0.25">
      <c r="A203" s="4" t="s">
        <v>27</v>
      </c>
      <c r="B203" s="4" t="s">
        <v>38</v>
      </c>
      <c r="C203" s="4" t="s">
        <v>39</v>
      </c>
      <c r="D203" s="4" t="s">
        <v>37</v>
      </c>
      <c r="E203" s="4" t="s">
        <v>25</v>
      </c>
      <c r="F203" s="4" t="s">
        <v>25</v>
      </c>
      <c r="G203" s="4" t="s">
        <v>25</v>
      </c>
      <c r="H203" s="4" t="s">
        <v>25</v>
      </c>
      <c r="I203" s="5">
        <v>44682</v>
      </c>
      <c r="J203" s="6">
        <v>1372</v>
      </c>
      <c r="K203" s="6">
        <v>1372</v>
      </c>
      <c r="L203" s="6">
        <v>0</v>
      </c>
      <c r="M203" s="6">
        <v>0</v>
      </c>
      <c r="N203" s="6">
        <v>0</v>
      </c>
      <c r="O203" s="6">
        <v>0</v>
      </c>
      <c r="P203" s="6">
        <v>11</v>
      </c>
      <c r="Q203" s="4" t="s">
        <v>26</v>
      </c>
      <c r="R203" s="4">
        <v>0</v>
      </c>
      <c r="S203" s="6">
        <v>19</v>
      </c>
      <c r="T203" s="6">
        <v>0</v>
      </c>
      <c r="U203" s="6">
        <v>0</v>
      </c>
      <c r="V203" s="6">
        <f>IF(ISERROR(VLOOKUP($S$203,'TAR FIN'!$A$1:$O$86,15,0)),0,VLOOKUP($S$203,'TAR FIN'!$A$1:$O$86,15,0))</f>
        <v>16.29</v>
      </c>
      <c r="W203" s="6">
        <f>IF(ISERROR(VLOOKUP($T$203,'TAR FIN'!$A$1:$O$86,15,0)),0,VLOOKUP($T$203,'TAR FIN'!$A$1:$O$86,15,0))</f>
        <v>0</v>
      </c>
      <c r="X203" s="6">
        <f>IF(ISERROR(VLOOKUP($U$203,'TAR FIN'!$A$1:$O$86,15,0)),0,VLOOKUP($U$203,'TAR FIN'!$A$1:$O$86,15,0))</f>
        <v>0</v>
      </c>
      <c r="Y203" s="6">
        <f ca="1">('TUSD BE'!$AM$10+'TUSD BF'!$AM$10+'TUSD CVA'!$AM$10)*1</f>
        <v>21.139573525578484</v>
      </c>
      <c r="Z203" s="6"/>
      <c r="AA203" s="6"/>
      <c r="AB203" s="6">
        <f>$K$203*$V$203</f>
        <v>22349.879999999997</v>
      </c>
      <c r="AC203" s="6">
        <f>$M$203*$W$203</f>
        <v>0</v>
      </c>
      <c r="AD203" s="6">
        <f>$O$203*$X$203</f>
        <v>0</v>
      </c>
      <c r="AE203" s="6">
        <f ca="1">$K$203*$Y$203</f>
        <v>29003.494877093679</v>
      </c>
      <c r="AF203" s="6">
        <f>$M$203*$Z$203</f>
        <v>0</v>
      </c>
      <c r="AG203" s="6">
        <f>$O$203*$AA$203</f>
        <v>0</v>
      </c>
    </row>
    <row r="204" spans="1:33" ht="11.25" customHeight="1" x14ac:dyDescent="0.25">
      <c r="A204" s="4" t="s">
        <v>55</v>
      </c>
      <c r="B204" s="4" t="s">
        <v>38</v>
      </c>
      <c r="C204" s="4" t="s">
        <v>39</v>
      </c>
      <c r="D204" s="4" t="s">
        <v>37</v>
      </c>
      <c r="E204" s="4" t="s">
        <v>25</v>
      </c>
      <c r="F204" s="4" t="s">
        <v>25</v>
      </c>
      <c r="G204" s="4" t="s">
        <v>25</v>
      </c>
      <c r="H204" s="4" t="s">
        <v>25</v>
      </c>
      <c r="I204" s="5">
        <v>44713</v>
      </c>
      <c r="J204" s="6">
        <v>3043</v>
      </c>
      <c r="K204" s="6">
        <v>3043</v>
      </c>
      <c r="L204" s="6">
        <v>0</v>
      </c>
      <c r="M204" s="6">
        <v>0</v>
      </c>
      <c r="N204" s="6">
        <v>0</v>
      </c>
      <c r="O204" s="6">
        <v>0</v>
      </c>
      <c r="P204" s="6">
        <v>22</v>
      </c>
      <c r="Q204" s="4" t="s">
        <v>26</v>
      </c>
      <c r="R204" s="4">
        <v>0</v>
      </c>
      <c r="S204" s="6">
        <v>19</v>
      </c>
      <c r="T204" s="6">
        <v>0</v>
      </c>
      <c r="U204" s="6">
        <v>0</v>
      </c>
      <c r="V204" s="6">
        <f>IF(ISERROR(VLOOKUP($S$204,'TAR FIN'!$A$1:$O$86,15,0)),0,VLOOKUP($S$204,'TAR FIN'!$A$1:$O$86,15,0))</f>
        <v>16.29</v>
      </c>
      <c r="W204" s="6">
        <f>IF(ISERROR(VLOOKUP($T$204,'TAR FIN'!$A$1:$O$86,15,0)),0,VLOOKUP($T$204,'TAR FIN'!$A$1:$O$86,15,0))</f>
        <v>0</v>
      </c>
      <c r="X204" s="6">
        <f>IF(ISERROR(VLOOKUP($U$204,'TAR FIN'!$A$1:$O$86,15,0)),0,VLOOKUP($U$204,'TAR FIN'!$A$1:$O$86,15,0))</f>
        <v>0</v>
      </c>
      <c r="Y204" s="6">
        <f ca="1">('TUSD BE'!$AM$10+'TUSD BF'!$AM$10+'TUSD CVA'!$AM$10)*1</f>
        <v>21.139573525578484</v>
      </c>
      <c r="Z204" s="6"/>
      <c r="AA204" s="6"/>
      <c r="AB204" s="6">
        <f>$K$204*$V$204</f>
        <v>49570.469999999994</v>
      </c>
      <c r="AC204" s="6">
        <f>$M$204*$W$204</f>
        <v>0</v>
      </c>
      <c r="AD204" s="6">
        <f>$O$204*$X$204</f>
        <v>0</v>
      </c>
      <c r="AE204" s="6">
        <f ca="1">$K$204*$Y$204</f>
        <v>64327.722238335329</v>
      </c>
      <c r="AF204" s="6">
        <f>$M$204*$Z$204</f>
        <v>0</v>
      </c>
      <c r="AG204" s="6">
        <f>$O$204*$AA$204</f>
        <v>0</v>
      </c>
    </row>
    <row r="205" spans="1:33" ht="11.25" customHeight="1" x14ac:dyDescent="0.25">
      <c r="A205" s="4" t="s">
        <v>55</v>
      </c>
      <c r="B205" s="4" t="s">
        <v>38</v>
      </c>
      <c r="C205" s="4" t="s">
        <v>39</v>
      </c>
      <c r="D205" s="4" t="s">
        <v>37</v>
      </c>
      <c r="E205" s="4" t="s">
        <v>25</v>
      </c>
      <c r="F205" s="4" t="s">
        <v>25</v>
      </c>
      <c r="G205" s="4" t="s">
        <v>25</v>
      </c>
      <c r="H205" s="4" t="s">
        <v>25</v>
      </c>
      <c r="I205" s="5">
        <v>44713</v>
      </c>
      <c r="J205" s="6">
        <v>1372</v>
      </c>
      <c r="K205" s="6">
        <v>1372</v>
      </c>
      <c r="L205" s="6">
        <v>0</v>
      </c>
      <c r="M205" s="6">
        <v>0</v>
      </c>
      <c r="N205" s="6">
        <v>0</v>
      </c>
      <c r="O205" s="6">
        <v>0</v>
      </c>
      <c r="P205" s="6">
        <v>11</v>
      </c>
      <c r="Q205" s="4" t="s">
        <v>26</v>
      </c>
      <c r="R205" s="4">
        <v>0</v>
      </c>
      <c r="S205" s="6">
        <v>19</v>
      </c>
      <c r="T205" s="6">
        <v>0</v>
      </c>
      <c r="U205" s="6">
        <v>0</v>
      </c>
      <c r="V205" s="6">
        <f>IF(ISERROR(VLOOKUP($S$205,'TAR FIN'!$A$1:$O$86,15,0)),0,VLOOKUP($S$205,'TAR FIN'!$A$1:$O$86,15,0))</f>
        <v>16.29</v>
      </c>
      <c r="W205" s="6">
        <f>IF(ISERROR(VLOOKUP($T$205,'TAR FIN'!$A$1:$O$86,15,0)),0,VLOOKUP($T$205,'TAR FIN'!$A$1:$O$86,15,0))</f>
        <v>0</v>
      </c>
      <c r="X205" s="6">
        <f>IF(ISERROR(VLOOKUP($U$205,'TAR FIN'!$A$1:$O$86,15,0)),0,VLOOKUP($U$205,'TAR FIN'!$A$1:$O$86,15,0))</f>
        <v>0</v>
      </c>
      <c r="Y205" s="6">
        <f ca="1">('TUSD BE'!$AM$10+'TUSD BF'!$AM$10+'TUSD CVA'!$AM$10)*1</f>
        <v>21.139573525578484</v>
      </c>
      <c r="Z205" s="6"/>
      <c r="AA205" s="6"/>
      <c r="AB205" s="6">
        <f>$K$205*$V$205</f>
        <v>22349.879999999997</v>
      </c>
      <c r="AC205" s="6">
        <f>$M$205*$W$205</f>
        <v>0</v>
      </c>
      <c r="AD205" s="6">
        <f>$O$205*$X$205</f>
        <v>0</v>
      </c>
      <c r="AE205" s="6">
        <f ca="1">$K$205*$Y$205</f>
        <v>29003.494877093679</v>
      </c>
      <c r="AF205" s="6">
        <f>$M$205*$Z$205</f>
        <v>0</v>
      </c>
      <c r="AG205" s="6">
        <f>$O$205*$AA$205</f>
        <v>0</v>
      </c>
    </row>
    <row r="206" spans="1:33" ht="11.25" customHeight="1" x14ac:dyDescent="0.25">
      <c r="A206" s="4" t="s">
        <v>21</v>
      </c>
      <c r="B206" s="4" t="s">
        <v>38</v>
      </c>
      <c r="C206" s="4" t="s">
        <v>39</v>
      </c>
      <c r="D206" s="4" t="s">
        <v>37</v>
      </c>
      <c r="E206" s="4" t="s">
        <v>25</v>
      </c>
      <c r="F206" s="4" t="s">
        <v>25</v>
      </c>
      <c r="G206" s="4" t="s">
        <v>25</v>
      </c>
      <c r="H206" s="4" t="s">
        <v>33</v>
      </c>
      <c r="I206" s="5">
        <v>44378</v>
      </c>
      <c r="J206" s="6">
        <v>0</v>
      </c>
      <c r="K206" s="6">
        <v>0</v>
      </c>
      <c r="L206" s="6">
        <v>71.120999999999995</v>
      </c>
      <c r="M206" s="6">
        <v>71.120999999999995</v>
      </c>
      <c r="N206" s="6">
        <v>71.120999999999995</v>
      </c>
      <c r="O206" s="6">
        <v>71.120999999999995</v>
      </c>
      <c r="P206" s="6">
        <v>0</v>
      </c>
      <c r="Q206" s="4" t="s">
        <v>26</v>
      </c>
      <c r="R206" s="4">
        <v>0</v>
      </c>
      <c r="S206" s="6">
        <v>0</v>
      </c>
      <c r="T206" s="6">
        <v>21</v>
      </c>
      <c r="U206" s="6">
        <v>66</v>
      </c>
      <c r="V206" s="6">
        <f>IF(ISERROR(VLOOKUP($S$206,'TAR FIN'!$A$1:$O$86,15,0)),0,VLOOKUP($S$206,'TAR FIN'!$A$1:$O$86,15,0))</f>
        <v>0</v>
      </c>
      <c r="W206" s="6">
        <f>IF(ISERROR(VLOOKUP($T$206,'TAR FIN'!$A$1:$O$86,15,0)),0,VLOOKUP($T$206,'TAR FIN'!$A$1:$O$86,15,0))</f>
        <v>596.78</v>
      </c>
      <c r="X206" s="6">
        <f>IF(ISERROR(VLOOKUP($U$206,'TAR FIN'!$A$1:$O$86,15,0)),0,VLOOKUP($U$206,'TAR FIN'!$A$1:$O$86,15,0))</f>
        <v>503.82</v>
      </c>
      <c r="Y206" s="6"/>
      <c r="Z206" s="6">
        <f ca="1">('TUSD BE'!$AM$11+'TUSD BF'!$AM$11+'TUSD CVA'!$AM$11)*1</f>
        <v>625.67033946440574</v>
      </c>
      <c r="AA206" s="6">
        <f>('TE BE'!$AB$5+'TE BF'!$AB$5+'TE CVA'!$AB$5)*1</f>
        <v>398.01664046087393</v>
      </c>
      <c r="AB206" s="6">
        <f>$K$206*$V$206</f>
        <v>0</v>
      </c>
      <c r="AC206" s="6">
        <f>$M$206*$W$206</f>
        <v>42443.590379999994</v>
      </c>
      <c r="AD206" s="6">
        <f>$O$206*$X$206</f>
        <v>35832.182219999995</v>
      </c>
      <c r="AE206" s="6">
        <f>$K$206*$Y$206</f>
        <v>0</v>
      </c>
      <c r="AF206" s="6">
        <f ca="1">$M$206*$Z$206</f>
        <v>44498.300213047994</v>
      </c>
      <c r="AG206" s="6">
        <f>$O$206*$AA$206</f>
        <v>28307.341486217814</v>
      </c>
    </row>
    <row r="207" spans="1:33" ht="11.25" customHeight="1" x14ac:dyDescent="0.25">
      <c r="A207" s="4" t="s">
        <v>27</v>
      </c>
      <c r="B207" s="4" t="s">
        <v>38</v>
      </c>
      <c r="C207" s="4" t="s">
        <v>39</v>
      </c>
      <c r="D207" s="4" t="s">
        <v>37</v>
      </c>
      <c r="E207" s="4" t="s">
        <v>25</v>
      </c>
      <c r="F207" s="4" t="s">
        <v>25</v>
      </c>
      <c r="G207" s="4" t="s">
        <v>25</v>
      </c>
      <c r="H207" s="4" t="s">
        <v>33</v>
      </c>
      <c r="I207" s="5">
        <v>44378</v>
      </c>
      <c r="J207" s="6">
        <v>0</v>
      </c>
      <c r="K207" s="6">
        <v>0</v>
      </c>
      <c r="L207" s="6">
        <v>9.6219999999999999</v>
      </c>
      <c r="M207" s="6">
        <v>9.6219999999999999</v>
      </c>
      <c r="N207" s="6">
        <v>9.6219999999999999</v>
      </c>
      <c r="O207" s="6">
        <v>9.6219999999999999</v>
      </c>
      <c r="P207" s="6">
        <v>0</v>
      </c>
      <c r="Q207" s="4" t="s">
        <v>26</v>
      </c>
      <c r="R207" s="4">
        <v>0</v>
      </c>
      <c r="S207" s="6">
        <v>0</v>
      </c>
      <c r="T207" s="6">
        <v>21</v>
      </c>
      <c r="U207" s="6">
        <v>66</v>
      </c>
      <c r="V207" s="6">
        <f>IF(ISERROR(VLOOKUP($S$207,'TAR FIN'!$A$1:$O$86,15,0)),0,VLOOKUP($S$207,'TAR FIN'!$A$1:$O$86,15,0))</f>
        <v>0</v>
      </c>
      <c r="W207" s="6">
        <f>IF(ISERROR(VLOOKUP($T$207,'TAR FIN'!$A$1:$O$86,15,0)),0,VLOOKUP($T$207,'TAR FIN'!$A$1:$O$86,15,0))</f>
        <v>596.78</v>
      </c>
      <c r="X207" s="6">
        <f>IF(ISERROR(VLOOKUP($U$207,'TAR FIN'!$A$1:$O$86,15,0)),0,VLOOKUP($U$207,'TAR FIN'!$A$1:$O$86,15,0))</f>
        <v>503.82</v>
      </c>
      <c r="Y207" s="6"/>
      <c r="Z207" s="6">
        <f ca="1">('TUSD BE'!$AM$11+'TUSD BF'!$AM$11+'TUSD CVA'!$AM$11)*1</f>
        <v>625.67033946440574</v>
      </c>
      <c r="AA207" s="6">
        <f>('TE BE'!$AB$5+'TE BF'!$AB$5+'TE CVA'!$AB$5)*1</f>
        <v>398.01664046087393</v>
      </c>
      <c r="AB207" s="6">
        <f>$K$207*$V$207</f>
        <v>0</v>
      </c>
      <c r="AC207" s="6">
        <f>$M$207*$W$207</f>
        <v>5742.2171599999992</v>
      </c>
      <c r="AD207" s="6">
        <f>$O$207*$X$207</f>
        <v>4847.7560400000002</v>
      </c>
      <c r="AE207" s="6">
        <f>$K$207*$Y$207</f>
        <v>0</v>
      </c>
      <c r="AF207" s="6">
        <f ca="1">$M$207*$Z$207</f>
        <v>6020.2000063265123</v>
      </c>
      <c r="AG207" s="6">
        <f>$O$207*$AA$207</f>
        <v>3829.7161145145287</v>
      </c>
    </row>
    <row r="208" spans="1:33" ht="11.25" customHeight="1" x14ac:dyDescent="0.25">
      <c r="A208" s="4" t="s">
        <v>21</v>
      </c>
      <c r="B208" s="4" t="s">
        <v>38</v>
      </c>
      <c r="C208" s="4" t="s">
        <v>39</v>
      </c>
      <c r="D208" s="4" t="s">
        <v>37</v>
      </c>
      <c r="E208" s="4" t="s">
        <v>25</v>
      </c>
      <c r="F208" s="4" t="s">
        <v>25</v>
      </c>
      <c r="G208" s="4" t="s">
        <v>25</v>
      </c>
      <c r="H208" s="4" t="s">
        <v>33</v>
      </c>
      <c r="I208" s="5">
        <v>44409</v>
      </c>
      <c r="J208" s="6">
        <v>0</v>
      </c>
      <c r="K208" s="6">
        <v>0</v>
      </c>
      <c r="L208" s="6">
        <v>65.450999999999993</v>
      </c>
      <c r="M208" s="6">
        <v>65.450999999999993</v>
      </c>
      <c r="N208" s="6">
        <v>65.450999999999993</v>
      </c>
      <c r="O208" s="6">
        <v>65.450999999999993</v>
      </c>
      <c r="P208" s="6">
        <v>0</v>
      </c>
      <c r="Q208" s="4" t="s">
        <v>26</v>
      </c>
      <c r="R208" s="4">
        <v>0</v>
      </c>
      <c r="S208" s="6">
        <v>0</v>
      </c>
      <c r="T208" s="6">
        <v>21</v>
      </c>
      <c r="U208" s="6">
        <v>66</v>
      </c>
      <c r="V208" s="6">
        <f>IF(ISERROR(VLOOKUP($S$208,'TAR FIN'!$A$1:$O$86,15,0)),0,VLOOKUP($S$208,'TAR FIN'!$A$1:$O$86,15,0))</f>
        <v>0</v>
      </c>
      <c r="W208" s="6">
        <f>IF(ISERROR(VLOOKUP($T$208,'TAR FIN'!$A$1:$O$86,15,0)),0,VLOOKUP($T$208,'TAR FIN'!$A$1:$O$86,15,0))</f>
        <v>596.78</v>
      </c>
      <c r="X208" s="6">
        <f>IF(ISERROR(VLOOKUP($U$208,'TAR FIN'!$A$1:$O$86,15,0)),0,VLOOKUP($U$208,'TAR FIN'!$A$1:$O$86,15,0))</f>
        <v>503.82</v>
      </c>
      <c r="Y208" s="6"/>
      <c r="Z208" s="6">
        <f ca="1">('TUSD BE'!$AM$11+'TUSD BF'!$AM$11+'TUSD CVA'!$AM$11)*1</f>
        <v>625.67033946440574</v>
      </c>
      <c r="AA208" s="6">
        <f>('TE BE'!$AB$5+'TE BF'!$AB$5+'TE CVA'!$AB$5)*1</f>
        <v>398.01664046087393</v>
      </c>
      <c r="AB208" s="6">
        <f>$K$208*$V$208</f>
        <v>0</v>
      </c>
      <c r="AC208" s="6">
        <f>$M$208*$W$208</f>
        <v>39059.847779999996</v>
      </c>
      <c r="AD208" s="6">
        <f>$O$208*$X$208</f>
        <v>32975.522819999998</v>
      </c>
      <c r="AE208" s="6">
        <f>$K$208*$Y$208</f>
        <v>0</v>
      </c>
      <c r="AF208" s="6">
        <f ca="1">$M$208*$Z$208</f>
        <v>40950.749388284814</v>
      </c>
      <c r="AG208" s="6">
        <f>$O$208*$AA$208</f>
        <v>26050.587134804657</v>
      </c>
    </row>
    <row r="209" spans="1:33" ht="11.25" customHeight="1" x14ac:dyDescent="0.25">
      <c r="A209" s="4" t="s">
        <v>27</v>
      </c>
      <c r="B209" s="4" t="s">
        <v>38</v>
      </c>
      <c r="C209" s="4" t="s">
        <v>39</v>
      </c>
      <c r="D209" s="4" t="s">
        <v>37</v>
      </c>
      <c r="E209" s="4" t="s">
        <v>25</v>
      </c>
      <c r="F209" s="4" t="s">
        <v>25</v>
      </c>
      <c r="G209" s="4" t="s">
        <v>25</v>
      </c>
      <c r="H209" s="4" t="s">
        <v>33</v>
      </c>
      <c r="I209" s="5">
        <v>44409</v>
      </c>
      <c r="J209" s="6">
        <v>0</v>
      </c>
      <c r="K209" s="6">
        <v>0</v>
      </c>
      <c r="L209" s="6">
        <v>6.7549999999999999</v>
      </c>
      <c r="M209" s="6">
        <v>6.7549999999999999</v>
      </c>
      <c r="N209" s="6">
        <v>6.7549999999999999</v>
      </c>
      <c r="O209" s="6">
        <v>6.7549999999999999</v>
      </c>
      <c r="P209" s="6">
        <v>0</v>
      </c>
      <c r="Q209" s="4" t="s">
        <v>26</v>
      </c>
      <c r="R209" s="4">
        <v>0</v>
      </c>
      <c r="S209" s="6">
        <v>0</v>
      </c>
      <c r="T209" s="6">
        <v>21</v>
      </c>
      <c r="U209" s="6">
        <v>66</v>
      </c>
      <c r="V209" s="6">
        <f>IF(ISERROR(VLOOKUP($S$209,'TAR FIN'!$A$1:$O$86,15,0)),0,VLOOKUP($S$209,'TAR FIN'!$A$1:$O$86,15,0))</f>
        <v>0</v>
      </c>
      <c r="W209" s="6">
        <f>IF(ISERROR(VLOOKUP($T$209,'TAR FIN'!$A$1:$O$86,15,0)),0,VLOOKUP($T$209,'TAR FIN'!$A$1:$O$86,15,0))</f>
        <v>596.78</v>
      </c>
      <c r="X209" s="6">
        <f>IF(ISERROR(VLOOKUP($U$209,'TAR FIN'!$A$1:$O$86,15,0)),0,VLOOKUP($U$209,'TAR FIN'!$A$1:$O$86,15,0))</f>
        <v>503.82</v>
      </c>
      <c r="Y209" s="6"/>
      <c r="Z209" s="6">
        <f ca="1">('TUSD BE'!$AM$11+'TUSD BF'!$AM$11+'TUSD CVA'!$AM$11)*1</f>
        <v>625.67033946440574</v>
      </c>
      <c r="AA209" s="6">
        <f>('TE BE'!$AB$5+'TE BF'!$AB$5+'TE CVA'!$AB$5)*1</f>
        <v>398.01664046087393</v>
      </c>
      <c r="AB209" s="6">
        <f>$K$209*$V$209</f>
        <v>0</v>
      </c>
      <c r="AC209" s="6">
        <f>$M$209*$W$209</f>
        <v>4031.2488999999996</v>
      </c>
      <c r="AD209" s="6">
        <f>$O$209*$X$209</f>
        <v>3403.3040999999998</v>
      </c>
      <c r="AE209" s="6">
        <f>$K$209*$Y$209</f>
        <v>0</v>
      </c>
      <c r="AF209" s="6">
        <f ca="1">$M$209*$Z$209</f>
        <v>4226.4031430820605</v>
      </c>
      <c r="AG209" s="6">
        <f>$O$209*$AA$209</f>
        <v>2688.6024063132036</v>
      </c>
    </row>
    <row r="210" spans="1:33" ht="11.25" customHeight="1" x14ac:dyDescent="0.25">
      <c r="A210" s="4" t="s">
        <v>21</v>
      </c>
      <c r="B210" s="4" t="s">
        <v>38</v>
      </c>
      <c r="C210" s="4" t="s">
        <v>39</v>
      </c>
      <c r="D210" s="4" t="s">
        <v>37</v>
      </c>
      <c r="E210" s="4" t="s">
        <v>25</v>
      </c>
      <c r="F210" s="4" t="s">
        <v>25</v>
      </c>
      <c r="G210" s="4" t="s">
        <v>25</v>
      </c>
      <c r="H210" s="4" t="s">
        <v>33</v>
      </c>
      <c r="I210" s="5">
        <v>44440</v>
      </c>
      <c r="J210" s="6">
        <v>0</v>
      </c>
      <c r="K210" s="6">
        <v>0</v>
      </c>
      <c r="L210" s="6">
        <v>65.378</v>
      </c>
      <c r="M210" s="6">
        <v>65.378</v>
      </c>
      <c r="N210" s="6">
        <v>65.378</v>
      </c>
      <c r="O210" s="6">
        <v>65.378</v>
      </c>
      <c r="P210" s="6">
        <v>0</v>
      </c>
      <c r="Q210" s="4" t="s">
        <v>26</v>
      </c>
      <c r="R210" s="4">
        <v>0</v>
      </c>
      <c r="S210" s="6">
        <v>0</v>
      </c>
      <c r="T210" s="6">
        <v>21</v>
      </c>
      <c r="U210" s="6">
        <v>66</v>
      </c>
      <c r="V210" s="6">
        <f>IF(ISERROR(VLOOKUP($S$210,'TAR FIN'!$A$1:$O$86,15,0)),0,VLOOKUP($S$210,'TAR FIN'!$A$1:$O$86,15,0))</f>
        <v>0</v>
      </c>
      <c r="W210" s="6">
        <f>IF(ISERROR(VLOOKUP($T$210,'TAR FIN'!$A$1:$O$86,15,0)),0,VLOOKUP($T$210,'TAR FIN'!$A$1:$O$86,15,0))</f>
        <v>596.78</v>
      </c>
      <c r="X210" s="6">
        <f>IF(ISERROR(VLOOKUP($U$210,'TAR FIN'!$A$1:$O$86,15,0)),0,VLOOKUP($U$210,'TAR FIN'!$A$1:$O$86,15,0))</f>
        <v>503.82</v>
      </c>
      <c r="Y210" s="6"/>
      <c r="Z210" s="6">
        <f ca="1">('TUSD BE'!$AM$11+'TUSD BF'!$AM$11+'TUSD CVA'!$AM$11)*1</f>
        <v>625.67033946440574</v>
      </c>
      <c r="AA210" s="6">
        <f>('TE BE'!$AB$5+'TE BF'!$AB$5+'TE CVA'!$AB$5)*1</f>
        <v>398.01664046087393</v>
      </c>
      <c r="AB210" s="6">
        <f>$K$210*$V$210</f>
        <v>0</v>
      </c>
      <c r="AC210" s="6">
        <f>$M$210*$W$210</f>
        <v>39016.28284</v>
      </c>
      <c r="AD210" s="6">
        <f>$O$210*$X$210</f>
        <v>32938.74396</v>
      </c>
      <c r="AE210" s="6">
        <f>$K$210*$Y$210</f>
        <v>0</v>
      </c>
      <c r="AF210" s="6">
        <f ca="1">$M$210*$Z$210</f>
        <v>40905.075453503916</v>
      </c>
      <c r="AG210" s="6">
        <f>$O$210*$AA$210</f>
        <v>26021.531920051017</v>
      </c>
    </row>
    <row r="211" spans="1:33" ht="11.25" customHeight="1" x14ac:dyDescent="0.25">
      <c r="A211" s="4" t="s">
        <v>27</v>
      </c>
      <c r="B211" s="4" t="s">
        <v>38</v>
      </c>
      <c r="C211" s="4" t="s">
        <v>39</v>
      </c>
      <c r="D211" s="4" t="s">
        <v>37</v>
      </c>
      <c r="E211" s="4" t="s">
        <v>25</v>
      </c>
      <c r="F211" s="4" t="s">
        <v>25</v>
      </c>
      <c r="G211" s="4" t="s">
        <v>25</v>
      </c>
      <c r="H211" s="4" t="s">
        <v>33</v>
      </c>
      <c r="I211" s="5">
        <v>44440</v>
      </c>
      <c r="J211" s="6">
        <v>0</v>
      </c>
      <c r="K211" s="6">
        <v>0</v>
      </c>
      <c r="L211" s="6">
        <v>4.8810000000000002</v>
      </c>
      <c r="M211" s="6">
        <v>4.8810000000000002</v>
      </c>
      <c r="N211" s="6">
        <v>4.8810000000000002</v>
      </c>
      <c r="O211" s="6">
        <v>4.8810000000000002</v>
      </c>
      <c r="P211" s="6">
        <v>0</v>
      </c>
      <c r="Q211" s="4" t="s">
        <v>26</v>
      </c>
      <c r="R211" s="4">
        <v>0</v>
      </c>
      <c r="S211" s="6">
        <v>0</v>
      </c>
      <c r="T211" s="6">
        <v>21</v>
      </c>
      <c r="U211" s="6">
        <v>66</v>
      </c>
      <c r="V211" s="6">
        <f>IF(ISERROR(VLOOKUP($S$211,'TAR FIN'!$A$1:$O$86,15,0)),0,VLOOKUP($S$211,'TAR FIN'!$A$1:$O$86,15,0))</f>
        <v>0</v>
      </c>
      <c r="W211" s="6">
        <f>IF(ISERROR(VLOOKUP($T$211,'TAR FIN'!$A$1:$O$86,15,0)),0,VLOOKUP($T$211,'TAR FIN'!$A$1:$O$86,15,0))</f>
        <v>596.78</v>
      </c>
      <c r="X211" s="6">
        <f>IF(ISERROR(VLOOKUP($U$211,'TAR FIN'!$A$1:$O$86,15,0)),0,VLOOKUP($U$211,'TAR FIN'!$A$1:$O$86,15,0))</f>
        <v>503.82</v>
      </c>
      <c r="Y211" s="6"/>
      <c r="Z211" s="6">
        <f ca="1">('TUSD BE'!$AM$11+'TUSD BF'!$AM$11+'TUSD CVA'!$AM$11)*1</f>
        <v>625.67033946440574</v>
      </c>
      <c r="AA211" s="6">
        <f>('TE BE'!$AB$5+'TE BF'!$AB$5+'TE CVA'!$AB$5)*1</f>
        <v>398.01664046087393</v>
      </c>
      <c r="AB211" s="6">
        <f>$K$211*$V$211</f>
        <v>0</v>
      </c>
      <c r="AC211" s="6">
        <f>$M$211*$W$211</f>
        <v>2912.8831799999998</v>
      </c>
      <c r="AD211" s="6">
        <f>$O$211*$X$211</f>
        <v>2459.1454200000003</v>
      </c>
      <c r="AE211" s="6">
        <f>$K$211*$Y$211</f>
        <v>0</v>
      </c>
      <c r="AF211" s="6">
        <f ca="1">$M$211*$Z$211</f>
        <v>3053.8969269257645</v>
      </c>
      <c r="AG211" s="6">
        <f>$O$211*$AA$211</f>
        <v>1942.7192220895258</v>
      </c>
    </row>
    <row r="212" spans="1:33" ht="11.25" customHeight="1" x14ac:dyDescent="0.25">
      <c r="A212" s="4" t="s">
        <v>21</v>
      </c>
      <c r="B212" s="4" t="s">
        <v>38</v>
      </c>
      <c r="C212" s="4" t="s">
        <v>39</v>
      </c>
      <c r="D212" s="4" t="s">
        <v>37</v>
      </c>
      <c r="E212" s="4" t="s">
        <v>25</v>
      </c>
      <c r="F212" s="4" t="s">
        <v>25</v>
      </c>
      <c r="G212" s="4" t="s">
        <v>25</v>
      </c>
      <c r="H212" s="4" t="s">
        <v>33</v>
      </c>
      <c r="I212" s="5">
        <v>44470</v>
      </c>
      <c r="J212" s="6">
        <v>0</v>
      </c>
      <c r="K212" s="6">
        <v>0</v>
      </c>
      <c r="L212" s="6">
        <v>65.012</v>
      </c>
      <c r="M212" s="6">
        <v>65.012</v>
      </c>
      <c r="N212" s="6">
        <v>65.012</v>
      </c>
      <c r="O212" s="6">
        <v>65.012</v>
      </c>
      <c r="P212" s="6">
        <v>0</v>
      </c>
      <c r="Q212" s="4" t="s">
        <v>26</v>
      </c>
      <c r="R212" s="4">
        <v>0</v>
      </c>
      <c r="S212" s="6">
        <v>0</v>
      </c>
      <c r="T212" s="6">
        <v>21</v>
      </c>
      <c r="U212" s="6">
        <v>66</v>
      </c>
      <c r="V212" s="6">
        <f>IF(ISERROR(VLOOKUP($S$212,'TAR FIN'!$A$1:$O$86,15,0)),0,VLOOKUP($S$212,'TAR FIN'!$A$1:$O$86,15,0))</f>
        <v>0</v>
      </c>
      <c r="W212" s="6">
        <f>IF(ISERROR(VLOOKUP($T$212,'TAR FIN'!$A$1:$O$86,15,0)),0,VLOOKUP($T$212,'TAR FIN'!$A$1:$O$86,15,0))</f>
        <v>596.78</v>
      </c>
      <c r="X212" s="6">
        <f>IF(ISERROR(VLOOKUP($U$212,'TAR FIN'!$A$1:$O$86,15,0)),0,VLOOKUP($U$212,'TAR FIN'!$A$1:$O$86,15,0))</f>
        <v>503.82</v>
      </c>
      <c r="Y212" s="6"/>
      <c r="Z212" s="6">
        <f ca="1">('TUSD BE'!$AM$11+'TUSD BF'!$AM$11+'TUSD CVA'!$AM$11)*1</f>
        <v>625.67033946440574</v>
      </c>
      <c r="AA212" s="6">
        <f>('TE BE'!$AB$5+'TE BF'!$AB$5+'TE CVA'!$AB$5)*1</f>
        <v>398.01664046087393</v>
      </c>
      <c r="AB212" s="6">
        <f>$K$212*$V$212</f>
        <v>0</v>
      </c>
      <c r="AC212" s="6">
        <f>$M$212*$W$212</f>
        <v>38797.861359999995</v>
      </c>
      <c r="AD212" s="6">
        <f>$O$212*$X$212</f>
        <v>32754.345839999998</v>
      </c>
      <c r="AE212" s="6">
        <f>$K$212*$Y$212</f>
        <v>0</v>
      </c>
      <c r="AF212" s="6">
        <f ca="1">$M$212*$Z$212</f>
        <v>40676.080109259943</v>
      </c>
      <c r="AG212" s="6">
        <f>$O$212*$AA$212</f>
        <v>25875.857829642337</v>
      </c>
    </row>
    <row r="213" spans="1:33" ht="11.25" customHeight="1" x14ac:dyDescent="0.25">
      <c r="A213" s="4" t="s">
        <v>27</v>
      </c>
      <c r="B213" s="4" t="s">
        <v>38</v>
      </c>
      <c r="C213" s="4" t="s">
        <v>39</v>
      </c>
      <c r="D213" s="4" t="s">
        <v>37</v>
      </c>
      <c r="E213" s="4" t="s">
        <v>25</v>
      </c>
      <c r="F213" s="4" t="s">
        <v>25</v>
      </c>
      <c r="G213" s="4" t="s">
        <v>25</v>
      </c>
      <c r="H213" s="4" t="s">
        <v>33</v>
      </c>
      <c r="I213" s="5">
        <v>44470</v>
      </c>
      <c r="J213" s="6">
        <v>0</v>
      </c>
      <c r="K213" s="6">
        <v>0</v>
      </c>
      <c r="L213" s="6">
        <v>2.9849999999999999</v>
      </c>
      <c r="M213" s="6">
        <v>2.9849999999999999</v>
      </c>
      <c r="N213" s="6">
        <v>2.9849999999999999</v>
      </c>
      <c r="O213" s="6">
        <v>2.9849999999999999</v>
      </c>
      <c r="P213" s="6">
        <v>0</v>
      </c>
      <c r="Q213" s="4" t="s">
        <v>26</v>
      </c>
      <c r="R213" s="4">
        <v>0</v>
      </c>
      <c r="S213" s="6">
        <v>0</v>
      </c>
      <c r="T213" s="6">
        <v>21</v>
      </c>
      <c r="U213" s="6">
        <v>66</v>
      </c>
      <c r="V213" s="6">
        <f>IF(ISERROR(VLOOKUP($S$213,'TAR FIN'!$A$1:$O$86,15,0)),0,VLOOKUP($S$213,'TAR FIN'!$A$1:$O$86,15,0))</f>
        <v>0</v>
      </c>
      <c r="W213" s="6">
        <f>IF(ISERROR(VLOOKUP($T$213,'TAR FIN'!$A$1:$O$86,15,0)),0,VLOOKUP($T$213,'TAR FIN'!$A$1:$O$86,15,0))</f>
        <v>596.78</v>
      </c>
      <c r="X213" s="6">
        <f>IF(ISERROR(VLOOKUP($U$213,'TAR FIN'!$A$1:$O$86,15,0)),0,VLOOKUP($U$213,'TAR FIN'!$A$1:$O$86,15,0))</f>
        <v>503.82</v>
      </c>
      <c r="Y213" s="6"/>
      <c r="Z213" s="6">
        <f ca="1">('TUSD BE'!$AM$11+'TUSD BF'!$AM$11+'TUSD CVA'!$AM$11)*1</f>
        <v>625.67033946440574</v>
      </c>
      <c r="AA213" s="6">
        <f>('TE BE'!$AB$5+'TE BF'!$AB$5+'TE CVA'!$AB$5)*1</f>
        <v>398.01664046087393</v>
      </c>
      <c r="AB213" s="6">
        <f>$K$213*$V$213</f>
        <v>0</v>
      </c>
      <c r="AC213" s="6">
        <f>$M$213*$W$213</f>
        <v>1781.3882999999998</v>
      </c>
      <c r="AD213" s="6">
        <f>$O$213*$X$213</f>
        <v>1503.9026999999999</v>
      </c>
      <c r="AE213" s="6">
        <f>$K$213*$Y$213</f>
        <v>0</v>
      </c>
      <c r="AF213" s="6">
        <f ca="1">$M$213*$Z$213</f>
        <v>1867.625963301251</v>
      </c>
      <c r="AG213" s="6">
        <f>$O$213*$AA$213</f>
        <v>1188.0796717757087</v>
      </c>
    </row>
    <row r="214" spans="1:33" ht="11.25" customHeight="1" x14ac:dyDescent="0.25">
      <c r="A214" s="4" t="s">
        <v>21</v>
      </c>
      <c r="B214" s="4" t="s">
        <v>38</v>
      </c>
      <c r="C214" s="4" t="s">
        <v>39</v>
      </c>
      <c r="D214" s="4" t="s">
        <v>37</v>
      </c>
      <c r="E214" s="4" t="s">
        <v>25</v>
      </c>
      <c r="F214" s="4" t="s">
        <v>25</v>
      </c>
      <c r="G214" s="4" t="s">
        <v>25</v>
      </c>
      <c r="H214" s="4" t="s">
        <v>33</v>
      </c>
      <c r="I214" s="5">
        <v>44501</v>
      </c>
      <c r="J214" s="6">
        <v>0</v>
      </c>
      <c r="K214" s="6">
        <v>0</v>
      </c>
      <c r="L214" s="6">
        <v>48.618000000000002</v>
      </c>
      <c r="M214" s="6">
        <v>48.618000000000002</v>
      </c>
      <c r="N214" s="6">
        <v>48.618000000000002</v>
      </c>
      <c r="O214" s="6">
        <v>48.618000000000002</v>
      </c>
      <c r="P214" s="6">
        <v>0</v>
      </c>
      <c r="Q214" s="4" t="s">
        <v>26</v>
      </c>
      <c r="R214" s="4">
        <v>0</v>
      </c>
      <c r="S214" s="6">
        <v>0</v>
      </c>
      <c r="T214" s="6">
        <v>21</v>
      </c>
      <c r="U214" s="6">
        <v>66</v>
      </c>
      <c r="V214" s="6">
        <f>IF(ISERROR(VLOOKUP($S$214,'TAR FIN'!$A$1:$O$86,15,0)),0,VLOOKUP($S$214,'TAR FIN'!$A$1:$O$86,15,0))</f>
        <v>0</v>
      </c>
      <c r="W214" s="6">
        <f>IF(ISERROR(VLOOKUP($T$214,'TAR FIN'!$A$1:$O$86,15,0)),0,VLOOKUP($T$214,'TAR FIN'!$A$1:$O$86,15,0))</f>
        <v>596.78</v>
      </c>
      <c r="X214" s="6">
        <f>IF(ISERROR(VLOOKUP($U$214,'TAR FIN'!$A$1:$O$86,15,0)),0,VLOOKUP($U$214,'TAR FIN'!$A$1:$O$86,15,0))</f>
        <v>503.82</v>
      </c>
      <c r="Y214" s="6"/>
      <c r="Z214" s="6">
        <f ca="1">('TUSD BE'!$AM$11+'TUSD BF'!$AM$11+'TUSD CVA'!$AM$11)*1</f>
        <v>625.67033946440574</v>
      </c>
      <c r="AA214" s="6">
        <f>('TE BE'!$AB$5+'TE BF'!$AB$5+'TE CVA'!$AB$5)*1</f>
        <v>398.01664046087393</v>
      </c>
      <c r="AB214" s="6">
        <f>$K$214*$V$214</f>
        <v>0</v>
      </c>
      <c r="AC214" s="6">
        <f>$M$214*$W$214</f>
        <v>29014.250039999999</v>
      </c>
      <c r="AD214" s="6">
        <f>$O$214*$X$214</f>
        <v>24494.72076</v>
      </c>
      <c r="AE214" s="6">
        <f>$K$214*$Y$214</f>
        <v>0</v>
      </c>
      <c r="AF214" s="6">
        <f ca="1">$M$214*$Z$214</f>
        <v>30418.840564080481</v>
      </c>
      <c r="AG214" s="6">
        <f>$O$214*$AA$214</f>
        <v>19350.77302592677</v>
      </c>
    </row>
    <row r="215" spans="1:33" ht="11.25" customHeight="1" x14ac:dyDescent="0.25">
      <c r="A215" s="4" t="s">
        <v>27</v>
      </c>
      <c r="B215" s="4" t="s">
        <v>38</v>
      </c>
      <c r="C215" s="4" t="s">
        <v>39</v>
      </c>
      <c r="D215" s="4" t="s">
        <v>37</v>
      </c>
      <c r="E215" s="4" t="s">
        <v>25</v>
      </c>
      <c r="F215" s="4" t="s">
        <v>25</v>
      </c>
      <c r="G215" s="4" t="s">
        <v>25</v>
      </c>
      <c r="H215" s="4" t="s">
        <v>33</v>
      </c>
      <c r="I215" s="5">
        <v>44501</v>
      </c>
      <c r="J215" s="6">
        <v>0</v>
      </c>
      <c r="K215" s="6">
        <v>0</v>
      </c>
      <c r="L215" s="6">
        <v>5.08</v>
      </c>
      <c r="M215" s="6">
        <v>5.08</v>
      </c>
      <c r="N215" s="6">
        <v>5.08</v>
      </c>
      <c r="O215" s="6">
        <v>5.08</v>
      </c>
      <c r="P215" s="6">
        <v>0</v>
      </c>
      <c r="Q215" s="4" t="s">
        <v>26</v>
      </c>
      <c r="R215" s="4">
        <v>0</v>
      </c>
      <c r="S215" s="6">
        <v>0</v>
      </c>
      <c r="T215" s="6">
        <v>21</v>
      </c>
      <c r="U215" s="6">
        <v>66</v>
      </c>
      <c r="V215" s="6">
        <f>IF(ISERROR(VLOOKUP($S$215,'TAR FIN'!$A$1:$O$86,15,0)),0,VLOOKUP($S$215,'TAR FIN'!$A$1:$O$86,15,0))</f>
        <v>0</v>
      </c>
      <c r="W215" s="6">
        <f>IF(ISERROR(VLOOKUP($T$215,'TAR FIN'!$A$1:$O$86,15,0)),0,VLOOKUP($T$215,'TAR FIN'!$A$1:$O$86,15,0))</f>
        <v>596.78</v>
      </c>
      <c r="X215" s="6">
        <f>IF(ISERROR(VLOOKUP($U$215,'TAR FIN'!$A$1:$O$86,15,0)),0,VLOOKUP($U$215,'TAR FIN'!$A$1:$O$86,15,0))</f>
        <v>503.82</v>
      </c>
      <c r="Y215" s="6"/>
      <c r="Z215" s="6">
        <f ca="1">('TUSD BE'!$AM$11+'TUSD BF'!$AM$11+'TUSD CVA'!$AM$11)*1</f>
        <v>625.67033946440574</v>
      </c>
      <c r="AA215" s="6">
        <f>('TE BE'!$AB$5+'TE BF'!$AB$5+'TE CVA'!$AB$5)*1</f>
        <v>398.01664046087393</v>
      </c>
      <c r="AB215" s="6">
        <f>$K$215*$V$215</f>
        <v>0</v>
      </c>
      <c r="AC215" s="6">
        <f>$M$215*$W$215</f>
        <v>3031.6423999999997</v>
      </c>
      <c r="AD215" s="6">
        <f>$O$215*$X$215</f>
        <v>2559.4056</v>
      </c>
      <c r="AE215" s="6">
        <f>$K$215*$Y$215</f>
        <v>0</v>
      </c>
      <c r="AF215" s="6">
        <f ca="1">$M$215*$Z$215</f>
        <v>3178.4053244791812</v>
      </c>
      <c r="AG215" s="6">
        <f>$O$215*$AA$215</f>
        <v>2021.9245335412395</v>
      </c>
    </row>
    <row r="216" spans="1:33" ht="11.25" customHeight="1" x14ac:dyDescent="0.25">
      <c r="A216" s="4" t="s">
        <v>21</v>
      </c>
      <c r="B216" s="4" t="s">
        <v>38</v>
      </c>
      <c r="C216" s="4" t="s">
        <v>39</v>
      </c>
      <c r="D216" s="4" t="s">
        <v>37</v>
      </c>
      <c r="E216" s="4" t="s">
        <v>25</v>
      </c>
      <c r="F216" s="4" t="s">
        <v>25</v>
      </c>
      <c r="G216" s="4" t="s">
        <v>25</v>
      </c>
      <c r="H216" s="4" t="s">
        <v>33</v>
      </c>
      <c r="I216" s="5">
        <v>44531</v>
      </c>
      <c r="J216" s="6">
        <v>0</v>
      </c>
      <c r="K216" s="6">
        <v>0</v>
      </c>
      <c r="L216" s="6">
        <v>46.613999999999997</v>
      </c>
      <c r="M216" s="6">
        <v>46.613999999999997</v>
      </c>
      <c r="N216" s="6">
        <v>46.613999999999997</v>
      </c>
      <c r="O216" s="6">
        <v>46.613999999999997</v>
      </c>
      <c r="P216" s="6">
        <v>0</v>
      </c>
      <c r="Q216" s="4" t="s">
        <v>26</v>
      </c>
      <c r="R216" s="4">
        <v>0</v>
      </c>
      <c r="S216" s="6">
        <v>0</v>
      </c>
      <c r="T216" s="6">
        <v>21</v>
      </c>
      <c r="U216" s="6">
        <v>66</v>
      </c>
      <c r="V216" s="6">
        <f>IF(ISERROR(VLOOKUP($S$216,'TAR FIN'!$A$1:$O$86,15,0)),0,VLOOKUP($S$216,'TAR FIN'!$A$1:$O$86,15,0))</f>
        <v>0</v>
      </c>
      <c r="W216" s="6">
        <f>IF(ISERROR(VLOOKUP($T$216,'TAR FIN'!$A$1:$O$86,15,0)),0,VLOOKUP($T$216,'TAR FIN'!$A$1:$O$86,15,0))</f>
        <v>596.78</v>
      </c>
      <c r="X216" s="6">
        <f>IF(ISERROR(VLOOKUP($U$216,'TAR FIN'!$A$1:$O$86,15,0)),0,VLOOKUP($U$216,'TAR FIN'!$A$1:$O$86,15,0))</f>
        <v>503.82</v>
      </c>
      <c r="Y216" s="6"/>
      <c r="Z216" s="6">
        <f ca="1">('TUSD BE'!$AM$11+'TUSD BF'!$AM$11+'TUSD CVA'!$AM$11)*1</f>
        <v>625.67033946440574</v>
      </c>
      <c r="AA216" s="6">
        <f>('TE BE'!$AB$5+'TE BF'!$AB$5+'TE CVA'!$AB$5)*1</f>
        <v>398.01664046087393</v>
      </c>
      <c r="AB216" s="6">
        <f>$K$216*$V$216</f>
        <v>0</v>
      </c>
      <c r="AC216" s="6">
        <f>$M$216*$W$216</f>
        <v>27818.302919999998</v>
      </c>
      <c r="AD216" s="6">
        <f>$O$216*$X$216</f>
        <v>23485.065479999997</v>
      </c>
      <c r="AE216" s="6">
        <f>$K$216*$Y$216</f>
        <v>0</v>
      </c>
      <c r="AF216" s="6">
        <f ca="1">$M$216*$Z$216</f>
        <v>29164.997203793806</v>
      </c>
      <c r="AG216" s="6">
        <f>$O$216*$AA$216</f>
        <v>18553.147678443176</v>
      </c>
    </row>
    <row r="217" spans="1:33" ht="11.25" customHeight="1" x14ac:dyDescent="0.25">
      <c r="A217" s="4" t="s">
        <v>27</v>
      </c>
      <c r="B217" s="4" t="s">
        <v>38</v>
      </c>
      <c r="C217" s="4" t="s">
        <v>39</v>
      </c>
      <c r="D217" s="4" t="s">
        <v>37</v>
      </c>
      <c r="E217" s="4" t="s">
        <v>25</v>
      </c>
      <c r="F217" s="4" t="s">
        <v>25</v>
      </c>
      <c r="G217" s="4" t="s">
        <v>25</v>
      </c>
      <c r="H217" s="4" t="s">
        <v>33</v>
      </c>
      <c r="I217" s="5">
        <v>44531</v>
      </c>
      <c r="J217" s="6">
        <v>0</v>
      </c>
      <c r="K217" s="6">
        <v>0</v>
      </c>
      <c r="L217" s="6">
        <v>3.5489999999999999</v>
      </c>
      <c r="M217" s="6">
        <v>3.5489999999999999</v>
      </c>
      <c r="N217" s="6">
        <v>3.5489999999999999</v>
      </c>
      <c r="O217" s="6">
        <v>3.5489999999999999</v>
      </c>
      <c r="P217" s="6">
        <v>0</v>
      </c>
      <c r="Q217" s="4" t="s">
        <v>26</v>
      </c>
      <c r="R217" s="4">
        <v>0</v>
      </c>
      <c r="S217" s="6">
        <v>0</v>
      </c>
      <c r="T217" s="6">
        <v>21</v>
      </c>
      <c r="U217" s="6">
        <v>66</v>
      </c>
      <c r="V217" s="6">
        <f>IF(ISERROR(VLOOKUP($S$217,'TAR FIN'!$A$1:$O$86,15,0)),0,VLOOKUP($S$217,'TAR FIN'!$A$1:$O$86,15,0))</f>
        <v>0</v>
      </c>
      <c r="W217" s="6">
        <f>IF(ISERROR(VLOOKUP($T$217,'TAR FIN'!$A$1:$O$86,15,0)),0,VLOOKUP($T$217,'TAR FIN'!$A$1:$O$86,15,0))</f>
        <v>596.78</v>
      </c>
      <c r="X217" s="6">
        <f>IF(ISERROR(VLOOKUP($U$217,'TAR FIN'!$A$1:$O$86,15,0)),0,VLOOKUP($U$217,'TAR FIN'!$A$1:$O$86,15,0))</f>
        <v>503.82</v>
      </c>
      <c r="Y217" s="6"/>
      <c r="Z217" s="6">
        <f ca="1">('TUSD BE'!$AM$11+'TUSD BF'!$AM$11+'TUSD CVA'!$AM$11)*1</f>
        <v>625.67033946440574</v>
      </c>
      <c r="AA217" s="6">
        <f>('TE BE'!$AB$5+'TE BF'!$AB$5+'TE CVA'!$AB$5)*1</f>
        <v>398.01664046087393</v>
      </c>
      <c r="AB217" s="6">
        <f>$K$217*$V$217</f>
        <v>0</v>
      </c>
      <c r="AC217" s="6">
        <f>$M$217*$W$217</f>
        <v>2117.9722199999997</v>
      </c>
      <c r="AD217" s="6">
        <f>$O$217*$X$217</f>
        <v>1788.05718</v>
      </c>
      <c r="AE217" s="6">
        <f>$K$217*$Y$217</f>
        <v>0</v>
      </c>
      <c r="AF217" s="6">
        <f ca="1">$M$217*$Z$217</f>
        <v>2220.5040347591757</v>
      </c>
      <c r="AG217" s="6">
        <f>$O$217*$AA$217</f>
        <v>1412.5610569956416</v>
      </c>
    </row>
    <row r="218" spans="1:33" ht="11.25" customHeight="1" x14ac:dyDescent="0.25">
      <c r="A218" s="4" t="s">
        <v>21</v>
      </c>
      <c r="B218" s="4" t="s">
        <v>38</v>
      </c>
      <c r="C218" s="4" t="s">
        <v>39</v>
      </c>
      <c r="D218" s="4" t="s">
        <v>37</v>
      </c>
      <c r="E218" s="4" t="s">
        <v>25</v>
      </c>
      <c r="F218" s="4" t="s">
        <v>25</v>
      </c>
      <c r="G218" s="4" t="s">
        <v>25</v>
      </c>
      <c r="H218" s="4" t="s">
        <v>33</v>
      </c>
      <c r="I218" s="5">
        <v>44562</v>
      </c>
      <c r="J218" s="6">
        <v>0</v>
      </c>
      <c r="K218" s="6">
        <v>0</v>
      </c>
      <c r="L218" s="6">
        <v>42.738999999999997</v>
      </c>
      <c r="M218" s="6">
        <v>42.738999999999997</v>
      </c>
      <c r="N218" s="6">
        <v>42.738999999999997</v>
      </c>
      <c r="O218" s="6">
        <v>42.738999999999997</v>
      </c>
      <c r="P218" s="6">
        <v>0</v>
      </c>
      <c r="Q218" s="4" t="s">
        <v>26</v>
      </c>
      <c r="R218" s="4">
        <v>0</v>
      </c>
      <c r="S218" s="6">
        <v>0</v>
      </c>
      <c r="T218" s="6">
        <v>21</v>
      </c>
      <c r="U218" s="6">
        <v>66</v>
      </c>
      <c r="V218" s="6">
        <f>IF(ISERROR(VLOOKUP($S$218,'TAR FIN'!$A$1:$O$86,15,0)),0,VLOOKUP($S$218,'TAR FIN'!$A$1:$O$86,15,0))</f>
        <v>0</v>
      </c>
      <c r="W218" s="6">
        <f>IF(ISERROR(VLOOKUP($T$218,'TAR FIN'!$A$1:$O$86,15,0)),0,VLOOKUP($T$218,'TAR FIN'!$A$1:$O$86,15,0))</f>
        <v>596.78</v>
      </c>
      <c r="X218" s="6">
        <f>IF(ISERROR(VLOOKUP($U$218,'TAR FIN'!$A$1:$O$86,15,0)),0,VLOOKUP($U$218,'TAR FIN'!$A$1:$O$86,15,0))</f>
        <v>503.82</v>
      </c>
      <c r="Y218" s="6"/>
      <c r="Z218" s="6">
        <f ca="1">('TUSD BE'!$AM$11+'TUSD BF'!$AM$11+'TUSD CVA'!$AM$11)*1</f>
        <v>625.67033946440574</v>
      </c>
      <c r="AA218" s="6">
        <f>('TE BE'!$AB$5+'TE BF'!$AB$5+'TE CVA'!$AB$5)*1</f>
        <v>398.01664046087393</v>
      </c>
      <c r="AB218" s="6">
        <f>$K$218*$V$218</f>
        <v>0</v>
      </c>
      <c r="AC218" s="6">
        <f>$M$218*$W$218</f>
        <v>25505.780419999996</v>
      </c>
      <c r="AD218" s="6">
        <f>$O$218*$X$218</f>
        <v>21532.76298</v>
      </c>
      <c r="AE218" s="6">
        <f>$K$218*$Y$218</f>
        <v>0</v>
      </c>
      <c r="AF218" s="6">
        <f ca="1">$M$218*$Z$218</f>
        <v>26740.524638369236</v>
      </c>
      <c r="AG218" s="6">
        <f>$O$218*$AA$218</f>
        <v>17010.833196657291</v>
      </c>
    </row>
    <row r="219" spans="1:33" ht="11.25" customHeight="1" x14ac:dyDescent="0.25">
      <c r="A219" s="4" t="s">
        <v>27</v>
      </c>
      <c r="B219" s="4" t="s">
        <v>38</v>
      </c>
      <c r="C219" s="4" t="s">
        <v>39</v>
      </c>
      <c r="D219" s="4" t="s">
        <v>37</v>
      </c>
      <c r="E219" s="4" t="s">
        <v>25</v>
      </c>
      <c r="F219" s="4" t="s">
        <v>25</v>
      </c>
      <c r="G219" s="4" t="s">
        <v>25</v>
      </c>
      <c r="H219" s="4" t="s">
        <v>33</v>
      </c>
      <c r="I219" s="5">
        <v>44562</v>
      </c>
      <c r="J219" s="6">
        <v>0</v>
      </c>
      <c r="K219" s="6">
        <v>0</v>
      </c>
      <c r="L219" s="6">
        <v>6.5970000000000004</v>
      </c>
      <c r="M219" s="6">
        <v>6.5970000000000004</v>
      </c>
      <c r="N219" s="6">
        <v>6.5970000000000004</v>
      </c>
      <c r="O219" s="6">
        <v>6.5970000000000004</v>
      </c>
      <c r="P219" s="6">
        <v>0</v>
      </c>
      <c r="Q219" s="4" t="s">
        <v>26</v>
      </c>
      <c r="R219" s="4">
        <v>0</v>
      </c>
      <c r="S219" s="6">
        <v>0</v>
      </c>
      <c r="T219" s="6">
        <v>21</v>
      </c>
      <c r="U219" s="6">
        <v>66</v>
      </c>
      <c r="V219" s="6">
        <f>IF(ISERROR(VLOOKUP($S$219,'TAR FIN'!$A$1:$O$86,15,0)),0,VLOOKUP($S$219,'TAR FIN'!$A$1:$O$86,15,0))</f>
        <v>0</v>
      </c>
      <c r="W219" s="6">
        <f>IF(ISERROR(VLOOKUP($T$219,'TAR FIN'!$A$1:$O$86,15,0)),0,VLOOKUP($T$219,'TAR FIN'!$A$1:$O$86,15,0))</f>
        <v>596.78</v>
      </c>
      <c r="X219" s="6">
        <f>IF(ISERROR(VLOOKUP($U$219,'TAR FIN'!$A$1:$O$86,15,0)),0,VLOOKUP($U$219,'TAR FIN'!$A$1:$O$86,15,0))</f>
        <v>503.82</v>
      </c>
      <c r="Y219" s="6"/>
      <c r="Z219" s="6">
        <f ca="1">('TUSD BE'!$AM$11+'TUSD BF'!$AM$11+'TUSD CVA'!$AM$11)*1</f>
        <v>625.67033946440574</v>
      </c>
      <c r="AA219" s="6">
        <f>('TE BE'!$AB$5+'TE BF'!$AB$5+'TE CVA'!$AB$5)*1</f>
        <v>398.01664046087393</v>
      </c>
      <c r="AB219" s="6">
        <f>$K$219*$V$219</f>
        <v>0</v>
      </c>
      <c r="AC219" s="6">
        <f>$M$219*$W$219</f>
        <v>3936.95766</v>
      </c>
      <c r="AD219" s="6">
        <f>$O$219*$X$219</f>
        <v>3323.7005400000003</v>
      </c>
      <c r="AE219" s="6">
        <f>$K$219*$Y$219</f>
        <v>0</v>
      </c>
      <c r="AF219" s="6">
        <f ca="1">$M$219*$Z$219</f>
        <v>4127.5472294466854</v>
      </c>
      <c r="AG219" s="6">
        <f>$O$219*$AA$219</f>
        <v>2625.7157771203856</v>
      </c>
    </row>
    <row r="220" spans="1:33" ht="11.25" customHeight="1" x14ac:dyDescent="0.25">
      <c r="A220" s="4" t="s">
        <v>21</v>
      </c>
      <c r="B220" s="4" t="s">
        <v>38</v>
      </c>
      <c r="C220" s="4" t="s">
        <v>39</v>
      </c>
      <c r="D220" s="4" t="s">
        <v>37</v>
      </c>
      <c r="E220" s="4" t="s">
        <v>25</v>
      </c>
      <c r="F220" s="4" t="s">
        <v>25</v>
      </c>
      <c r="G220" s="4" t="s">
        <v>25</v>
      </c>
      <c r="H220" s="4" t="s">
        <v>33</v>
      </c>
      <c r="I220" s="5">
        <v>44593</v>
      </c>
      <c r="J220" s="6">
        <v>0</v>
      </c>
      <c r="K220" s="6">
        <v>0</v>
      </c>
      <c r="L220" s="6">
        <v>21.945</v>
      </c>
      <c r="M220" s="6">
        <v>21.945</v>
      </c>
      <c r="N220" s="6">
        <v>21.945</v>
      </c>
      <c r="O220" s="6">
        <v>21.945</v>
      </c>
      <c r="P220" s="6">
        <v>0</v>
      </c>
      <c r="Q220" s="4" t="s">
        <v>26</v>
      </c>
      <c r="R220" s="4">
        <v>0</v>
      </c>
      <c r="S220" s="6">
        <v>0</v>
      </c>
      <c r="T220" s="6">
        <v>21</v>
      </c>
      <c r="U220" s="6">
        <v>66</v>
      </c>
      <c r="V220" s="6">
        <f>IF(ISERROR(VLOOKUP($S$220,'TAR FIN'!$A$1:$O$86,15,0)),0,VLOOKUP($S$220,'TAR FIN'!$A$1:$O$86,15,0))</f>
        <v>0</v>
      </c>
      <c r="W220" s="6">
        <f>IF(ISERROR(VLOOKUP($T$220,'TAR FIN'!$A$1:$O$86,15,0)),0,VLOOKUP($T$220,'TAR FIN'!$A$1:$O$86,15,0))</f>
        <v>596.78</v>
      </c>
      <c r="X220" s="6">
        <f>IF(ISERROR(VLOOKUP($U$220,'TAR FIN'!$A$1:$O$86,15,0)),0,VLOOKUP($U$220,'TAR FIN'!$A$1:$O$86,15,0))</f>
        <v>503.82</v>
      </c>
      <c r="Y220" s="6"/>
      <c r="Z220" s="6">
        <f ca="1">('TUSD BE'!$AM$11+'TUSD BF'!$AM$11+'TUSD CVA'!$AM$11)*1</f>
        <v>625.67033946440574</v>
      </c>
      <c r="AA220" s="6">
        <f>('TE BE'!$AB$5+'TE BF'!$AB$5+'TE CVA'!$AB$5)*1</f>
        <v>398.01664046087393</v>
      </c>
      <c r="AB220" s="6">
        <f>$K$220*$V$220</f>
        <v>0</v>
      </c>
      <c r="AC220" s="6">
        <f>$M$220*$W$220</f>
        <v>13096.337099999999</v>
      </c>
      <c r="AD220" s="6">
        <f>$O$220*$X$220</f>
        <v>11056.329900000001</v>
      </c>
      <c r="AE220" s="6">
        <f>$K$220*$Y$220</f>
        <v>0</v>
      </c>
      <c r="AF220" s="6">
        <f ca="1">$M$220*$Z$220</f>
        <v>13730.335599546384</v>
      </c>
      <c r="AG220" s="6">
        <f>$O$220*$AA$220</f>
        <v>8734.4751749138777</v>
      </c>
    </row>
    <row r="221" spans="1:33" ht="11.25" customHeight="1" x14ac:dyDescent="0.25">
      <c r="A221" s="4" t="s">
        <v>27</v>
      </c>
      <c r="B221" s="4" t="s">
        <v>38</v>
      </c>
      <c r="C221" s="4" t="s">
        <v>39</v>
      </c>
      <c r="D221" s="4" t="s">
        <v>37</v>
      </c>
      <c r="E221" s="4" t="s">
        <v>25</v>
      </c>
      <c r="F221" s="4" t="s">
        <v>25</v>
      </c>
      <c r="G221" s="4" t="s">
        <v>25</v>
      </c>
      <c r="H221" s="4" t="s">
        <v>33</v>
      </c>
      <c r="I221" s="5">
        <v>44593</v>
      </c>
      <c r="J221" s="6">
        <v>0</v>
      </c>
      <c r="K221" s="6">
        <v>0</v>
      </c>
      <c r="L221" s="6">
        <v>5.7320000000000002</v>
      </c>
      <c r="M221" s="6">
        <v>5.7320000000000002</v>
      </c>
      <c r="N221" s="6">
        <v>5.7320000000000002</v>
      </c>
      <c r="O221" s="6">
        <v>5.7320000000000002</v>
      </c>
      <c r="P221" s="6">
        <v>0</v>
      </c>
      <c r="Q221" s="4" t="s">
        <v>26</v>
      </c>
      <c r="R221" s="4">
        <v>0</v>
      </c>
      <c r="S221" s="6">
        <v>0</v>
      </c>
      <c r="T221" s="6">
        <v>21</v>
      </c>
      <c r="U221" s="6">
        <v>66</v>
      </c>
      <c r="V221" s="6">
        <f>IF(ISERROR(VLOOKUP($S$221,'TAR FIN'!$A$1:$O$86,15,0)),0,VLOOKUP($S$221,'TAR FIN'!$A$1:$O$86,15,0))</f>
        <v>0</v>
      </c>
      <c r="W221" s="6">
        <f>IF(ISERROR(VLOOKUP($T$221,'TAR FIN'!$A$1:$O$86,15,0)),0,VLOOKUP($T$221,'TAR FIN'!$A$1:$O$86,15,0))</f>
        <v>596.78</v>
      </c>
      <c r="X221" s="6">
        <f>IF(ISERROR(VLOOKUP($U$221,'TAR FIN'!$A$1:$O$86,15,0)),0,VLOOKUP($U$221,'TAR FIN'!$A$1:$O$86,15,0))</f>
        <v>503.82</v>
      </c>
      <c r="Y221" s="6"/>
      <c r="Z221" s="6">
        <f ca="1">('TUSD BE'!$AM$11+'TUSD BF'!$AM$11+'TUSD CVA'!$AM$11)*1</f>
        <v>625.67033946440574</v>
      </c>
      <c r="AA221" s="6">
        <f>('TE BE'!$AB$5+'TE BF'!$AB$5+'TE CVA'!$AB$5)*1</f>
        <v>398.01664046087393</v>
      </c>
      <c r="AB221" s="6">
        <f>$K$221*$V$221</f>
        <v>0</v>
      </c>
      <c r="AC221" s="6">
        <f>$M$221*$W$221</f>
        <v>3420.74296</v>
      </c>
      <c r="AD221" s="6">
        <f>$O$221*$X$221</f>
        <v>2887.89624</v>
      </c>
      <c r="AE221" s="6">
        <f>$K$221*$Y$221</f>
        <v>0</v>
      </c>
      <c r="AF221" s="6">
        <f ca="1">$M$221*$Z$221</f>
        <v>3586.3423858099736</v>
      </c>
      <c r="AG221" s="6">
        <f>$O$221*$AA$221</f>
        <v>2281.4313831217296</v>
      </c>
    </row>
    <row r="222" spans="1:33" ht="11.25" customHeight="1" x14ac:dyDescent="0.25">
      <c r="A222" s="4" t="s">
        <v>21</v>
      </c>
      <c r="B222" s="4" t="s">
        <v>38</v>
      </c>
      <c r="C222" s="4" t="s">
        <v>39</v>
      </c>
      <c r="D222" s="4" t="s">
        <v>37</v>
      </c>
      <c r="E222" s="4" t="s">
        <v>25</v>
      </c>
      <c r="F222" s="4" t="s">
        <v>25</v>
      </c>
      <c r="G222" s="4" t="s">
        <v>25</v>
      </c>
      <c r="H222" s="4" t="s">
        <v>33</v>
      </c>
      <c r="I222" s="5">
        <v>44621</v>
      </c>
      <c r="J222" s="6">
        <v>0</v>
      </c>
      <c r="K222" s="6">
        <v>0</v>
      </c>
      <c r="L222" s="6">
        <v>26.539000000000001</v>
      </c>
      <c r="M222" s="6">
        <v>26.539000000000001</v>
      </c>
      <c r="N222" s="6">
        <v>26.539000000000001</v>
      </c>
      <c r="O222" s="6">
        <v>26.539000000000001</v>
      </c>
      <c r="P222" s="6">
        <v>0</v>
      </c>
      <c r="Q222" s="4" t="s">
        <v>26</v>
      </c>
      <c r="R222" s="4">
        <v>0</v>
      </c>
      <c r="S222" s="6">
        <v>0</v>
      </c>
      <c r="T222" s="6">
        <v>21</v>
      </c>
      <c r="U222" s="6">
        <v>66</v>
      </c>
      <c r="V222" s="6">
        <f>IF(ISERROR(VLOOKUP($S$222,'TAR FIN'!$A$1:$O$86,15,0)),0,VLOOKUP($S$222,'TAR FIN'!$A$1:$O$86,15,0))</f>
        <v>0</v>
      </c>
      <c r="W222" s="6">
        <f>IF(ISERROR(VLOOKUP($T$222,'TAR FIN'!$A$1:$O$86,15,0)),0,VLOOKUP($T$222,'TAR FIN'!$A$1:$O$86,15,0))</f>
        <v>596.78</v>
      </c>
      <c r="X222" s="6">
        <f>IF(ISERROR(VLOOKUP($U$222,'TAR FIN'!$A$1:$O$86,15,0)),0,VLOOKUP($U$222,'TAR FIN'!$A$1:$O$86,15,0))</f>
        <v>503.82</v>
      </c>
      <c r="Y222" s="6"/>
      <c r="Z222" s="6">
        <f ca="1">('TUSD BE'!$AM$11+'TUSD BF'!$AM$11+'TUSD CVA'!$AM$11)*1</f>
        <v>625.67033946440574</v>
      </c>
      <c r="AA222" s="6">
        <f>('TE BE'!$AB$5+'TE BF'!$AB$5+'TE CVA'!$AB$5)*1</f>
        <v>398.01664046087393</v>
      </c>
      <c r="AB222" s="6">
        <f>$K$222*$V$222</f>
        <v>0</v>
      </c>
      <c r="AC222" s="6">
        <f>$M$222*$W$222</f>
        <v>15837.94442</v>
      </c>
      <c r="AD222" s="6">
        <f>$O$222*$X$222</f>
        <v>13370.878980000001</v>
      </c>
      <c r="AE222" s="6">
        <f>$K$222*$Y$222</f>
        <v>0</v>
      </c>
      <c r="AF222" s="6">
        <f ca="1">$M$222*$Z$222</f>
        <v>16604.665139045865</v>
      </c>
      <c r="AG222" s="6">
        <f>$O$222*$AA$222</f>
        <v>10562.963621191133</v>
      </c>
    </row>
    <row r="223" spans="1:33" ht="11.25" customHeight="1" x14ac:dyDescent="0.25">
      <c r="A223" s="4" t="s">
        <v>27</v>
      </c>
      <c r="B223" s="4" t="s">
        <v>38</v>
      </c>
      <c r="C223" s="4" t="s">
        <v>39</v>
      </c>
      <c r="D223" s="4" t="s">
        <v>37</v>
      </c>
      <c r="E223" s="4" t="s">
        <v>25</v>
      </c>
      <c r="F223" s="4" t="s">
        <v>25</v>
      </c>
      <c r="G223" s="4" t="s">
        <v>25</v>
      </c>
      <c r="H223" s="4" t="s">
        <v>33</v>
      </c>
      <c r="I223" s="5">
        <v>44621</v>
      </c>
      <c r="J223" s="6">
        <v>0</v>
      </c>
      <c r="K223" s="6">
        <v>0</v>
      </c>
      <c r="L223" s="6">
        <v>12.698</v>
      </c>
      <c r="M223" s="6">
        <v>12.698</v>
      </c>
      <c r="N223" s="6">
        <v>12.698</v>
      </c>
      <c r="O223" s="6">
        <v>12.698</v>
      </c>
      <c r="P223" s="6">
        <v>0</v>
      </c>
      <c r="Q223" s="4" t="s">
        <v>26</v>
      </c>
      <c r="R223" s="4">
        <v>0</v>
      </c>
      <c r="S223" s="6">
        <v>0</v>
      </c>
      <c r="T223" s="6">
        <v>21</v>
      </c>
      <c r="U223" s="6">
        <v>66</v>
      </c>
      <c r="V223" s="6">
        <f>IF(ISERROR(VLOOKUP($S$223,'TAR FIN'!$A$1:$O$86,15,0)),0,VLOOKUP($S$223,'TAR FIN'!$A$1:$O$86,15,0))</f>
        <v>0</v>
      </c>
      <c r="W223" s="6">
        <f>IF(ISERROR(VLOOKUP($T$223,'TAR FIN'!$A$1:$O$86,15,0)),0,VLOOKUP($T$223,'TAR FIN'!$A$1:$O$86,15,0))</f>
        <v>596.78</v>
      </c>
      <c r="X223" s="6">
        <f>IF(ISERROR(VLOOKUP($U$223,'TAR FIN'!$A$1:$O$86,15,0)),0,VLOOKUP($U$223,'TAR FIN'!$A$1:$O$86,15,0))</f>
        <v>503.82</v>
      </c>
      <c r="Y223" s="6"/>
      <c r="Z223" s="6">
        <f ca="1">('TUSD BE'!$AM$11+'TUSD BF'!$AM$11+'TUSD CVA'!$AM$11)*1</f>
        <v>625.67033946440574</v>
      </c>
      <c r="AA223" s="6">
        <f>('TE BE'!$AB$5+'TE BF'!$AB$5+'TE CVA'!$AB$5)*1</f>
        <v>398.01664046087393</v>
      </c>
      <c r="AB223" s="6">
        <f>$K$223*$V$223</f>
        <v>0</v>
      </c>
      <c r="AC223" s="6">
        <f>$M$223*$W$223</f>
        <v>7577.9124400000001</v>
      </c>
      <c r="AD223" s="6">
        <f>$O$223*$X$223</f>
        <v>6397.5063600000003</v>
      </c>
      <c r="AE223" s="6">
        <f>$K$223*$Y$223</f>
        <v>0</v>
      </c>
      <c r="AF223" s="6">
        <f ca="1">$M$223*$Z$223</f>
        <v>7944.7619705190245</v>
      </c>
      <c r="AG223" s="6">
        <f>$O$223*$AA$223</f>
        <v>5054.0153005721777</v>
      </c>
    </row>
    <row r="224" spans="1:33" ht="11.25" customHeight="1" x14ac:dyDescent="0.25">
      <c r="A224" s="4" t="s">
        <v>21</v>
      </c>
      <c r="B224" s="4" t="s">
        <v>38</v>
      </c>
      <c r="C224" s="4" t="s">
        <v>39</v>
      </c>
      <c r="D224" s="4" t="s">
        <v>37</v>
      </c>
      <c r="E224" s="4" t="s">
        <v>25</v>
      </c>
      <c r="F224" s="4" t="s">
        <v>25</v>
      </c>
      <c r="G224" s="4" t="s">
        <v>25</v>
      </c>
      <c r="H224" s="4" t="s">
        <v>33</v>
      </c>
      <c r="I224" s="5">
        <v>44652</v>
      </c>
      <c r="J224" s="6">
        <v>0</v>
      </c>
      <c r="K224" s="6">
        <v>0</v>
      </c>
      <c r="L224" s="6">
        <v>19.462</v>
      </c>
      <c r="M224" s="6">
        <v>19.462</v>
      </c>
      <c r="N224" s="6">
        <v>19.462</v>
      </c>
      <c r="O224" s="6">
        <v>19.462</v>
      </c>
      <c r="P224" s="6">
        <v>0</v>
      </c>
      <c r="Q224" s="4" t="s">
        <v>26</v>
      </c>
      <c r="R224" s="4">
        <v>0</v>
      </c>
      <c r="S224" s="6">
        <v>0</v>
      </c>
      <c r="T224" s="6">
        <v>21</v>
      </c>
      <c r="U224" s="6">
        <v>66</v>
      </c>
      <c r="V224" s="6">
        <f>IF(ISERROR(VLOOKUP($S$224,'TAR FIN'!$A$1:$O$86,15,0)),0,VLOOKUP($S$224,'TAR FIN'!$A$1:$O$86,15,0))</f>
        <v>0</v>
      </c>
      <c r="W224" s="6">
        <f>IF(ISERROR(VLOOKUP($T$224,'TAR FIN'!$A$1:$O$86,15,0)),0,VLOOKUP($T$224,'TAR FIN'!$A$1:$O$86,15,0))</f>
        <v>596.78</v>
      </c>
      <c r="X224" s="6">
        <f>IF(ISERROR(VLOOKUP($U$224,'TAR FIN'!$A$1:$O$86,15,0)),0,VLOOKUP($U$224,'TAR FIN'!$A$1:$O$86,15,0))</f>
        <v>503.82</v>
      </c>
      <c r="Y224" s="6"/>
      <c r="Z224" s="6">
        <f ca="1">('TUSD BE'!$AM$11+'TUSD BF'!$AM$11+'TUSD CVA'!$AM$11)*1</f>
        <v>625.67033946440574</v>
      </c>
      <c r="AA224" s="6">
        <f>('TE BE'!$AB$5+'TE BF'!$AB$5+'TE CVA'!$AB$5)*1</f>
        <v>398.01664046087393</v>
      </c>
      <c r="AB224" s="6">
        <f>$K$224*$V$224</f>
        <v>0</v>
      </c>
      <c r="AC224" s="6">
        <f>$M$224*$W$224</f>
        <v>11614.532359999999</v>
      </c>
      <c r="AD224" s="6">
        <f>$O$224*$X$224</f>
        <v>9805.3448399999997</v>
      </c>
      <c r="AE224" s="6">
        <f>$K$224*$Y$224</f>
        <v>0</v>
      </c>
      <c r="AF224" s="6">
        <f ca="1">$M$224*$Z$224</f>
        <v>12176.796146656265</v>
      </c>
      <c r="AG224" s="6">
        <f>$O$224*$AA$224</f>
        <v>7746.1998566495286</v>
      </c>
    </row>
    <row r="225" spans="1:33" ht="11.25" customHeight="1" x14ac:dyDescent="0.25">
      <c r="A225" s="4" t="s">
        <v>27</v>
      </c>
      <c r="B225" s="4" t="s">
        <v>38</v>
      </c>
      <c r="C225" s="4" t="s">
        <v>39</v>
      </c>
      <c r="D225" s="4" t="s">
        <v>37</v>
      </c>
      <c r="E225" s="4" t="s">
        <v>25</v>
      </c>
      <c r="F225" s="4" t="s">
        <v>25</v>
      </c>
      <c r="G225" s="4" t="s">
        <v>25</v>
      </c>
      <c r="H225" s="4" t="s">
        <v>33</v>
      </c>
      <c r="I225" s="5">
        <v>44652</v>
      </c>
      <c r="J225" s="6">
        <v>0</v>
      </c>
      <c r="K225" s="6">
        <v>0</v>
      </c>
      <c r="L225" s="6">
        <v>5.8639999999999999</v>
      </c>
      <c r="M225" s="6">
        <v>5.8639999999999999</v>
      </c>
      <c r="N225" s="6">
        <v>5.8639999999999999</v>
      </c>
      <c r="O225" s="6">
        <v>5.8639999999999999</v>
      </c>
      <c r="P225" s="6">
        <v>0</v>
      </c>
      <c r="Q225" s="4" t="s">
        <v>26</v>
      </c>
      <c r="R225" s="4">
        <v>0</v>
      </c>
      <c r="S225" s="6">
        <v>0</v>
      </c>
      <c r="T225" s="6">
        <v>21</v>
      </c>
      <c r="U225" s="6">
        <v>66</v>
      </c>
      <c r="V225" s="6">
        <f>IF(ISERROR(VLOOKUP($S$225,'TAR FIN'!$A$1:$O$86,15,0)),0,VLOOKUP($S$225,'TAR FIN'!$A$1:$O$86,15,0))</f>
        <v>0</v>
      </c>
      <c r="W225" s="6">
        <f>IF(ISERROR(VLOOKUP($T$225,'TAR FIN'!$A$1:$O$86,15,0)),0,VLOOKUP($T$225,'TAR FIN'!$A$1:$O$86,15,0))</f>
        <v>596.78</v>
      </c>
      <c r="X225" s="6">
        <f>IF(ISERROR(VLOOKUP($U$225,'TAR FIN'!$A$1:$O$86,15,0)),0,VLOOKUP($U$225,'TAR FIN'!$A$1:$O$86,15,0))</f>
        <v>503.82</v>
      </c>
      <c r="Y225" s="6"/>
      <c r="Z225" s="6">
        <f ca="1">('TUSD BE'!$AM$11+'TUSD BF'!$AM$11+'TUSD CVA'!$AM$11)*1</f>
        <v>625.67033946440574</v>
      </c>
      <c r="AA225" s="6">
        <f>('TE BE'!$AB$5+'TE BF'!$AB$5+'TE CVA'!$AB$5)*1</f>
        <v>398.01664046087393</v>
      </c>
      <c r="AB225" s="6">
        <f>$K$225*$V$225</f>
        <v>0</v>
      </c>
      <c r="AC225" s="6">
        <f>$M$225*$W$225</f>
        <v>3499.5179199999998</v>
      </c>
      <c r="AD225" s="6">
        <f>$O$225*$X$225</f>
        <v>2954.4004799999998</v>
      </c>
      <c r="AE225" s="6">
        <f>$K$225*$Y$225</f>
        <v>0</v>
      </c>
      <c r="AF225" s="6">
        <f ca="1">$M$225*$Z$225</f>
        <v>3668.9308706192751</v>
      </c>
      <c r="AG225" s="6">
        <f>$O$225*$AA$225</f>
        <v>2333.9695796625647</v>
      </c>
    </row>
    <row r="226" spans="1:33" ht="11.25" customHeight="1" x14ac:dyDescent="0.25">
      <c r="A226" s="4" t="s">
        <v>21</v>
      </c>
      <c r="B226" s="4" t="s">
        <v>38</v>
      </c>
      <c r="C226" s="4" t="s">
        <v>39</v>
      </c>
      <c r="D226" s="4" t="s">
        <v>37</v>
      </c>
      <c r="E226" s="4" t="s">
        <v>25</v>
      </c>
      <c r="F226" s="4" t="s">
        <v>25</v>
      </c>
      <c r="G226" s="4" t="s">
        <v>25</v>
      </c>
      <c r="H226" s="4" t="s">
        <v>33</v>
      </c>
      <c r="I226" s="5">
        <v>44682</v>
      </c>
      <c r="J226" s="6">
        <v>0</v>
      </c>
      <c r="K226" s="6">
        <v>0</v>
      </c>
      <c r="L226" s="6">
        <v>21.788</v>
      </c>
      <c r="M226" s="6">
        <v>21.788</v>
      </c>
      <c r="N226" s="6">
        <v>21.788</v>
      </c>
      <c r="O226" s="6">
        <v>21.788</v>
      </c>
      <c r="P226" s="6">
        <v>0</v>
      </c>
      <c r="Q226" s="4" t="s">
        <v>26</v>
      </c>
      <c r="R226" s="4">
        <v>0</v>
      </c>
      <c r="S226" s="6">
        <v>0</v>
      </c>
      <c r="T226" s="6">
        <v>21</v>
      </c>
      <c r="U226" s="6">
        <v>66</v>
      </c>
      <c r="V226" s="6">
        <f>IF(ISERROR(VLOOKUP($S$226,'TAR FIN'!$A$1:$O$86,15,0)),0,VLOOKUP($S$226,'TAR FIN'!$A$1:$O$86,15,0))</f>
        <v>0</v>
      </c>
      <c r="W226" s="6">
        <f>IF(ISERROR(VLOOKUP($T$226,'TAR FIN'!$A$1:$O$86,15,0)),0,VLOOKUP($T$226,'TAR FIN'!$A$1:$O$86,15,0))</f>
        <v>596.78</v>
      </c>
      <c r="X226" s="6">
        <f>IF(ISERROR(VLOOKUP($U$226,'TAR FIN'!$A$1:$O$86,15,0)),0,VLOOKUP($U$226,'TAR FIN'!$A$1:$O$86,15,0))</f>
        <v>503.82</v>
      </c>
      <c r="Y226" s="6"/>
      <c r="Z226" s="6">
        <f ca="1">('TUSD BE'!$AM$11+'TUSD BF'!$AM$11+'TUSD CVA'!$AM$11)*1</f>
        <v>625.67033946440574</v>
      </c>
      <c r="AA226" s="6">
        <f>('TE BE'!$AB$5+'TE BF'!$AB$5+'TE CVA'!$AB$5)*1</f>
        <v>398.01664046087393</v>
      </c>
      <c r="AB226" s="6">
        <f>$K$226*$V$226</f>
        <v>0</v>
      </c>
      <c r="AC226" s="6">
        <f>$M$226*$W$226</f>
        <v>13002.64264</v>
      </c>
      <c r="AD226" s="6">
        <f>$O$226*$X$226</f>
        <v>10977.230159999999</v>
      </c>
      <c r="AE226" s="6">
        <f>$K$226*$Y$226</f>
        <v>0</v>
      </c>
      <c r="AF226" s="6">
        <f ca="1">$M$226*$Z$226</f>
        <v>13632.105356250473</v>
      </c>
      <c r="AG226" s="6">
        <f>$O$226*$AA$226</f>
        <v>8671.9865623615206</v>
      </c>
    </row>
    <row r="227" spans="1:33" ht="11.25" customHeight="1" x14ac:dyDescent="0.25">
      <c r="A227" s="4" t="s">
        <v>27</v>
      </c>
      <c r="B227" s="4" t="s">
        <v>38</v>
      </c>
      <c r="C227" s="4" t="s">
        <v>39</v>
      </c>
      <c r="D227" s="4" t="s">
        <v>37</v>
      </c>
      <c r="E227" s="4" t="s">
        <v>25</v>
      </c>
      <c r="F227" s="4" t="s">
        <v>25</v>
      </c>
      <c r="G227" s="4" t="s">
        <v>25</v>
      </c>
      <c r="H227" s="4" t="s">
        <v>33</v>
      </c>
      <c r="I227" s="5">
        <v>44682</v>
      </c>
      <c r="J227" s="6">
        <v>0</v>
      </c>
      <c r="K227" s="6">
        <v>0</v>
      </c>
      <c r="L227" s="6">
        <v>10.202</v>
      </c>
      <c r="M227" s="6">
        <v>10.202</v>
      </c>
      <c r="N227" s="6">
        <v>10.202</v>
      </c>
      <c r="O227" s="6">
        <v>10.202</v>
      </c>
      <c r="P227" s="6">
        <v>0</v>
      </c>
      <c r="Q227" s="4" t="s">
        <v>26</v>
      </c>
      <c r="R227" s="4">
        <v>0</v>
      </c>
      <c r="S227" s="6">
        <v>0</v>
      </c>
      <c r="T227" s="6">
        <v>21</v>
      </c>
      <c r="U227" s="6">
        <v>66</v>
      </c>
      <c r="V227" s="6">
        <f>IF(ISERROR(VLOOKUP($S$227,'TAR FIN'!$A$1:$O$86,15,0)),0,VLOOKUP($S$227,'TAR FIN'!$A$1:$O$86,15,0))</f>
        <v>0</v>
      </c>
      <c r="W227" s="6">
        <f>IF(ISERROR(VLOOKUP($T$227,'TAR FIN'!$A$1:$O$86,15,0)),0,VLOOKUP($T$227,'TAR FIN'!$A$1:$O$86,15,0))</f>
        <v>596.78</v>
      </c>
      <c r="X227" s="6">
        <f>IF(ISERROR(VLOOKUP($U$227,'TAR FIN'!$A$1:$O$86,15,0)),0,VLOOKUP($U$227,'TAR FIN'!$A$1:$O$86,15,0))</f>
        <v>503.82</v>
      </c>
      <c r="Y227" s="6"/>
      <c r="Z227" s="6">
        <f ca="1">('TUSD BE'!$AM$11+'TUSD BF'!$AM$11+'TUSD CVA'!$AM$11)*1</f>
        <v>625.67033946440574</v>
      </c>
      <c r="AA227" s="6">
        <f>('TE BE'!$AB$5+'TE BF'!$AB$5+'TE CVA'!$AB$5)*1</f>
        <v>398.01664046087393</v>
      </c>
      <c r="AB227" s="6">
        <f>$K$227*$V$227</f>
        <v>0</v>
      </c>
      <c r="AC227" s="6">
        <f>$M$227*$W$227</f>
        <v>6088.3495599999997</v>
      </c>
      <c r="AD227" s="6">
        <f>$O$227*$X$227</f>
        <v>5139.9716399999998</v>
      </c>
      <c r="AE227" s="6">
        <f>$K$227*$Y$227</f>
        <v>0</v>
      </c>
      <c r="AF227" s="6">
        <f ca="1">$M$227*$Z$227</f>
        <v>6383.0888032158673</v>
      </c>
      <c r="AG227" s="6">
        <f>$O$227*$AA$227</f>
        <v>4060.5657659818357</v>
      </c>
    </row>
    <row r="228" spans="1:33" ht="11.25" customHeight="1" x14ac:dyDescent="0.25">
      <c r="A228" s="4" t="s">
        <v>55</v>
      </c>
      <c r="B228" s="4" t="s">
        <v>38</v>
      </c>
      <c r="C228" s="4" t="s">
        <v>39</v>
      </c>
      <c r="D228" s="4" t="s">
        <v>37</v>
      </c>
      <c r="E228" s="4" t="s">
        <v>25</v>
      </c>
      <c r="F228" s="4" t="s">
        <v>25</v>
      </c>
      <c r="G228" s="4" t="s">
        <v>25</v>
      </c>
      <c r="H228" s="4" t="s">
        <v>33</v>
      </c>
      <c r="I228" s="5">
        <v>44713</v>
      </c>
      <c r="J228" s="6">
        <v>0</v>
      </c>
      <c r="K228" s="6">
        <v>0</v>
      </c>
      <c r="L228" s="6">
        <v>21.788</v>
      </c>
      <c r="M228" s="6">
        <v>21.788</v>
      </c>
      <c r="N228" s="6">
        <v>21.788</v>
      </c>
      <c r="O228" s="6">
        <v>21.788</v>
      </c>
      <c r="P228" s="6">
        <v>0</v>
      </c>
      <c r="Q228" s="4" t="s">
        <v>26</v>
      </c>
      <c r="R228" s="4">
        <v>0</v>
      </c>
      <c r="S228" s="6">
        <v>0</v>
      </c>
      <c r="T228" s="6">
        <v>21</v>
      </c>
      <c r="U228" s="6">
        <v>66</v>
      </c>
      <c r="V228" s="6">
        <f>IF(ISERROR(VLOOKUP($S$228,'TAR FIN'!$A$1:$O$86,15,0)),0,VLOOKUP($S$228,'TAR FIN'!$A$1:$O$86,15,0))</f>
        <v>0</v>
      </c>
      <c r="W228" s="6">
        <f>IF(ISERROR(VLOOKUP($T$228,'TAR FIN'!$A$1:$O$86,15,0)),0,VLOOKUP($T$228,'TAR FIN'!$A$1:$O$86,15,0))</f>
        <v>596.78</v>
      </c>
      <c r="X228" s="6">
        <f>IF(ISERROR(VLOOKUP($U$228,'TAR FIN'!$A$1:$O$86,15,0)),0,VLOOKUP($U$228,'TAR FIN'!$A$1:$O$86,15,0))</f>
        <v>503.82</v>
      </c>
      <c r="Y228" s="6"/>
      <c r="Z228" s="6">
        <f ca="1">('TUSD BE'!$AM$11+'TUSD BF'!$AM$11+'TUSD CVA'!$AM$11)*1</f>
        <v>625.67033946440574</v>
      </c>
      <c r="AA228" s="6">
        <f>('TE BE'!$AB$5+'TE BF'!$AB$5+'TE CVA'!$AB$5)*1</f>
        <v>398.01664046087393</v>
      </c>
      <c r="AB228" s="6">
        <f>$K$228*$V$228</f>
        <v>0</v>
      </c>
      <c r="AC228" s="6">
        <f>$M$228*$W$228</f>
        <v>13002.64264</v>
      </c>
      <c r="AD228" s="6">
        <f>$O$228*$X$228</f>
        <v>10977.230159999999</v>
      </c>
      <c r="AE228" s="6">
        <f>$K$228*$Y$228</f>
        <v>0</v>
      </c>
      <c r="AF228" s="6">
        <f ca="1">$M$228*$Z$228</f>
        <v>13632.105356250473</v>
      </c>
      <c r="AG228" s="6">
        <f>$O$228*$AA$228</f>
        <v>8671.9865623615206</v>
      </c>
    </row>
    <row r="229" spans="1:33" ht="11.25" customHeight="1" x14ac:dyDescent="0.25">
      <c r="A229" s="4" t="s">
        <v>55</v>
      </c>
      <c r="B229" s="4" t="s">
        <v>38</v>
      </c>
      <c r="C229" s="4" t="s">
        <v>39</v>
      </c>
      <c r="D229" s="4" t="s">
        <v>37</v>
      </c>
      <c r="E229" s="4" t="s">
        <v>25</v>
      </c>
      <c r="F229" s="4" t="s">
        <v>25</v>
      </c>
      <c r="G229" s="4" t="s">
        <v>25</v>
      </c>
      <c r="H229" s="4" t="s">
        <v>33</v>
      </c>
      <c r="I229" s="5">
        <v>44713</v>
      </c>
      <c r="J229" s="6">
        <v>0</v>
      </c>
      <c r="K229" s="6">
        <v>0</v>
      </c>
      <c r="L229" s="6">
        <v>10.202</v>
      </c>
      <c r="M229" s="6">
        <v>10.202</v>
      </c>
      <c r="N229" s="6">
        <v>10.202</v>
      </c>
      <c r="O229" s="6">
        <v>10.202</v>
      </c>
      <c r="P229" s="6">
        <v>0</v>
      </c>
      <c r="Q229" s="4" t="s">
        <v>26</v>
      </c>
      <c r="R229" s="4">
        <v>0</v>
      </c>
      <c r="S229" s="6">
        <v>0</v>
      </c>
      <c r="T229" s="6">
        <v>21</v>
      </c>
      <c r="U229" s="6">
        <v>66</v>
      </c>
      <c r="V229" s="6">
        <f>IF(ISERROR(VLOOKUP($S$229,'TAR FIN'!$A$1:$O$86,15,0)),0,VLOOKUP($S$229,'TAR FIN'!$A$1:$O$86,15,0))</f>
        <v>0</v>
      </c>
      <c r="W229" s="6">
        <f>IF(ISERROR(VLOOKUP($T$229,'TAR FIN'!$A$1:$O$86,15,0)),0,VLOOKUP($T$229,'TAR FIN'!$A$1:$O$86,15,0))</f>
        <v>596.78</v>
      </c>
      <c r="X229" s="6">
        <f>IF(ISERROR(VLOOKUP($U$229,'TAR FIN'!$A$1:$O$86,15,0)),0,VLOOKUP($U$229,'TAR FIN'!$A$1:$O$86,15,0))</f>
        <v>503.82</v>
      </c>
      <c r="Y229" s="6"/>
      <c r="Z229" s="6">
        <f ca="1">('TUSD BE'!$AM$11+'TUSD BF'!$AM$11+'TUSD CVA'!$AM$11)*1</f>
        <v>625.67033946440574</v>
      </c>
      <c r="AA229" s="6">
        <f>('TE BE'!$AB$5+'TE BF'!$AB$5+'TE CVA'!$AB$5)*1</f>
        <v>398.01664046087393</v>
      </c>
      <c r="AB229" s="6">
        <f>$K$229*$V$229</f>
        <v>0</v>
      </c>
      <c r="AC229" s="6">
        <f>$M$229*$W$229</f>
        <v>6088.3495599999997</v>
      </c>
      <c r="AD229" s="6">
        <f>$O$229*$X$229</f>
        <v>5139.9716399999998</v>
      </c>
      <c r="AE229" s="6">
        <f>$K$229*$Y$229</f>
        <v>0</v>
      </c>
      <c r="AF229" s="6">
        <f ca="1">$M$229*$Z$229</f>
        <v>6383.0888032158673</v>
      </c>
      <c r="AG229" s="6">
        <f>$O$229*$AA$229</f>
        <v>4060.5657659818357</v>
      </c>
    </row>
    <row r="230" spans="1:33" ht="11.25" customHeight="1" x14ac:dyDescent="0.25">
      <c r="A230" s="4" t="s">
        <v>21</v>
      </c>
      <c r="B230" s="4" t="s">
        <v>38</v>
      </c>
      <c r="C230" s="4" t="s">
        <v>39</v>
      </c>
      <c r="D230" s="4" t="s">
        <v>44</v>
      </c>
      <c r="E230" s="4" t="s">
        <v>25</v>
      </c>
      <c r="F230" s="4" t="s">
        <v>25</v>
      </c>
      <c r="G230" s="4" t="s">
        <v>25</v>
      </c>
      <c r="H230" s="4" t="s">
        <v>34</v>
      </c>
      <c r="I230" s="5">
        <v>44378</v>
      </c>
      <c r="J230" s="6">
        <v>0</v>
      </c>
      <c r="K230" s="6">
        <v>0</v>
      </c>
      <c r="L230" s="6">
        <v>42.008000000000003</v>
      </c>
      <c r="M230" s="6">
        <v>42.008000000000003</v>
      </c>
      <c r="N230" s="6">
        <v>42.008000000000003</v>
      </c>
      <c r="O230" s="6">
        <v>42.008000000000003</v>
      </c>
      <c r="P230" s="6">
        <v>0</v>
      </c>
      <c r="Q230" s="4" t="s">
        <v>26</v>
      </c>
      <c r="R230" s="4">
        <v>0</v>
      </c>
      <c r="S230" s="6">
        <v>0</v>
      </c>
      <c r="T230" s="6">
        <v>17</v>
      </c>
      <c r="U230" s="6">
        <v>78</v>
      </c>
      <c r="V230" s="6">
        <f>IF(ISERROR(VLOOKUP($S$230,'TAR FIN'!$A$1:$O$86,15,0)),0,VLOOKUP($S$230,'TAR FIN'!$A$1:$O$86,15,0))</f>
        <v>0</v>
      </c>
      <c r="W230" s="6">
        <f>IF(ISERROR(VLOOKUP($T$230,'TAR FIN'!$A$1:$O$86,15,0)),0,VLOOKUP($T$230,'TAR FIN'!$A$1:$O$86,15,0))</f>
        <v>71.260000000000005</v>
      </c>
      <c r="X230" s="6">
        <f>IF(ISERROR(VLOOKUP($U$230,'TAR FIN'!$A$1:$O$86,15,0)),0,VLOOKUP($U$230,'TAR FIN'!$A$1:$O$86,15,0))</f>
        <v>297.31</v>
      </c>
      <c r="Y230" s="6"/>
      <c r="Z230" s="6">
        <f ca="1">('TUSD BE'!$AM$12+'TUSD BF'!$AM$12+'TUSD CVA'!$AM$12)*1</f>
        <v>95.815448102611441</v>
      </c>
      <c r="AA230" s="6">
        <f>('TE BE'!$AB$6+'TE BF'!$AB$6+'TE CVA'!$AB$6)*1</f>
        <v>235.33989117487977</v>
      </c>
      <c r="AB230" s="6">
        <f>$K$230*$V$230</f>
        <v>0</v>
      </c>
      <c r="AC230" s="6">
        <f>$M$230*$W$230</f>
        <v>2993.4900800000005</v>
      </c>
      <c r="AD230" s="6">
        <f>$O$230*$X$230</f>
        <v>12489.398480000002</v>
      </c>
      <c r="AE230" s="6">
        <f>$K$230*$Y$230</f>
        <v>0</v>
      </c>
      <c r="AF230" s="6">
        <f ca="1">$M$230*$Z$230</f>
        <v>4025.0153438945017</v>
      </c>
      <c r="AG230" s="6">
        <f>$O$230*$AA$230</f>
        <v>9886.1581484743492</v>
      </c>
    </row>
    <row r="231" spans="1:33" ht="11.25" customHeight="1" x14ac:dyDescent="0.25">
      <c r="A231" s="4" t="s">
        <v>21</v>
      </c>
      <c r="B231" s="4" t="s">
        <v>38</v>
      </c>
      <c r="C231" s="4" t="s">
        <v>39</v>
      </c>
      <c r="D231" s="4" t="s">
        <v>44</v>
      </c>
      <c r="E231" s="4" t="s">
        <v>25</v>
      </c>
      <c r="F231" s="4" t="s">
        <v>25</v>
      </c>
      <c r="G231" s="4" t="s">
        <v>25</v>
      </c>
      <c r="H231" s="4" t="s">
        <v>34</v>
      </c>
      <c r="I231" s="5">
        <v>44409</v>
      </c>
      <c r="J231" s="6">
        <v>0</v>
      </c>
      <c r="K231" s="6">
        <v>0</v>
      </c>
      <c r="L231" s="6">
        <v>36.357999999999997</v>
      </c>
      <c r="M231" s="6">
        <v>36.357999999999997</v>
      </c>
      <c r="N231" s="6">
        <v>36.357999999999997</v>
      </c>
      <c r="O231" s="6">
        <v>36.357999999999997</v>
      </c>
      <c r="P231" s="6">
        <v>0</v>
      </c>
      <c r="Q231" s="4" t="s">
        <v>26</v>
      </c>
      <c r="R231" s="4">
        <v>0</v>
      </c>
      <c r="S231" s="6">
        <v>0</v>
      </c>
      <c r="T231" s="6">
        <v>17</v>
      </c>
      <c r="U231" s="6">
        <v>78</v>
      </c>
      <c r="V231" s="6">
        <f>IF(ISERROR(VLOOKUP($S$231,'TAR FIN'!$A$1:$O$86,15,0)),0,VLOOKUP($S$231,'TAR FIN'!$A$1:$O$86,15,0))</f>
        <v>0</v>
      </c>
      <c r="W231" s="6">
        <f>IF(ISERROR(VLOOKUP($T$231,'TAR FIN'!$A$1:$O$86,15,0)),0,VLOOKUP($T$231,'TAR FIN'!$A$1:$O$86,15,0))</f>
        <v>71.260000000000005</v>
      </c>
      <c r="X231" s="6">
        <f>IF(ISERROR(VLOOKUP($U$231,'TAR FIN'!$A$1:$O$86,15,0)),0,VLOOKUP($U$231,'TAR FIN'!$A$1:$O$86,15,0))</f>
        <v>297.31</v>
      </c>
      <c r="Y231" s="6"/>
      <c r="Z231" s="6">
        <f ca="1">('TUSD BE'!$AM$12+'TUSD BF'!$AM$12+'TUSD CVA'!$AM$12)*1</f>
        <v>95.815448102611441</v>
      </c>
      <c r="AA231" s="6">
        <f>('TE BE'!$AB$6+'TE BF'!$AB$6+'TE CVA'!$AB$6)*1</f>
        <v>235.33989117487977</v>
      </c>
      <c r="AB231" s="6">
        <f>$K$231*$V$231</f>
        <v>0</v>
      </c>
      <c r="AC231" s="6">
        <f>$M$231*$W$231</f>
        <v>2590.8710799999999</v>
      </c>
      <c r="AD231" s="6">
        <f>$O$231*$X$231</f>
        <v>10809.596979999998</v>
      </c>
      <c r="AE231" s="6">
        <f>$K$231*$Y$231</f>
        <v>0</v>
      </c>
      <c r="AF231" s="6">
        <f ca="1">$M$231*$Z$231</f>
        <v>3483.6580621147464</v>
      </c>
      <c r="AG231" s="6">
        <f>$O$231*$AA$231</f>
        <v>8556.4877633362776</v>
      </c>
    </row>
    <row r="232" spans="1:33" ht="11.25" customHeight="1" x14ac:dyDescent="0.25">
      <c r="A232" s="4" t="s">
        <v>21</v>
      </c>
      <c r="B232" s="4" t="s">
        <v>38</v>
      </c>
      <c r="C232" s="4" t="s">
        <v>39</v>
      </c>
      <c r="D232" s="4" t="s">
        <v>44</v>
      </c>
      <c r="E232" s="4" t="s">
        <v>25</v>
      </c>
      <c r="F232" s="4" t="s">
        <v>25</v>
      </c>
      <c r="G232" s="4" t="s">
        <v>25</v>
      </c>
      <c r="H232" s="4" t="s">
        <v>34</v>
      </c>
      <c r="I232" s="5">
        <v>44440</v>
      </c>
      <c r="J232" s="6">
        <v>0</v>
      </c>
      <c r="K232" s="6">
        <v>0</v>
      </c>
      <c r="L232" s="6">
        <v>29.413</v>
      </c>
      <c r="M232" s="6">
        <v>29.413</v>
      </c>
      <c r="N232" s="6">
        <v>29.413</v>
      </c>
      <c r="O232" s="6">
        <v>29.413</v>
      </c>
      <c r="P232" s="6">
        <v>0</v>
      </c>
      <c r="Q232" s="4" t="s">
        <v>26</v>
      </c>
      <c r="R232" s="4">
        <v>0</v>
      </c>
      <c r="S232" s="6">
        <v>0</v>
      </c>
      <c r="T232" s="6">
        <v>17</v>
      </c>
      <c r="U232" s="6">
        <v>78</v>
      </c>
      <c r="V232" s="6">
        <f>IF(ISERROR(VLOOKUP($S$232,'TAR FIN'!$A$1:$O$86,15,0)),0,VLOOKUP($S$232,'TAR FIN'!$A$1:$O$86,15,0))</f>
        <v>0</v>
      </c>
      <c r="W232" s="6">
        <f>IF(ISERROR(VLOOKUP($T$232,'TAR FIN'!$A$1:$O$86,15,0)),0,VLOOKUP($T$232,'TAR FIN'!$A$1:$O$86,15,0))</f>
        <v>71.260000000000005</v>
      </c>
      <c r="X232" s="6">
        <f>IF(ISERROR(VLOOKUP($U$232,'TAR FIN'!$A$1:$O$86,15,0)),0,VLOOKUP($U$232,'TAR FIN'!$A$1:$O$86,15,0))</f>
        <v>297.31</v>
      </c>
      <c r="Y232" s="6"/>
      <c r="Z232" s="6">
        <f ca="1">('TUSD BE'!$AM$12+'TUSD BF'!$AM$12+'TUSD CVA'!$AM$12)*1</f>
        <v>95.815448102611441</v>
      </c>
      <c r="AA232" s="6">
        <f>('TE BE'!$AB$6+'TE BF'!$AB$6+'TE CVA'!$AB$6)*1</f>
        <v>235.33989117487977</v>
      </c>
      <c r="AB232" s="6">
        <f>$K$232*$V$232</f>
        <v>0</v>
      </c>
      <c r="AC232" s="6">
        <f>$M$232*$W$232</f>
        <v>2095.9703800000002</v>
      </c>
      <c r="AD232" s="6">
        <f>$O$232*$X$232</f>
        <v>8744.7790299999997</v>
      </c>
      <c r="AE232" s="6">
        <f>$K$232*$Y$232</f>
        <v>0</v>
      </c>
      <c r="AF232" s="6">
        <f ca="1">$M$232*$Z$232</f>
        <v>2818.2197750421105</v>
      </c>
      <c r="AG232" s="6">
        <f>$O$232*$AA$232</f>
        <v>6922.0522191267382</v>
      </c>
    </row>
    <row r="233" spans="1:33" ht="11.25" customHeight="1" x14ac:dyDescent="0.25">
      <c r="A233" s="4" t="s">
        <v>21</v>
      </c>
      <c r="B233" s="4" t="s">
        <v>38</v>
      </c>
      <c r="C233" s="4" t="s">
        <v>39</v>
      </c>
      <c r="D233" s="4" t="s">
        <v>44</v>
      </c>
      <c r="E233" s="4" t="s">
        <v>25</v>
      </c>
      <c r="F233" s="4" t="s">
        <v>25</v>
      </c>
      <c r="G233" s="4" t="s">
        <v>25</v>
      </c>
      <c r="H233" s="4" t="s">
        <v>34</v>
      </c>
      <c r="I233" s="5">
        <v>44470</v>
      </c>
      <c r="J233" s="6">
        <v>0</v>
      </c>
      <c r="K233" s="6">
        <v>0</v>
      </c>
      <c r="L233" s="6">
        <v>30.995999999999999</v>
      </c>
      <c r="M233" s="6">
        <v>30.995999999999999</v>
      </c>
      <c r="N233" s="6">
        <v>30.995999999999999</v>
      </c>
      <c r="O233" s="6">
        <v>30.995999999999999</v>
      </c>
      <c r="P233" s="6">
        <v>0</v>
      </c>
      <c r="Q233" s="4" t="s">
        <v>26</v>
      </c>
      <c r="R233" s="4">
        <v>0</v>
      </c>
      <c r="S233" s="6">
        <v>0</v>
      </c>
      <c r="T233" s="6">
        <v>17</v>
      </c>
      <c r="U233" s="6">
        <v>78</v>
      </c>
      <c r="V233" s="6">
        <f>IF(ISERROR(VLOOKUP($S$233,'TAR FIN'!$A$1:$O$86,15,0)),0,VLOOKUP($S$233,'TAR FIN'!$A$1:$O$86,15,0))</f>
        <v>0</v>
      </c>
      <c r="W233" s="6">
        <f>IF(ISERROR(VLOOKUP($T$233,'TAR FIN'!$A$1:$O$86,15,0)),0,VLOOKUP($T$233,'TAR FIN'!$A$1:$O$86,15,0))</f>
        <v>71.260000000000005</v>
      </c>
      <c r="X233" s="6">
        <f>IF(ISERROR(VLOOKUP($U$233,'TAR FIN'!$A$1:$O$86,15,0)),0,VLOOKUP($U$233,'TAR FIN'!$A$1:$O$86,15,0))</f>
        <v>297.31</v>
      </c>
      <c r="Y233" s="6"/>
      <c r="Z233" s="6">
        <f ca="1">('TUSD BE'!$AM$12+'TUSD BF'!$AM$12+'TUSD CVA'!$AM$12)*1</f>
        <v>95.815448102611441</v>
      </c>
      <c r="AA233" s="6">
        <f>('TE BE'!$AB$6+'TE BF'!$AB$6+'TE CVA'!$AB$6)*1</f>
        <v>235.33989117487977</v>
      </c>
      <c r="AB233" s="6">
        <f>$K$233*$V$233</f>
        <v>0</v>
      </c>
      <c r="AC233" s="6">
        <f>$M$233*$W$233</f>
        <v>2208.7749600000002</v>
      </c>
      <c r="AD233" s="6">
        <f>$O$233*$X$233</f>
        <v>9215.4207599999991</v>
      </c>
      <c r="AE233" s="6">
        <f>$K$233*$Y$233</f>
        <v>0</v>
      </c>
      <c r="AF233" s="6">
        <f ca="1">$M$233*$Z$233</f>
        <v>2969.895629388544</v>
      </c>
      <c r="AG233" s="6">
        <f>$O$233*$AA$233</f>
        <v>7294.5952668565733</v>
      </c>
    </row>
    <row r="234" spans="1:33" ht="11.25" customHeight="1" x14ac:dyDescent="0.25">
      <c r="A234" s="4" t="s">
        <v>21</v>
      </c>
      <c r="B234" s="4" t="s">
        <v>38</v>
      </c>
      <c r="C234" s="4" t="s">
        <v>39</v>
      </c>
      <c r="D234" s="4" t="s">
        <v>44</v>
      </c>
      <c r="E234" s="4" t="s">
        <v>25</v>
      </c>
      <c r="F234" s="4" t="s">
        <v>25</v>
      </c>
      <c r="G234" s="4" t="s">
        <v>25</v>
      </c>
      <c r="H234" s="4" t="s">
        <v>34</v>
      </c>
      <c r="I234" s="5">
        <v>44501</v>
      </c>
      <c r="J234" s="6">
        <v>0</v>
      </c>
      <c r="K234" s="6">
        <v>0</v>
      </c>
      <c r="L234" s="6">
        <v>44.531999999999996</v>
      </c>
      <c r="M234" s="6">
        <v>44.531999999999996</v>
      </c>
      <c r="N234" s="6">
        <v>44.531999999999996</v>
      </c>
      <c r="O234" s="6">
        <v>44.531999999999996</v>
      </c>
      <c r="P234" s="6">
        <v>0</v>
      </c>
      <c r="Q234" s="4" t="s">
        <v>26</v>
      </c>
      <c r="R234" s="4">
        <v>0</v>
      </c>
      <c r="S234" s="6">
        <v>0</v>
      </c>
      <c r="T234" s="6">
        <v>17</v>
      </c>
      <c r="U234" s="6">
        <v>78</v>
      </c>
      <c r="V234" s="6">
        <f>IF(ISERROR(VLOOKUP($S$234,'TAR FIN'!$A$1:$O$86,15,0)),0,VLOOKUP($S$234,'TAR FIN'!$A$1:$O$86,15,0))</f>
        <v>0</v>
      </c>
      <c r="W234" s="6">
        <f>IF(ISERROR(VLOOKUP($T$234,'TAR FIN'!$A$1:$O$86,15,0)),0,VLOOKUP($T$234,'TAR FIN'!$A$1:$O$86,15,0))</f>
        <v>71.260000000000005</v>
      </c>
      <c r="X234" s="6">
        <f>IF(ISERROR(VLOOKUP($U$234,'TAR FIN'!$A$1:$O$86,15,0)),0,VLOOKUP($U$234,'TAR FIN'!$A$1:$O$86,15,0))</f>
        <v>297.31</v>
      </c>
      <c r="Y234" s="6"/>
      <c r="Z234" s="6">
        <f ca="1">('TUSD BE'!$AM$12+'TUSD BF'!$AM$12+'TUSD CVA'!$AM$12)*1</f>
        <v>95.815448102611441</v>
      </c>
      <c r="AA234" s="6">
        <f>('TE BE'!$AB$6+'TE BF'!$AB$6+'TE CVA'!$AB$6)*1</f>
        <v>235.33989117487977</v>
      </c>
      <c r="AB234" s="6">
        <f>$K$234*$V$234</f>
        <v>0</v>
      </c>
      <c r="AC234" s="6">
        <f>$M$234*$W$234</f>
        <v>3173.35032</v>
      </c>
      <c r="AD234" s="6">
        <f>$O$234*$X$234</f>
        <v>13239.808919999999</v>
      </c>
      <c r="AE234" s="6">
        <f>$K$234*$Y$234</f>
        <v>0</v>
      </c>
      <c r="AF234" s="6">
        <f ca="1">$M$234*$Z$234</f>
        <v>4266.8535349054928</v>
      </c>
      <c r="AG234" s="6">
        <f>$O$234*$AA$234</f>
        <v>10480.156033799745</v>
      </c>
    </row>
    <row r="235" spans="1:33" ht="11.25" customHeight="1" x14ac:dyDescent="0.25">
      <c r="A235" s="4" t="s">
        <v>21</v>
      </c>
      <c r="B235" s="4" t="s">
        <v>38</v>
      </c>
      <c r="C235" s="4" t="s">
        <v>39</v>
      </c>
      <c r="D235" s="4" t="s">
        <v>44</v>
      </c>
      <c r="E235" s="4" t="s">
        <v>25</v>
      </c>
      <c r="F235" s="4" t="s">
        <v>25</v>
      </c>
      <c r="G235" s="4" t="s">
        <v>25</v>
      </c>
      <c r="H235" s="4" t="s">
        <v>34</v>
      </c>
      <c r="I235" s="5">
        <v>44531</v>
      </c>
      <c r="J235" s="6">
        <v>0</v>
      </c>
      <c r="K235" s="6">
        <v>0</v>
      </c>
      <c r="L235" s="6">
        <v>64.831000000000003</v>
      </c>
      <c r="M235" s="6">
        <v>64.831000000000003</v>
      </c>
      <c r="N235" s="6">
        <v>64.831000000000003</v>
      </c>
      <c r="O235" s="6">
        <v>64.831000000000003</v>
      </c>
      <c r="P235" s="6">
        <v>0</v>
      </c>
      <c r="Q235" s="4" t="s">
        <v>26</v>
      </c>
      <c r="R235" s="4">
        <v>0</v>
      </c>
      <c r="S235" s="6">
        <v>0</v>
      </c>
      <c r="T235" s="6">
        <v>17</v>
      </c>
      <c r="U235" s="6">
        <v>78</v>
      </c>
      <c r="V235" s="6">
        <f>IF(ISERROR(VLOOKUP($S$235,'TAR FIN'!$A$1:$O$86,15,0)),0,VLOOKUP($S$235,'TAR FIN'!$A$1:$O$86,15,0))</f>
        <v>0</v>
      </c>
      <c r="W235" s="6">
        <f>IF(ISERROR(VLOOKUP($T$235,'TAR FIN'!$A$1:$O$86,15,0)),0,VLOOKUP($T$235,'TAR FIN'!$A$1:$O$86,15,0))</f>
        <v>71.260000000000005</v>
      </c>
      <c r="X235" s="6">
        <f>IF(ISERROR(VLOOKUP($U$235,'TAR FIN'!$A$1:$O$86,15,0)),0,VLOOKUP($U$235,'TAR FIN'!$A$1:$O$86,15,0))</f>
        <v>297.31</v>
      </c>
      <c r="Y235" s="6"/>
      <c r="Z235" s="6">
        <f ca="1">('TUSD BE'!$AM$12+'TUSD BF'!$AM$12+'TUSD CVA'!$AM$12)*1</f>
        <v>95.815448102611441</v>
      </c>
      <c r="AA235" s="6">
        <f>('TE BE'!$AB$6+'TE BF'!$AB$6+'TE CVA'!$AB$6)*1</f>
        <v>235.33989117487977</v>
      </c>
      <c r="AB235" s="6">
        <f>$K$235*$V$235</f>
        <v>0</v>
      </c>
      <c r="AC235" s="6">
        <f>$M$235*$W$235</f>
        <v>4619.8570600000003</v>
      </c>
      <c r="AD235" s="6">
        <f>$O$235*$X$235</f>
        <v>19274.904610000001</v>
      </c>
      <c r="AE235" s="6">
        <f>$K$235*$Y$235</f>
        <v>0</v>
      </c>
      <c r="AF235" s="6">
        <f ca="1">$M$235*$Z$235</f>
        <v>6211.8113159404029</v>
      </c>
      <c r="AG235" s="6">
        <f>$O$235*$AA$235</f>
        <v>15257.320484758631</v>
      </c>
    </row>
    <row r="236" spans="1:33" ht="11.25" customHeight="1" x14ac:dyDescent="0.25">
      <c r="A236" s="4" t="s">
        <v>21</v>
      </c>
      <c r="B236" s="4" t="s">
        <v>38</v>
      </c>
      <c r="C236" s="4" t="s">
        <v>39</v>
      </c>
      <c r="D236" s="4" t="s">
        <v>44</v>
      </c>
      <c r="E236" s="4" t="s">
        <v>25</v>
      </c>
      <c r="F236" s="4" t="s">
        <v>25</v>
      </c>
      <c r="G236" s="4" t="s">
        <v>25</v>
      </c>
      <c r="H236" s="4" t="s">
        <v>34</v>
      </c>
      <c r="I236" s="5">
        <v>44562</v>
      </c>
      <c r="J236" s="6">
        <v>0</v>
      </c>
      <c r="K236" s="6">
        <v>0</v>
      </c>
      <c r="L236" s="6">
        <v>64.921000000000006</v>
      </c>
      <c r="M236" s="6">
        <v>64.921000000000006</v>
      </c>
      <c r="N236" s="6">
        <v>64.921000000000006</v>
      </c>
      <c r="O236" s="6">
        <v>64.921000000000006</v>
      </c>
      <c r="P236" s="6">
        <v>0</v>
      </c>
      <c r="Q236" s="4" t="s">
        <v>26</v>
      </c>
      <c r="R236" s="4">
        <v>0</v>
      </c>
      <c r="S236" s="6">
        <v>0</v>
      </c>
      <c r="T236" s="6">
        <v>17</v>
      </c>
      <c r="U236" s="6">
        <v>78</v>
      </c>
      <c r="V236" s="6">
        <f>IF(ISERROR(VLOOKUP($S$236,'TAR FIN'!$A$1:$O$86,15,0)),0,VLOOKUP($S$236,'TAR FIN'!$A$1:$O$86,15,0))</f>
        <v>0</v>
      </c>
      <c r="W236" s="6">
        <f>IF(ISERROR(VLOOKUP($T$236,'TAR FIN'!$A$1:$O$86,15,0)),0,VLOOKUP($T$236,'TAR FIN'!$A$1:$O$86,15,0))</f>
        <v>71.260000000000005</v>
      </c>
      <c r="X236" s="6">
        <f>IF(ISERROR(VLOOKUP($U$236,'TAR FIN'!$A$1:$O$86,15,0)),0,VLOOKUP($U$236,'TAR FIN'!$A$1:$O$86,15,0))</f>
        <v>297.31</v>
      </c>
      <c r="Y236" s="6"/>
      <c r="Z236" s="6">
        <f ca="1">('TUSD BE'!$AM$12+'TUSD BF'!$AM$12+'TUSD CVA'!$AM$12)*1</f>
        <v>95.815448102611441</v>
      </c>
      <c r="AA236" s="6">
        <f>('TE BE'!$AB$6+'TE BF'!$AB$6+'TE CVA'!$AB$6)*1</f>
        <v>235.33989117487977</v>
      </c>
      <c r="AB236" s="6">
        <f>$K$236*$V$236</f>
        <v>0</v>
      </c>
      <c r="AC236" s="6">
        <f>$M$236*$W$236</f>
        <v>4626.2704600000006</v>
      </c>
      <c r="AD236" s="6">
        <f>$O$236*$X$236</f>
        <v>19301.662510000002</v>
      </c>
      <c r="AE236" s="6">
        <f>$K$236*$Y$236</f>
        <v>0</v>
      </c>
      <c r="AF236" s="6">
        <f ca="1">$M$236*$Z$236</f>
        <v>6220.4347062696379</v>
      </c>
      <c r="AG236" s="6">
        <f>$O$236*$AA$236</f>
        <v>15278.501074964372</v>
      </c>
    </row>
    <row r="237" spans="1:33" ht="11.25" customHeight="1" x14ac:dyDescent="0.25">
      <c r="A237" s="4" t="s">
        <v>21</v>
      </c>
      <c r="B237" s="4" t="s">
        <v>38</v>
      </c>
      <c r="C237" s="4" t="s">
        <v>39</v>
      </c>
      <c r="D237" s="4" t="s">
        <v>44</v>
      </c>
      <c r="E237" s="4" t="s">
        <v>25</v>
      </c>
      <c r="F237" s="4" t="s">
        <v>25</v>
      </c>
      <c r="G237" s="4" t="s">
        <v>25</v>
      </c>
      <c r="H237" s="4" t="s">
        <v>34</v>
      </c>
      <c r="I237" s="5">
        <v>44593</v>
      </c>
      <c r="J237" s="6">
        <v>0</v>
      </c>
      <c r="K237" s="6">
        <v>0</v>
      </c>
      <c r="L237" s="6">
        <v>68.201999999999998</v>
      </c>
      <c r="M237" s="6">
        <v>68.201999999999998</v>
      </c>
      <c r="N237" s="6">
        <v>68.201999999999998</v>
      </c>
      <c r="O237" s="6">
        <v>68.201999999999998</v>
      </c>
      <c r="P237" s="6">
        <v>0</v>
      </c>
      <c r="Q237" s="4" t="s">
        <v>26</v>
      </c>
      <c r="R237" s="4">
        <v>0</v>
      </c>
      <c r="S237" s="6">
        <v>0</v>
      </c>
      <c r="T237" s="6">
        <v>17</v>
      </c>
      <c r="U237" s="6">
        <v>78</v>
      </c>
      <c r="V237" s="6">
        <f>IF(ISERROR(VLOOKUP($S$237,'TAR FIN'!$A$1:$O$86,15,0)),0,VLOOKUP($S$237,'TAR FIN'!$A$1:$O$86,15,0))</f>
        <v>0</v>
      </c>
      <c r="W237" s="6">
        <f>IF(ISERROR(VLOOKUP($T$237,'TAR FIN'!$A$1:$O$86,15,0)),0,VLOOKUP($T$237,'TAR FIN'!$A$1:$O$86,15,0))</f>
        <v>71.260000000000005</v>
      </c>
      <c r="X237" s="6">
        <f>IF(ISERROR(VLOOKUP($U$237,'TAR FIN'!$A$1:$O$86,15,0)),0,VLOOKUP($U$237,'TAR FIN'!$A$1:$O$86,15,0))</f>
        <v>297.31</v>
      </c>
      <c r="Y237" s="6"/>
      <c r="Z237" s="6">
        <f ca="1">('TUSD BE'!$AM$12+'TUSD BF'!$AM$12+'TUSD CVA'!$AM$12)*1</f>
        <v>95.815448102611441</v>
      </c>
      <c r="AA237" s="6">
        <f>('TE BE'!$AB$6+'TE BF'!$AB$6+'TE CVA'!$AB$6)*1</f>
        <v>235.33989117487977</v>
      </c>
      <c r="AB237" s="6">
        <f>$K$237*$V$237</f>
        <v>0</v>
      </c>
      <c r="AC237" s="6">
        <f>$M$237*$W$237</f>
        <v>4860.0745200000001</v>
      </c>
      <c r="AD237" s="6">
        <f>$O$237*$X$237</f>
        <v>20277.136620000001</v>
      </c>
      <c r="AE237" s="6">
        <f>$K$237*$Y$237</f>
        <v>0</v>
      </c>
      <c r="AF237" s="6">
        <f ca="1">$M$237*$Z$237</f>
        <v>6534.8051914943053</v>
      </c>
      <c r="AG237" s="6">
        <f>$O$237*$AA$237</f>
        <v>16050.651257909149</v>
      </c>
    </row>
    <row r="238" spans="1:33" ht="11.25" customHeight="1" x14ac:dyDescent="0.25">
      <c r="A238" s="4" t="s">
        <v>21</v>
      </c>
      <c r="B238" s="4" t="s">
        <v>38</v>
      </c>
      <c r="C238" s="4" t="s">
        <v>39</v>
      </c>
      <c r="D238" s="4" t="s">
        <v>44</v>
      </c>
      <c r="E238" s="4" t="s">
        <v>25</v>
      </c>
      <c r="F238" s="4" t="s">
        <v>25</v>
      </c>
      <c r="G238" s="4" t="s">
        <v>25</v>
      </c>
      <c r="H238" s="4" t="s">
        <v>34</v>
      </c>
      <c r="I238" s="5">
        <v>44621</v>
      </c>
      <c r="J238" s="6">
        <v>0</v>
      </c>
      <c r="K238" s="6">
        <v>0</v>
      </c>
      <c r="L238" s="6">
        <v>71.442999999999998</v>
      </c>
      <c r="M238" s="6">
        <v>71.442999999999998</v>
      </c>
      <c r="N238" s="6">
        <v>71.442999999999998</v>
      </c>
      <c r="O238" s="6">
        <v>71.442999999999998</v>
      </c>
      <c r="P238" s="6">
        <v>0</v>
      </c>
      <c r="Q238" s="4" t="s">
        <v>26</v>
      </c>
      <c r="R238" s="4">
        <v>0</v>
      </c>
      <c r="S238" s="6">
        <v>0</v>
      </c>
      <c r="T238" s="6">
        <v>17</v>
      </c>
      <c r="U238" s="6">
        <v>78</v>
      </c>
      <c r="V238" s="6">
        <f>IF(ISERROR(VLOOKUP($S$238,'TAR FIN'!$A$1:$O$86,15,0)),0,VLOOKUP($S$238,'TAR FIN'!$A$1:$O$86,15,0))</f>
        <v>0</v>
      </c>
      <c r="W238" s="6">
        <f>IF(ISERROR(VLOOKUP($T$238,'TAR FIN'!$A$1:$O$86,15,0)),0,VLOOKUP($T$238,'TAR FIN'!$A$1:$O$86,15,0))</f>
        <v>71.260000000000005</v>
      </c>
      <c r="X238" s="6">
        <f>IF(ISERROR(VLOOKUP($U$238,'TAR FIN'!$A$1:$O$86,15,0)),0,VLOOKUP($U$238,'TAR FIN'!$A$1:$O$86,15,0))</f>
        <v>297.31</v>
      </c>
      <c r="Y238" s="6"/>
      <c r="Z238" s="6">
        <f ca="1">('TUSD BE'!$AM$12+'TUSD BF'!$AM$12+'TUSD CVA'!$AM$12)*1</f>
        <v>95.815448102611441</v>
      </c>
      <c r="AA238" s="6">
        <f>('TE BE'!$AB$6+'TE BF'!$AB$6+'TE CVA'!$AB$6)*1</f>
        <v>235.33989117487977</v>
      </c>
      <c r="AB238" s="6">
        <f>$K$238*$V$238</f>
        <v>0</v>
      </c>
      <c r="AC238" s="6">
        <f>$M$238*$W$238</f>
        <v>5091.0281800000002</v>
      </c>
      <c r="AD238" s="6">
        <f>$O$238*$X$238</f>
        <v>21240.71833</v>
      </c>
      <c r="AE238" s="6">
        <f>$K$238*$Y$238</f>
        <v>0</v>
      </c>
      <c r="AF238" s="6">
        <f ca="1">$M$238*$Z$238</f>
        <v>6845.3430587948687</v>
      </c>
      <c r="AG238" s="6">
        <f>$O$238*$AA$238</f>
        <v>16813.387845206933</v>
      </c>
    </row>
    <row r="239" spans="1:33" ht="11.25" customHeight="1" x14ac:dyDescent="0.25">
      <c r="A239" s="4" t="s">
        <v>21</v>
      </c>
      <c r="B239" s="4" t="s">
        <v>38</v>
      </c>
      <c r="C239" s="4" t="s">
        <v>39</v>
      </c>
      <c r="D239" s="4" t="s">
        <v>44</v>
      </c>
      <c r="E239" s="4" t="s">
        <v>25</v>
      </c>
      <c r="F239" s="4" t="s">
        <v>25</v>
      </c>
      <c r="G239" s="4" t="s">
        <v>25</v>
      </c>
      <c r="H239" s="4" t="s">
        <v>34</v>
      </c>
      <c r="I239" s="5">
        <v>44652</v>
      </c>
      <c r="J239" s="6">
        <v>0</v>
      </c>
      <c r="K239" s="6">
        <v>0</v>
      </c>
      <c r="L239" s="6">
        <v>46.636000000000003</v>
      </c>
      <c r="M239" s="6">
        <v>46.636000000000003</v>
      </c>
      <c r="N239" s="6">
        <v>46.636000000000003</v>
      </c>
      <c r="O239" s="6">
        <v>46.636000000000003</v>
      </c>
      <c r="P239" s="6">
        <v>0</v>
      </c>
      <c r="Q239" s="4" t="s">
        <v>26</v>
      </c>
      <c r="R239" s="4">
        <v>0</v>
      </c>
      <c r="S239" s="6">
        <v>0</v>
      </c>
      <c r="T239" s="6">
        <v>17</v>
      </c>
      <c r="U239" s="6">
        <v>78</v>
      </c>
      <c r="V239" s="6">
        <f>IF(ISERROR(VLOOKUP($S$239,'TAR FIN'!$A$1:$O$86,15,0)),0,VLOOKUP($S$239,'TAR FIN'!$A$1:$O$86,15,0))</f>
        <v>0</v>
      </c>
      <c r="W239" s="6">
        <f>IF(ISERROR(VLOOKUP($T$239,'TAR FIN'!$A$1:$O$86,15,0)),0,VLOOKUP($T$239,'TAR FIN'!$A$1:$O$86,15,0))</f>
        <v>71.260000000000005</v>
      </c>
      <c r="X239" s="6">
        <f>IF(ISERROR(VLOOKUP($U$239,'TAR FIN'!$A$1:$O$86,15,0)),0,VLOOKUP($U$239,'TAR FIN'!$A$1:$O$86,15,0))</f>
        <v>297.31</v>
      </c>
      <c r="Y239" s="6"/>
      <c r="Z239" s="6">
        <f ca="1">('TUSD BE'!$AM$12+'TUSD BF'!$AM$12+'TUSD CVA'!$AM$12)*1</f>
        <v>95.815448102611441</v>
      </c>
      <c r="AA239" s="6">
        <f>('TE BE'!$AB$6+'TE BF'!$AB$6+'TE CVA'!$AB$6)*1</f>
        <v>235.33989117487977</v>
      </c>
      <c r="AB239" s="6">
        <f>$K$239*$V$239</f>
        <v>0</v>
      </c>
      <c r="AC239" s="6">
        <f>$M$239*$W$239</f>
        <v>3323.2813600000004</v>
      </c>
      <c r="AD239" s="6">
        <f>$O$239*$X$239</f>
        <v>13865.349160000002</v>
      </c>
      <c r="AE239" s="6">
        <f>$K$239*$Y$239</f>
        <v>0</v>
      </c>
      <c r="AF239" s="6">
        <f ca="1">$M$239*$Z$239</f>
        <v>4468.4492377133874</v>
      </c>
      <c r="AG239" s="6">
        <f>$O$239*$AA$239</f>
        <v>10975.311164831694</v>
      </c>
    </row>
    <row r="240" spans="1:33" ht="11.25" customHeight="1" x14ac:dyDescent="0.25">
      <c r="A240" s="4" t="s">
        <v>21</v>
      </c>
      <c r="B240" s="4" t="s">
        <v>38</v>
      </c>
      <c r="C240" s="4" t="s">
        <v>39</v>
      </c>
      <c r="D240" s="4" t="s">
        <v>44</v>
      </c>
      <c r="E240" s="4" t="s">
        <v>25</v>
      </c>
      <c r="F240" s="4" t="s">
        <v>25</v>
      </c>
      <c r="G240" s="4" t="s">
        <v>25</v>
      </c>
      <c r="H240" s="4" t="s">
        <v>34</v>
      </c>
      <c r="I240" s="5">
        <v>44682</v>
      </c>
      <c r="J240" s="6">
        <v>0</v>
      </c>
      <c r="K240" s="6">
        <v>0</v>
      </c>
      <c r="L240" s="6">
        <v>61.941000000000003</v>
      </c>
      <c r="M240" s="6">
        <v>61.941000000000003</v>
      </c>
      <c r="N240" s="6">
        <v>61.941000000000003</v>
      </c>
      <c r="O240" s="6">
        <v>61.941000000000003</v>
      </c>
      <c r="P240" s="6">
        <v>0</v>
      </c>
      <c r="Q240" s="4" t="s">
        <v>26</v>
      </c>
      <c r="R240" s="4">
        <v>0</v>
      </c>
      <c r="S240" s="6">
        <v>0</v>
      </c>
      <c r="T240" s="6">
        <v>17</v>
      </c>
      <c r="U240" s="6">
        <v>78</v>
      </c>
      <c r="V240" s="6">
        <f>IF(ISERROR(VLOOKUP($S$240,'TAR FIN'!$A$1:$O$86,15,0)),0,VLOOKUP($S$240,'TAR FIN'!$A$1:$O$86,15,0))</f>
        <v>0</v>
      </c>
      <c r="W240" s="6">
        <f>IF(ISERROR(VLOOKUP($T$240,'TAR FIN'!$A$1:$O$86,15,0)),0,VLOOKUP($T$240,'TAR FIN'!$A$1:$O$86,15,0))</f>
        <v>71.260000000000005</v>
      </c>
      <c r="X240" s="6">
        <f>IF(ISERROR(VLOOKUP($U$240,'TAR FIN'!$A$1:$O$86,15,0)),0,VLOOKUP($U$240,'TAR FIN'!$A$1:$O$86,15,0))</f>
        <v>297.31</v>
      </c>
      <c r="Y240" s="6"/>
      <c r="Z240" s="6">
        <f ca="1">('TUSD BE'!$AM$12+'TUSD BF'!$AM$12+'TUSD CVA'!$AM$12)*1</f>
        <v>95.815448102611441</v>
      </c>
      <c r="AA240" s="6">
        <f>('TE BE'!$AB$6+'TE BF'!$AB$6+'TE CVA'!$AB$6)*1</f>
        <v>235.33989117487977</v>
      </c>
      <c r="AB240" s="6">
        <f>$K$240*$V$240</f>
        <v>0</v>
      </c>
      <c r="AC240" s="6">
        <f>$M$240*$W$240</f>
        <v>4413.9156600000006</v>
      </c>
      <c r="AD240" s="6">
        <f>$O$240*$X$240</f>
        <v>18415.67871</v>
      </c>
      <c r="AE240" s="6">
        <f>$K$240*$Y$240</f>
        <v>0</v>
      </c>
      <c r="AF240" s="6">
        <f ca="1">$M$240*$Z$240</f>
        <v>5934.9046709238555</v>
      </c>
      <c r="AG240" s="6">
        <f>$O$240*$AA$240</f>
        <v>14577.188199263228</v>
      </c>
    </row>
    <row r="241" spans="1:33" ht="11.25" customHeight="1" x14ac:dyDescent="0.25">
      <c r="A241" s="4" t="s">
        <v>55</v>
      </c>
      <c r="B241" s="4" t="s">
        <v>38</v>
      </c>
      <c r="C241" s="4" t="s">
        <v>39</v>
      </c>
      <c r="D241" s="4" t="s">
        <v>44</v>
      </c>
      <c r="E241" s="4" t="s">
        <v>25</v>
      </c>
      <c r="F241" s="4" t="s">
        <v>25</v>
      </c>
      <c r="G241" s="4" t="s">
        <v>25</v>
      </c>
      <c r="H241" s="4" t="s">
        <v>34</v>
      </c>
      <c r="I241" s="5">
        <v>44713</v>
      </c>
      <c r="J241" s="6">
        <v>0</v>
      </c>
      <c r="K241" s="6">
        <v>0</v>
      </c>
      <c r="L241" s="6">
        <v>61.941000000000003</v>
      </c>
      <c r="M241" s="6">
        <v>61.941000000000003</v>
      </c>
      <c r="N241" s="6">
        <v>61.941000000000003</v>
      </c>
      <c r="O241" s="6">
        <v>61.941000000000003</v>
      </c>
      <c r="P241" s="6">
        <v>0</v>
      </c>
      <c r="Q241" s="4" t="s">
        <v>26</v>
      </c>
      <c r="R241" s="4">
        <v>0</v>
      </c>
      <c r="S241" s="6">
        <v>0</v>
      </c>
      <c r="T241" s="6">
        <v>17</v>
      </c>
      <c r="U241" s="6">
        <v>78</v>
      </c>
      <c r="V241" s="6">
        <f>IF(ISERROR(VLOOKUP($S$241,'TAR FIN'!$A$1:$O$86,15,0)),0,VLOOKUP($S$241,'TAR FIN'!$A$1:$O$86,15,0))</f>
        <v>0</v>
      </c>
      <c r="W241" s="6">
        <f>IF(ISERROR(VLOOKUP($T$241,'TAR FIN'!$A$1:$O$86,15,0)),0,VLOOKUP($T$241,'TAR FIN'!$A$1:$O$86,15,0))</f>
        <v>71.260000000000005</v>
      </c>
      <c r="X241" s="6">
        <f>IF(ISERROR(VLOOKUP($U$241,'TAR FIN'!$A$1:$O$86,15,0)),0,VLOOKUP($U$241,'TAR FIN'!$A$1:$O$86,15,0))</f>
        <v>297.31</v>
      </c>
      <c r="Y241" s="6"/>
      <c r="Z241" s="6">
        <f ca="1">('TUSD BE'!$AM$12+'TUSD BF'!$AM$12+'TUSD CVA'!$AM$12)*1</f>
        <v>95.815448102611441</v>
      </c>
      <c r="AA241" s="6">
        <f>('TE BE'!$AB$6+'TE BF'!$AB$6+'TE CVA'!$AB$6)*1</f>
        <v>235.33989117487977</v>
      </c>
      <c r="AB241" s="6">
        <f>$K$241*$V$241</f>
        <v>0</v>
      </c>
      <c r="AC241" s="6">
        <f>$M$241*$W$241</f>
        <v>4413.9156600000006</v>
      </c>
      <c r="AD241" s="6">
        <f>$O$241*$X$241</f>
        <v>18415.67871</v>
      </c>
      <c r="AE241" s="6">
        <f>$K$241*$Y$241</f>
        <v>0</v>
      </c>
      <c r="AF241" s="6">
        <f ca="1">$M$241*$Z$241</f>
        <v>5934.9046709238555</v>
      </c>
      <c r="AG241" s="6">
        <f>$O$241*$AA$241</f>
        <v>14577.188199263228</v>
      </c>
    </row>
    <row r="242" spans="1:33" ht="11.25" customHeight="1" x14ac:dyDescent="0.25">
      <c r="A242" s="4" t="s">
        <v>21</v>
      </c>
      <c r="B242" s="4" t="s">
        <v>38</v>
      </c>
      <c r="C242" s="4" t="s">
        <v>39</v>
      </c>
      <c r="D242" s="4" t="s">
        <v>44</v>
      </c>
      <c r="E242" s="4" t="s">
        <v>25</v>
      </c>
      <c r="F242" s="4" t="s">
        <v>25</v>
      </c>
      <c r="G242" s="4" t="s">
        <v>25</v>
      </c>
      <c r="H242" s="4" t="s">
        <v>25</v>
      </c>
      <c r="I242" s="5">
        <v>44378</v>
      </c>
      <c r="J242" s="6">
        <v>485</v>
      </c>
      <c r="K242" s="6">
        <v>485</v>
      </c>
      <c r="L242" s="6">
        <v>0</v>
      </c>
      <c r="M242" s="6">
        <v>0</v>
      </c>
      <c r="N242" s="6">
        <v>0</v>
      </c>
      <c r="O242" s="6">
        <v>0</v>
      </c>
      <c r="P242" s="6">
        <v>8</v>
      </c>
      <c r="Q242" s="4" t="s">
        <v>26</v>
      </c>
      <c r="R242" s="4">
        <v>0</v>
      </c>
      <c r="S242" s="6">
        <v>19</v>
      </c>
      <c r="T242" s="6">
        <v>0</v>
      </c>
      <c r="U242" s="6">
        <v>0</v>
      </c>
      <c r="V242" s="6">
        <f>IF(ISERROR(VLOOKUP($S$242,'TAR FIN'!$A$1:$O$86,15,0)),0,VLOOKUP($S$242,'TAR FIN'!$A$1:$O$86,15,0))</f>
        <v>16.29</v>
      </c>
      <c r="W242" s="6">
        <f>IF(ISERROR(VLOOKUP($T$242,'TAR FIN'!$A$1:$O$86,15,0)),0,VLOOKUP($T$242,'TAR FIN'!$A$1:$O$86,15,0))</f>
        <v>0</v>
      </c>
      <c r="X242" s="6">
        <f>IF(ISERROR(VLOOKUP($U$242,'TAR FIN'!$A$1:$O$86,15,0)),0,VLOOKUP($U$242,'TAR FIN'!$A$1:$O$86,15,0))</f>
        <v>0</v>
      </c>
      <c r="Y242" s="6">
        <f ca="1">('TUSD BE'!$AM$10+'TUSD BF'!$AM$10+'TUSD CVA'!$AM$10)*1</f>
        <v>21.139573525578484</v>
      </c>
      <c r="Z242" s="6"/>
      <c r="AA242" s="6"/>
      <c r="AB242" s="6">
        <f>$K$242*$V$242</f>
        <v>7900.65</v>
      </c>
      <c r="AC242" s="6">
        <f>$M$242*$W$242</f>
        <v>0</v>
      </c>
      <c r="AD242" s="6">
        <f>$O$242*$X$242</f>
        <v>0</v>
      </c>
      <c r="AE242" s="6">
        <f ca="1">$K$242*$Y$242</f>
        <v>10252.693159905564</v>
      </c>
      <c r="AF242" s="6">
        <f>$M$242*$Z$242</f>
        <v>0</v>
      </c>
      <c r="AG242" s="6">
        <f>$O$242*$AA$242</f>
        <v>0</v>
      </c>
    </row>
    <row r="243" spans="1:33" ht="11.25" customHeight="1" x14ac:dyDescent="0.25">
      <c r="A243" s="4" t="s">
        <v>21</v>
      </c>
      <c r="B243" s="4" t="s">
        <v>38</v>
      </c>
      <c r="C243" s="4" t="s">
        <v>39</v>
      </c>
      <c r="D243" s="4" t="s">
        <v>44</v>
      </c>
      <c r="E243" s="4" t="s">
        <v>25</v>
      </c>
      <c r="F243" s="4" t="s">
        <v>25</v>
      </c>
      <c r="G243" s="4" t="s">
        <v>25</v>
      </c>
      <c r="H243" s="4" t="s">
        <v>25</v>
      </c>
      <c r="I243" s="5">
        <v>44409</v>
      </c>
      <c r="J243" s="6">
        <v>485</v>
      </c>
      <c r="K243" s="6">
        <v>485</v>
      </c>
      <c r="L243" s="6">
        <v>0</v>
      </c>
      <c r="M243" s="6">
        <v>0</v>
      </c>
      <c r="N243" s="6">
        <v>0</v>
      </c>
      <c r="O243" s="6">
        <v>0</v>
      </c>
      <c r="P243" s="6">
        <v>8</v>
      </c>
      <c r="Q243" s="4" t="s">
        <v>26</v>
      </c>
      <c r="R243" s="4">
        <v>0</v>
      </c>
      <c r="S243" s="6">
        <v>19</v>
      </c>
      <c r="T243" s="6">
        <v>0</v>
      </c>
      <c r="U243" s="6">
        <v>0</v>
      </c>
      <c r="V243" s="6">
        <f>IF(ISERROR(VLOOKUP($S$243,'TAR FIN'!$A$1:$O$86,15,0)),0,VLOOKUP($S$243,'TAR FIN'!$A$1:$O$86,15,0))</f>
        <v>16.29</v>
      </c>
      <c r="W243" s="6">
        <f>IF(ISERROR(VLOOKUP($T$243,'TAR FIN'!$A$1:$O$86,15,0)),0,VLOOKUP($T$243,'TAR FIN'!$A$1:$O$86,15,0))</f>
        <v>0</v>
      </c>
      <c r="X243" s="6">
        <f>IF(ISERROR(VLOOKUP($U$243,'TAR FIN'!$A$1:$O$86,15,0)),0,VLOOKUP($U$243,'TAR FIN'!$A$1:$O$86,15,0))</f>
        <v>0</v>
      </c>
      <c r="Y243" s="6">
        <f ca="1">('TUSD BE'!$AM$10+'TUSD BF'!$AM$10+'TUSD CVA'!$AM$10)*1</f>
        <v>21.139573525578484</v>
      </c>
      <c r="Z243" s="6"/>
      <c r="AA243" s="6"/>
      <c r="AB243" s="6">
        <f>$K$243*$V$243</f>
        <v>7900.65</v>
      </c>
      <c r="AC243" s="6">
        <f>$M$243*$W$243</f>
        <v>0</v>
      </c>
      <c r="AD243" s="6">
        <f>$O$243*$X$243</f>
        <v>0</v>
      </c>
      <c r="AE243" s="6">
        <f ca="1">$K$243*$Y$243</f>
        <v>10252.693159905564</v>
      </c>
      <c r="AF243" s="6">
        <f>$M$243*$Z$243</f>
        <v>0</v>
      </c>
      <c r="AG243" s="6">
        <f>$O$243*$AA$243</f>
        <v>0</v>
      </c>
    </row>
    <row r="244" spans="1:33" ht="11.25" customHeight="1" x14ac:dyDescent="0.25">
      <c r="A244" s="4" t="s">
        <v>21</v>
      </c>
      <c r="B244" s="4" t="s">
        <v>38</v>
      </c>
      <c r="C244" s="4" t="s">
        <v>39</v>
      </c>
      <c r="D244" s="4" t="s">
        <v>44</v>
      </c>
      <c r="E244" s="4" t="s">
        <v>25</v>
      </c>
      <c r="F244" s="4" t="s">
        <v>25</v>
      </c>
      <c r="G244" s="4" t="s">
        <v>25</v>
      </c>
      <c r="H244" s="4" t="s">
        <v>25</v>
      </c>
      <c r="I244" s="5">
        <v>44440</v>
      </c>
      <c r="J244" s="6">
        <v>485</v>
      </c>
      <c r="K244" s="6">
        <v>485</v>
      </c>
      <c r="L244" s="6">
        <v>0</v>
      </c>
      <c r="M244" s="6">
        <v>0</v>
      </c>
      <c r="N244" s="6">
        <v>0</v>
      </c>
      <c r="O244" s="6">
        <v>0</v>
      </c>
      <c r="P244" s="6">
        <v>8</v>
      </c>
      <c r="Q244" s="4" t="s">
        <v>26</v>
      </c>
      <c r="R244" s="4">
        <v>0</v>
      </c>
      <c r="S244" s="6">
        <v>19</v>
      </c>
      <c r="T244" s="6">
        <v>0</v>
      </c>
      <c r="U244" s="6">
        <v>0</v>
      </c>
      <c r="V244" s="6">
        <f>IF(ISERROR(VLOOKUP($S$244,'TAR FIN'!$A$1:$O$86,15,0)),0,VLOOKUP($S$244,'TAR FIN'!$A$1:$O$86,15,0))</f>
        <v>16.29</v>
      </c>
      <c r="W244" s="6">
        <f>IF(ISERROR(VLOOKUP($T$244,'TAR FIN'!$A$1:$O$86,15,0)),0,VLOOKUP($T$244,'TAR FIN'!$A$1:$O$86,15,0))</f>
        <v>0</v>
      </c>
      <c r="X244" s="6">
        <f>IF(ISERROR(VLOOKUP($U$244,'TAR FIN'!$A$1:$O$86,15,0)),0,VLOOKUP($U$244,'TAR FIN'!$A$1:$O$86,15,0))</f>
        <v>0</v>
      </c>
      <c r="Y244" s="6">
        <f ca="1">('TUSD BE'!$AM$10+'TUSD BF'!$AM$10+'TUSD CVA'!$AM$10)*1</f>
        <v>21.139573525578484</v>
      </c>
      <c r="Z244" s="6"/>
      <c r="AA244" s="6"/>
      <c r="AB244" s="6">
        <f>$K$244*$V$244</f>
        <v>7900.65</v>
      </c>
      <c r="AC244" s="6">
        <f>$M$244*$W$244</f>
        <v>0</v>
      </c>
      <c r="AD244" s="6">
        <f>$O$244*$X$244</f>
        <v>0</v>
      </c>
      <c r="AE244" s="6">
        <f ca="1">$K$244*$Y$244</f>
        <v>10252.693159905564</v>
      </c>
      <c r="AF244" s="6">
        <f>$M$244*$Z$244</f>
        <v>0</v>
      </c>
      <c r="AG244" s="6">
        <f>$O$244*$AA$244</f>
        <v>0</v>
      </c>
    </row>
    <row r="245" spans="1:33" ht="11.25" customHeight="1" x14ac:dyDescent="0.25">
      <c r="A245" s="4" t="s">
        <v>21</v>
      </c>
      <c r="B245" s="4" t="s">
        <v>38</v>
      </c>
      <c r="C245" s="4" t="s">
        <v>39</v>
      </c>
      <c r="D245" s="4" t="s">
        <v>44</v>
      </c>
      <c r="E245" s="4" t="s">
        <v>25</v>
      </c>
      <c r="F245" s="4" t="s">
        <v>25</v>
      </c>
      <c r="G245" s="4" t="s">
        <v>25</v>
      </c>
      <c r="H245" s="4" t="s">
        <v>25</v>
      </c>
      <c r="I245" s="5">
        <v>44470</v>
      </c>
      <c r="J245" s="6">
        <v>485</v>
      </c>
      <c r="K245" s="6">
        <v>485</v>
      </c>
      <c r="L245" s="6">
        <v>0</v>
      </c>
      <c r="M245" s="6">
        <v>0</v>
      </c>
      <c r="N245" s="6">
        <v>0</v>
      </c>
      <c r="O245" s="6">
        <v>0</v>
      </c>
      <c r="P245" s="6">
        <v>8</v>
      </c>
      <c r="Q245" s="4" t="s">
        <v>26</v>
      </c>
      <c r="R245" s="4">
        <v>0</v>
      </c>
      <c r="S245" s="6">
        <v>19</v>
      </c>
      <c r="T245" s="6">
        <v>0</v>
      </c>
      <c r="U245" s="6">
        <v>0</v>
      </c>
      <c r="V245" s="6">
        <f>IF(ISERROR(VLOOKUP($S$245,'TAR FIN'!$A$1:$O$86,15,0)),0,VLOOKUP($S$245,'TAR FIN'!$A$1:$O$86,15,0))</f>
        <v>16.29</v>
      </c>
      <c r="W245" s="6">
        <f>IF(ISERROR(VLOOKUP($T$245,'TAR FIN'!$A$1:$O$86,15,0)),0,VLOOKUP($T$245,'TAR FIN'!$A$1:$O$86,15,0))</f>
        <v>0</v>
      </c>
      <c r="X245" s="6">
        <f>IF(ISERROR(VLOOKUP($U$245,'TAR FIN'!$A$1:$O$86,15,0)),0,VLOOKUP($U$245,'TAR FIN'!$A$1:$O$86,15,0))</f>
        <v>0</v>
      </c>
      <c r="Y245" s="6">
        <f ca="1">('TUSD BE'!$AM$10+'TUSD BF'!$AM$10+'TUSD CVA'!$AM$10)*1</f>
        <v>21.139573525578484</v>
      </c>
      <c r="Z245" s="6"/>
      <c r="AA245" s="6"/>
      <c r="AB245" s="6">
        <f>$K$245*$V$245</f>
        <v>7900.65</v>
      </c>
      <c r="AC245" s="6">
        <f>$M$245*$W$245</f>
        <v>0</v>
      </c>
      <c r="AD245" s="6">
        <f>$O$245*$X$245</f>
        <v>0</v>
      </c>
      <c r="AE245" s="6">
        <f ca="1">$K$245*$Y$245</f>
        <v>10252.693159905564</v>
      </c>
      <c r="AF245" s="6">
        <f>$M$245*$Z$245</f>
        <v>0</v>
      </c>
      <c r="AG245" s="6">
        <f>$O$245*$AA$245</f>
        <v>0</v>
      </c>
    </row>
    <row r="246" spans="1:33" ht="11.25" customHeight="1" x14ac:dyDescent="0.25">
      <c r="A246" s="4" t="s">
        <v>21</v>
      </c>
      <c r="B246" s="4" t="s">
        <v>38</v>
      </c>
      <c r="C246" s="4" t="s">
        <v>39</v>
      </c>
      <c r="D246" s="4" t="s">
        <v>44</v>
      </c>
      <c r="E246" s="4" t="s">
        <v>25</v>
      </c>
      <c r="F246" s="4" t="s">
        <v>25</v>
      </c>
      <c r="G246" s="4" t="s">
        <v>25</v>
      </c>
      <c r="H246" s="4" t="s">
        <v>25</v>
      </c>
      <c r="I246" s="5">
        <v>44501</v>
      </c>
      <c r="J246" s="6">
        <v>485</v>
      </c>
      <c r="K246" s="6">
        <v>485</v>
      </c>
      <c r="L246" s="6">
        <v>0</v>
      </c>
      <c r="M246" s="6">
        <v>0</v>
      </c>
      <c r="N246" s="6">
        <v>0</v>
      </c>
      <c r="O246" s="6">
        <v>0</v>
      </c>
      <c r="P246" s="6">
        <v>8</v>
      </c>
      <c r="Q246" s="4" t="s">
        <v>26</v>
      </c>
      <c r="R246" s="4">
        <v>0</v>
      </c>
      <c r="S246" s="6">
        <v>19</v>
      </c>
      <c r="T246" s="6">
        <v>0</v>
      </c>
      <c r="U246" s="6">
        <v>0</v>
      </c>
      <c r="V246" s="6">
        <f>IF(ISERROR(VLOOKUP($S$246,'TAR FIN'!$A$1:$O$86,15,0)),0,VLOOKUP($S$246,'TAR FIN'!$A$1:$O$86,15,0))</f>
        <v>16.29</v>
      </c>
      <c r="W246" s="6">
        <f>IF(ISERROR(VLOOKUP($T$246,'TAR FIN'!$A$1:$O$86,15,0)),0,VLOOKUP($T$246,'TAR FIN'!$A$1:$O$86,15,0))</f>
        <v>0</v>
      </c>
      <c r="X246" s="6">
        <f>IF(ISERROR(VLOOKUP($U$246,'TAR FIN'!$A$1:$O$86,15,0)),0,VLOOKUP($U$246,'TAR FIN'!$A$1:$O$86,15,0))</f>
        <v>0</v>
      </c>
      <c r="Y246" s="6">
        <f ca="1">('TUSD BE'!$AM$10+'TUSD BF'!$AM$10+'TUSD CVA'!$AM$10)*1</f>
        <v>21.139573525578484</v>
      </c>
      <c r="Z246" s="6"/>
      <c r="AA246" s="6"/>
      <c r="AB246" s="6">
        <f>$K$246*$V$246</f>
        <v>7900.65</v>
      </c>
      <c r="AC246" s="6">
        <f>$M$246*$W$246</f>
        <v>0</v>
      </c>
      <c r="AD246" s="6">
        <f>$O$246*$X$246</f>
        <v>0</v>
      </c>
      <c r="AE246" s="6">
        <f ca="1">$K$246*$Y$246</f>
        <v>10252.693159905564</v>
      </c>
      <c r="AF246" s="6">
        <f>$M$246*$Z$246</f>
        <v>0</v>
      </c>
      <c r="AG246" s="6">
        <f>$O$246*$AA$246</f>
        <v>0</v>
      </c>
    </row>
    <row r="247" spans="1:33" ht="11.25" customHeight="1" x14ac:dyDescent="0.25">
      <c r="A247" s="4" t="s">
        <v>21</v>
      </c>
      <c r="B247" s="4" t="s">
        <v>38</v>
      </c>
      <c r="C247" s="4" t="s">
        <v>39</v>
      </c>
      <c r="D247" s="4" t="s">
        <v>44</v>
      </c>
      <c r="E247" s="4" t="s">
        <v>25</v>
      </c>
      <c r="F247" s="4" t="s">
        <v>25</v>
      </c>
      <c r="G247" s="4" t="s">
        <v>25</v>
      </c>
      <c r="H247" s="4" t="s">
        <v>25</v>
      </c>
      <c r="I247" s="5">
        <v>44531</v>
      </c>
      <c r="J247" s="6">
        <v>610</v>
      </c>
      <c r="K247" s="6">
        <v>610</v>
      </c>
      <c r="L247" s="6">
        <v>0</v>
      </c>
      <c r="M247" s="6">
        <v>0</v>
      </c>
      <c r="N247" s="6">
        <v>0</v>
      </c>
      <c r="O247" s="6">
        <v>0</v>
      </c>
      <c r="P247" s="6">
        <v>9</v>
      </c>
      <c r="Q247" s="4" t="s">
        <v>26</v>
      </c>
      <c r="R247" s="4">
        <v>0</v>
      </c>
      <c r="S247" s="6">
        <v>19</v>
      </c>
      <c r="T247" s="6">
        <v>0</v>
      </c>
      <c r="U247" s="6">
        <v>0</v>
      </c>
      <c r="V247" s="6">
        <f>IF(ISERROR(VLOOKUP($S$247,'TAR FIN'!$A$1:$O$86,15,0)),0,VLOOKUP($S$247,'TAR FIN'!$A$1:$O$86,15,0))</f>
        <v>16.29</v>
      </c>
      <c r="W247" s="6">
        <f>IF(ISERROR(VLOOKUP($T$247,'TAR FIN'!$A$1:$O$86,15,0)),0,VLOOKUP($T$247,'TAR FIN'!$A$1:$O$86,15,0))</f>
        <v>0</v>
      </c>
      <c r="X247" s="6">
        <f>IF(ISERROR(VLOOKUP($U$247,'TAR FIN'!$A$1:$O$86,15,0)),0,VLOOKUP($U$247,'TAR FIN'!$A$1:$O$86,15,0))</f>
        <v>0</v>
      </c>
      <c r="Y247" s="6">
        <f ca="1">('TUSD BE'!$AM$10+'TUSD BF'!$AM$10+'TUSD CVA'!$AM$10)*1</f>
        <v>21.139573525578484</v>
      </c>
      <c r="Z247" s="6"/>
      <c r="AA247" s="6"/>
      <c r="AB247" s="6">
        <f>$K$247*$V$247</f>
        <v>9936.9</v>
      </c>
      <c r="AC247" s="6">
        <f>$M$247*$W$247</f>
        <v>0</v>
      </c>
      <c r="AD247" s="6">
        <f>$O$247*$X$247</f>
        <v>0</v>
      </c>
      <c r="AE247" s="6">
        <f ca="1">$K$247*$Y$247</f>
        <v>12895.139850602875</v>
      </c>
      <c r="AF247" s="6">
        <f>$M$247*$Z$247</f>
        <v>0</v>
      </c>
      <c r="AG247" s="6">
        <f>$O$247*$AA$247</f>
        <v>0</v>
      </c>
    </row>
    <row r="248" spans="1:33" ht="11.25" customHeight="1" x14ac:dyDescent="0.25">
      <c r="A248" s="4" t="s">
        <v>21</v>
      </c>
      <c r="B248" s="4" t="s">
        <v>38</v>
      </c>
      <c r="C248" s="4" t="s">
        <v>39</v>
      </c>
      <c r="D248" s="4" t="s">
        <v>44</v>
      </c>
      <c r="E248" s="4" t="s">
        <v>25</v>
      </c>
      <c r="F248" s="4" t="s">
        <v>25</v>
      </c>
      <c r="G248" s="4" t="s">
        <v>25</v>
      </c>
      <c r="H248" s="4" t="s">
        <v>25</v>
      </c>
      <c r="I248" s="5">
        <v>44562</v>
      </c>
      <c r="J248" s="6">
        <v>611</v>
      </c>
      <c r="K248" s="6">
        <v>611</v>
      </c>
      <c r="L248" s="6">
        <v>0</v>
      </c>
      <c r="M248" s="6">
        <v>0</v>
      </c>
      <c r="N248" s="6">
        <v>0</v>
      </c>
      <c r="O248" s="6">
        <v>0</v>
      </c>
      <c r="P248" s="6">
        <v>9</v>
      </c>
      <c r="Q248" s="4" t="s">
        <v>26</v>
      </c>
      <c r="R248" s="4">
        <v>0</v>
      </c>
      <c r="S248" s="6">
        <v>19</v>
      </c>
      <c r="T248" s="6">
        <v>0</v>
      </c>
      <c r="U248" s="6">
        <v>0</v>
      </c>
      <c r="V248" s="6">
        <f>IF(ISERROR(VLOOKUP($S$248,'TAR FIN'!$A$1:$O$86,15,0)),0,VLOOKUP($S$248,'TAR FIN'!$A$1:$O$86,15,0))</f>
        <v>16.29</v>
      </c>
      <c r="W248" s="6">
        <f>IF(ISERROR(VLOOKUP($T$248,'TAR FIN'!$A$1:$O$86,15,0)),0,VLOOKUP($T$248,'TAR FIN'!$A$1:$O$86,15,0))</f>
        <v>0</v>
      </c>
      <c r="X248" s="6">
        <f>IF(ISERROR(VLOOKUP($U$248,'TAR FIN'!$A$1:$O$86,15,0)),0,VLOOKUP($U$248,'TAR FIN'!$A$1:$O$86,15,0))</f>
        <v>0</v>
      </c>
      <c r="Y248" s="6">
        <f ca="1">('TUSD BE'!$AM$10+'TUSD BF'!$AM$10+'TUSD CVA'!$AM$10)*1</f>
        <v>21.139573525578484</v>
      </c>
      <c r="Z248" s="6"/>
      <c r="AA248" s="6"/>
      <c r="AB248" s="6">
        <f>$K$248*$V$248</f>
        <v>9953.1899999999987</v>
      </c>
      <c r="AC248" s="6">
        <f>$M$248*$W$248</f>
        <v>0</v>
      </c>
      <c r="AD248" s="6">
        <f>$O$248*$X$248</f>
        <v>0</v>
      </c>
      <c r="AE248" s="6">
        <f ca="1">$K$248*$Y$248</f>
        <v>12916.279424128454</v>
      </c>
      <c r="AF248" s="6">
        <f>$M$248*$Z$248</f>
        <v>0</v>
      </c>
      <c r="AG248" s="6">
        <f>$O$248*$AA$248</f>
        <v>0</v>
      </c>
    </row>
    <row r="249" spans="1:33" ht="11.25" customHeight="1" x14ac:dyDescent="0.25">
      <c r="A249" s="4" t="s">
        <v>21</v>
      </c>
      <c r="B249" s="4" t="s">
        <v>38</v>
      </c>
      <c r="C249" s="4" t="s">
        <v>39</v>
      </c>
      <c r="D249" s="4" t="s">
        <v>44</v>
      </c>
      <c r="E249" s="4" t="s">
        <v>25</v>
      </c>
      <c r="F249" s="4" t="s">
        <v>25</v>
      </c>
      <c r="G249" s="4" t="s">
        <v>25</v>
      </c>
      <c r="H249" s="4" t="s">
        <v>25</v>
      </c>
      <c r="I249" s="5">
        <v>44593</v>
      </c>
      <c r="J249" s="6">
        <v>647</v>
      </c>
      <c r="K249" s="6">
        <v>647</v>
      </c>
      <c r="L249" s="6">
        <v>0</v>
      </c>
      <c r="M249" s="6">
        <v>0</v>
      </c>
      <c r="N249" s="6">
        <v>0</v>
      </c>
      <c r="O249" s="6">
        <v>0</v>
      </c>
      <c r="P249" s="6">
        <v>9</v>
      </c>
      <c r="Q249" s="4" t="s">
        <v>26</v>
      </c>
      <c r="R249" s="4">
        <v>0</v>
      </c>
      <c r="S249" s="6">
        <v>19</v>
      </c>
      <c r="T249" s="6">
        <v>0</v>
      </c>
      <c r="U249" s="6">
        <v>0</v>
      </c>
      <c r="V249" s="6">
        <f>IF(ISERROR(VLOOKUP($S$249,'TAR FIN'!$A$1:$O$86,15,0)),0,VLOOKUP($S$249,'TAR FIN'!$A$1:$O$86,15,0))</f>
        <v>16.29</v>
      </c>
      <c r="W249" s="6">
        <f>IF(ISERROR(VLOOKUP($T$249,'TAR FIN'!$A$1:$O$86,15,0)),0,VLOOKUP($T$249,'TAR FIN'!$A$1:$O$86,15,0))</f>
        <v>0</v>
      </c>
      <c r="X249" s="6">
        <f>IF(ISERROR(VLOOKUP($U$249,'TAR FIN'!$A$1:$O$86,15,0)),0,VLOOKUP($U$249,'TAR FIN'!$A$1:$O$86,15,0))</f>
        <v>0</v>
      </c>
      <c r="Y249" s="6">
        <f ca="1">('TUSD BE'!$AM$10+'TUSD BF'!$AM$10+'TUSD CVA'!$AM$10)*1</f>
        <v>21.139573525578484</v>
      </c>
      <c r="Z249" s="6"/>
      <c r="AA249" s="6"/>
      <c r="AB249" s="6">
        <f>$K$249*$V$249</f>
        <v>10539.63</v>
      </c>
      <c r="AC249" s="6">
        <f>$M$249*$W$249</f>
        <v>0</v>
      </c>
      <c r="AD249" s="6">
        <f>$O$249*$X$249</f>
        <v>0</v>
      </c>
      <c r="AE249" s="6">
        <f ca="1">$K$249*$Y$249</f>
        <v>13677.304071049279</v>
      </c>
      <c r="AF249" s="6">
        <f>$M$249*$Z$249</f>
        <v>0</v>
      </c>
      <c r="AG249" s="6">
        <f>$O$249*$AA$249</f>
        <v>0</v>
      </c>
    </row>
    <row r="250" spans="1:33" ht="11.25" customHeight="1" x14ac:dyDescent="0.25">
      <c r="A250" s="4" t="s">
        <v>21</v>
      </c>
      <c r="B250" s="4" t="s">
        <v>38</v>
      </c>
      <c r="C250" s="4" t="s">
        <v>39</v>
      </c>
      <c r="D250" s="4" t="s">
        <v>44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44621</v>
      </c>
      <c r="J250" s="6">
        <v>680</v>
      </c>
      <c r="K250" s="6">
        <v>680</v>
      </c>
      <c r="L250" s="6">
        <v>0</v>
      </c>
      <c r="M250" s="6">
        <v>0</v>
      </c>
      <c r="N250" s="6">
        <v>0</v>
      </c>
      <c r="O250" s="6">
        <v>0</v>
      </c>
      <c r="P250" s="6">
        <v>9</v>
      </c>
      <c r="Q250" s="4" t="s">
        <v>26</v>
      </c>
      <c r="R250" s="4">
        <v>0</v>
      </c>
      <c r="S250" s="6">
        <v>19</v>
      </c>
      <c r="T250" s="6">
        <v>0</v>
      </c>
      <c r="U250" s="6">
        <v>0</v>
      </c>
      <c r="V250" s="6">
        <f>IF(ISERROR(VLOOKUP($S$250,'TAR FIN'!$A$1:$O$86,15,0)),0,VLOOKUP($S$250,'TAR FIN'!$A$1:$O$86,15,0))</f>
        <v>16.29</v>
      </c>
      <c r="W250" s="6">
        <f>IF(ISERROR(VLOOKUP($T$250,'TAR FIN'!$A$1:$O$86,15,0)),0,VLOOKUP($T$250,'TAR FIN'!$A$1:$O$86,15,0))</f>
        <v>0</v>
      </c>
      <c r="X250" s="6">
        <f>IF(ISERROR(VLOOKUP($U$250,'TAR FIN'!$A$1:$O$86,15,0)),0,VLOOKUP($U$250,'TAR FIN'!$A$1:$O$86,15,0))</f>
        <v>0</v>
      </c>
      <c r="Y250" s="6">
        <f ca="1">('TUSD BE'!$AM$10+'TUSD BF'!$AM$10+'TUSD CVA'!$AM$10)*1</f>
        <v>21.139573525578484</v>
      </c>
      <c r="Z250" s="6"/>
      <c r="AA250" s="6"/>
      <c r="AB250" s="6">
        <f>$K$250*$V$250</f>
        <v>11077.199999999999</v>
      </c>
      <c r="AC250" s="6">
        <f>$M$250*$W$250</f>
        <v>0</v>
      </c>
      <c r="AD250" s="6">
        <f>$O$250*$X$250</f>
        <v>0</v>
      </c>
      <c r="AE250" s="6">
        <f ca="1">$K$250*$Y$250</f>
        <v>14374.90999739337</v>
      </c>
      <c r="AF250" s="6">
        <f>$M$250*$Z$250</f>
        <v>0</v>
      </c>
      <c r="AG250" s="6">
        <f>$O$250*$AA$250</f>
        <v>0</v>
      </c>
    </row>
    <row r="251" spans="1:33" ht="11.25" customHeight="1" x14ac:dyDescent="0.25">
      <c r="A251" s="4" t="s">
        <v>21</v>
      </c>
      <c r="B251" s="4" t="s">
        <v>38</v>
      </c>
      <c r="C251" s="4" t="s">
        <v>39</v>
      </c>
      <c r="D251" s="4" t="s">
        <v>44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44652</v>
      </c>
      <c r="J251" s="6">
        <v>605</v>
      </c>
      <c r="K251" s="6">
        <v>605</v>
      </c>
      <c r="L251" s="6">
        <v>0</v>
      </c>
      <c r="M251" s="6">
        <v>0</v>
      </c>
      <c r="N251" s="6">
        <v>0</v>
      </c>
      <c r="O251" s="6">
        <v>0</v>
      </c>
      <c r="P251" s="6">
        <v>9</v>
      </c>
      <c r="Q251" s="4" t="s">
        <v>26</v>
      </c>
      <c r="R251" s="4">
        <v>0</v>
      </c>
      <c r="S251" s="6">
        <v>19</v>
      </c>
      <c r="T251" s="6">
        <v>0</v>
      </c>
      <c r="U251" s="6">
        <v>0</v>
      </c>
      <c r="V251" s="6">
        <f>IF(ISERROR(VLOOKUP($S$251,'TAR FIN'!$A$1:$O$86,15,0)),0,VLOOKUP($S$251,'TAR FIN'!$A$1:$O$86,15,0))</f>
        <v>16.29</v>
      </c>
      <c r="W251" s="6">
        <f>IF(ISERROR(VLOOKUP($T$251,'TAR FIN'!$A$1:$O$86,15,0)),0,VLOOKUP($T$251,'TAR FIN'!$A$1:$O$86,15,0))</f>
        <v>0</v>
      </c>
      <c r="X251" s="6">
        <f>IF(ISERROR(VLOOKUP($U$251,'TAR FIN'!$A$1:$O$86,15,0)),0,VLOOKUP($U$251,'TAR FIN'!$A$1:$O$86,15,0))</f>
        <v>0</v>
      </c>
      <c r="Y251" s="6">
        <f ca="1">('TUSD BE'!$AM$10+'TUSD BF'!$AM$10+'TUSD CVA'!$AM$10)*1</f>
        <v>21.139573525578484</v>
      </c>
      <c r="Z251" s="6"/>
      <c r="AA251" s="6"/>
      <c r="AB251" s="6">
        <f>$K$251*$V$251</f>
        <v>9855.4499999999989</v>
      </c>
      <c r="AC251" s="6">
        <f>$M$251*$W$251</f>
        <v>0</v>
      </c>
      <c r="AD251" s="6">
        <f>$O$251*$X$251</f>
        <v>0</v>
      </c>
      <c r="AE251" s="6">
        <f ca="1">$K$251*$Y$251</f>
        <v>12789.441982974982</v>
      </c>
      <c r="AF251" s="6">
        <f>$M$251*$Z$251</f>
        <v>0</v>
      </c>
      <c r="AG251" s="6">
        <f>$O$251*$AA$251</f>
        <v>0</v>
      </c>
    </row>
    <row r="252" spans="1:33" ht="11.25" customHeight="1" x14ac:dyDescent="0.25">
      <c r="A252" s="4" t="s">
        <v>21</v>
      </c>
      <c r="B252" s="4" t="s">
        <v>38</v>
      </c>
      <c r="C252" s="4" t="s">
        <v>39</v>
      </c>
      <c r="D252" s="4" t="s">
        <v>44</v>
      </c>
      <c r="E252" s="4" t="s">
        <v>25</v>
      </c>
      <c r="F252" s="4" t="s">
        <v>25</v>
      </c>
      <c r="G252" s="4" t="s">
        <v>25</v>
      </c>
      <c r="H252" s="4" t="s">
        <v>25</v>
      </c>
      <c r="I252" s="5">
        <v>44682</v>
      </c>
      <c r="J252" s="6">
        <v>605</v>
      </c>
      <c r="K252" s="6">
        <v>605</v>
      </c>
      <c r="L252" s="6">
        <v>0</v>
      </c>
      <c r="M252" s="6">
        <v>0</v>
      </c>
      <c r="N252" s="6">
        <v>0</v>
      </c>
      <c r="O252" s="6">
        <v>0</v>
      </c>
      <c r="P252" s="6">
        <v>9</v>
      </c>
      <c r="Q252" s="4" t="s">
        <v>26</v>
      </c>
      <c r="R252" s="4">
        <v>0</v>
      </c>
      <c r="S252" s="6">
        <v>19</v>
      </c>
      <c r="T252" s="6">
        <v>0</v>
      </c>
      <c r="U252" s="6">
        <v>0</v>
      </c>
      <c r="V252" s="6">
        <f>IF(ISERROR(VLOOKUP($S$252,'TAR FIN'!$A$1:$O$86,15,0)),0,VLOOKUP($S$252,'TAR FIN'!$A$1:$O$86,15,0))</f>
        <v>16.29</v>
      </c>
      <c r="W252" s="6">
        <f>IF(ISERROR(VLOOKUP($T$252,'TAR FIN'!$A$1:$O$86,15,0)),0,VLOOKUP($T$252,'TAR FIN'!$A$1:$O$86,15,0))</f>
        <v>0</v>
      </c>
      <c r="X252" s="6">
        <f>IF(ISERROR(VLOOKUP($U$252,'TAR FIN'!$A$1:$O$86,15,0)),0,VLOOKUP($U$252,'TAR FIN'!$A$1:$O$86,15,0))</f>
        <v>0</v>
      </c>
      <c r="Y252" s="6">
        <f ca="1">('TUSD BE'!$AM$10+'TUSD BF'!$AM$10+'TUSD CVA'!$AM$10)*1</f>
        <v>21.139573525578484</v>
      </c>
      <c r="Z252" s="6"/>
      <c r="AA252" s="6"/>
      <c r="AB252" s="6">
        <f>$K$252*$V$252</f>
        <v>9855.4499999999989</v>
      </c>
      <c r="AC252" s="6">
        <f>$M$252*$W$252</f>
        <v>0</v>
      </c>
      <c r="AD252" s="6">
        <f>$O$252*$X$252</f>
        <v>0</v>
      </c>
      <c r="AE252" s="6">
        <f ca="1">$K$252*$Y$252</f>
        <v>12789.441982974982</v>
      </c>
      <c r="AF252" s="6">
        <f>$M$252*$Z$252</f>
        <v>0</v>
      </c>
      <c r="AG252" s="6">
        <f>$O$252*$AA$252</f>
        <v>0</v>
      </c>
    </row>
    <row r="253" spans="1:33" ht="11.25" customHeight="1" x14ac:dyDescent="0.25">
      <c r="A253" s="4" t="s">
        <v>55</v>
      </c>
      <c r="B253" s="4" t="s">
        <v>38</v>
      </c>
      <c r="C253" s="4" t="s">
        <v>39</v>
      </c>
      <c r="D253" s="4" t="s">
        <v>44</v>
      </c>
      <c r="E253" s="4" t="s">
        <v>25</v>
      </c>
      <c r="F253" s="4" t="s">
        <v>25</v>
      </c>
      <c r="G253" s="4" t="s">
        <v>25</v>
      </c>
      <c r="H253" s="4" t="s">
        <v>25</v>
      </c>
      <c r="I253" s="5">
        <v>44713</v>
      </c>
      <c r="J253" s="6">
        <v>605</v>
      </c>
      <c r="K253" s="6">
        <v>605</v>
      </c>
      <c r="L253" s="6">
        <v>0</v>
      </c>
      <c r="M253" s="6">
        <v>0</v>
      </c>
      <c r="N253" s="6">
        <v>0</v>
      </c>
      <c r="O253" s="6">
        <v>0</v>
      </c>
      <c r="P253" s="6">
        <v>9</v>
      </c>
      <c r="Q253" s="4" t="s">
        <v>26</v>
      </c>
      <c r="R253" s="4">
        <v>0</v>
      </c>
      <c r="S253" s="6">
        <v>19</v>
      </c>
      <c r="T253" s="6">
        <v>0</v>
      </c>
      <c r="U253" s="6">
        <v>0</v>
      </c>
      <c r="V253" s="6">
        <f>IF(ISERROR(VLOOKUP($S$253,'TAR FIN'!$A$1:$O$86,15,0)),0,VLOOKUP($S$253,'TAR FIN'!$A$1:$O$86,15,0))</f>
        <v>16.29</v>
      </c>
      <c r="W253" s="6">
        <f>IF(ISERROR(VLOOKUP($T$253,'TAR FIN'!$A$1:$O$86,15,0)),0,VLOOKUP($T$253,'TAR FIN'!$A$1:$O$86,15,0))</f>
        <v>0</v>
      </c>
      <c r="X253" s="6">
        <f>IF(ISERROR(VLOOKUP($U$253,'TAR FIN'!$A$1:$O$86,15,0)),0,VLOOKUP($U$253,'TAR FIN'!$A$1:$O$86,15,0))</f>
        <v>0</v>
      </c>
      <c r="Y253" s="6">
        <f ca="1">('TUSD BE'!$AM$10+'TUSD BF'!$AM$10+'TUSD CVA'!$AM$10)*1</f>
        <v>21.139573525578484</v>
      </c>
      <c r="Z253" s="6"/>
      <c r="AA253" s="6"/>
      <c r="AB253" s="6">
        <f>$K$253*$V$253</f>
        <v>9855.4499999999989</v>
      </c>
      <c r="AC253" s="6">
        <f>$M$253*$W$253</f>
        <v>0</v>
      </c>
      <c r="AD253" s="6">
        <f>$O$253*$X$253</f>
        <v>0</v>
      </c>
      <c r="AE253" s="6">
        <f ca="1">$K$253*$Y$253</f>
        <v>12789.441982974982</v>
      </c>
      <c r="AF253" s="6">
        <f>$M$253*$Z$253</f>
        <v>0</v>
      </c>
      <c r="AG253" s="6">
        <f>$O$253*$AA$253</f>
        <v>0</v>
      </c>
    </row>
    <row r="254" spans="1:33" ht="11.25" customHeight="1" x14ac:dyDescent="0.25">
      <c r="A254" s="4" t="s">
        <v>21</v>
      </c>
      <c r="B254" s="4" t="s">
        <v>38</v>
      </c>
      <c r="C254" s="4" t="s">
        <v>39</v>
      </c>
      <c r="D254" s="4" t="s">
        <v>44</v>
      </c>
      <c r="E254" s="4" t="s">
        <v>25</v>
      </c>
      <c r="F254" s="4" t="s">
        <v>25</v>
      </c>
      <c r="G254" s="4" t="s">
        <v>25</v>
      </c>
      <c r="H254" s="4" t="s">
        <v>33</v>
      </c>
      <c r="I254" s="5">
        <v>44378</v>
      </c>
      <c r="J254" s="6">
        <v>0</v>
      </c>
      <c r="K254" s="6">
        <v>0</v>
      </c>
      <c r="L254" s="6">
        <v>2.4729999999999999</v>
      </c>
      <c r="M254" s="6">
        <v>2.4729999999999999</v>
      </c>
      <c r="N254" s="6">
        <v>2.4729999999999999</v>
      </c>
      <c r="O254" s="6">
        <v>2.4729999999999999</v>
      </c>
      <c r="P254" s="6">
        <v>0</v>
      </c>
      <c r="Q254" s="4" t="s">
        <v>26</v>
      </c>
      <c r="R254" s="4">
        <v>0</v>
      </c>
      <c r="S254" s="6">
        <v>0</v>
      </c>
      <c r="T254" s="6">
        <v>21</v>
      </c>
      <c r="U254" s="6">
        <v>66</v>
      </c>
      <c r="V254" s="6">
        <f>IF(ISERROR(VLOOKUP($S$254,'TAR FIN'!$A$1:$O$86,15,0)),0,VLOOKUP($S$254,'TAR FIN'!$A$1:$O$86,15,0))</f>
        <v>0</v>
      </c>
      <c r="W254" s="6">
        <f>IF(ISERROR(VLOOKUP($T$254,'TAR FIN'!$A$1:$O$86,15,0)),0,VLOOKUP($T$254,'TAR FIN'!$A$1:$O$86,15,0))</f>
        <v>596.78</v>
      </c>
      <c r="X254" s="6">
        <f>IF(ISERROR(VLOOKUP($U$254,'TAR FIN'!$A$1:$O$86,15,0)),0,VLOOKUP($U$254,'TAR FIN'!$A$1:$O$86,15,0))</f>
        <v>503.82</v>
      </c>
      <c r="Y254" s="6"/>
      <c r="Z254" s="6">
        <f ca="1">('TUSD BE'!$AM$11+'TUSD BF'!$AM$11+'TUSD CVA'!$AM$11)*1</f>
        <v>625.67033946440574</v>
      </c>
      <c r="AA254" s="6">
        <f>('TE BE'!$AB$5+'TE BF'!$AB$5+'TE CVA'!$AB$5)*1</f>
        <v>398.01664046087393</v>
      </c>
      <c r="AB254" s="6">
        <f>$K$254*$V$254</f>
        <v>0</v>
      </c>
      <c r="AC254" s="6">
        <f>$M$254*$W$254</f>
        <v>1475.8369399999999</v>
      </c>
      <c r="AD254" s="6">
        <f>$O$254*$X$254</f>
        <v>1245.94686</v>
      </c>
      <c r="AE254" s="6">
        <f>$K$254*$Y$254</f>
        <v>0</v>
      </c>
      <c r="AF254" s="6">
        <f ca="1">$M$254*$Z$254</f>
        <v>1547.2827494954754</v>
      </c>
      <c r="AG254" s="6">
        <f>$O$254*$AA$254</f>
        <v>984.29515185974117</v>
      </c>
    </row>
    <row r="255" spans="1:33" ht="11.25" customHeight="1" x14ac:dyDescent="0.25">
      <c r="A255" s="4" t="s">
        <v>21</v>
      </c>
      <c r="B255" s="4" t="s">
        <v>38</v>
      </c>
      <c r="C255" s="4" t="s">
        <v>39</v>
      </c>
      <c r="D255" s="4" t="s">
        <v>44</v>
      </c>
      <c r="E255" s="4" t="s">
        <v>25</v>
      </c>
      <c r="F255" s="4" t="s">
        <v>25</v>
      </c>
      <c r="G255" s="4" t="s">
        <v>25</v>
      </c>
      <c r="H255" s="4" t="s">
        <v>33</v>
      </c>
      <c r="I255" s="5">
        <v>44409</v>
      </c>
      <c r="J255" s="6">
        <v>0</v>
      </c>
      <c r="K255" s="6">
        <v>0</v>
      </c>
      <c r="L255" s="6">
        <v>2.4609999999999999</v>
      </c>
      <c r="M255" s="6">
        <v>2.4609999999999999</v>
      </c>
      <c r="N255" s="6">
        <v>2.4609999999999999</v>
      </c>
      <c r="O255" s="6">
        <v>2.4609999999999999</v>
      </c>
      <c r="P255" s="6">
        <v>0</v>
      </c>
      <c r="Q255" s="4" t="s">
        <v>26</v>
      </c>
      <c r="R255" s="4">
        <v>0</v>
      </c>
      <c r="S255" s="6">
        <v>0</v>
      </c>
      <c r="T255" s="6">
        <v>21</v>
      </c>
      <c r="U255" s="6">
        <v>66</v>
      </c>
      <c r="V255" s="6">
        <f>IF(ISERROR(VLOOKUP($S$255,'TAR FIN'!$A$1:$O$86,15,0)),0,VLOOKUP($S$255,'TAR FIN'!$A$1:$O$86,15,0))</f>
        <v>0</v>
      </c>
      <c r="W255" s="6">
        <f>IF(ISERROR(VLOOKUP($T$255,'TAR FIN'!$A$1:$O$86,15,0)),0,VLOOKUP($T$255,'TAR FIN'!$A$1:$O$86,15,0))</f>
        <v>596.78</v>
      </c>
      <c r="X255" s="6">
        <f>IF(ISERROR(VLOOKUP($U$255,'TAR FIN'!$A$1:$O$86,15,0)),0,VLOOKUP($U$255,'TAR FIN'!$A$1:$O$86,15,0))</f>
        <v>503.82</v>
      </c>
      <c r="Y255" s="6"/>
      <c r="Z255" s="6">
        <f ca="1">('TUSD BE'!$AM$11+'TUSD BF'!$AM$11+'TUSD CVA'!$AM$11)*1</f>
        <v>625.67033946440574</v>
      </c>
      <c r="AA255" s="6">
        <f>('TE BE'!$AB$5+'TE BF'!$AB$5+'TE CVA'!$AB$5)*1</f>
        <v>398.01664046087393</v>
      </c>
      <c r="AB255" s="6">
        <f>$K$255*$V$255</f>
        <v>0</v>
      </c>
      <c r="AC255" s="6">
        <f>$M$255*$W$255</f>
        <v>1468.6755799999999</v>
      </c>
      <c r="AD255" s="6">
        <f>$O$255*$X$255</f>
        <v>1239.90102</v>
      </c>
      <c r="AE255" s="6">
        <f>$K$255*$Y$255</f>
        <v>0</v>
      </c>
      <c r="AF255" s="6">
        <f ca="1">$M$255*$Z$255</f>
        <v>1539.7747054219024</v>
      </c>
      <c r="AG255" s="6">
        <f>$O$255*$AA$255</f>
        <v>979.51895217421065</v>
      </c>
    </row>
    <row r="256" spans="1:33" ht="11.25" customHeight="1" x14ac:dyDescent="0.25">
      <c r="A256" s="4" t="s">
        <v>21</v>
      </c>
      <c r="B256" s="4" t="s">
        <v>38</v>
      </c>
      <c r="C256" s="4" t="s">
        <v>39</v>
      </c>
      <c r="D256" s="4" t="s">
        <v>44</v>
      </c>
      <c r="E256" s="4" t="s">
        <v>25</v>
      </c>
      <c r="F256" s="4" t="s">
        <v>25</v>
      </c>
      <c r="G256" s="4" t="s">
        <v>25</v>
      </c>
      <c r="H256" s="4" t="s">
        <v>33</v>
      </c>
      <c r="I256" s="5">
        <v>44440</v>
      </c>
      <c r="J256" s="6">
        <v>0</v>
      </c>
      <c r="K256" s="6">
        <v>0</v>
      </c>
      <c r="L256" s="6">
        <v>2.4380000000000002</v>
      </c>
      <c r="M256" s="6">
        <v>2.4380000000000002</v>
      </c>
      <c r="N256" s="6">
        <v>2.4380000000000002</v>
      </c>
      <c r="O256" s="6">
        <v>2.4380000000000002</v>
      </c>
      <c r="P256" s="6">
        <v>0</v>
      </c>
      <c r="Q256" s="4" t="s">
        <v>26</v>
      </c>
      <c r="R256" s="4">
        <v>0</v>
      </c>
      <c r="S256" s="6">
        <v>0</v>
      </c>
      <c r="T256" s="6">
        <v>21</v>
      </c>
      <c r="U256" s="6">
        <v>66</v>
      </c>
      <c r="V256" s="6">
        <f>IF(ISERROR(VLOOKUP($S$256,'TAR FIN'!$A$1:$O$86,15,0)),0,VLOOKUP($S$256,'TAR FIN'!$A$1:$O$86,15,0))</f>
        <v>0</v>
      </c>
      <c r="W256" s="6">
        <f>IF(ISERROR(VLOOKUP($T$256,'TAR FIN'!$A$1:$O$86,15,0)),0,VLOOKUP($T$256,'TAR FIN'!$A$1:$O$86,15,0))</f>
        <v>596.78</v>
      </c>
      <c r="X256" s="6">
        <f>IF(ISERROR(VLOOKUP($U$256,'TAR FIN'!$A$1:$O$86,15,0)),0,VLOOKUP($U$256,'TAR FIN'!$A$1:$O$86,15,0))</f>
        <v>503.82</v>
      </c>
      <c r="Y256" s="6"/>
      <c r="Z256" s="6">
        <f ca="1">('TUSD BE'!$AM$11+'TUSD BF'!$AM$11+'TUSD CVA'!$AM$11)*1</f>
        <v>625.67033946440574</v>
      </c>
      <c r="AA256" s="6">
        <f>('TE BE'!$AB$5+'TE BF'!$AB$5+'TE CVA'!$AB$5)*1</f>
        <v>398.01664046087393</v>
      </c>
      <c r="AB256" s="6">
        <f>$K$256*$V$256</f>
        <v>0</v>
      </c>
      <c r="AC256" s="6">
        <f>$M$256*$W$256</f>
        <v>1454.94964</v>
      </c>
      <c r="AD256" s="6">
        <f>$O$256*$X$256</f>
        <v>1228.3131600000002</v>
      </c>
      <c r="AE256" s="6">
        <f>$K$256*$Y$256</f>
        <v>0</v>
      </c>
      <c r="AF256" s="6">
        <f ca="1">$M$256*$Z$256</f>
        <v>1525.3842876142212</v>
      </c>
      <c r="AG256" s="6">
        <f>$O$256*$AA$256</f>
        <v>970.36456944361066</v>
      </c>
    </row>
    <row r="257" spans="1:33" ht="11.25" customHeight="1" x14ac:dyDescent="0.25">
      <c r="A257" s="4" t="s">
        <v>21</v>
      </c>
      <c r="B257" s="4" t="s">
        <v>38</v>
      </c>
      <c r="C257" s="4" t="s">
        <v>39</v>
      </c>
      <c r="D257" s="4" t="s">
        <v>44</v>
      </c>
      <c r="E257" s="4" t="s">
        <v>25</v>
      </c>
      <c r="F257" s="4" t="s">
        <v>25</v>
      </c>
      <c r="G257" s="4" t="s">
        <v>25</v>
      </c>
      <c r="H257" s="4" t="s">
        <v>33</v>
      </c>
      <c r="I257" s="5">
        <v>44470</v>
      </c>
      <c r="J257" s="6">
        <v>0</v>
      </c>
      <c r="K257" s="6">
        <v>0</v>
      </c>
      <c r="L257" s="6">
        <v>2.3929999999999998</v>
      </c>
      <c r="M257" s="6">
        <v>2.3929999999999998</v>
      </c>
      <c r="N257" s="6">
        <v>2.3929999999999998</v>
      </c>
      <c r="O257" s="6">
        <v>2.3929999999999998</v>
      </c>
      <c r="P257" s="6">
        <v>0</v>
      </c>
      <c r="Q257" s="4" t="s">
        <v>26</v>
      </c>
      <c r="R257" s="4">
        <v>0</v>
      </c>
      <c r="S257" s="6">
        <v>0</v>
      </c>
      <c r="T257" s="6">
        <v>21</v>
      </c>
      <c r="U257" s="6">
        <v>66</v>
      </c>
      <c r="V257" s="6">
        <f>IF(ISERROR(VLOOKUP($S$257,'TAR FIN'!$A$1:$O$86,15,0)),0,VLOOKUP($S$257,'TAR FIN'!$A$1:$O$86,15,0))</f>
        <v>0</v>
      </c>
      <c r="W257" s="6">
        <f>IF(ISERROR(VLOOKUP($T$257,'TAR FIN'!$A$1:$O$86,15,0)),0,VLOOKUP($T$257,'TAR FIN'!$A$1:$O$86,15,0))</f>
        <v>596.78</v>
      </c>
      <c r="X257" s="6">
        <f>IF(ISERROR(VLOOKUP($U$257,'TAR FIN'!$A$1:$O$86,15,0)),0,VLOOKUP($U$257,'TAR FIN'!$A$1:$O$86,15,0))</f>
        <v>503.82</v>
      </c>
      <c r="Y257" s="6"/>
      <c r="Z257" s="6">
        <f ca="1">('TUSD BE'!$AM$11+'TUSD BF'!$AM$11+'TUSD CVA'!$AM$11)*1</f>
        <v>625.67033946440574</v>
      </c>
      <c r="AA257" s="6">
        <f>('TE BE'!$AB$5+'TE BF'!$AB$5+'TE CVA'!$AB$5)*1</f>
        <v>398.01664046087393</v>
      </c>
      <c r="AB257" s="6">
        <f>$K$257*$V$257</f>
        <v>0</v>
      </c>
      <c r="AC257" s="6">
        <f>$M$257*$W$257</f>
        <v>1428.0945399999998</v>
      </c>
      <c r="AD257" s="6">
        <f>$O$257*$X$257</f>
        <v>1205.6412599999999</v>
      </c>
      <c r="AE257" s="6">
        <f>$K$257*$Y$257</f>
        <v>0</v>
      </c>
      <c r="AF257" s="6">
        <f ca="1">$M$257*$Z$257</f>
        <v>1497.2291223383229</v>
      </c>
      <c r="AG257" s="6">
        <f>$O$257*$AA$257</f>
        <v>952.45382062287126</v>
      </c>
    </row>
    <row r="258" spans="1:33" ht="11.25" customHeight="1" x14ac:dyDescent="0.25">
      <c r="A258" s="4" t="s">
        <v>21</v>
      </c>
      <c r="B258" s="4" t="s">
        <v>38</v>
      </c>
      <c r="C258" s="4" t="s">
        <v>39</v>
      </c>
      <c r="D258" s="4" t="s">
        <v>44</v>
      </c>
      <c r="E258" s="4" t="s">
        <v>25</v>
      </c>
      <c r="F258" s="4" t="s">
        <v>25</v>
      </c>
      <c r="G258" s="4" t="s">
        <v>25</v>
      </c>
      <c r="H258" s="4" t="s">
        <v>33</v>
      </c>
      <c r="I258" s="5">
        <v>44501</v>
      </c>
      <c r="J258" s="6">
        <v>0</v>
      </c>
      <c r="K258" s="6">
        <v>0</v>
      </c>
      <c r="L258" s="6">
        <v>3.4860000000000002</v>
      </c>
      <c r="M258" s="6">
        <v>3.4860000000000002</v>
      </c>
      <c r="N258" s="6">
        <v>3.4860000000000002</v>
      </c>
      <c r="O258" s="6">
        <v>3.4860000000000002</v>
      </c>
      <c r="P258" s="6">
        <v>0</v>
      </c>
      <c r="Q258" s="4" t="s">
        <v>26</v>
      </c>
      <c r="R258" s="4">
        <v>0</v>
      </c>
      <c r="S258" s="6">
        <v>0</v>
      </c>
      <c r="T258" s="6">
        <v>21</v>
      </c>
      <c r="U258" s="6">
        <v>66</v>
      </c>
      <c r="V258" s="6">
        <f>IF(ISERROR(VLOOKUP($S$258,'TAR FIN'!$A$1:$O$86,15,0)),0,VLOOKUP($S$258,'TAR FIN'!$A$1:$O$86,15,0))</f>
        <v>0</v>
      </c>
      <c r="W258" s="6">
        <f>IF(ISERROR(VLOOKUP($T$258,'TAR FIN'!$A$1:$O$86,15,0)),0,VLOOKUP($T$258,'TAR FIN'!$A$1:$O$86,15,0))</f>
        <v>596.78</v>
      </c>
      <c r="X258" s="6">
        <f>IF(ISERROR(VLOOKUP($U$258,'TAR FIN'!$A$1:$O$86,15,0)),0,VLOOKUP($U$258,'TAR FIN'!$A$1:$O$86,15,0))</f>
        <v>503.82</v>
      </c>
      <c r="Y258" s="6"/>
      <c r="Z258" s="6">
        <f ca="1">('TUSD BE'!$AM$11+'TUSD BF'!$AM$11+'TUSD CVA'!$AM$11)*1</f>
        <v>625.67033946440574</v>
      </c>
      <c r="AA258" s="6">
        <f>('TE BE'!$AB$5+'TE BF'!$AB$5+'TE CVA'!$AB$5)*1</f>
        <v>398.01664046087393</v>
      </c>
      <c r="AB258" s="6">
        <f>$K$258*$V$258</f>
        <v>0</v>
      </c>
      <c r="AC258" s="6">
        <f>$M$258*$W$258</f>
        <v>2080.3750800000003</v>
      </c>
      <c r="AD258" s="6">
        <f>$O$258*$X$258</f>
        <v>1756.3165200000001</v>
      </c>
      <c r="AE258" s="6">
        <f>$K$258*$Y$258</f>
        <v>0</v>
      </c>
      <c r="AF258" s="6">
        <f ca="1">$M$258*$Z$258</f>
        <v>2181.0868033729184</v>
      </c>
      <c r="AG258" s="6">
        <f>$O$258*$AA$258</f>
        <v>1387.4860086466067</v>
      </c>
    </row>
    <row r="259" spans="1:33" ht="11.25" customHeight="1" x14ac:dyDescent="0.25">
      <c r="A259" s="4" t="s">
        <v>21</v>
      </c>
      <c r="B259" s="4" t="s">
        <v>38</v>
      </c>
      <c r="C259" s="4" t="s">
        <v>39</v>
      </c>
      <c r="D259" s="4" t="s">
        <v>44</v>
      </c>
      <c r="E259" s="4" t="s">
        <v>25</v>
      </c>
      <c r="F259" s="4" t="s">
        <v>25</v>
      </c>
      <c r="G259" s="4" t="s">
        <v>25</v>
      </c>
      <c r="H259" s="4" t="s">
        <v>33</v>
      </c>
      <c r="I259" s="5">
        <v>44531</v>
      </c>
      <c r="J259" s="6">
        <v>0</v>
      </c>
      <c r="K259" s="6">
        <v>0</v>
      </c>
      <c r="L259" s="6">
        <v>4.6760000000000002</v>
      </c>
      <c r="M259" s="6">
        <v>4.6760000000000002</v>
      </c>
      <c r="N259" s="6">
        <v>4.6760000000000002</v>
      </c>
      <c r="O259" s="6">
        <v>4.6760000000000002</v>
      </c>
      <c r="P259" s="6">
        <v>0</v>
      </c>
      <c r="Q259" s="4" t="s">
        <v>26</v>
      </c>
      <c r="R259" s="4">
        <v>0</v>
      </c>
      <c r="S259" s="6">
        <v>0</v>
      </c>
      <c r="T259" s="6">
        <v>21</v>
      </c>
      <c r="U259" s="6">
        <v>66</v>
      </c>
      <c r="V259" s="6">
        <f>IF(ISERROR(VLOOKUP($S$259,'TAR FIN'!$A$1:$O$86,15,0)),0,VLOOKUP($S$259,'TAR FIN'!$A$1:$O$86,15,0))</f>
        <v>0</v>
      </c>
      <c r="W259" s="6">
        <f>IF(ISERROR(VLOOKUP($T$259,'TAR FIN'!$A$1:$O$86,15,0)),0,VLOOKUP($T$259,'TAR FIN'!$A$1:$O$86,15,0))</f>
        <v>596.78</v>
      </c>
      <c r="X259" s="6">
        <f>IF(ISERROR(VLOOKUP($U$259,'TAR FIN'!$A$1:$O$86,15,0)),0,VLOOKUP($U$259,'TAR FIN'!$A$1:$O$86,15,0))</f>
        <v>503.82</v>
      </c>
      <c r="Y259" s="6"/>
      <c r="Z259" s="6">
        <f ca="1">('TUSD BE'!$AM$11+'TUSD BF'!$AM$11+'TUSD CVA'!$AM$11)*1</f>
        <v>625.67033946440574</v>
      </c>
      <c r="AA259" s="6">
        <f>('TE BE'!$AB$5+'TE BF'!$AB$5+'TE CVA'!$AB$5)*1</f>
        <v>398.01664046087393</v>
      </c>
      <c r="AB259" s="6">
        <f>$K$259*$V$259</f>
        <v>0</v>
      </c>
      <c r="AC259" s="6">
        <f>$M$259*$W$259</f>
        <v>2790.5432799999999</v>
      </c>
      <c r="AD259" s="6">
        <f>$O$259*$X$259</f>
        <v>2355.8623200000002</v>
      </c>
      <c r="AE259" s="6">
        <f>$K$259*$Y$259</f>
        <v>0</v>
      </c>
      <c r="AF259" s="6">
        <f ca="1">$M$259*$Z$259</f>
        <v>2925.6345073355615</v>
      </c>
      <c r="AG259" s="6">
        <f>$O$259*$AA$259</f>
        <v>1861.1258107950466</v>
      </c>
    </row>
    <row r="260" spans="1:33" ht="11.25" customHeight="1" x14ac:dyDescent="0.25">
      <c r="A260" s="4" t="s">
        <v>21</v>
      </c>
      <c r="B260" s="4" t="s">
        <v>38</v>
      </c>
      <c r="C260" s="4" t="s">
        <v>39</v>
      </c>
      <c r="D260" s="4" t="s">
        <v>44</v>
      </c>
      <c r="E260" s="4" t="s">
        <v>25</v>
      </c>
      <c r="F260" s="4" t="s">
        <v>25</v>
      </c>
      <c r="G260" s="4" t="s">
        <v>25</v>
      </c>
      <c r="H260" s="4" t="s">
        <v>33</v>
      </c>
      <c r="I260" s="5">
        <v>44562</v>
      </c>
      <c r="J260" s="6">
        <v>0</v>
      </c>
      <c r="K260" s="6">
        <v>0</v>
      </c>
      <c r="L260" s="6">
        <v>4.0830000000000002</v>
      </c>
      <c r="M260" s="6">
        <v>4.0830000000000002</v>
      </c>
      <c r="N260" s="6">
        <v>4.0830000000000002</v>
      </c>
      <c r="O260" s="6">
        <v>4.0830000000000002</v>
      </c>
      <c r="P260" s="6">
        <v>0</v>
      </c>
      <c r="Q260" s="4" t="s">
        <v>26</v>
      </c>
      <c r="R260" s="4">
        <v>0</v>
      </c>
      <c r="S260" s="6">
        <v>0</v>
      </c>
      <c r="T260" s="6">
        <v>21</v>
      </c>
      <c r="U260" s="6">
        <v>66</v>
      </c>
      <c r="V260" s="6">
        <f>IF(ISERROR(VLOOKUP($S$260,'TAR FIN'!$A$1:$O$86,15,0)),0,VLOOKUP($S$260,'TAR FIN'!$A$1:$O$86,15,0))</f>
        <v>0</v>
      </c>
      <c r="W260" s="6">
        <f>IF(ISERROR(VLOOKUP($T$260,'TAR FIN'!$A$1:$O$86,15,0)),0,VLOOKUP($T$260,'TAR FIN'!$A$1:$O$86,15,0))</f>
        <v>596.78</v>
      </c>
      <c r="X260" s="6">
        <f>IF(ISERROR(VLOOKUP($U$260,'TAR FIN'!$A$1:$O$86,15,0)),0,VLOOKUP($U$260,'TAR FIN'!$A$1:$O$86,15,0))</f>
        <v>503.82</v>
      </c>
      <c r="Y260" s="6"/>
      <c r="Z260" s="6">
        <f ca="1">('TUSD BE'!$AM$11+'TUSD BF'!$AM$11+'TUSD CVA'!$AM$11)*1</f>
        <v>625.67033946440574</v>
      </c>
      <c r="AA260" s="6">
        <f>('TE BE'!$AB$5+'TE BF'!$AB$5+'TE CVA'!$AB$5)*1</f>
        <v>398.01664046087393</v>
      </c>
      <c r="AB260" s="6">
        <f>$K$260*$V$260</f>
        <v>0</v>
      </c>
      <c r="AC260" s="6">
        <f>$M$260*$W$260</f>
        <v>2436.65274</v>
      </c>
      <c r="AD260" s="6">
        <f>$O$260*$X$260</f>
        <v>2057.0970600000001</v>
      </c>
      <c r="AE260" s="6">
        <f>$K$260*$Y$260</f>
        <v>0</v>
      </c>
      <c r="AF260" s="6">
        <f ca="1">$M$260*$Z$260</f>
        <v>2554.6119960331689</v>
      </c>
      <c r="AG260" s="6">
        <f>$O$260*$AA$260</f>
        <v>1625.1019430017484</v>
      </c>
    </row>
    <row r="261" spans="1:33" ht="11.25" customHeight="1" x14ac:dyDescent="0.25">
      <c r="A261" s="4" t="s">
        <v>21</v>
      </c>
      <c r="B261" s="4" t="s">
        <v>38</v>
      </c>
      <c r="C261" s="4" t="s">
        <v>39</v>
      </c>
      <c r="D261" s="4" t="s">
        <v>44</v>
      </c>
      <c r="E261" s="4" t="s">
        <v>25</v>
      </c>
      <c r="F261" s="4" t="s">
        <v>25</v>
      </c>
      <c r="G261" s="4" t="s">
        <v>25</v>
      </c>
      <c r="H261" s="4" t="s">
        <v>33</v>
      </c>
      <c r="I261" s="5">
        <v>44593</v>
      </c>
      <c r="J261" s="6">
        <v>0</v>
      </c>
      <c r="K261" s="6">
        <v>0</v>
      </c>
      <c r="L261" s="6">
        <v>5.4509999999999996</v>
      </c>
      <c r="M261" s="6">
        <v>5.4509999999999996</v>
      </c>
      <c r="N261" s="6">
        <v>5.4509999999999996</v>
      </c>
      <c r="O261" s="6">
        <v>5.4509999999999996</v>
      </c>
      <c r="P261" s="6">
        <v>0</v>
      </c>
      <c r="Q261" s="4" t="s">
        <v>26</v>
      </c>
      <c r="R261" s="4">
        <v>0</v>
      </c>
      <c r="S261" s="6">
        <v>0</v>
      </c>
      <c r="T261" s="6">
        <v>21</v>
      </c>
      <c r="U261" s="6">
        <v>66</v>
      </c>
      <c r="V261" s="6">
        <f>IF(ISERROR(VLOOKUP($S$261,'TAR FIN'!$A$1:$O$86,15,0)),0,VLOOKUP($S$261,'TAR FIN'!$A$1:$O$86,15,0))</f>
        <v>0</v>
      </c>
      <c r="W261" s="6">
        <f>IF(ISERROR(VLOOKUP($T$261,'TAR FIN'!$A$1:$O$86,15,0)),0,VLOOKUP($T$261,'TAR FIN'!$A$1:$O$86,15,0))</f>
        <v>596.78</v>
      </c>
      <c r="X261" s="6">
        <f>IF(ISERROR(VLOOKUP($U$261,'TAR FIN'!$A$1:$O$86,15,0)),0,VLOOKUP($U$261,'TAR FIN'!$A$1:$O$86,15,0))</f>
        <v>503.82</v>
      </c>
      <c r="Y261" s="6"/>
      <c r="Z261" s="6">
        <f ca="1">('TUSD BE'!$AM$11+'TUSD BF'!$AM$11+'TUSD CVA'!$AM$11)*1</f>
        <v>625.67033946440574</v>
      </c>
      <c r="AA261" s="6">
        <f>('TE BE'!$AB$5+'TE BF'!$AB$5+'TE CVA'!$AB$5)*1</f>
        <v>398.01664046087393</v>
      </c>
      <c r="AB261" s="6">
        <f>$K$261*$V$261</f>
        <v>0</v>
      </c>
      <c r="AC261" s="6">
        <f>$M$261*$W$261</f>
        <v>3253.0477799999994</v>
      </c>
      <c r="AD261" s="6">
        <f>$O$261*$X$261</f>
        <v>2746.3228199999999</v>
      </c>
      <c r="AE261" s="6">
        <f>$K$261*$Y$261</f>
        <v>0</v>
      </c>
      <c r="AF261" s="6">
        <f ca="1">$M$261*$Z$261</f>
        <v>3410.5290204204753</v>
      </c>
      <c r="AG261" s="6">
        <f>$O$261*$AA$261</f>
        <v>2169.5887071522238</v>
      </c>
    </row>
    <row r="262" spans="1:33" ht="11.25" customHeight="1" x14ac:dyDescent="0.25">
      <c r="A262" s="4" t="s">
        <v>21</v>
      </c>
      <c r="B262" s="4" t="s">
        <v>38</v>
      </c>
      <c r="C262" s="4" t="s">
        <v>39</v>
      </c>
      <c r="D262" s="4" t="s">
        <v>44</v>
      </c>
      <c r="E262" s="4" t="s">
        <v>25</v>
      </c>
      <c r="F262" s="4" t="s">
        <v>25</v>
      </c>
      <c r="G262" s="4" t="s">
        <v>25</v>
      </c>
      <c r="H262" s="4" t="s">
        <v>33</v>
      </c>
      <c r="I262" s="5">
        <v>44621</v>
      </c>
      <c r="J262" s="6">
        <v>0</v>
      </c>
      <c r="K262" s="6">
        <v>0</v>
      </c>
      <c r="L262" s="6">
        <v>8.0389999999999997</v>
      </c>
      <c r="M262" s="6">
        <v>8.0389999999999997</v>
      </c>
      <c r="N262" s="6">
        <v>8.0389999999999997</v>
      </c>
      <c r="O262" s="6">
        <v>8.0389999999999997</v>
      </c>
      <c r="P262" s="6">
        <v>0</v>
      </c>
      <c r="Q262" s="4" t="s">
        <v>26</v>
      </c>
      <c r="R262" s="4">
        <v>0</v>
      </c>
      <c r="S262" s="6">
        <v>0</v>
      </c>
      <c r="T262" s="6">
        <v>21</v>
      </c>
      <c r="U262" s="6">
        <v>66</v>
      </c>
      <c r="V262" s="6">
        <f>IF(ISERROR(VLOOKUP($S$262,'TAR FIN'!$A$1:$O$86,15,0)),0,VLOOKUP($S$262,'TAR FIN'!$A$1:$O$86,15,0))</f>
        <v>0</v>
      </c>
      <c r="W262" s="6">
        <f>IF(ISERROR(VLOOKUP($T$262,'TAR FIN'!$A$1:$O$86,15,0)),0,VLOOKUP($T$262,'TAR FIN'!$A$1:$O$86,15,0))</f>
        <v>596.78</v>
      </c>
      <c r="X262" s="6">
        <f>IF(ISERROR(VLOOKUP($U$262,'TAR FIN'!$A$1:$O$86,15,0)),0,VLOOKUP($U$262,'TAR FIN'!$A$1:$O$86,15,0))</f>
        <v>503.82</v>
      </c>
      <c r="Y262" s="6"/>
      <c r="Z262" s="6">
        <f ca="1">('TUSD BE'!$AM$11+'TUSD BF'!$AM$11+'TUSD CVA'!$AM$11)*1</f>
        <v>625.67033946440574</v>
      </c>
      <c r="AA262" s="6">
        <f>('TE BE'!$AB$5+'TE BF'!$AB$5+'TE CVA'!$AB$5)*1</f>
        <v>398.01664046087393</v>
      </c>
      <c r="AB262" s="6">
        <f>$K$262*$V$262</f>
        <v>0</v>
      </c>
      <c r="AC262" s="6">
        <f>$M$262*$W$262</f>
        <v>4797.5144199999995</v>
      </c>
      <c r="AD262" s="6">
        <f>$O$262*$X$262</f>
        <v>4050.2089799999999</v>
      </c>
      <c r="AE262" s="6">
        <f>$K$262*$Y$262</f>
        <v>0</v>
      </c>
      <c r="AF262" s="6">
        <f ca="1">$M$262*$Z$262</f>
        <v>5029.7638589543576</v>
      </c>
      <c r="AG262" s="6">
        <f>$O$262*$AA$262</f>
        <v>3199.6557726649653</v>
      </c>
    </row>
    <row r="263" spans="1:33" ht="11.25" customHeight="1" x14ac:dyDescent="0.25">
      <c r="A263" s="4" t="s">
        <v>21</v>
      </c>
      <c r="B263" s="4" t="s">
        <v>38</v>
      </c>
      <c r="C263" s="4" t="s">
        <v>39</v>
      </c>
      <c r="D263" s="4" t="s">
        <v>44</v>
      </c>
      <c r="E263" s="4" t="s">
        <v>25</v>
      </c>
      <c r="F263" s="4" t="s">
        <v>25</v>
      </c>
      <c r="G263" s="4" t="s">
        <v>25</v>
      </c>
      <c r="H263" s="4" t="s">
        <v>33</v>
      </c>
      <c r="I263" s="5">
        <v>44652</v>
      </c>
      <c r="J263" s="6">
        <v>0</v>
      </c>
      <c r="K263" s="6">
        <v>0</v>
      </c>
      <c r="L263" s="6">
        <v>5.1769999999999996</v>
      </c>
      <c r="M263" s="6">
        <v>5.1769999999999996</v>
      </c>
      <c r="N263" s="6">
        <v>5.1769999999999996</v>
      </c>
      <c r="O263" s="6">
        <v>5.1769999999999996</v>
      </c>
      <c r="P263" s="6">
        <v>0</v>
      </c>
      <c r="Q263" s="4" t="s">
        <v>26</v>
      </c>
      <c r="R263" s="4">
        <v>0</v>
      </c>
      <c r="S263" s="6">
        <v>0</v>
      </c>
      <c r="T263" s="6">
        <v>21</v>
      </c>
      <c r="U263" s="6">
        <v>66</v>
      </c>
      <c r="V263" s="6">
        <f>IF(ISERROR(VLOOKUP($S$263,'TAR FIN'!$A$1:$O$86,15,0)),0,VLOOKUP($S$263,'TAR FIN'!$A$1:$O$86,15,0))</f>
        <v>0</v>
      </c>
      <c r="W263" s="6">
        <f>IF(ISERROR(VLOOKUP($T$263,'TAR FIN'!$A$1:$O$86,15,0)),0,VLOOKUP($T$263,'TAR FIN'!$A$1:$O$86,15,0))</f>
        <v>596.78</v>
      </c>
      <c r="X263" s="6">
        <f>IF(ISERROR(VLOOKUP($U$263,'TAR FIN'!$A$1:$O$86,15,0)),0,VLOOKUP($U$263,'TAR FIN'!$A$1:$O$86,15,0))</f>
        <v>503.82</v>
      </c>
      <c r="Y263" s="6"/>
      <c r="Z263" s="6">
        <f ca="1">('TUSD BE'!$AM$11+'TUSD BF'!$AM$11+'TUSD CVA'!$AM$11)*1</f>
        <v>625.67033946440574</v>
      </c>
      <c r="AA263" s="6">
        <f>('TE BE'!$AB$5+'TE BF'!$AB$5+'TE CVA'!$AB$5)*1</f>
        <v>398.01664046087393</v>
      </c>
      <c r="AB263" s="6">
        <f>$K$263*$V$263</f>
        <v>0</v>
      </c>
      <c r="AC263" s="6">
        <f>$M$263*$W$263</f>
        <v>3089.5300599999996</v>
      </c>
      <c r="AD263" s="6">
        <f>$O$263*$X$263</f>
        <v>2608.2761399999999</v>
      </c>
      <c r="AE263" s="6">
        <f>$K$263*$Y$263</f>
        <v>0</v>
      </c>
      <c r="AF263" s="6">
        <f ca="1">$M$263*$Z$263</f>
        <v>3239.0953474072285</v>
      </c>
      <c r="AG263" s="6">
        <f>$O$263*$AA$263</f>
        <v>2060.5321476659442</v>
      </c>
    </row>
    <row r="264" spans="1:33" ht="11.25" customHeight="1" x14ac:dyDescent="0.25">
      <c r="A264" s="4" t="s">
        <v>21</v>
      </c>
      <c r="B264" s="4" t="s">
        <v>38</v>
      </c>
      <c r="C264" s="4" t="s">
        <v>39</v>
      </c>
      <c r="D264" s="4" t="s">
        <v>44</v>
      </c>
      <c r="E264" s="4" t="s">
        <v>25</v>
      </c>
      <c r="F264" s="4" t="s">
        <v>25</v>
      </c>
      <c r="G264" s="4" t="s">
        <v>25</v>
      </c>
      <c r="H264" s="4" t="s">
        <v>33</v>
      </c>
      <c r="I264" s="5">
        <v>44682</v>
      </c>
      <c r="J264" s="6">
        <v>0</v>
      </c>
      <c r="K264" s="6">
        <v>0</v>
      </c>
      <c r="L264" s="6">
        <v>6.2240000000000002</v>
      </c>
      <c r="M264" s="6">
        <v>6.2240000000000002</v>
      </c>
      <c r="N264" s="6">
        <v>6.2240000000000002</v>
      </c>
      <c r="O264" s="6">
        <v>6.2240000000000002</v>
      </c>
      <c r="P264" s="6">
        <v>0</v>
      </c>
      <c r="Q264" s="4" t="s">
        <v>26</v>
      </c>
      <c r="R264" s="4">
        <v>0</v>
      </c>
      <c r="S264" s="6">
        <v>0</v>
      </c>
      <c r="T264" s="6">
        <v>21</v>
      </c>
      <c r="U264" s="6">
        <v>66</v>
      </c>
      <c r="V264" s="6">
        <f>IF(ISERROR(VLOOKUP($S$264,'TAR FIN'!$A$1:$O$86,15,0)),0,VLOOKUP($S$264,'TAR FIN'!$A$1:$O$86,15,0))</f>
        <v>0</v>
      </c>
      <c r="W264" s="6">
        <f>IF(ISERROR(VLOOKUP($T$264,'TAR FIN'!$A$1:$O$86,15,0)),0,VLOOKUP($T$264,'TAR FIN'!$A$1:$O$86,15,0))</f>
        <v>596.78</v>
      </c>
      <c r="X264" s="6">
        <f>IF(ISERROR(VLOOKUP($U$264,'TAR FIN'!$A$1:$O$86,15,0)),0,VLOOKUP($U$264,'TAR FIN'!$A$1:$O$86,15,0))</f>
        <v>503.82</v>
      </c>
      <c r="Y264" s="6"/>
      <c r="Z264" s="6">
        <f ca="1">('TUSD BE'!$AM$11+'TUSD BF'!$AM$11+'TUSD CVA'!$AM$11)*1</f>
        <v>625.67033946440574</v>
      </c>
      <c r="AA264" s="6">
        <f>('TE BE'!$AB$5+'TE BF'!$AB$5+'TE CVA'!$AB$5)*1</f>
        <v>398.01664046087393</v>
      </c>
      <c r="AB264" s="6">
        <f>$K$264*$V$264</f>
        <v>0</v>
      </c>
      <c r="AC264" s="6">
        <f>$M$264*$W$264</f>
        <v>3714.3587200000002</v>
      </c>
      <c r="AD264" s="6">
        <f>$O$264*$X$264</f>
        <v>3135.7756800000002</v>
      </c>
      <c r="AE264" s="6">
        <f>$K$264*$Y$264</f>
        <v>0</v>
      </c>
      <c r="AF264" s="6">
        <f ca="1">$M$264*$Z$264</f>
        <v>3894.1721928264615</v>
      </c>
      <c r="AG264" s="6">
        <f>$O$264*$AA$264</f>
        <v>2477.2555702284794</v>
      </c>
    </row>
    <row r="265" spans="1:33" ht="11.25" customHeight="1" x14ac:dyDescent="0.25">
      <c r="A265" s="4" t="s">
        <v>55</v>
      </c>
      <c r="B265" s="4" t="s">
        <v>38</v>
      </c>
      <c r="C265" s="4" t="s">
        <v>39</v>
      </c>
      <c r="D265" s="4" t="s">
        <v>44</v>
      </c>
      <c r="E265" s="4" t="s">
        <v>25</v>
      </c>
      <c r="F265" s="4" t="s">
        <v>25</v>
      </c>
      <c r="G265" s="4" t="s">
        <v>25</v>
      </c>
      <c r="H265" s="4" t="s">
        <v>33</v>
      </c>
      <c r="I265" s="5">
        <v>44713</v>
      </c>
      <c r="J265" s="6">
        <v>0</v>
      </c>
      <c r="K265" s="6">
        <v>0</v>
      </c>
      <c r="L265" s="6">
        <v>6.2240000000000002</v>
      </c>
      <c r="M265" s="6">
        <v>6.2240000000000002</v>
      </c>
      <c r="N265" s="6">
        <v>6.2240000000000002</v>
      </c>
      <c r="O265" s="6">
        <v>6.2240000000000002</v>
      </c>
      <c r="P265" s="6">
        <v>0</v>
      </c>
      <c r="Q265" s="4" t="s">
        <v>26</v>
      </c>
      <c r="R265" s="4">
        <v>0</v>
      </c>
      <c r="S265" s="6">
        <v>0</v>
      </c>
      <c r="T265" s="6">
        <v>21</v>
      </c>
      <c r="U265" s="6">
        <v>66</v>
      </c>
      <c r="V265" s="6">
        <f>IF(ISERROR(VLOOKUP($S$265,'TAR FIN'!$A$1:$O$86,15,0)),0,VLOOKUP($S$265,'TAR FIN'!$A$1:$O$86,15,0))</f>
        <v>0</v>
      </c>
      <c r="W265" s="6">
        <f>IF(ISERROR(VLOOKUP($T$265,'TAR FIN'!$A$1:$O$86,15,0)),0,VLOOKUP($T$265,'TAR FIN'!$A$1:$O$86,15,0))</f>
        <v>596.78</v>
      </c>
      <c r="X265" s="6">
        <f>IF(ISERROR(VLOOKUP($U$265,'TAR FIN'!$A$1:$O$86,15,0)),0,VLOOKUP($U$265,'TAR FIN'!$A$1:$O$86,15,0))</f>
        <v>503.82</v>
      </c>
      <c r="Y265" s="6"/>
      <c r="Z265" s="6">
        <f ca="1">('TUSD BE'!$AM$11+'TUSD BF'!$AM$11+'TUSD CVA'!$AM$11)*1</f>
        <v>625.67033946440574</v>
      </c>
      <c r="AA265" s="6">
        <f>('TE BE'!$AB$5+'TE BF'!$AB$5+'TE CVA'!$AB$5)*1</f>
        <v>398.01664046087393</v>
      </c>
      <c r="AB265" s="6">
        <f>$K$265*$V$265</f>
        <v>0</v>
      </c>
      <c r="AC265" s="6">
        <f>$M$265*$W$265</f>
        <v>3714.3587200000002</v>
      </c>
      <c r="AD265" s="6">
        <f>$O$265*$X$265</f>
        <v>3135.7756800000002</v>
      </c>
      <c r="AE265" s="6">
        <f>$K$265*$Y$265</f>
        <v>0</v>
      </c>
      <c r="AF265" s="6">
        <f ca="1">$M$265*$Z$265</f>
        <v>3894.1721928264615</v>
      </c>
      <c r="AG265" s="6">
        <f>$O$265*$AA$265</f>
        <v>2477.2555702284794</v>
      </c>
    </row>
    <row r="266" spans="1:33" ht="11.25" customHeight="1" x14ac:dyDescent="0.25">
      <c r="A266" s="4" t="s">
        <v>21</v>
      </c>
      <c r="B266" s="4" t="s">
        <v>38</v>
      </c>
      <c r="C266" s="4" t="s">
        <v>39</v>
      </c>
      <c r="D266" s="4" t="s">
        <v>43</v>
      </c>
      <c r="E266" s="4" t="s">
        <v>52</v>
      </c>
      <c r="F266" s="4" t="s">
        <v>54</v>
      </c>
      <c r="G266" s="4" t="s">
        <v>25</v>
      </c>
      <c r="H266" s="4" t="s">
        <v>34</v>
      </c>
      <c r="I266" s="5">
        <v>44378</v>
      </c>
      <c r="J266" s="6">
        <v>0</v>
      </c>
      <c r="K266" s="6">
        <v>0</v>
      </c>
      <c r="L266" s="6">
        <v>0.152</v>
      </c>
      <c r="M266" s="6">
        <v>4.5600000000000002E-2</v>
      </c>
      <c r="N266" s="6">
        <v>0.152</v>
      </c>
      <c r="O266" s="6">
        <v>4.5600000000000002E-2</v>
      </c>
      <c r="P266" s="6">
        <v>0</v>
      </c>
      <c r="Q266" s="4" t="s">
        <v>26</v>
      </c>
      <c r="R266" s="4">
        <v>0</v>
      </c>
      <c r="S266" s="6">
        <v>0</v>
      </c>
      <c r="T266" s="6">
        <v>17</v>
      </c>
      <c r="U266" s="6">
        <v>78</v>
      </c>
      <c r="V266" s="6">
        <f>IF(ISERROR(VLOOKUP($S$266,'TAR FIN'!$A$1:$O$86,15,0)),0,VLOOKUP($S$266,'TAR FIN'!$A$1:$O$86,15,0))</f>
        <v>0</v>
      </c>
      <c r="W266" s="6">
        <f>IF(ISERROR(VLOOKUP($T$266,'TAR FIN'!$A$1:$O$86,15,0)),0,VLOOKUP($T$266,'TAR FIN'!$A$1:$O$86,15,0))</f>
        <v>71.260000000000005</v>
      </c>
      <c r="X266" s="6">
        <f>IF(ISERROR(VLOOKUP($U$266,'TAR FIN'!$A$1:$O$86,15,0)),0,VLOOKUP($U$266,'TAR FIN'!$A$1:$O$86,15,0))</f>
        <v>297.31</v>
      </c>
      <c r="Y266" s="6"/>
      <c r="Z266" s="6">
        <f ca="1">('TUSD BE'!$AM$12+'TUSD BF'!$AM$12+'TUSD CVA'!$AM$12)*1</f>
        <v>95.815448102611441</v>
      </c>
      <c r="AA266" s="6">
        <f>('TE BE'!$AB$6+'TE BF'!$AB$6+'TE CVA'!$AB$6)*1</f>
        <v>235.33989117487977</v>
      </c>
      <c r="AB266" s="6">
        <f>$K$266*$V$266</f>
        <v>0</v>
      </c>
      <c r="AC266" s="6">
        <f>$M$266*$W$266</f>
        <v>3.2494560000000003</v>
      </c>
      <c r="AD266" s="6">
        <f>$O$266*$X$266</f>
        <v>13.557336000000001</v>
      </c>
      <c r="AE266" s="6">
        <f>$K$266*$Y$266</f>
        <v>0</v>
      </c>
      <c r="AF266" s="6">
        <f ca="1">$M$266*$Z$266</f>
        <v>4.3691844334790817</v>
      </c>
      <c r="AG266" s="6">
        <f>$O$266*$AA$266</f>
        <v>10.731499037574517</v>
      </c>
    </row>
    <row r="267" spans="1:33" ht="11.25" customHeight="1" x14ac:dyDescent="0.25">
      <c r="A267" s="4" t="s">
        <v>21</v>
      </c>
      <c r="B267" s="4" t="s">
        <v>38</v>
      </c>
      <c r="C267" s="4" t="s">
        <v>39</v>
      </c>
      <c r="D267" s="4" t="s">
        <v>43</v>
      </c>
      <c r="E267" s="4" t="s">
        <v>52</v>
      </c>
      <c r="F267" s="4" t="s">
        <v>54</v>
      </c>
      <c r="G267" s="4" t="s">
        <v>25</v>
      </c>
      <c r="H267" s="4" t="s">
        <v>34</v>
      </c>
      <c r="I267" s="5">
        <v>44409</v>
      </c>
      <c r="J267" s="6">
        <v>0</v>
      </c>
      <c r="K267" s="6">
        <v>0</v>
      </c>
      <c r="L267" s="6">
        <v>0.182</v>
      </c>
      <c r="M267" s="6">
        <v>5.4600000000000003E-2</v>
      </c>
      <c r="N267" s="6">
        <v>0.182</v>
      </c>
      <c r="O267" s="6">
        <v>5.4600000000000003E-2</v>
      </c>
      <c r="P267" s="6">
        <v>0</v>
      </c>
      <c r="Q267" s="4" t="s">
        <v>26</v>
      </c>
      <c r="R267" s="4">
        <v>0</v>
      </c>
      <c r="S267" s="6">
        <v>0</v>
      </c>
      <c r="T267" s="6">
        <v>17</v>
      </c>
      <c r="U267" s="6">
        <v>78</v>
      </c>
      <c r="V267" s="6">
        <f>IF(ISERROR(VLOOKUP($S$267,'TAR FIN'!$A$1:$O$86,15,0)),0,VLOOKUP($S$267,'TAR FIN'!$A$1:$O$86,15,0))</f>
        <v>0</v>
      </c>
      <c r="W267" s="6">
        <f>IF(ISERROR(VLOOKUP($T$267,'TAR FIN'!$A$1:$O$86,15,0)),0,VLOOKUP($T$267,'TAR FIN'!$A$1:$O$86,15,0))</f>
        <v>71.260000000000005</v>
      </c>
      <c r="X267" s="6">
        <f>IF(ISERROR(VLOOKUP($U$267,'TAR FIN'!$A$1:$O$86,15,0)),0,VLOOKUP($U$267,'TAR FIN'!$A$1:$O$86,15,0))</f>
        <v>297.31</v>
      </c>
      <c r="Y267" s="6"/>
      <c r="Z267" s="6">
        <f ca="1">('TUSD BE'!$AM$12+'TUSD BF'!$AM$12+'TUSD CVA'!$AM$12)*1</f>
        <v>95.815448102611441</v>
      </c>
      <c r="AA267" s="6">
        <f>('TE BE'!$AB$6+'TE BF'!$AB$6+'TE CVA'!$AB$6)*1</f>
        <v>235.33989117487977</v>
      </c>
      <c r="AB267" s="6">
        <f>$K$267*$V$267</f>
        <v>0</v>
      </c>
      <c r="AC267" s="6">
        <f>$M$267*$W$267</f>
        <v>3.8907960000000004</v>
      </c>
      <c r="AD267" s="6">
        <f>$O$267*$X$267</f>
        <v>16.233126000000002</v>
      </c>
      <c r="AE267" s="6">
        <f>$K$267*$Y$267</f>
        <v>0</v>
      </c>
      <c r="AF267" s="6">
        <f ca="1">$M$267*$Z$267</f>
        <v>5.2315234664025851</v>
      </c>
      <c r="AG267" s="6">
        <f>$O$267*$AA$267</f>
        <v>12.849558058148435</v>
      </c>
    </row>
    <row r="268" spans="1:33" ht="11.25" customHeight="1" x14ac:dyDescent="0.25">
      <c r="A268" s="4" t="s">
        <v>21</v>
      </c>
      <c r="B268" s="4" t="s">
        <v>38</v>
      </c>
      <c r="C268" s="4" t="s">
        <v>39</v>
      </c>
      <c r="D268" s="4" t="s">
        <v>43</v>
      </c>
      <c r="E268" s="4" t="s">
        <v>52</v>
      </c>
      <c r="F268" s="4" t="s">
        <v>54</v>
      </c>
      <c r="G268" s="4" t="s">
        <v>25</v>
      </c>
      <c r="H268" s="4" t="s">
        <v>34</v>
      </c>
      <c r="I268" s="5">
        <v>44440</v>
      </c>
      <c r="J268" s="6">
        <v>0</v>
      </c>
      <c r="K268" s="6">
        <v>0</v>
      </c>
      <c r="L268" s="6">
        <v>0.06</v>
      </c>
      <c r="M268" s="6">
        <v>1.7999999999999999E-2</v>
      </c>
      <c r="N268" s="6">
        <v>0.06</v>
      </c>
      <c r="O268" s="6">
        <v>1.7999999999999999E-2</v>
      </c>
      <c r="P268" s="6">
        <v>0</v>
      </c>
      <c r="Q268" s="4" t="s">
        <v>26</v>
      </c>
      <c r="R268" s="4">
        <v>0</v>
      </c>
      <c r="S268" s="6">
        <v>0</v>
      </c>
      <c r="T268" s="6">
        <v>17</v>
      </c>
      <c r="U268" s="6">
        <v>78</v>
      </c>
      <c r="V268" s="6">
        <f>IF(ISERROR(VLOOKUP($S$268,'TAR FIN'!$A$1:$O$86,15,0)),0,VLOOKUP($S$268,'TAR FIN'!$A$1:$O$86,15,0))</f>
        <v>0</v>
      </c>
      <c r="W268" s="6">
        <f>IF(ISERROR(VLOOKUP($T$268,'TAR FIN'!$A$1:$O$86,15,0)),0,VLOOKUP($T$268,'TAR FIN'!$A$1:$O$86,15,0))</f>
        <v>71.260000000000005</v>
      </c>
      <c r="X268" s="6">
        <f>IF(ISERROR(VLOOKUP($U$268,'TAR FIN'!$A$1:$O$86,15,0)),0,VLOOKUP($U$268,'TAR FIN'!$A$1:$O$86,15,0))</f>
        <v>297.31</v>
      </c>
      <c r="Y268" s="6"/>
      <c r="Z268" s="6">
        <f ca="1">('TUSD BE'!$AM$12+'TUSD BF'!$AM$12+'TUSD CVA'!$AM$12)*1</f>
        <v>95.815448102611441</v>
      </c>
      <c r="AA268" s="6">
        <f>('TE BE'!$AB$6+'TE BF'!$AB$6+'TE CVA'!$AB$6)*1</f>
        <v>235.33989117487977</v>
      </c>
      <c r="AB268" s="6">
        <f>$K$268*$V$268</f>
        <v>0</v>
      </c>
      <c r="AC268" s="6">
        <f>$M$268*$W$268</f>
        <v>1.28268</v>
      </c>
      <c r="AD268" s="6">
        <f>$O$268*$X$268</f>
        <v>5.3515799999999993</v>
      </c>
      <c r="AE268" s="6">
        <f>$K$268*$Y$268</f>
        <v>0</v>
      </c>
      <c r="AF268" s="6">
        <f ca="1">$M$268*$Z$268</f>
        <v>1.7246780658470058</v>
      </c>
      <c r="AG268" s="6">
        <f>$O$268*$AA$268</f>
        <v>4.2361180411478356</v>
      </c>
    </row>
    <row r="269" spans="1:33" ht="11.25" customHeight="1" x14ac:dyDescent="0.25">
      <c r="A269" s="4" t="s">
        <v>21</v>
      </c>
      <c r="B269" s="4" t="s">
        <v>38</v>
      </c>
      <c r="C269" s="4" t="s">
        <v>39</v>
      </c>
      <c r="D269" s="4" t="s">
        <v>43</v>
      </c>
      <c r="E269" s="4" t="s">
        <v>52</v>
      </c>
      <c r="F269" s="4" t="s">
        <v>54</v>
      </c>
      <c r="G269" s="4" t="s">
        <v>25</v>
      </c>
      <c r="H269" s="4" t="s">
        <v>34</v>
      </c>
      <c r="I269" s="5">
        <v>44470</v>
      </c>
      <c r="J269" s="6">
        <v>0</v>
      </c>
      <c r="K269" s="6">
        <v>0</v>
      </c>
      <c r="L269" s="6">
        <v>7.3</v>
      </c>
      <c r="M269" s="6">
        <v>2.19</v>
      </c>
      <c r="N269" s="6">
        <v>7.3</v>
      </c>
      <c r="O269" s="6">
        <v>2.19</v>
      </c>
      <c r="P269" s="6">
        <v>0</v>
      </c>
      <c r="Q269" s="4" t="s">
        <v>26</v>
      </c>
      <c r="R269" s="4">
        <v>0</v>
      </c>
      <c r="S269" s="6">
        <v>0</v>
      </c>
      <c r="T269" s="6">
        <v>17</v>
      </c>
      <c r="U269" s="6">
        <v>78</v>
      </c>
      <c r="V269" s="6">
        <f>IF(ISERROR(VLOOKUP($S$269,'TAR FIN'!$A$1:$O$86,15,0)),0,VLOOKUP($S$269,'TAR FIN'!$A$1:$O$86,15,0))</f>
        <v>0</v>
      </c>
      <c r="W269" s="6">
        <f>IF(ISERROR(VLOOKUP($T$269,'TAR FIN'!$A$1:$O$86,15,0)),0,VLOOKUP($T$269,'TAR FIN'!$A$1:$O$86,15,0))</f>
        <v>71.260000000000005</v>
      </c>
      <c r="X269" s="6">
        <f>IF(ISERROR(VLOOKUP($U$269,'TAR FIN'!$A$1:$O$86,15,0)),0,VLOOKUP($U$269,'TAR FIN'!$A$1:$O$86,15,0))</f>
        <v>297.31</v>
      </c>
      <c r="Y269" s="6"/>
      <c r="Z269" s="6">
        <f ca="1">('TUSD BE'!$AM$12+'TUSD BF'!$AM$12+'TUSD CVA'!$AM$12)*1</f>
        <v>95.815448102611441</v>
      </c>
      <c r="AA269" s="6">
        <f>('TE BE'!$AB$6+'TE BF'!$AB$6+'TE CVA'!$AB$6)*1</f>
        <v>235.33989117487977</v>
      </c>
      <c r="AB269" s="6">
        <f>$K$269*$V$269</f>
        <v>0</v>
      </c>
      <c r="AC269" s="6">
        <f>$M$269*$W$269</f>
        <v>156.05940000000001</v>
      </c>
      <c r="AD269" s="6">
        <f>$O$269*$X$269</f>
        <v>651.10889999999995</v>
      </c>
      <c r="AE269" s="6">
        <f>$K$269*$Y$269</f>
        <v>0</v>
      </c>
      <c r="AF269" s="6">
        <f ca="1">$M$269*$Z$269</f>
        <v>209.83583134471905</v>
      </c>
      <c r="AG269" s="6">
        <f>$O$269*$AA$269</f>
        <v>515.39436167298663</v>
      </c>
    </row>
    <row r="270" spans="1:33" ht="11.25" customHeight="1" x14ac:dyDescent="0.25">
      <c r="A270" s="4" t="s">
        <v>21</v>
      </c>
      <c r="B270" s="4" t="s">
        <v>38</v>
      </c>
      <c r="C270" s="4" t="s">
        <v>39</v>
      </c>
      <c r="D270" s="4" t="s">
        <v>43</v>
      </c>
      <c r="E270" s="4" t="s">
        <v>52</v>
      </c>
      <c r="F270" s="4" t="s">
        <v>54</v>
      </c>
      <c r="G270" s="4" t="s">
        <v>25</v>
      </c>
      <c r="H270" s="4" t="s">
        <v>34</v>
      </c>
      <c r="I270" s="5">
        <v>44501</v>
      </c>
      <c r="J270" s="6">
        <v>0</v>
      </c>
      <c r="K270" s="6">
        <v>0</v>
      </c>
      <c r="L270" s="6">
        <v>28.536999999999999</v>
      </c>
      <c r="M270" s="6">
        <v>8.5610999999999997</v>
      </c>
      <c r="N270" s="6">
        <v>28.536999999999999</v>
      </c>
      <c r="O270" s="6">
        <v>8.5610999999999997</v>
      </c>
      <c r="P270" s="6">
        <v>0</v>
      </c>
      <c r="Q270" s="4" t="s">
        <v>26</v>
      </c>
      <c r="R270" s="4">
        <v>0</v>
      </c>
      <c r="S270" s="6">
        <v>0</v>
      </c>
      <c r="T270" s="6">
        <v>17</v>
      </c>
      <c r="U270" s="6">
        <v>78</v>
      </c>
      <c r="V270" s="6">
        <f>IF(ISERROR(VLOOKUP($S$270,'TAR FIN'!$A$1:$O$86,15,0)),0,VLOOKUP($S$270,'TAR FIN'!$A$1:$O$86,15,0))</f>
        <v>0</v>
      </c>
      <c r="W270" s="6">
        <f>IF(ISERROR(VLOOKUP($T$270,'TAR FIN'!$A$1:$O$86,15,0)),0,VLOOKUP($T$270,'TAR FIN'!$A$1:$O$86,15,0))</f>
        <v>71.260000000000005</v>
      </c>
      <c r="X270" s="6">
        <f>IF(ISERROR(VLOOKUP($U$270,'TAR FIN'!$A$1:$O$86,15,0)),0,VLOOKUP($U$270,'TAR FIN'!$A$1:$O$86,15,0))</f>
        <v>297.31</v>
      </c>
      <c r="Y270" s="6"/>
      <c r="Z270" s="6">
        <f ca="1">('TUSD BE'!$AM$12+'TUSD BF'!$AM$12+'TUSD CVA'!$AM$12)*1</f>
        <v>95.815448102611441</v>
      </c>
      <c r="AA270" s="6">
        <f>('TE BE'!$AB$6+'TE BF'!$AB$6+'TE CVA'!$AB$6)*1</f>
        <v>235.33989117487977</v>
      </c>
      <c r="AB270" s="6">
        <f>$K$270*$V$270</f>
        <v>0</v>
      </c>
      <c r="AC270" s="6">
        <f>$M$270*$W$270</f>
        <v>610.063986</v>
      </c>
      <c r="AD270" s="6">
        <f>$O$270*$X$270</f>
        <v>2545.3006409999998</v>
      </c>
      <c r="AE270" s="6">
        <f>$K$270*$Y$270</f>
        <v>0</v>
      </c>
      <c r="AF270" s="6">
        <f ca="1">$M$270*$Z$270</f>
        <v>820.2856327512668</v>
      </c>
      <c r="AG270" s="6">
        <f>$O$270*$AA$270</f>
        <v>2014.7683423372632</v>
      </c>
    </row>
    <row r="271" spans="1:33" ht="11.25" customHeight="1" x14ac:dyDescent="0.25">
      <c r="A271" s="4" t="s">
        <v>21</v>
      </c>
      <c r="B271" s="4" t="s">
        <v>38</v>
      </c>
      <c r="C271" s="4" t="s">
        <v>39</v>
      </c>
      <c r="D271" s="4" t="s">
        <v>43</v>
      </c>
      <c r="E271" s="4" t="s">
        <v>52</v>
      </c>
      <c r="F271" s="4" t="s">
        <v>54</v>
      </c>
      <c r="G271" s="4" t="s">
        <v>25</v>
      </c>
      <c r="H271" s="4" t="s">
        <v>34</v>
      </c>
      <c r="I271" s="5">
        <v>44531</v>
      </c>
      <c r="J271" s="6">
        <v>0</v>
      </c>
      <c r="K271" s="6">
        <v>0</v>
      </c>
      <c r="L271" s="6">
        <v>63.548999999999999</v>
      </c>
      <c r="M271" s="6">
        <v>19.064699999999998</v>
      </c>
      <c r="N271" s="6">
        <v>63.548999999999999</v>
      </c>
      <c r="O271" s="6">
        <v>19.064699999999998</v>
      </c>
      <c r="P271" s="6">
        <v>0</v>
      </c>
      <c r="Q271" s="4" t="s">
        <v>26</v>
      </c>
      <c r="R271" s="4">
        <v>0</v>
      </c>
      <c r="S271" s="6">
        <v>0</v>
      </c>
      <c r="T271" s="6">
        <v>17</v>
      </c>
      <c r="U271" s="6">
        <v>78</v>
      </c>
      <c r="V271" s="6">
        <f>IF(ISERROR(VLOOKUP($S$271,'TAR FIN'!$A$1:$O$86,15,0)),0,VLOOKUP($S$271,'TAR FIN'!$A$1:$O$86,15,0))</f>
        <v>0</v>
      </c>
      <c r="W271" s="6">
        <f>IF(ISERROR(VLOOKUP($T$271,'TAR FIN'!$A$1:$O$86,15,0)),0,VLOOKUP($T$271,'TAR FIN'!$A$1:$O$86,15,0))</f>
        <v>71.260000000000005</v>
      </c>
      <c r="X271" s="6">
        <f>IF(ISERROR(VLOOKUP($U$271,'TAR FIN'!$A$1:$O$86,15,0)),0,VLOOKUP($U$271,'TAR FIN'!$A$1:$O$86,15,0))</f>
        <v>297.31</v>
      </c>
      <c r="Y271" s="6"/>
      <c r="Z271" s="6">
        <f ca="1">('TUSD BE'!$AM$12+'TUSD BF'!$AM$12+'TUSD CVA'!$AM$12)*1</f>
        <v>95.815448102611441</v>
      </c>
      <c r="AA271" s="6">
        <f>('TE BE'!$AB$6+'TE BF'!$AB$6+'TE CVA'!$AB$6)*1</f>
        <v>235.33989117487977</v>
      </c>
      <c r="AB271" s="6">
        <f>$K$271*$V$271</f>
        <v>0</v>
      </c>
      <c r="AC271" s="6">
        <f>$M$271*$W$271</f>
        <v>1358.550522</v>
      </c>
      <c r="AD271" s="6">
        <f>$O$271*$X$271</f>
        <v>5668.1259569999993</v>
      </c>
      <c r="AE271" s="6">
        <f>$K$271*$Y$271</f>
        <v>0</v>
      </c>
      <c r="AF271" s="6">
        <f ca="1">$M$271*$Z$271</f>
        <v>1826.6927734418562</v>
      </c>
      <c r="AG271" s="6">
        <f>$O$271*$AA$271</f>
        <v>4486.6844232817302</v>
      </c>
    </row>
    <row r="272" spans="1:33" ht="11.25" customHeight="1" x14ac:dyDescent="0.25">
      <c r="A272" s="4" t="s">
        <v>21</v>
      </c>
      <c r="B272" s="4" t="s">
        <v>38</v>
      </c>
      <c r="C272" s="4" t="s">
        <v>39</v>
      </c>
      <c r="D272" s="4" t="s">
        <v>43</v>
      </c>
      <c r="E272" s="4" t="s">
        <v>52</v>
      </c>
      <c r="F272" s="4" t="s">
        <v>54</v>
      </c>
      <c r="G272" s="4" t="s">
        <v>25</v>
      </c>
      <c r="H272" s="4" t="s">
        <v>34</v>
      </c>
      <c r="I272" s="5">
        <v>44562</v>
      </c>
      <c r="J272" s="6">
        <v>0</v>
      </c>
      <c r="K272" s="6">
        <v>0</v>
      </c>
      <c r="L272" s="6">
        <v>37.036999999999999</v>
      </c>
      <c r="M272" s="6">
        <v>11.1111</v>
      </c>
      <c r="N272" s="6">
        <v>37.036999999999999</v>
      </c>
      <c r="O272" s="6">
        <v>11.1111</v>
      </c>
      <c r="P272" s="6">
        <v>0</v>
      </c>
      <c r="Q272" s="4" t="s">
        <v>26</v>
      </c>
      <c r="R272" s="4">
        <v>0</v>
      </c>
      <c r="S272" s="6">
        <v>0</v>
      </c>
      <c r="T272" s="6">
        <v>17</v>
      </c>
      <c r="U272" s="6">
        <v>78</v>
      </c>
      <c r="V272" s="6">
        <f>IF(ISERROR(VLOOKUP($S$272,'TAR FIN'!$A$1:$O$86,15,0)),0,VLOOKUP($S$272,'TAR FIN'!$A$1:$O$86,15,0))</f>
        <v>0</v>
      </c>
      <c r="W272" s="6">
        <f>IF(ISERROR(VLOOKUP($T$272,'TAR FIN'!$A$1:$O$86,15,0)),0,VLOOKUP($T$272,'TAR FIN'!$A$1:$O$86,15,0))</f>
        <v>71.260000000000005</v>
      </c>
      <c r="X272" s="6">
        <f>IF(ISERROR(VLOOKUP($U$272,'TAR FIN'!$A$1:$O$86,15,0)),0,VLOOKUP($U$272,'TAR FIN'!$A$1:$O$86,15,0))</f>
        <v>297.31</v>
      </c>
      <c r="Y272" s="6"/>
      <c r="Z272" s="6">
        <f ca="1">('TUSD BE'!$AM$12+'TUSD BF'!$AM$12+'TUSD CVA'!$AM$12)*1</f>
        <v>95.815448102611441</v>
      </c>
      <c r="AA272" s="6">
        <f>('TE BE'!$AB$6+'TE BF'!$AB$6+'TE CVA'!$AB$6)*1</f>
        <v>235.33989117487977</v>
      </c>
      <c r="AB272" s="6">
        <f>$K$272*$V$272</f>
        <v>0</v>
      </c>
      <c r="AC272" s="6">
        <f>$M$272*$W$272</f>
        <v>791.77698600000008</v>
      </c>
      <c r="AD272" s="6">
        <f>$O$272*$X$272</f>
        <v>3303.4411410000002</v>
      </c>
      <c r="AE272" s="6">
        <f>$K$272*$Y$272</f>
        <v>0</v>
      </c>
      <c r="AF272" s="6">
        <f ca="1">$M$272*$Z$272</f>
        <v>1064.6150254129261</v>
      </c>
      <c r="AG272" s="6">
        <f>$O$272*$AA$272</f>
        <v>2614.8850648332068</v>
      </c>
    </row>
    <row r="273" spans="1:33" ht="11.25" customHeight="1" x14ac:dyDescent="0.25">
      <c r="A273" s="4" t="s">
        <v>21</v>
      </c>
      <c r="B273" s="4" t="s">
        <v>38</v>
      </c>
      <c r="C273" s="4" t="s">
        <v>39</v>
      </c>
      <c r="D273" s="4" t="s">
        <v>43</v>
      </c>
      <c r="E273" s="4" t="s">
        <v>52</v>
      </c>
      <c r="F273" s="4" t="s">
        <v>54</v>
      </c>
      <c r="G273" s="4" t="s">
        <v>25</v>
      </c>
      <c r="H273" s="4" t="s">
        <v>34</v>
      </c>
      <c r="I273" s="5">
        <v>44593</v>
      </c>
      <c r="J273" s="6">
        <v>0</v>
      </c>
      <c r="K273" s="6">
        <v>0</v>
      </c>
      <c r="L273" s="6">
        <v>32.451999999999998</v>
      </c>
      <c r="M273" s="6">
        <v>9.7355999999999998</v>
      </c>
      <c r="N273" s="6">
        <v>32.451999999999998</v>
      </c>
      <c r="O273" s="6">
        <v>9.7355999999999998</v>
      </c>
      <c r="P273" s="6">
        <v>0</v>
      </c>
      <c r="Q273" s="4" t="s">
        <v>26</v>
      </c>
      <c r="R273" s="4">
        <v>0</v>
      </c>
      <c r="S273" s="6">
        <v>0</v>
      </c>
      <c r="T273" s="6">
        <v>17</v>
      </c>
      <c r="U273" s="6">
        <v>78</v>
      </c>
      <c r="V273" s="6">
        <f>IF(ISERROR(VLOOKUP($S$273,'TAR FIN'!$A$1:$O$86,15,0)),0,VLOOKUP($S$273,'TAR FIN'!$A$1:$O$86,15,0))</f>
        <v>0</v>
      </c>
      <c r="W273" s="6">
        <f>IF(ISERROR(VLOOKUP($T$273,'TAR FIN'!$A$1:$O$86,15,0)),0,VLOOKUP($T$273,'TAR FIN'!$A$1:$O$86,15,0))</f>
        <v>71.260000000000005</v>
      </c>
      <c r="X273" s="6">
        <f>IF(ISERROR(VLOOKUP($U$273,'TAR FIN'!$A$1:$O$86,15,0)),0,VLOOKUP($U$273,'TAR FIN'!$A$1:$O$86,15,0))</f>
        <v>297.31</v>
      </c>
      <c r="Y273" s="6"/>
      <c r="Z273" s="6">
        <f ca="1">('TUSD BE'!$AM$12+'TUSD BF'!$AM$12+'TUSD CVA'!$AM$12)*1</f>
        <v>95.815448102611441</v>
      </c>
      <c r="AA273" s="6">
        <f>('TE BE'!$AB$6+'TE BF'!$AB$6+'TE CVA'!$AB$6)*1</f>
        <v>235.33989117487977</v>
      </c>
      <c r="AB273" s="6">
        <f>$K$273*$V$273</f>
        <v>0</v>
      </c>
      <c r="AC273" s="6">
        <f>$M$273*$W$273</f>
        <v>693.75885600000004</v>
      </c>
      <c r="AD273" s="6">
        <f>$O$273*$X$273</f>
        <v>2894.4912359999998</v>
      </c>
      <c r="AE273" s="6">
        <f>$K$273*$Y$273</f>
        <v>0</v>
      </c>
      <c r="AF273" s="6">
        <f ca="1">$M$273*$Z$273</f>
        <v>932.82087654778388</v>
      </c>
      <c r="AG273" s="6">
        <f>$O$273*$AA$273</f>
        <v>2291.1750445221596</v>
      </c>
    </row>
    <row r="274" spans="1:33" ht="11.25" customHeight="1" x14ac:dyDescent="0.25">
      <c r="A274" s="4" t="s">
        <v>21</v>
      </c>
      <c r="B274" s="4" t="s">
        <v>38</v>
      </c>
      <c r="C274" s="4" t="s">
        <v>39</v>
      </c>
      <c r="D274" s="4" t="s">
        <v>43</v>
      </c>
      <c r="E274" s="4" t="s">
        <v>52</v>
      </c>
      <c r="F274" s="4" t="s">
        <v>54</v>
      </c>
      <c r="G274" s="4" t="s">
        <v>25</v>
      </c>
      <c r="H274" s="4" t="s">
        <v>34</v>
      </c>
      <c r="I274" s="5">
        <v>44621</v>
      </c>
      <c r="J274" s="6">
        <v>0</v>
      </c>
      <c r="K274" s="6">
        <v>0</v>
      </c>
      <c r="L274" s="6">
        <v>0.38200000000000001</v>
      </c>
      <c r="M274" s="6">
        <v>0.11459999999999999</v>
      </c>
      <c r="N274" s="6">
        <v>0.38200000000000001</v>
      </c>
      <c r="O274" s="6">
        <v>0.11459999999999999</v>
      </c>
      <c r="P274" s="6">
        <v>0</v>
      </c>
      <c r="Q274" s="4" t="s">
        <v>26</v>
      </c>
      <c r="R274" s="4">
        <v>0</v>
      </c>
      <c r="S274" s="6">
        <v>0</v>
      </c>
      <c r="T274" s="6">
        <v>17</v>
      </c>
      <c r="U274" s="6">
        <v>78</v>
      </c>
      <c r="V274" s="6">
        <f>IF(ISERROR(VLOOKUP($S$274,'TAR FIN'!$A$1:$O$86,15,0)),0,VLOOKUP($S$274,'TAR FIN'!$A$1:$O$86,15,0))</f>
        <v>0</v>
      </c>
      <c r="W274" s="6">
        <f>IF(ISERROR(VLOOKUP($T$274,'TAR FIN'!$A$1:$O$86,15,0)),0,VLOOKUP($T$274,'TAR FIN'!$A$1:$O$86,15,0))</f>
        <v>71.260000000000005</v>
      </c>
      <c r="X274" s="6">
        <f>IF(ISERROR(VLOOKUP($U$274,'TAR FIN'!$A$1:$O$86,15,0)),0,VLOOKUP($U$274,'TAR FIN'!$A$1:$O$86,15,0))</f>
        <v>297.31</v>
      </c>
      <c r="Y274" s="6"/>
      <c r="Z274" s="6">
        <f ca="1">('TUSD BE'!$AM$12+'TUSD BF'!$AM$12+'TUSD CVA'!$AM$12)*1</f>
        <v>95.815448102611441</v>
      </c>
      <c r="AA274" s="6">
        <f>('TE BE'!$AB$6+'TE BF'!$AB$6+'TE CVA'!$AB$6)*1</f>
        <v>235.33989117487977</v>
      </c>
      <c r="AB274" s="6">
        <f>$K$274*$V$274</f>
        <v>0</v>
      </c>
      <c r="AC274" s="6">
        <f>$M$274*$W$274</f>
        <v>8.1663960000000007</v>
      </c>
      <c r="AD274" s="6">
        <f>$O$274*$X$274</f>
        <v>34.071725999999998</v>
      </c>
      <c r="AE274" s="6">
        <f>$K$274*$Y$274</f>
        <v>0</v>
      </c>
      <c r="AF274" s="6">
        <f ca="1">$M$274*$Z$274</f>
        <v>10.98045035255927</v>
      </c>
      <c r="AG274" s="6">
        <f>$O$274*$AA$274</f>
        <v>26.969951528641221</v>
      </c>
    </row>
    <row r="275" spans="1:33" ht="11.25" customHeight="1" x14ac:dyDescent="0.25">
      <c r="A275" s="4" t="s">
        <v>21</v>
      </c>
      <c r="B275" s="4" t="s">
        <v>38</v>
      </c>
      <c r="C275" s="4" t="s">
        <v>39</v>
      </c>
      <c r="D275" s="4" t="s">
        <v>43</v>
      </c>
      <c r="E275" s="4" t="s">
        <v>52</v>
      </c>
      <c r="F275" s="4" t="s">
        <v>54</v>
      </c>
      <c r="G275" s="4" t="s">
        <v>25</v>
      </c>
      <c r="H275" s="4" t="s">
        <v>34</v>
      </c>
      <c r="I275" s="5">
        <v>44652</v>
      </c>
      <c r="J275" s="6">
        <v>0</v>
      </c>
      <c r="K275" s="6">
        <v>0</v>
      </c>
      <c r="L275" s="6">
        <v>1.601</v>
      </c>
      <c r="M275" s="6">
        <v>0.4803</v>
      </c>
      <c r="N275" s="6">
        <v>1.601</v>
      </c>
      <c r="O275" s="6">
        <v>0.4803</v>
      </c>
      <c r="P275" s="6">
        <v>0</v>
      </c>
      <c r="Q275" s="4" t="s">
        <v>26</v>
      </c>
      <c r="R275" s="4">
        <v>0</v>
      </c>
      <c r="S275" s="6">
        <v>0</v>
      </c>
      <c r="T275" s="6">
        <v>17</v>
      </c>
      <c r="U275" s="6">
        <v>78</v>
      </c>
      <c r="V275" s="6">
        <f>IF(ISERROR(VLOOKUP($S$275,'TAR FIN'!$A$1:$O$86,15,0)),0,VLOOKUP($S$275,'TAR FIN'!$A$1:$O$86,15,0))</f>
        <v>0</v>
      </c>
      <c r="W275" s="6">
        <f>IF(ISERROR(VLOOKUP($T$275,'TAR FIN'!$A$1:$O$86,15,0)),0,VLOOKUP($T$275,'TAR FIN'!$A$1:$O$86,15,0))</f>
        <v>71.260000000000005</v>
      </c>
      <c r="X275" s="6">
        <f>IF(ISERROR(VLOOKUP($U$275,'TAR FIN'!$A$1:$O$86,15,0)),0,VLOOKUP($U$275,'TAR FIN'!$A$1:$O$86,15,0))</f>
        <v>297.31</v>
      </c>
      <c r="Y275" s="6"/>
      <c r="Z275" s="6">
        <f ca="1">('TUSD BE'!$AM$12+'TUSD BF'!$AM$12+'TUSD CVA'!$AM$12)*1</f>
        <v>95.815448102611441</v>
      </c>
      <c r="AA275" s="6">
        <f>('TE BE'!$AB$6+'TE BF'!$AB$6+'TE CVA'!$AB$6)*1</f>
        <v>235.33989117487977</v>
      </c>
      <c r="AB275" s="6">
        <f>$K$275*$V$275</f>
        <v>0</v>
      </c>
      <c r="AC275" s="6">
        <f>$M$275*$W$275</f>
        <v>34.226178000000004</v>
      </c>
      <c r="AD275" s="6">
        <f>$O$275*$X$275</f>
        <v>142.79799299999999</v>
      </c>
      <c r="AE275" s="6">
        <f>$K$275*$Y$275</f>
        <v>0</v>
      </c>
      <c r="AF275" s="6">
        <f ca="1">$M$275*$Z$275</f>
        <v>46.020159723684273</v>
      </c>
      <c r="AG275" s="6">
        <f>$O$275*$AA$275</f>
        <v>113.03374973129475</v>
      </c>
    </row>
    <row r="276" spans="1:33" ht="11.25" customHeight="1" x14ac:dyDescent="0.25">
      <c r="A276" s="4" t="s">
        <v>21</v>
      </c>
      <c r="B276" s="4" t="s">
        <v>38</v>
      </c>
      <c r="C276" s="4" t="s">
        <v>39</v>
      </c>
      <c r="D276" s="4" t="s">
        <v>43</v>
      </c>
      <c r="E276" s="4" t="s">
        <v>52</v>
      </c>
      <c r="F276" s="4" t="s">
        <v>54</v>
      </c>
      <c r="G276" s="4" t="s">
        <v>25</v>
      </c>
      <c r="H276" s="4" t="s">
        <v>34</v>
      </c>
      <c r="I276" s="5">
        <v>44682</v>
      </c>
      <c r="J276" s="6">
        <v>0</v>
      </c>
      <c r="K276" s="6">
        <v>0</v>
      </c>
      <c r="L276" s="6">
        <v>1.696</v>
      </c>
      <c r="M276" s="6">
        <v>0.50880000000000003</v>
      </c>
      <c r="N276" s="6">
        <v>1.696</v>
      </c>
      <c r="O276" s="6">
        <v>0.50880000000000003</v>
      </c>
      <c r="P276" s="6">
        <v>0</v>
      </c>
      <c r="Q276" s="4" t="s">
        <v>26</v>
      </c>
      <c r="R276" s="4">
        <v>0</v>
      </c>
      <c r="S276" s="6">
        <v>0</v>
      </c>
      <c r="T276" s="6">
        <v>17</v>
      </c>
      <c r="U276" s="6">
        <v>78</v>
      </c>
      <c r="V276" s="6">
        <f>IF(ISERROR(VLOOKUP($S$276,'TAR FIN'!$A$1:$O$86,15,0)),0,VLOOKUP($S$276,'TAR FIN'!$A$1:$O$86,15,0))</f>
        <v>0</v>
      </c>
      <c r="W276" s="6">
        <f>IF(ISERROR(VLOOKUP($T$276,'TAR FIN'!$A$1:$O$86,15,0)),0,VLOOKUP($T$276,'TAR FIN'!$A$1:$O$86,15,0))</f>
        <v>71.260000000000005</v>
      </c>
      <c r="X276" s="6">
        <f>IF(ISERROR(VLOOKUP($U$276,'TAR FIN'!$A$1:$O$86,15,0)),0,VLOOKUP($U$276,'TAR FIN'!$A$1:$O$86,15,0))</f>
        <v>297.31</v>
      </c>
      <c r="Y276" s="6"/>
      <c r="Z276" s="6">
        <f ca="1">('TUSD BE'!$AM$12+'TUSD BF'!$AM$12+'TUSD CVA'!$AM$12)*1</f>
        <v>95.815448102611441</v>
      </c>
      <c r="AA276" s="6">
        <f>('TE BE'!$AB$6+'TE BF'!$AB$6+'TE CVA'!$AB$6)*1</f>
        <v>235.33989117487977</v>
      </c>
      <c r="AB276" s="6">
        <f>$K$276*$V$276</f>
        <v>0</v>
      </c>
      <c r="AC276" s="6">
        <f>$M$276*$W$276</f>
        <v>36.257088000000003</v>
      </c>
      <c r="AD276" s="6">
        <f>$O$276*$X$276</f>
        <v>151.27132800000001</v>
      </c>
      <c r="AE276" s="6">
        <f>$K$276*$Y$276</f>
        <v>0</v>
      </c>
      <c r="AF276" s="6">
        <f ca="1">$M$276*$Z$276</f>
        <v>48.750899994608702</v>
      </c>
      <c r="AG276" s="6">
        <f>$O$276*$AA$276</f>
        <v>119.74093662977883</v>
      </c>
    </row>
    <row r="277" spans="1:33" ht="11.25" customHeight="1" x14ac:dyDescent="0.25">
      <c r="A277" s="4" t="s">
        <v>55</v>
      </c>
      <c r="B277" s="4" t="s">
        <v>38</v>
      </c>
      <c r="C277" s="4" t="s">
        <v>39</v>
      </c>
      <c r="D277" s="4" t="s">
        <v>43</v>
      </c>
      <c r="E277" s="4" t="s">
        <v>52</v>
      </c>
      <c r="F277" s="4" t="s">
        <v>54</v>
      </c>
      <c r="G277" s="4" t="s">
        <v>25</v>
      </c>
      <c r="H277" s="4" t="s">
        <v>34</v>
      </c>
      <c r="I277" s="5">
        <v>44713</v>
      </c>
      <c r="J277" s="6">
        <v>0</v>
      </c>
      <c r="K277" s="6">
        <v>0</v>
      </c>
      <c r="L277" s="6">
        <v>1.696</v>
      </c>
      <c r="M277" s="6">
        <v>0.50880000000000003</v>
      </c>
      <c r="N277" s="6">
        <v>1.696</v>
      </c>
      <c r="O277" s="6">
        <v>0.50880000000000003</v>
      </c>
      <c r="P277" s="6">
        <v>0</v>
      </c>
      <c r="Q277" s="4" t="s">
        <v>26</v>
      </c>
      <c r="R277" s="4">
        <v>0</v>
      </c>
      <c r="S277" s="6">
        <v>0</v>
      </c>
      <c r="T277" s="6">
        <v>17</v>
      </c>
      <c r="U277" s="6">
        <v>78</v>
      </c>
      <c r="V277" s="6">
        <f>IF(ISERROR(VLOOKUP($S$277,'TAR FIN'!$A$1:$O$86,15,0)),0,VLOOKUP($S$277,'TAR FIN'!$A$1:$O$86,15,0))</f>
        <v>0</v>
      </c>
      <c r="W277" s="6">
        <f>IF(ISERROR(VLOOKUP($T$277,'TAR FIN'!$A$1:$O$86,15,0)),0,VLOOKUP($T$277,'TAR FIN'!$A$1:$O$86,15,0))</f>
        <v>71.260000000000005</v>
      </c>
      <c r="X277" s="6">
        <f>IF(ISERROR(VLOOKUP($U$277,'TAR FIN'!$A$1:$O$86,15,0)),0,VLOOKUP($U$277,'TAR FIN'!$A$1:$O$86,15,0))</f>
        <v>297.31</v>
      </c>
      <c r="Y277" s="6"/>
      <c r="Z277" s="6">
        <f ca="1">('TUSD BE'!$AM$12+'TUSD BF'!$AM$12+'TUSD CVA'!$AM$12)*1</f>
        <v>95.815448102611441</v>
      </c>
      <c r="AA277" s="6">
        <f>('TE BE'!$AB$6+'TE BF'!$AB$6+'TE CVA'!$AB$6)*1</f>
        <v>235.33989117487977</v>
      </c>
      <c r="AB277" s="6">
        <f>$K$277*$V$277</f>
        <v>0</v>
      </c>
      <c r="AC277" s="6">
        <f>$M$277*$W$277</f>
        <v>36.257088000000003</v>
      </c>
      <c r="AD277" s="6">
        <f>$O$277*$X$277</f>
        <v>151.27132800000001</v>
      </c>
      <c r="AE277" s="6">
        <f>$K$277*$Y$277</f>
        <v>0</v>
      </c>
      <c r="AF277" s="6">
        <f ca="1">$M$277*$Z$277</f>
        <v>48.750899994608702</v>
      </c>
      <c r="AG277" s="6">
        <f>$O$277*$AA$277</f>
        <v>119.74093662977883</v>
      </c>
    </row>
    <row r="278" spans="1:33" ht="11.25" customHeight="1" x14ac:dyDescent="0.25">
      <c r="A278" s="4" t="s">
        <v>21</v>
      </c>
      <c r="B278" s="4" t="s">
        <v>38</v>
      </c>
      <c r="C278" s="4" t="s">
        <v>39</v>
      </c>
      <c r="D278" s="4" t="s">
        <v>43</v>
      </c>
      <c r="E278" s="4" t="s">
        <v>52</v>
      </c>
      <c r="F278" s="4" t="s">
        <v>25</v>
      </c>
      <c r="G278" s="4" t="s">
        <v>25</v>
      </c>
      <c r="H278" s="4" t="s">
        <v>34</v>
      </c>
      <c r="I278" s="5">
        <v>44378</v>
      </c>
      <c r="J278" s="6">
        <v>0</v>
      </c>
      <c r="K278" s="96">
        <v>0</v>
      </c>
      <c r="L278" s="6">
        <v>4.133</v>
      </c>
      <c r="M278" s="96">
        <v>4.133</v>
      </c>
      <c r="N278" s="6">
        <v>4.133</v>
      </c>
      <c r="O278" s="96">
        <v>4.133</v>
      </c>
      <c r="P278" s="6">
        <v>0</v>
      </c>
      <c r="Q278" s="4" t="s">
        <v>26</v>
      </c>
      <c r="R278" s="4">
        <v>0</v>
      </c>
      <c r="S278" s="6">
        <v>0</v>
      </c>
      <c r="T278" s="6">
        <v>17</v>
      </c>
      <c r="U278" s="6">
        <v>78</v>
      </c>
      <c r="V278" s="96">
        <f>IF(ISERROR(VLOOKUP($S$278,'TAR FIN'!$A$1:$O$86,15,0)),0,VLOOKUP($S$278,'TAR FIN'!$A$1:$O$86,15,0))</f>
        <v>0</v>
      </c>
      <c r="W278" s="96">
        <f>IF(ISERROR(VLOOKUP($T$278,'TAR FIN'!$A$1:$O$86,15,0)),0,VLOOKUP($T$278,'TAR FIN'!$A$1:$O$86,15,0))*(1-0.04)</f>
        <v>68.409599999999998</v>
      </c>
      <c r="X278" s="96">
        <f>IF(ISERROR(VLOOKUP($U$278,'TAR FIN'!$A$1:$O$86,15,0)),0,VLOOKUP($U$278,'TAR FIN'!$A$1:$O$86,15,0))*(1-0.04)</f>
        <v>285.41759999999999</v>
      </c>
      <c r="Y278" s="96"/>
      <c r="Z278" s="96">
        <f ca="1">('TUSD BE'!$AM$12+'TUSD BF'!$AM$12+'TUSD CVA'!$AM$12)*1*(1-0.02)</f>
        <v>93.899139140559214</v>
      </c>
      <c r="AA278" s="96">
        <f>('TE BE'!$AB$6+'TE BF'!$AB$6+'TE CVA'!$AB$6)*1*(1-0.02)</f>
        <v>230.63309335138217</v>
      </c>
      <c r="AB278" s="6">
        <f>$K$278*$V$278</f>
        <v>0</v>
      </c>
      <c r="AC278" s="6">
        <f>$M$278*$W$278</f>
        <v>282.7368768</v>
      </c>
      <c r="AD278" s="6">
        <f>$O$278*$X$278</f>
        <v>1179.6309408</v>
      </c>
      <c r="AE278" s="6">
        <f>$K$278*$Y$278</f>
        <v>0</v>
      </c>
      <c r="AF278" s="6">
        <f ca="1">$M$278*$Z$278</f>
        <v>388.08514206793126</v>
      </c>
      <c r="AG278" s="6">
        <f>$O$278*$AA$278</f>
        <v>953.20657482126251</v>
      </c>
    </row>
    <row r="279" spans="1:33" ht="11.25" customHeight="1" x14ac:dyDescent="0.25">
      <c r="A279" s="4" t="s">
        <v>21</v>
      </c>
      <c r="B279" s="4" t="s">
        <v>38</v>
      </c>
      <c r="C279" s="4" t="s">
        <v>39</v>
      </c>
      <c r="D279" s="4" t="s">
        <v>43</v>
      </c>
      <c r="E279" s="4" t="s">
        <v>52</v>
      </c>
      <c r="F279" s="4" t="s">
        <v>25</v>
      </c>
      <c r="G279" s="4" t="s">
        <v>25</v>
      </c>
      <c r="H279" s="4" t="s">
        <v>34</v>
      </c>
      <c r="I279" s="5">
        <v>44409</v>
      </c>
      <c r="J279" s="6">
        <v>0</v>
      </c>
      <c r="K279" s="96">
        <v>0</v>
      </c>
      <c r="L279" s="6">
        <v>1.1839999999999999</v>
      </c>
      <c r="M279" s="96">
        <v>1.1839999999999999</v>
      </c>
      <c r="N279" s="6">
        <v>1.1839999999999999</v>
      </c>
      <c r="O279" s="96">
        <v>1.1839999999999999</v>
      </c>
      <c r="P279" s="6">
        <v>0</v>
      </c>
      <c r="Q279" s="4" t="s">
        <v>26</v>
      </c>
      <c r="R279" s="4">
        <v>0</v>
      </c>
      <c r="S279" s="6">
        <v>0</v>
      </c>
      <c r="T279" s="6">
        <v>17</v>
      </c>
      <c r="U279" s="6">
        <v>78</v>
      </c>
      <c r="V279" s="96">
        <f>IF(ISERROR(VLOOKUP($S$279,'TAR FIN'!$A$1:$O$86,15,0)),0,VLOOKUP($S$279,'TAR FIN'!$A$1:$O$86,15,0))</f>
        <v>0</v>
      </c>
      <c r="W279" s="96">
        <f>IF(ISERROR(VLOOKUP($T$279,'TAR FIN'!$A$1:$O$86,15,0)),0,VLOOKUP($T$279,'TAR FIN'!$A$1:$O$86,15,0))*(1-0.04)</f>
        <v>68.409599999999998</v>
      </c>
      <c r="X279" s="96">
        <f>IF(ISERROR(VLOOKUP($U$279,'TAR FIN'!$A$1:$O$86,15,0)),0,VLOOKUP($U$279,'TAR FIN'!$A$1:$O$86,15,0))*(1-0.04)</f>
        <v>285.41759999999999</v>
      </c>
      <c r="Y279" s="96"/>
      <c r="Z279" s="96">
        <f ca="1">('TUSD BE'!$AM$12+'TUSD BF'!$AM$12+'TUSD CVA'!$AM$12)*1*(1-0.02)</f>
        <v>93.899139140559214</v>
      </c>
      <c r="AA279" s="96">
        <f>('TE BE'!$AB$6+'TE BF'!$AB$6+'TE CVA'!$AB$6)*1*(1-0.02)</f>
        <v>230.63309335138217</v>
      </c>
      <c r="AB279" s="6">
        <f>$K$279*$V$279</f>
        <v>0</v>
      </c>
      <c r="AC279" s="6">
        <f>$M$279*$W$279</f>
        <v>80.996966399999991</v>
      </c>
      <c r="AD279" s="6">
        <f>$O$279*$X$279</f>
        <v>337.93443839999998</v>
      </c>
      <c r="AE279" s="6">
        <f>$K$279*$Y$279</f>
        <v>0</v>
      </c>
      <c r="AF279" s="6">
        <f ca="1">$M$279*$Z$279</f>
        <v>111.1765807424221</v>
      </c>
      <c r="AG279" s="6">
        <f>$O$279*$AA$279</f>
        <v>273.06958252803651</v>
      </c>
    </row>
    <row r="280" spans="1:33" ht="11.25" customHeight="1" x14ac:dyDescent="0.25">
      <c r="A280" s="4" t="s">
        <v>21</v>
      </c>
      <c r="B280" s="4" t="s">
        <v>38</v>
      </c>
      <c r="C280" s="4" t="s">
        <v>39</v>
      </c>
      <c r="D280" s="4" t="s">
        <v>43</v>
      </c>
      <c r="E280" s="4" t="s">
        <v>52</v>
      </c>
      <c r="F280" s="4" t="s">
        <v>25</v>
      </c>
      <c r="G280" s="4" t="s">
        <v>25</v>
      </c>
      <c r="H280" s="4" t="s">
        <v>34</v>
      </c>
      <c r="I280" s="5">
        <v>44440</v>
      </c>
      <c r="J280" s="6">
        <v>0</v>
      </c>
      <c r="K280" s="96">
        <v>0</v>
      </c>
      <c r="L280" s="6">
        <v>5.3810000000000002</v>
      </c>
      <c r="M280" s="96">
        <v>5.3810000000000002</v>
      </c>
      <c r="N280" s="6">
        <v>5.3810000000000002</v>
      </c>
      <c r="O280" s="96">
        <v>5.3810000000000002</v>
      </c>
      <c r="P280" s="6">
        <v>0</v>
      </c>
      <c r="Q280" s="4" t="s">
        <v>26</v>
      </c>
      <c r="R280" s="4">
        <v>0</v>
      </c>
      <c r="S280" s="6">
        <v>0</v>
      </c>
      <c r="T280" s="6">
        <v>17</v>
      </c>
      <c r="U280" s="6">
        <v>78</v>
      </c>
      <c r="V280" s="96">
        <f>IF(ISERROR(VLOOKUP($S$280,'TAR FIN'!$A$1:$O$86,15,0)),0,VLOOKUP($S$280,'TAR FIN'!$A$1:$O$86,15,0))</f>
        <v>0</v>
      </c>
      <c r="W280" s="96">
        <f>IF(ISERROR(VLOOKUP($T$280,'TAR FIN'!$A$1:$O$86,15,0)),0,VLOOKUP($T$280,'TAR FIN'!$A$1:$O$86,15,0))*(1-0.04)</f>
        <v>68.409599999999998</v>
      </c>
      <c r="X280" s="96">
        <f>IF(ISERROR(VLOOKUP($U$280,'TAR FIN'!$A$1:$O$86,15,0)),0,VLOOKUP($U$280,'TAR FIN'!$A$1:$O$86,15,0))*(1-0.04)</f>
        <v>285.41759999999999</v>
      </c>
      <c r="Y280" s="96"/>
      <c r="Z280" s="96">
        <f ca="1">('TUSD BE'!$AM$12+'TUSD BF'!$AM$12+'TUSD CVA'!$AM$12)*1*(1-0.02)</f>
        <v>93.899139140559214</v>
      </c>
      <c r="AA280" s="96">
        <f>('TE BE'!$AB$6+'TE BF'!$AB$6+'TE CVA'!$AB$6)*1*(1-0.02)</f>
        <v>230.63309335138217</v>
      </c>
      <c r="AB280" s="6">
        <f>$K$280*$V$280</f>
        <v>0</v>
      </c>
      <c r="AC280" s="6">
        <f>$M$280*$W$280</f>
        <v>368.11205760000001</v>
      </c>
      <c r="AD280" s="6">
        <f>$O$280*$X$280</f>
        <v>1535.8321056</v>
      </c>
      <c r="AE280" s="6">
        <f>$K$280*$Y$280</f>
        <v>0</v>
      </c>
      <c r="AF280" s="6">
        <f ca="1">$M$280*$Z$280</f>
        <v>505.27126771534915</v>
      </c>
      <c r="AG280" s="6">
        <f>$O$280*$AA$280</f>
        <v>1241.0366753237874</v>
      </c>
    </row>
    <row r="281" spans="1:33" ht="11.25" customHeight="1" x14ac:dyDescent="0.25">
      <c r="A281" s="4" t="s">
        <v>21</v>
      </c>
      <c r="B281" s="4" t="s">
        <v>38</v>
      </c>
      <c r="C281" s="4" t="s">
        <v>39</v>
      </c>
      <c r="D281" s="4" t="s">
        <v>43</v>
      </c>
      <c r="E281" s="4" t="s">
        <v>52</v>
      </c>
      <c r="F281" s="4" t="s">
        <v>25</v>
      </c>
      <c r="G281" s="4" t="s">
        <v>25</v>
      </c>
      <c r="H281" s="4" t="s">
        <v>34</v>
      </c>
      <c r="I281" s="5">
        <v>44470</v>
      </c>
      <c r="J281" s="6">
        <v>0</v>
      </c>
      <c r="K281" s="96">
        <v>0</v>
      </c>
      <c r="L281" s="6">
        <v>6.93</v>
      </c>
      <c r="M281" s="96">
        <v>6.93</v>
      </c>
      <c r="N281" s="6">
        <v>6.93</v>
      </c>
      <c r="O281" s="96">
        <v>6.93</v>
      </c>
      <c r="P281" s="6">
        <v>0</v>
      </c>
      <c r="Q281" s="4" t="s">
        <v>26</v>
      </c>
      <c r="R281" s="4">
        <v>0</v>
      </c>
      <c r="S281" s="6">
        <v>0</v>
      </c>
      <c r="T281" s="6">
        <v>17</v>
      </c>
      <c r="U281" s="6">
        <v>78</v>
      </c>
      <c r="V281" s="96">
        <f>IF(ISERROR(VLOOKUP($S$281,'TAR FIN'!$A$1:$O$86,15,0)),0,VLOOKUP($S$281,'TAR FIN'!$A$1:$O$86,15,0))</f>
        <v>0</v>
      </c>
      <c r="W281" s="96">
        <f>IF(ISERROR(VLOOKUP($T$281,'TAR FIN'!$A$1:$O$86,15,0)),0,VLOOKUP($T$281,'TAR FIN'!$A$1:$O$86,15,0))*(1-0.04)</f>
        <v>68.409599999999998</v>
      </c>
      <c r="X281" s="96">
        <f>IF(ISERROR(VLOOKUP($U$281,'TAR FIN'!$A$1:$O$86,15,0)),0,VLOOKUP($U$281,'TAR FIN'!$A$1:$O$86,15,0))*(1-0.04)</f>
        <v>285.41759999999999</v>
      </c>
      <c r="Y281" s="96"/>
      <c r="Z281" s="96">
        <f ca="1">('TUSD BE'!$AM$12+'TUSD BF'!$AM$12+'TUSD CVA'!$AM$12)*1*(1-0.02)</f>
        <v>93.899139140559214</v>
      </c>
      <c r="AA281" s="96">
        <f>('TE BE'!$AB$6+'TE BF'!$AB$6+'TE CVA'!$AB$6)*1*(1-0.02)</f>
        <v>230.63309335138217</v>
      </c>
      <c r="AB281" s="6">
        <f>$K$281*$V$281</f>
        <v>0</v>
      </c>
      <c r="AC281" s="6">
        <f>$M$281*$W$281</f>
        <v>474.07852799999995</v>
      </c>
      <c r="AD281" s="6">
        <f>$O$281*$X$281</f>
        <v>1977.9439679999998</v>
      </c>
      <c r="AE281" s="6">
        <f>$K$281*$Y$281</f>
        <v>0</v>
      </c>
      <c r="AF281" s="6">
        <f ca="1">$M$281*$Z$281</f>
        <v>650.72103424407533</v>
      </c>
      <c r="AG281" s="6">
        <f>$O$281*$AA$281</f>
        <v>1598.2873369250783</v>
      </c>
    </row>
    <row r="282" spans="1:33" ht="11.25" customHeight="1" x14ac:dyDescent="0.25">
      <c r="A282" s="4" t="s">
        <v>21</v>
      </c>
      <c r="B282" s="4" t="s">
        <v>38</v>
      </c>
      <c r="C282" s="4" t="s">
        <v>39</v>
      </c>
      <c r="D282" s="4" t="s">
        <v>43</v>
      </c>
      <c r="E282" s="4" t="s">
        <v>52</v>
      </c>
      <c r="F282" s="4" t="s">
        <v>25</v>
      </c>
      <c r="G282" s="4" t="s">
        <v>25</v>
      </c>
      <c r="H282" s="4" t="s">
        <v>34</v>
      </c>
      <c r="I282" s="5">
        <v>44501</v>
      </c>
      <c r="J282" s="6">
        <v>0</v>
      </c>
      <c r="K282" s="96">
        <v>0</v>
      </c>
      <c r="L282" s="6">
        <v>35.174999999999997</v>
      </c>
      <c r="M282" s="96">
        <v>35.174999999999997</v>
      </c>
      <c r="N282" s="6">
        <v>35.174999999999997</v>
      </c>
      <c r="O282" s="96">
        <v>35.174999999999997</v>
      </c>
      <c r="P282" s="6">
        <v>0</v>
      </c>
      <c r="Q282" s="4" t="s">
        <v>26</v>
      </c>
      <c r="R282" s="4">
        <v>0</v>
      </c>
      <c r="S282" s="6">
        <v>0</v>
      </c>
      <c r="T282" s="6">
        <v>17</v>
      </c>
      <c r="U282" s="6">
        <v>78</v>
      </c>
      <c r="V282" s="96">
        <f>IF(ISERROR(VLOOKUP($S$282,'TAR FIN'!$A$1:$O$86,15,0)),0,VLOOKUP($S$282,'TAR FIN'!$A$1:$O$86,15,0))</f>
        <v>0</v>
      </c>
      <c r="W282" s="96">
        <f>IF(ISERROR(VLOOKUP($T$282,'TAR FIN'!$A$1:$O$86,15,0)),0,VLOOKUP($T$282,'TAR FIN'!$A$1:$O$86,15,0))*(1-0.04)</f>
        <v>68.409599999999998</v>
      </c>
      <c r="X282" s="96">
        <f>IF(ISERROR(VLOOKUP($U$282,'TAR FIN'!$A$1:$O$86,15,0)),0,VLOOKUP($U$282,'TAR FIN'!$A$1:$O$86,15,0))*(1-0.04)</f>
        <v>285.41759999999999</v>
      </c>
      <c r="Y282" s="96"/>
      <c r="Z282" s="96">
        <f ca="1">('TUSD BE'!$AM$12+'TUSD BF'!$AM$12+'TUSD CVA'!$AM$12)*1*(1-0.02)</f>
        <v>93.899139140559214</v>
      </c>
      <c r="AA282" s="96">
        <f>('TE BE'!$AB$6+'TE BF'!$AB$6+'TE CVA'!$AB$6)*1*(1-0.02)</f>
        <v>230.63309335138217</v>
      </c>
      <c r="AB282" s="6">
        <f>$K$282*$V$282</f>
        <v>0</v>
      </c>
      <c r="AC282" s="6">
        <f>$M$282*$W$282</f>
        <v>2406.3076799999999</v>
      </c>
      <c r="AD282" s="6">
        <f>$O$282*$X$282</f>
        <v>10039.564079999998</v>
      </c>
      <c r="AE282" s="6">
        <f>$K$282*$Y$282</f>
        <v>0</v>
      </c>
      <c r="AF282" s="6">
        <f ca="1">$M$282*$Z$282</f>
        <v>3302.90221926917</v>
      </c>
      <c r="AG282" s="6">
        <f>$O$282*$AA$282</f>
        <v>8112.5190586348672</v>
      </c>
    </row>
    <row r="283" spans="1:33" ht="11.25" customHeight="1" x14ac:dyDescent="0.25">
      <c r="A283" s="4" t="s">
        <v>21</v>
      </c>
      <c r="B283" s="4" t="s">
        <v>38</v>
      </c>
      <c r="C283" s="4" t="s">
        <v>39</v>
      </c>
      <c r="D283" s="4" t="s">
        <v>43</v>
      </c>
      <c r="E283" s="4" t="s">
        <v>52</v>
      </c>
      <c r="F283" s="4" t="s">
        <v>25</v>
      </c>
      <c r="G283" s="4" t="s">
        <v>25</v>
      </c>
      <c r="H283" s="4" t="s">
        <v>34</v>
      </c>
      <c r="I283" s="5">
        <v>44531</v>
      </c>
      <c r="J283" s="6">
        <v>0</v>
      </c>
      <c r="K283" s="96">
        <v>0</v>
      </c>
      <c r="L283" s="6">
        <v>59.996000000000002</v>
      </c>
      <c r="M283" s="96">
        <v>59.996000000000002</v>
      </c>
      <c r="N283" s="6">
        <v>59.996000000000002</v>
      </c>
      <c r="O283" s="96">
        <v>59.996000000000002</v>
      </c>
      <c r="P283" s="6">
        <v>0</v>
      </c>
      <c r="Q283" s="4" t="s">
        <v>26</v>
      </c>
      <c r="R283" s="4">
        <v>0</v>
      </c>
      <c r="S283" s="6">
        <v>0</v>
      </c>
      <c r="T283" s="6">
        <v>17</v>
      </c>
      <c r="U283" s="6">
        <v>78</v>
      </c>
      <c r="V283" s="96">
        <f>IF(ISERROR(VLOOKUP($S$283,'TAR FIN'!$A$1:$O$86,15,0)),0,VLOOKUP($S$283,'TAR FIN'!$A$1:$O$86,15,0))</f>
        <v>0</v>
      </c>
      <c r="W283" s="96">
        <f>IF(ISERROR(VLOOKUP($T$283,'TAR FIN'!$A$1:$O$86,15,0)),0,VLOOKUP($T$283,'TAR FIN'!$A$1:$O$86,15,0))*(1-0.04)</f>
        <v>68.409599999999998</v>
      </c>
      <c r="X283" s="96">
        <f>IF(ISERROR(VLOOKUP($U$283,'TAR FIN'!$A$1:$O$86,15,0)),0,VLOOKUP($U$283,'TAR FIN'!$A$1:$O$86,15,0))*(1-0.04)</f>
        <v>285.41759999999999</v>
      </c>
      <c r="Y283" s="96"/>
      <c r="Z283" s="96">
        <f ca="1">('TUSD BE'!$AM$12+'TUSD BF'!$AM$12+'TUSD CVA'!$AM$12)*1*(1-0.02)</f>
        <v>93.899139140559214</v>
      </c>
      <c r="AA283" s="96">
        <f>('TE BE'!$AB$6+'TE BF'!$AB$6+'TE CVA'!$AB$6)*1*(1-0.02)</f>
        <v>230.63309335138217</v>
      </c>
      <c r="AB283" s="6">
        <f>$K$283*$V$283</f>
        <v>0</v>
      </c>
      <c r="AC283" s="6">
        <f>$M$283*$W$283</f>
        <v>4104.3023616</v>
      </c>
      <c r="AD283" s="6">
        <f>$O$283*$X$283</f>
        <v>17123.9143296</v>
      </c>
      <c r="AE283" s="6">
        <f>$K$283*$Y$283</f>
        <v>0</v>
      </c>
      <c r="AF283" s="6">
        <f ca="1">$M$283*$Z$283</f>
        <v>5633.5727518769909</v>
      </c>
      <c r="AG283" s="6">
        <f>$O$283*$AA$283</f>
        <v>13837.063068709525</v>
      </c>
    </row>
    <row r="284" spans="1:33" ht="11.25" customHeight="1" x14ac:dyDescent="0.25">
      <c r="A284" s="4" t="s">
        <v>21</v>
      </c>
      <c r="B284" s="4" t="s">
        <v>38</v>
      </c>
      <c r="C284" s="4" t="s">
        <v>39</v>
      </c>
      <c r="D284" s="4" t="s">
        <v>43</v>
      </c>
      <c r="E284" s="4" t="s">
        <v>52</v>
      </c>
      <c r="F284" s="4" t="s">
        <v>25</v>
      </c>
      <c r="G284" s="4" t="s">
        <v>25</v>
      </c>
      <c r="H284" s="4" t="s">
        <v>34</v>
      </c>
      <c r="I284" s="5">
        <v>44562</v>
      </c>
      <c r="J284" s="6">
        <v>0</v>
      </c>
      <c r="K284" s="96">
        <v>0</v>
      </c>
      <c r="L284" s="6">
        <v>56.631</v>
      </c>
      <c r="M284" s="96">
        <v>56.631</v>
      </c>
      <c r="N284" s="6">
        <v>56.631</v>
      </c>
      <c r="O284" s="96">
        <v>56.631</v>
      </c>
      <c r="P284" s="6">
        <v>0</v>
      </c>
      <c r="Q284" s="4" t="s">
        <v>26</v>
      </c>
      <c r="R284" s="4">
        <v>0</v>
      </c>
      <c r="S284" s="6">
        <v>0</v>
      </c>
      <c r="T284" s="6">
        <v>17</v>
      </c>
      <c r="U284" s="6">
        <v>78</v>
      </c>
      <c r="V284" s="96">
        <f>IF(ISERROR(VLOOKUP($S$284,'TAR FIN'!$A$1:$O$86,15,0)),0,VLOOKUP($S$284,'TAR FIN'!$A$1:$O$86,15,0))</f>
        <v>0</v>
      </c>
      <c r="W284" s="96">
        <f>IF(ISERROR(VLOOKUP($T$284,'TAR FIN'!$A$1:$O$86,15,0)),0,VLOOKUP($T$284,'TAR FIN'!$A$1:$O$86,15,0))*(1-0.04)</f>
        <v>68.409599999999998</v>
      </c>
      <c r="X284" s="96">
        <f>IF(ISERROR(VLOOKUP($U$284,'TAR FIN'!$A$1:$O$86,15,0)),0,VLOOKUP($U$284,'TAR FIN'!$A$1:$O$86,15,0))*(1-0.04)</f>
        <v>285.41759999999999</v>
      </c>
      <c r="Y284" s="96"/>
      <c r="Z284" s="96">
        <f ca="1">('TUSD BE'!$AM$12+'TUSD BF'!$AM$12+'TUSD CVA'!$AM$12)*1*(1-0.02)</f>
        <v>93.899139140559214</v>
      </c>
      <c r="AA284" s="96">
        <f>('TE BE'!$AB$6+'TE BF'!$AB$6+'TE CVA'!$AB$6)*1*(1-0.02)</f>
        <v>230.63309335138217</v>
      </c>
      <c r="AB284" s="6">
        <f>$K$284*$V$284</f>
        <v>0</v>
      </c>
      <c r="AC284" s="6">
        <f>$M$284*$W$284</f>
        <v>3874.1040576</v>
      </c>
      <c r="AD284" s="6">
        <f>$O$284*$X$284</f>
        <v>16163.4841056</v>
      </c>
      <c r="AE284" s="6">
        <f>$K$284*$Y$284</f>
        <v>0</v>
      </c>
      <c r="AF284" s="6">
        <f ca="1">$M$284*$Z$284</f>
        <v>5317.6021486690088</v>
      </c>
      <c r="AG284" s="6">
        <f>$O$284*$AA$284</f>
        <v>13060.982709582124</v>
      </c>
    </row>
    <row r="285" spans="1:33" ht="11.25" customHeight="1" x14ac:dyDescent="0.25">
      <c r="A285" s="4" t="s">
        <v>21</v>
      </c>
      <c r="B285" s="4" t="s">
        <v>38</v>
      </c>
      <c r="C285" s="4" t="s">
        <v>39</v>
      </c>
      <c r="D285" s="4" t="s">
        <v>43</v>
      </c>
      <c r="E285" s="4" t="s">
        <v>52</v>
      </c>
      <c r="F285" s="4" t="s">
        <v>25</v>
      </c>
      <c r="G285" s="4" t="s">
        <v>25</v>
      </c>
      <c r="H285" s="4" t="s">
        <v>34</v>
      </c>
      <c r="I285" s="5">
        <v>44593</v>
      </c>
      <c r="J285" s="6">
        <v>0</v>
      </c>
      <c r="K285" s="96">
        <v>0</v>
      </c>
      <c r="L285" s="6">
        <v>30.75</v>
      </c>
      <c r="M285" s="96">
        <v>30.75</v>
      </c>
      <c r="N285" s="6">
        <v>30.75</v>
      </c>
      <c r="O285" s="96">
        <v>30.75</v>
      </c>
      <c r="P285" s="6">
        <v>0</v>
      </c>
      <c r="Q285" s="4" t="s">
        <v>26</v>
      </c>
      <c r="R285" s="4">
        <v>0</v>
      </c>
      <c r="S285" s="6">
        <v>0</v>
      </c>
      <c r="T285" s="6">
        <v>17</v>
      </c>
      <c r="U285" s="6">
        <v>78</v>
      </c>
      <c r="V285" s="96">
        <f>IF(ISERROR(VLOOKUP($S$285,'TAR FIN'!$A$1:$O$86,15,0)),0,VLOOKUP($S$285,'TAR FIN'!$A$1:$O$86,15,0))</f>
        <v>0</v>
      </c>
      <c r="W285" s="96">
        <f>IF(ISERROR(VLOOKUP($T$285,'TAR FIN'!$A$1:$O$86,15,0)),0,VLOOKUP($T$285,'TAR FIN'!$A$1:$O$86,15,0))*(1-0.04)</f>
        <v>68.409599999999998</v>
      </c>
      <c r="X285" s="96">
        <f>IF(ISERROR(VLOOKUP($U$285,'TAR FIN'!$A$1:$O$86,15,0)),0,VLOOKUP($U$285,'TAR FIN'!$A$1:$O$86,15,0))*(1-0.04)</f>
        <v>285.41759999999999</v>
      </c>
      <c r="Y285" s="96"/>
      <c r="Z285" s="96">
        <f ca="1">('TUSD BE'!$AM$12+'TUSD BF'!$AM$12+'TUSD CVA'!$AM$12)*1*(1-0.02)</f>
        <v>93.899139140559214</v>
      </c>
      <c r="AA285" s="96">
        <f>('TE BE'!$AB$6+'TE BF'!$AB$6+'TE CVA'!$AB$6)*1*(1-0.02)</f>
        <v>230.63309335138217</v>
      </c>
      <c r="AB285" s="6">
        <f>$K$285*$V$285</f>
        <v>0</v>
      </c>
      <c r="AC285" s="6">
        <f>$M$285*$W$285</f>
        <v>2103.5951999999997</v>
      </c>
      <c r="AD285" s="6">
        <f>$O$285*$X$285</f>
        <v>8776.5911999999989</v>
      </c>
      <c r="AE285" s="6">
        <f>$K$285*$Y$285</f>
        <v>0</v>
      </c>
      <c r="AF285" s="6">
        <f ca="1">$M$285*$Z$285</f>
        <v>2887.398528572196</v>
      </c>
      <c r="AG285" s="6">
        <f>$O$285*$AA$285</f>
        <v>7091.9676205550022</v>
      </c>
    </row>
    <row r="286" spans="1:33" ht="11.25" customHeight="1" x14ac:dyDescent="0.25">
      <c r="A286" s="4" t="s">
        <v>21</v>
      </c>
      <c r="B286" s="4" t="s">
        <v>38</v>
      </c>
      <c r="C286" s="4" t="s">
        <v>39</v>
      </c>
      <c r="D286" s="4" t="s">
        <v>43</v>
      </c>
      <c r="E286" s="4" t="s">
        <v>52</v>
      </c>
      <c r="F286" s="4" t="s">
        <v>25</v>
      </c>
      <c r="G286" s="4" t="s">
        <v>25</v>
      </c>
      <c r="H286" s="4" t="s">
        <v>34</v>
      </c>
      <c r="I286" s="5">
        <v>44621</v>
      </c>
      <c r="J286" s="6">
        <v>0</v>
      </c>
      <c r="K286" s="96">
        <v>0</v>
      </c>
      <c r="L286" s="6">
        <v>0.42399999999999999</v>
      </c>
      <c r="M286" s="96">
        <v>0.42399999999999999</v>
      </c>
      <c r="N286" s="6">
        <v>0.42399999999999999</v>
      </c>
      <c r="O286" s="96">
        <v>0.42399999999999999</v>
      </c>
      <c r="P286" s="6">
        <v>0</v>
      </c>
      <c r="Q286" s="4" t="s">
        <v>26</v>
      </c>
      <c r="R286" s="4">
        <v>0</v>
      </c>
      <c r="S286" s="6">
        <v>0</v>
      </c>
      <c r="T286" s="6">
        <v>17</v>
      </c>
      <c r="U286" s="6">
        <v>78</v>
      </c>
      <c r="V286" s="96">
        <f>IF(ISERROR(VLOOKUP($S$286,'TAR FIN'!$A$1:$O$86,15,0)),0,VLOOKUP($S$286,'TAR FIN'!$A$1:$O$86,15,0))</f>
        <v>0</v>
      </c>
      <c r="W286" s="96">
        <f>IF(ISERROR(VLOOKUP($T$286,'TAR FIN'!$A$1:$O$86,15,0)),0,VLOOKUP($T$286,'TAR FIN'!$A$1:$O$86,15,0))*(1-0.04)</f>
        <v>68.409599999999998</v>
      </c>
      <c r="X286" s="96">
        <f>IF(ISERROR(VLOOKUP($U$286,'TAR FIN'!$A$1:$O$86,15,0)),0,VLOOKUP($U$286,'TAR FIN'!$A$1:$O$86,15,0))*(1-0.04)</f>
        <v>285.41759999999999</v>
      </c>
      <c r="Y286" s="96"/>
      <c r="Z286" s="96">
        <f ca="1">('TUSD BE'!$AM$12+'TUSD BF'!$AM$12+'TUSD CVA'!$AM$12)*1*(1-0.02)</f>
        <v>93.899139140559214</v>
      </c>
      <c r="AA286" s="96">
        <f>('TE BE'!$AB$6+'TE BF'!$AB$6+'TE CVA'!$AB$6)*1*(1-0.02)</f>
        <v>230.63309335138217</v>
      </c>
      <c r="AB286" s="6">
        <f>$K$286*$V$286</f>
        <v>0</v>
      </c>
      <c r="AC286" s="6">
        <f>$M$286*$W$286</f>
        <v>29.0056704</v>
      </c>
      <c r="AD286" s="6">
        <f>$O$286*$X$286</f>
        <v>121.0170624</v>
      </c>
      <c r="AE286" s="6">
        <f>$K$286*$Y$286</f>
        <v>0</v>
      </c>
      <c r="AF286" s="6">
        <f ca="1">$M$286*$Z$286</f>
        <v>39.813234995597107</v>
      </c>
      <c r="AG286" s="6">
        <f>$O$286*$AA$286</f>
        <v>97.788431580986042</v>
      </c>
    </row>
    <row r="287" spans="1:33" ht="11.25" customHeight="1" x14ac:dyDescent="0.25">
      <c r="A287" s="4" t="s">
        <v>21</v>
      </c>
      <c r="B287" s="4" t="s">
        <v>38</v>
      </c>
      <c r="C287" s="4" t="s">
        <v>39</v>
      </c>
      <c r="D287" s="4" t="s">
        <v>43</v>
      </c>
      <c r="E287" s="4" t="s">
        <v>52</v>
      </c>
      <c r="F287" s="4" t="s">
        <v>25</v>
      </c>
      <c r="G287" s="4" t="s">
        <v>25</v>
      </c>
      <c r="H287" s="4" t="s">
        <v>34</v>
      </c>
      <c r="I287" s="5">
        <v>44652</v>
      </c>
      <c r="J287" s="6">
        <v>0</v>
      </c>
      <c r="K287" s="96">
        <v>0</v>
      </c>
      <c r="L287" s="6">
        <v>2.1419999999999999</v>
      </c>
      <c r="M287" s="96">
        <v>2.1419999999999999</v>
      </c>
      <c r="N287" s="6">
        <v>2.1419999999999999</v>
      </c>
      <c r="O287" s="96">
        <v>2.1419999999999999</v>
      </c>
      <c r="P287" s="6">
        <v>0</v>
      </c>
      <c r="Q287" s="4" t="s">
        <v>26</v>
      </c>
      <c r="R287" s="4">
        <v>0</v>
      </c>
      <c r="S287" s="6">
        <v>0</v>
      </c>
      <c r="T287" s="6">
        <v>17</v>
      </c>
      <c r="U287" s="6">
        <v>78</v>
      </c>
      <c r="V287" s="96">
        <f>IF(ISERROR(VLOOKUP($S$287,'TAR FIN'!$A$1:$O$86,15,0)),0,VLOOKUP($S$287,'TAR FIN'!$A$1:$O$86,15,0))</f>
        <v>0</v>
      </c>
      <c r="W287" s="96">
        <f>IF(ISERROR(VLOOKUP($T$287,'TAR FIN'!$A$1:$O$86,15,0)),0,VLOOKUP($T$287,'TAR FIN'!$A$1:$O$86,15,0))*(1-0.04)</f>
        <v>68.409599999999998</v>
      </c>
      <c r="X287" s="96">
        <f>IF(ISERROR(VLOOKUP($U$287,'TAR FIN'!$A$1:$O$86,15,0)),0,VLOOKUP($U$287,'TAR FIN'!$A$1:$O$86,15,0))*(1-0.04)</f>
        <v>285.41759999999999</v>
      </c>
      <c r="Y287" s="96"/>
      <c r="Z287" s="96">
        <f ca="1">('TUSD BE'!$AM$12+'TUSD BF'!$AM$12+'TUSD CVA'!$AM$12)*1*(1-0.02)</f>
        <v>93.899139140559214</v>
      </c>
      <c r="AA287" s="96">
        <f>('TE BE'!$AB$6+'TE BF'!$AB$6+'TE CVA'!$AB$6)*1*(1-0.02)</f>
        <v>230.63309335138217</v>
      </c>
      <c r="AB287" s="6">
        <f>$K$287*$V$287</f>
        <v>0</v>
      </c>
      <c r="AC287" s="6">
        <f>$M$287*$W$287</f>
        <v>146.5333632</v>
      </c>
      <c r="AD287" s="6">
        <f>$O$287*$X$287</f>
        <v>611.36449919999995</v>
      </c>
      <c r="AE287" s="6">
        <f>$K$287*$Y$287</f>
        <v>0</v>
      </c>
      <c r="AF287" s="6">
        <f ca="1">$M$287*$Z$287</f>
        <v>201.13195603907783</v>
      </c>
      <c r="AG287" s="6">
        <f>$O$287*$AA$287</f>
        <v>494.0160859586606</v>
      </c>
    </row>
    <row r="288" spans="1:33" ht="11.25" customHeight="1" x14ac:dyDescent="0.25">
      <c r="A288" s="4" t="s">
        <v>21</v>
      </c>
      <c r="B288" s="4" t="s">
        <v>38</v>
      </c>
      <c r="C288" s="4" t="s">
        <v>39</v>
      </c>
      <c r="D288" s="4" t="s">
        <v>43</v>
      </c>
      <c r="E288" s="4" t="s">
        <v>52</v>
      </c>
      <c r="F288" s="4" t="s">
        <v>25</v>
      </c>
      <c r="G288" s="4" t="s">
        <v>25</v>
      </c>
      <c r="H288" s="4" t="s">
        <v>34</v>
      </c>
      <c r="I288" s="5">
        <v>44682</v>
      </c>
      <c r="J288" s="6">
        <v>0</v>
      </c>
      <c r="K288" s="96">
        <v>0</v>
      </c>
      <c r="L288" s="6">
        <v>3.1789999999999998</v>
      </c>
      <c r="M288" s="96">
        <v>3.1789999999999998</v>
      </c>
      <c r="N288" s="6">
        <v>3.1789999999999998</v>
      </c>
      <c r="O288" s="96">
        <v>3.1789999999999998</v>
      </c>
      <c r="P288" s="6">
        <v>0</v>
      </c>
      <c r="Q288" s="4" t="s">
        <v>26</v>
      </c>
      <c r="R288" s="4">
        <v>0</v>
      </c>
      <c r="S288" s="6">
        <v>0</v>
      </c>
      <c r="T288" s="6">
        <v>17</v>
      </c>
      <c r="U288" s="6">
        <v>78</v>
      </c>
      <c r="V288" s="96">
        <f>IF(ISERROR(VLOOKUP($S$288,'TAR FIN'!$A$1:$O$86,15,0)),0,VLOOKUP($S$288,'TAR FIN'!$A$1:$O$86,15,0))</f>
        <v>0</v>
      </c>
      <c r="W288" s="96">
        <f>IF(ISERROR(VLOOKUP($T$288,'TAR FIN'!$A$1:$O$86,15,0)),0,VLOOKUP($T$288,'TAR FIN'!$A$1:$O$86,15,0))*(1-0.04)</f>
        <v>68.409599999999998</v>
      </c>
      <c r="X288" s="96">
        <f>IF(ISERROR(VLOOKUP($U$288,'TAR FIN'!$A$1:$O$86,15,0)),0,VLOOKUP($U$288,'TAR FIN'!$A$1:$O$86,15,0))*(1-0.04)</f>
        <v>285.41759999999999</v>
      </c>
      <c r="Y288" s="96"/>
      <c r="Z288" s="96">
        <f ca="1">('TUSD BE'!$AM$12+'TUSD BF'!$AM$12+'TUSD CVA'!$AM$12)*1*(1-0.02)</f>
        <v>93.899139140559214</v>
      </c>
      <c r="AA288" s="96">
        <f>('TE BE'!$AB$6+'TE BF'!$AB$6+'TE CVA'!$AB$6)*1*(1-0.02)</f>
        <v>230.63309335138217</v>
      </c>
      <c r="AB288" s="6">
        <f>$K$288*$V$288</f>
        <v>0</v>
      </c>
      <c r="AC288" s="6">
        <f>$M$288*$W$288</f>
        <v>217.47411839999998</v>
      </c>
      <c r="AD288" s="6">
        <f>$O$288*$X$288</f>
        <v>907.34255039999994</v>
      </c>
      <c r="AE288" s="6">
        <f>$K$288*$Y$288</f>
        <v>0</v>
      </c>
      <c r="AF288" s="6">
        <f ca="1">$M$288*$Z$288</f>
        <v>298.5053633278377</v>
      </c>
      <c r="AG288" s="6">
        <f>$O$288*$AA$288</f>
        <v>733.18260376404385</v>
      </c>
    </row>
    <row r="289" spans="1:33" ht="11.25" customHeight="1" x14ac:dyDescent="0.25">
      <c r="A289" s="4" t="s">
        <v>55</v>
      </c>
      <c r="B289" s="4" t="s">
        <v>38</v>
      </c>
      <c r="C289" s="4" t="s">
        <v>39</v>
      </c>
      <c r="D289" s="4" t="s">
        <v>43</v>
      </c>
      <c r="E289" s="4" t="s">
        <v>52</v>
      </c>
      <c r="F289" s="4" t="s">
        <v>25</v>
      </c>
      <c r="G289" s="4" t="s">
        <v>25</v>
      </c>
      <c r="H289" s="4" t="s">
        <v>34</v>
      </c>
      <c r="I289" s="5">
        <v>44713</v>
      </c>
      <c r="J289" s="6">
        <v>0</v>
      </c>
      <c r="K289" s="96">
        <v>0</v>
      </c>
      <c r="L289" s="6">
        <v>3.1789999999999998</v>
      </c>
      <c r="M289" s="96">
        <v>3.1789999999999998</v>
      </c>
      <c r="N289" s="6">
        <v>3.1789999999999998</v>
      </c>
      <c r="O289" s="96">
        <v>3.1789999999999998</v>
      </c>
      <c r="P289" s="6">
        <v>0</v>
      </c>
      <c r="Q289" s="4" t="s">
        <v>26</v>
      </c>
      <c r="R289" s="4">
        <v>0</v>
      </c>
      <c r="S289" s="6">
        <v>0</v>
      </c>
      <c r="T289" s="6">
        <v>17</v>
      </c>
      <c r="U289" s="6">
        <v>78</v>
      </c>
      <c r="V289" s="96">
        <f>IF(ISERROR(VLOOKUP($S$289,'TAR FIN'!$A$1:$O$86,15,0)),0,VLOOKUP($S$289,'TAR FIN'!$A$1:$O$86,15,0))</f>
        <v>0</v>
      </c>
      <c r="W289" s="96">
        <f>IF(ISERROR(VLOOKUP($T$289,'TAR FIN'!$A$1:$O$86,15,0)),0,VLOOKUP($T$289,'TAR FIN'!$A$1:$O$86,15,0))*(1-0.04)</f>
        <v>68.409599999999998</v>
      </c>
      <c r="X289" s="96">
        <f>IF(ISERROR(VLOOKUP($U$289,'TAR FIN'!$A$1:$O$86,15,0)),0,VLOOKUP($U$289,'TAR FIN'!$A$1:$O$86,15,0))*(1-0.04)</f>
        <v>285.41759999999999</v>
      </c>
      <c r="Y289" s="96"/>
      <c r="Z289" s="96">
        <f ca="1">('TUSD BE'!$AM$12+'TUSD BF'!$AM$12+'TUSD CVA'!$AM$12)*1*(1-0.02)</f>
        <v>93.899139140559214</v>
      </c>
      <c r="AA289" s="96">
        <f>('TE BE'!$AB$6+'TE BF'!$AB$6+'TE CVA'!$AB$6)*1*(1-0.02)</f>
        <v>230.63309335138217</v>
      </c>
      <c r="AB289" s="6">
        <f>$K$289*$V$289</f>
        <v>0</v>
      </c>
      <c r="AC289" s="6">
        <f>$M$289*$W$289</f>
        <v>217.47411839999998</v>
      </c>
      <c r="AD289" s="6">
        <f>$O$289*$X$289</f>
        <v>907.34255039999994</v>
      </c>
      <c r="AE289" s="6">
        <f>$K$289*$Y$289</f>
        <v>0</v>
      </c>
      <c r="AF289" s="6">
        <f ca="1">$M$289*$Z$289</f>
        <v>298.5053633278377</v>
      </c>
      <c r="AG289" s="6">
        <f>$O$289*$AA$289</f>
        <v>733.18260376404385</v>
      </c>
    </row>
    <row r="290" spans="1:33" ht="11.25" customHeight="1" x14ac:dyDescent="0.25">
      <c r="A290" s="4" t="s">
        <v>21</v>
      </c>
      <c r="B290" s="4" t="s">
        <v>38</v>
      </c>
      <c r="C290" s="4" t="s">
        <v>39</v>
      </c>
      <c r="D290" s="4" t="s">
        <v>43</v>
      </c>
      <c r="E290" s="4" t="s">
        <v>52</v>
      </c>
      <c r="F290" s="4" t="s">
        <v>25</v>
      </c>
      <c r="G290" s="4" t="s">
        <v>25</v>
      </c>
      <c r="H290" s="4" t="s">
        <v>25</v>
      </c>
      <c r="I290" s="5">
        <v>44378</v>
      </c>
      <c r="J290" s="6">
        <v>981</v>
      </c>
      <c r="K290" s="96">
        <v>981</v>
      </c>
      <c r="L290" s="6">
        <v>0</v>
      </c>
      <c r="M290" s="96">
        <v>0</v>
      </c>
      <c r="N290" s="6">
        <v>0</v>
      </c>
      <c r="O290" s="96">
        <v>0</v>
      </c>
      <c r="P290" s="6">
        <v>3</v>
      </c>
      <c r="Q290" s="4" t="s">
        <v>26</v>
      </c>
      <c r="R290" s="4">
        <v>0</v>
      </c>
      <c r="S290" s="6">
        <v>19</v>
      </c>
      <c r="T290" s="6">
        <v>0</v>
      </c>
      <c r="U290" s="6">
        <v>0</v>
      </c>
      <c r="V290" s="96">
        <f>IF(ISERROR(VLOOKUP($S$290,'TAR FIN'!$A$1:$O$86,15,0)),0,VLOOKUP($S$290,'TAR FIN'!$A$1:$O$86,15,0))*(1-0.04)</f>
        <v>15.638399999999999</v>
      </c>
      <c r="W290" s="96">
        <f>IF(ISERROR(VLOOKUP($T$290,'TAR FIN'!$A$1:$O$86,15,0)),0,VLOOKUP($T$290,'TAR FIN'!$A$1:$O$86,15,0))</f>
        <v>0</v>
      </c>
      <c r="X290" s="96">
        <f>IF(ISERROR(VLOOKUP($U$290,'TAR FIN'!$A$1:$O$86,15,0)),0,VLOOKUP($U$290,'TAR FIN'!$A$1:$O$86,15,0))</f>
        <v>0</v>
      </c>
      <c r="Y290" s="96">
        <f ca="1">('TUSD BE'!$AM$10+'TUSD BF'!$AM$10+'TUSD CVA'!$AM$10)*1*(1-0.02)</f>
        <v>20.716782055066915</v>
      </c>
      <c r="Z290" s="96"/>
      <c r="AA290" s="96"/>
      <c r="AB290" s="6">
        <f>$K$290*$V$290</f>
        <v>15341.270399999999</v>
      </c>
      <c r="AC290" s="6">
        <f>$M$290*$W$290</f>
        <v>0</v>
      </c>
      <c r="AD290" s="6">
        <f>$O$290*$X$290</f>
        <v>0</v>
      </c>
      <c r="AE290" s="6">
        <f ca="1">$K$290*$Y$290</f>
        <v>20323.163196020643</v>
      </c>
      <c r="AF290" s="6">
        <f>$M$290*$Z$290</f>
        <v>0</v>
      </c>
      <c r="AG290" s="6">
        <f>$O$290*$AA$290</f>
        <v>0</v>
      </c>
    </row>
    <row r="291" spans="1:33" ht="11.25" customHeight="1" x14ac:dyDescent="0.25">
      <c r="A291" s="4" t="s">
        <v>21</v>
      </c>
      <c r="B291" s="4" t="s">
        <v>38</v>
      </c>
      <c r="C291" s="4" t="s">
        <v>39</v>
      </c>
      <c r="D291" s="4" t="s">
        <v>43</v>
      </c>
      <c r="E291" s="4" t="s">
        <v>52</v>
      </c>
      <c r="F291" s="4" t="s">
        <v>25</v>
      </c>
      <c r="G291" s="4" t="s">
        <v>25</v>
      </c>
      <c r="H291" s="4" t="s">
        <v>25</v>
      </c>
      <c r="I291" s="5">
        <v>44409</v>
      </c>
      <c r="J291" s="6">
        <v>175</v>
      </c>
      <c r="K291" s="96">
        <v>175</v>
      </c>
      <c r="L291" s="6">
        <v>0</v>
      </c>
      <c r="M291" s="96">
        <v>0</v>
      </c>
      <c r="N291" s="6">
        <v>0</v>
      </c>
      <c r="O291" s="96">
        <v>0</v>
      </c>
      <c r="P291" s="6">
        <v>3</v>
      </c>
      <c r="Q291" s="4" t="s">
        <v>26</v>
      </c>
      <c r="R291" s="4">
        <v>0</v>
      </c>
      <c r="S291" s="6">
        <v>19</v>
      </c>
      <c r="T291" s="6">
        <v>0</v>
      </c>
      <c r="U291" s="6">
        <v>0</v>
      </c>
      <c r="V291" s="96">
        <f>IF(ISERROR(VLOOKUP($S$291,'TAR FIN'!$A$1:$O$86,15,0)),0,VLOOKUP($S$291,'TAR FIN'!$A$1:$O$86,15,0))*(1-0.04)</f>
        <v>15.638399999999999</v>
      </c>
      <c r="W291" s="96">
        <f>IF(ISERROR(VLOOKUP($T$291,'TAR FIN'!$A$1:$O$86,15,0)),0,VLOOKUP($T$291,'TAR FIN'!$A$1:$O$86,15,0))</f>
        <v>0</v>
      </c>
      <c r="X291" s="96">
        <f>IF(ISERROR(VLOOKUP($U$291,'TAR FIN'!$A$1:$O$86,15,0)),0,VLOOKUP($U$291,'TAR FIN'!$A$1:$O$86,15,0))</f>
        <v>0</v>
      </c>
      <c r="Y291" s="96">
        <f ca="1">('TUSD BE'!$AM$10+'TUSD BF'!$AM$10+'TUSD CVA'!$AM$10)*1*(1-0.02)</f>
        <v>20.716782055066915</v>
      </c>
      <c r="Z291" s="96"/>
      <c r="AA291" s="96"/>
      <c r="AB291" s="6">
        <f>$K$291*$V$291</f>
        <v>2736.72</v>
      </c>
      <c r="AC291" s="6">
        <f>$M$291*$W$291</f>
        <v>0</v>
      </c>
      <c r="AD291" s="6">
        <f>$O$291*$X$291</f>
        <v>0</v>
      </c>
      <c r="AE291" s="6">
        <f ca="1">$K$291*$Y$291</f>
        <v>3625.4368596367103</v>
      </c>
      <c r="AF291" s="6">
        <f>$M$291*$Z$291</f>
        <v>0</v>
      </c>
      <c r="AG291" s="6">
        <f>$O$291*$AA$291</f>
        <v>0</v>
      </c>
    </row>
    <row r="292" spans="1:33" ht="11.25" customHeight="1" x14ac:dyDescent="0.25">
      <c r="A292" s="4" t="s">
        <v>21</v>
      </c>
      <c r="B292" s="4" t="s">
        <v>38</v>
      </c>
      <c r="C292" s="4" t="s">
        <v>39</v>
      </c>
      <c r="D292" s="4" t="s">
        <v>43</v>
      </c>
      <c r="E292" s="4" t="s">
        <v>52</v>
      </c>
      <c r="F292" s="4" t="s">
        <v>25</v>
      </c>
      <c r="G292" s="4" t="s">
        <v>25</v>
      </c>
      <c r="H292" s="4" t="s">
        <v>25</v>
      </c>
      <c r="I292" s="5">
        <v>44440</v>
      </c>
      <c r="J292" s="6">
        <v>1001</v>
      </c>
      <c r="K292" s="96">
        <v>1001</v>
      </c>
      <c r="L292" s="6">
        <v>0</v>
      </c>
      <c r="M292" s="96">
        <v>0</v>
      </c>
      <c r="N292" s="6">
        <v>0</v>
      </c>
      <c r="O292" s="96">
        <v>0</v>
      </c>
      <c r="P292" s="6">
        <v>3</v>
      </c>
      <c r="Q292" s="4" t="s">
        <v>26</v>
      </c>
      <c r="R292" s="4">
        <v>0</v>
      </c>
      <c r="S292" s="6">
        <v>19</v>
      </c>
      <c r="T292" s="6">
        <v>0</v>
      </c>
      <c r="U292" s="6">
        <v>0</v>
      </c>
      <c r="V292" s="96">
        <f>IF(ISERROR(VLOOKUP($S$292,'TAR FIN'!$A$1:$O$86,15,0)),0,VLOOKUP($S$292,'TAR FIN'!$A$1:$O$86,15,0))*(1-0.04)</f>
        <v>15.638399999999999</v>
      </c>
      <c r="W292" s="96">
        <f>IF(ISERROR(VLOOKUP($T$292,'TAR FIN'!$A$1:$O$86,15,0)),0,VLOOKUP($T$292,'TAR FIN'!$A$1:$O$86,15,0))</f>
        <v>0</v>
      </c>
      <c r="X292" s="96">
        <f>IF(ISERROR(VLOOKUP($U$292,'TAR FIN'!$A$1:$O$86,15,0)),0,VLOOKUP($U$292,'TAR FIN'!$A$1:$O$86,15,0))</f>
        <v>0</v>
      </c>
      <c r="Y292" s="96">
        <f ca="1">('TUSD BE'!$AM$10+'TUSD BF'!$AM$10+'TUSD CVA'!$AM$10)*1*(1-0.02)</f>
        <v>20.716782055066915</v>
      </c>
      <c r="Z292" s="96"/>
      <c r="AA292" s="96"/>
      <c r="AB292" s="6">
        <f>$K$292*$V$292</f>
        <v>15654.038399999999</v>
      </c>
      <c r="AC292" s="6">
        <f>$M$292*$W$292</f>
        <v>0</v>
      </c>
      <c r="AD292" s="6">
        <f>$O$292*$X$292</f>
        <v>0</v>
      </c>
      <c r="AE292" s="6">
        <f ca="1">$K$292*$Y$292</f>
        <v>20737.498837121981</v>
      </c>
      <c r="AF292" s="6">
        <f>$M$292*$Z$292</f>
        <v>0</v>
      </c>
      <c r="AG292" s="6">
        <f>$O$292*$AA$292</f>
        <v>0</v>
      </c>
    </row>
    <row r="293" spans="1:33" ht="11.25" customHeight="1" x14ac:dyDescent="0.25">
      <c r="A293" s="4" t="s">
        <v>21</v>
      </c>
      <c r="B293" s="4" t="s">
        <v>38</v>
      </c>
      <c r="C293" s="4" t="s">
        <v>39</v>
      </c>
      <c r="D293" s="4" t="s">
        <v>43</v>
      </c>
      <c r="E293" s="4" t="s">
        <v>52</v>
      </c>
      <c r="F293" s="4" t="s">
        <v>25</v>
      </c>
      <c r="G293" s="4" t="s">
        <v>25</v>
      </c>
      <c r="H293" s="4" t="s">
        <v>25</v>
      </c>
      <c r="I293" s="5">
        <v>44470</v>
      </c>
      <c r="J293" s="6">
        <v>345</v>
      </c>
      <c r="K293" s="96">
        <v>345</v>
      </c>
      <c r="L293" s="6">
        <v>0</v>
      </c>
      <c r="M293" s="96">
        <v>0</v>
      </c>
      <c r="N293" s="6">
        <v>0</v>
      </c>
      <c r="O293" s="96">
        <v>0</v>
      </c>
      <c r="P293" s="6">
        <v>3</v>
      </c>
      <c r="Q293" s="4" t="s">
        <v>26</v>
      </c>
      <c r="R293" s="4">
        <v>0</v>
      </c>
      <c r="S293" s="6">
        <v>19</v>
      </c>
      <c r="T293" s="6">
        <v>0</v>
      </c>
      <c r="U293" s="6">
        <v>0</v>
      </c>
      <c r="V293" s="96">
        <f>IF(ISERROR(VLOOKUP($S$293,'TAR FIN'!$A$1:$O$86,15,0)),0,VLOOKUP($S$293,'TAR FIN'!$A$1:$O$86,15,0))*(1-0.04)</f>
        <v>15.638399999999999</v>
      </c>
      <c r="W293" s="96">
        <f>IF(ISERROR(VLOOKUP($T$293,'TAR FIN'!$A$1:$O$86,15,0)),0,VLOOKUP($T$293,'TAR FIN'!$A$1:$O$86,15,0))</f>
        <v>0</v>
      </c>
      <c r="X293" s="96">
        <f>IF(ISERROR(VLOOKUP($U$293,'TAR FIN'!$A$1:$O$86,15,0)),0,VLOOKUP($U$293,'TAR FIN'!$A$1:$O$86,15,0))</f>
        <v>0</v>
      </c>
      <c r="Y293" s="96">
        <f ca="1">('TUSD BE'!$AM$10+'TUSD BF'!$AM$10+'TUSD CVA'!$AM$10)*1*(1-0.02)</f>
        <v>20.716782055066915</v>
      </c>
      <c r="Z293" s="96"/>
      <c r="AA293" s="96"/>
      <c r="AB293" s="6">
        <f>$K$293*$V$293</f>
        <v>5395.2479999999996</v>
      </c>
      <c r="AC293" s="6">
        <f>$M$293*$W$293</f>
        <v>0</v>
      </c>
      <c r="AD293" s="6">
        <f>$O$293*$X$293</f>
        <v>0</v>
      </c>
      <c r="AE293" s="6">
        <f ca="1">$K$293*$Y$293</f>
        <v>7147.2898089980854</v>
      </c>
      <c r="AF293" s="6">
        <f>$M$293*$Z$293</f>
        <v>0</v>
      </c>
      <c r="AG293" s="6">
        <f>$O$293*$AA$293</f>
        <v>0</v>
      </c>
    </row>
    <row r="294" spans="1:33" ht="11.25" customHeight="1" x14ac:dyDescent="0.25">
      <c r="A294" s="4" t="s">
        <v>21</v>
      </c>
      <c r="B294" s="4" t="s">
        <v>38</v>
      </c>
      <c r="C294" s="4" t="s">
        <v>39</v>
      </c>
      <c r="D294" s="4" t="s">
        <v>43</v>
      </c>
      <c r="E294" s="4" t="s">
        <v>52</v>
      </c>
      <c r="F294" s="4" t="s">
        <v>25</v>
      </c>
      <c r="G294" s="4" t="s">
        <v>25</v>
      </c>
      <c r="H294" s="4" t="s">
        <v>25</v>
      </c>
      <c r="I294" s="5">
        <v>44501</v>
      </c>
      <c r="J294" s="6">
        <v>381</v>
      </c>
      <c r="K294" s="96">
        <v>381</v>
      </c>
      <c r="L294" s="6">
        <v>0</v>
      </c>
      <c r="M294" s="96">
        <v>0</v>
      </c>
      <c r="N294" s="6">
        <v>0</v>
      </c>
      <c r="O294" s="96">
        <v>0</v>
      </c>
      <c r="P294" s="6">
        <v>3</v>
      </c>
      <c r="Q294" s="4" t="s">
        <v>26</v>
      </c>
      <c r="R294" s="4">
        <v>0</v>
      </c>
      <c r="S294" s="6">
        <v>19</v>
      </c>
      <c r="T294" s="6">
        <v>0</v>
      </c>
      <c r="U294" s="6">
        <v>0</v>
      </c>
      <c r="V294" s="96">
        <f>IF(ISERROR(VLOOKUP($S$294,'TAR FIN'!$A$1:$O$86,15,0)),0,VLOOKUP($S$294,'TAR FIN'!$A$1:$O$86,15,0))*(1-0.04)</f>
        <v>15.638399999999999</v>
      </c>
      <c r="W294" s="96">
        <f>IF(ISERROR(VLOOKUP($T$294,'TAR FIN'!$A$1:$O$86,15,0)),0,VLOOKUP($T$294,'TAR FIN'!$A$1:$O$86,15,0))</f>
        <v>0</v>
      </c>
      <c r="X294" s="96">
        <f>IF(ISERROR(VLOOKUP($U$294,'TAR FIN'!$A$1:$O$86,15,0)),0,VLOOKUP($U$294,'TAR FIN'!$A$1:$O$86,15,0))</f>
        <v>0</v>
      </c>
      <c r="Y294" s="96">
        <f ca="1">('TUSD BE'!$AM$10+'TUSD BF'!$AM$10+'TUSD CVA'!$AM$10)*1*(1-0.02)</f>
        <v>20.716782055066915</v>
      </c>
      <c r="Z294" s="96"/>
      <c r="AA294" s="96"/>
      <c r="AB294" s="6">
        <f>$K$294*$V$294</f>
        <v>5958.2303999999995</v>
      </c>
      <c r="AC294" s="6">
        <f>$M$294*$W$294</f>
        <v>0</v>
      </c>
      <c r="AD294" s="6">
        <f>$O$294*$X$294</f>
        <v>0</v>
      </c>
      <c r="AE294" s="6">
        <f ca="1">$K$294*$Y$294</f>
        <v>7893.0939629804943</v>
      </c>
      <c r="AF294" s="6">
        <f>$M$294*$Z$294</f>
        <v>0</v>
      </c>
      <c r="AG294" s="6">
        <f>$O$294*$AA$294</f>
        <v>0</v>
      </c>
    </row>
    <row r="295" spans="1:33" ht="11.25" customHeight="1" x14ac:dyDescent="0.25">
      <c r="A295" s="4" t="s">
        <v>21</v>
      </c>
      <c r="B295" s="4" t="s">
        <v>38</v>
      </c>
      <c r="C295" s="4" t="s">
        <v>39</v>
      </c>
      <c r="D295" s="4" t="s">
        <v>43</v>
      </c>
      <c r="E295" s="4" t="s">
        <v>52</v>
      </c>
      <c r="F295" s="4" t="s">
        <v>25</v>
      </c>
      <c r="G295" s="4" t="s">
        <v>25</v>
      </c>
      <c r="H295" s="4" t="s">
        <v>25</v>
      </c>
      <c r="I295" s="5">
        <v>44531</v>
      </c>
      <c r="J295" s="6">
        <v>927</v>
      </c>
      <c r="K295" s="96">
        <v>927</v>
      </c>
      <c r="L295" s="6">
        <v>0</v>
      </c>
      <c r="M295" s="96">
        <v>0</v>
      </c>
      <c r="N295" s="6">
        <v>0</v>
      </c>
      <c r="O295" s="96">
        <v>0</v>
      </c>
      <c r="P295" s="6">
        <v>3</v>
      </c>
      <c r="Q295" s="4" t="s">
        <v>26</v>
      </c>
      <c r="R295" s="4">
        <v>0</v>
      </c>
      <c r="S295" s="6">
        <v>19</v>
      </c>
      <c r="T295" s="6">
        <v>0</v>
      </c>
      <c r="U295" s="6">
        <v>0</v>
      </c>
      <c r="V295" s="96">
        <f>IF(ISERROR(VLOOKUP($S$295,'TAR FIN'!$A$1:$O$86,15,0)),0,VLOOKUP($S$295,'TAR FIN'!$A$1:$O$86,15,0))*(1-0.04)</f>
        <v>15.638399999999999</v>
      </c>
      <c r="W295" s="96">
        <f>IF(ISERROR(VLOOKUP($T$295,'TAR FIN'!$A$1:$O$86,15,0)),0,VLOOKUP($T$295,'TAR FIN'!$A$1:$O$86,15,0))</f>
        <v>0</v>
      </c>
      <c r="X295" s="96">
        <f>IF(ISERROR(VLOOKUP($U$295,'TAR FIN'!$A$1:$O$86,15,0)),0,VLOOKUP($U$295,'TAR FIN'!$A$1:$O$86,15,0))</f>
        <v>0</v>
      </c>
      <c r="Y295" s="96">
        <f ca="1">('TUSD BE'!$AM$10+'TUSD BF'!$AM$10+'TUSD CVA'!$AM$10)*1*(1-0.02)</f>
        <v>20.716782055066915</v>
      </c>
      <c r="Z295" s="96"/>
      <c r="AA295" s="96"/>
      <c r="AB295" s="6">
        <f>$K$295*$V$295</f>
        <v>14496.796799999998</v>
      </c>
      <c r="AC295" s="6">
        <f>$M$295*$W$295</f>
        <v>0</v>
      </c>
      <c r="AD295" s="6">
        <f>$O$295*$X$295</f>
        <v>0</v>
      </c>
      <c r="AE295" s="6">
        <f ca="1">$K$295*$Y$295</f>
        <v>19204.456965047029</v>
      </c>
      <c r="AF295" s="6">
        <f>$M$295*$Z$295</f>
        <v>0</v>
      </c>
      <c r="AG295" s="6">
        <f>$O$295*$AA$295</f>
        <v>0</v>
      </c>
    </row>
    <row r="296" spans="1:33" ht="11.25" customHeight="1" x14ac:dyDescent="0.25">
      <c r="A296" s="4" t="s">
        <v>21</v>
      </c>
      <c r="B296" s="4" t="s">
        <v>38</v>
      </c>
      <c r="C296" s="4" t="s">
        <v>39</v>
      </c>
      <c r="D296" s="4" t="s">
        <v>43</v>
      </c>
      <c r="E296" s="4" t="s">
        <v>52</v>
      </c>
      <c r="F296" s="4" t="s">
        <v>25</v>
      </c>
      <c r="G296" s="4" t="s">
        <v>25</v>
      </c>
      <c r="H296" s="4" t="s">
        <v>25</v>
      </c>
      <c r="I296" s="5">
        <v>44562</v>
      </c>
      <c r="J296" s="6">
        <v>635</v>
      </c>
      <c r="K296" s="96">
        <v>635</v>
      </c>
      <c r="L296" s="6">
        <v>0</v>
      </c>
      <c r="M296" s="96">
        <v>0</v>
      </c>
      <c r="N296" s="6">
        <v>0</v>
      </c>
      <c r="O296" s="96">
        <v>0</v>
      </c>
      <c r="P296" s="6">
        <v>3</v>
      </c>
      <c r="Q296" s="4" t="s">
        <v>26</v>
      </c>
      <c r="R296" s="4">
        <v>0</v>
      </c>
      <c r="S296" s="6">
        <v>19</v>
      </c>
      <c r="T296" s="6">
        <v>0</v>
      </c>
      <c r="U296" s="6">
        <v>0</v>
      </c>
      <c r="V296" s="96">
        <f>IF(ISERROR(VLOOKUP($S$296,'TAR FIN'!$A$1:$O$86,15,0)),0,VLOOKUP($S$296,'TAR FIN'!$A$1:$O$86,15,0))*(1-0.04)</f>
        <v>15.638399999999999</v>
      </c>
      <c r="W296" s="96">
        <f>IF(ISERROR(VLOOKUP($T$296,'TAR FIN'!$A$1:$O$86,15,0)),0,VLOOKUP($T$296,'TAR FIN'!$A$1:$O$86,15,0))</f>
        <v>0</v>
      </c>
      <c r="X296" s="96">
        <f>IF(ISERROR(VLOOKUP($U$296,'TAR FIN'!$A$1:$O$86,15,0)),0,VLOOKUP($U$296,'TAR FIN'!$A$1:$O$86,15,0))</f>
        <v>0</v>
      </c>
      <c r="Y296" s="96">
        <f ca="1">('TUSD BE'!$AM$10+'TUSD BF'!$AM$10+'TUSD CVA'!$AM$10)*1*(1-0.02)</f>
        <v>20.716782055066915</v>
      </c>
      <c r="Z296" s="96"/>
      <c r="AA296" s="96"/>
      <c r="AB296" s="6">
        <f>$K$296*$V$296</f>
        <v>9930.384</v>
      </c>
      <c r="AC296" s="6">
        <f>$M$296*$W$296</f>
        <v>0</v>
      </c>
      <c r="AD296" s="6">
        <f>$O$296*$X$296</f>
        <v>0</v>
      </c>
      <c r="AE296" s="6">
        <f ca="1">$K$296*$Y$296</f>
        <v>13155.156604967491</v>
      </c>
      <c r="AF296" s="6">
        <f>$M$296*$Z$296</f>
        <v>0</v>
      </c>
      <c r="AG296" s="6">
        <f>$O$296*$AA$296</f>
        <v>0</v>
      </c>
    </row>
    <row r="297" spans="1:33" ht="11.25" customHeight="1" x14ac:dyDescent="0.25">
      <c r="A297" s="4" t="s">
        <v>21</v>
      </c>
      <c r="B297" s="4" t="s">
        <v>38</v>
      </c>
      <c r="C297" s="4" t="s">
        <v>39</v>
      </c>
      <c r="D297" s="4" t="s">
        <v>43</v>
      </c>
      <c r="E297" s="4" t="s">
        <v>52</v>
      </c>
      <c r="F297" s="4" t="s">
        <v>25</v>
      </c>
      <c r="G297" s="4" t="s">
        <v>25</v>
      </c>
      <c r="H297" s="4" t="s">
        <v>25</v>
      </c>
      <c r="I297" s="5">
        <v>44593</v>
      </c>
      <c r="J297" s="6">
        <v>589</v>
      </c>
      <c r="K297" s="96">
        <v>589</v>
      </c>
      <c r="L297" s="6">
        <v>0</v>
      </c>
      <c r="M297" s="96">
        <v>0</v>
      </c>
      <c r="N297" s="6">
        <v>0</v>
      </c>
      <c r="O297" s="96">
        <v>0</v>
      </c>
      <c r="P297" s="6">
        <v>3</v>
      </c>
      <c r="Q297" s="4" t="s">
        <v>26</v>
      </c>
      <c r="R297" s="4">
        <v>0</v>
      </c>
      <c r="S297" s="6">
        <v>19</v>
      </c>
      <c r="T297" s="6">
        <v>0</v>
      </c>
      <c r="U297" s="6">
        <v>0</v>
      </c>
      <c r="V297" s="96">
        <f>IF(ISERROR(VLOOKUP($S$297,'TAR FIN'!$A$1:$O$86,15,0)),0,VLOOKUP($S$297,'TAR FIN'!$A$1:$O$86,15,0))*(1-0.04)</f>
        <v>15.638399999999999</v>
      </c>
      <c r="W297" s="96">
        <f>IF(ISERROR(VLOOKUP($T$297,'TAR FIN'!$A$1:$O$86,15,0)),0,VLOOKUP($T$297,'TAR FIN'!$A$1:$O$86,15,0))</f>
        <v>0</v>
      </c>
      <c r="X297" s="96">
        <f>IF(ISERROR(VLOOKUP($U$297,'TAR FIN'!$A$1:$O$86,15,0)),0,VLOOKUP($U$297,'TAR FIN'!$A$1:$O$86,15,0))</f>
        <v>0</v>
      </c>
      <c r="Y297" s="96">
        <f ca="1">('TUSD BE'!$AM$10+'TUSD BF'!$AM$10+'TUSD CVA'!$AM$10)*1*(1-0.02)</f>
        <v>20.716782055066915</v>
      </c>
      <c r="Z297" s="96"/>
      <c r="AA297" s="96"/>
      <c r="AB297" s="6">
        <f>$K$297*$V$297</f>
        <v>9211.0175999999992</v>
      </c>
      <c r="AC297" s="6">
        <f>$M$297*$W$297</f>
        <v>0</v>
      </c>
      <c r="AD297" s="6">
        <f>$O$297*$X$297</f>
        <v>0</v>
      </c>
      <c r="AE297" s="6">
        <f ca="1">$K$297*$Y$297</f>
        <v>12202.184630434413</v>
      </c>
      <c r="AF297" s="6">
        <f>$M$297*$Z$297</f>
        <v>0</v>
      </c>
      <c r="AG297" s="6">
        <f>$O$297*$AA$297</f>
        <v>0</v>
      </c>
    </row>
    <row r="298" spans="1:33" ht="11.25" customHeight="1" x14ac:dyDescent="0.25">
      <c r="A298" s="4" t="s">
        <v>21</v>
      </c>
      <c r="B298" s="4" t="s">
        <v>38</v>
      </c>
      <c r="C298" s="4" t="s">
        <v>39</v>
      </c>
      <c r="D298" s="4" t="s">
        <v>43</v>
      </c>
      <c r="E298" s="4" t="s">
        <v>52</v>
      </c>
      <c r="F298" s="4" t="s">
        <v>25</v>
      </c>
      <c r="G298" s="4" t="s">
        <v>25</v>
      </c>
      <c r="H298" s="4" t="s">
        <v>25</v>
      </c>
      <c r="I298" s="5">
        <v>44621</v>
      </c>
      <c r="J298" s="6">
        <v>102</v>
      </c>
      <c r="K298" s="96">
        <v>102</v>
      </c>
      <c r="L298" s="6">
        <v>0</v>
      </c>
      <c r="M298" s="96">
        <v>0</v>
      </c>
      <c r="N298" s="6">
        <v>0</v>
      </c>
      <c r="O298" s="96">
        <v>0</v>
      </c>
      <c r="P298" s="6">
        <v>3</v>
      </c>
      <c r="Q298" s="4" t="s">
        <v>26</v>
      </c>
      <c r="R298" s="4">
        <v>0</v>
      </c>
      <c r="S298" s="6">
        <v>19</v>
      </c>
      <c r="T298" s="6">
        <v>0</v>
      </c>
      <c r="U298" s="6">
        <v>0</v>
      </c>
      <c r="V298" s="96">
        <f>IF(ISERROR(VLOOKUP($S$298,'TAR FIN'!$A$1:$O$86,15,0)),0,VLOOKUP($S$298,'TAR FIN'!$A$1:$O$86,15,0))*(1-0.04)</f>
        <v>15.638399999999999</v>
      </c>
      <c r="W298" s="96">
        <f>IF(ISERROR(VLOOKUP($T$298,'TAR FIN'!$A$1:$O$86,15,0)),0,VLOOKUP($T$298,'TAR FIN'!$A$1:$O$86,15,0))</f>
        <v>0</v>
      </c>
      <c r="X298" s="96">
        <f>IF(ISERROR(VLOOKUP($U$298,'TAR FIN'!$A$1:$O$86,15,0)),0,VLOOKUP($U$298,'TAR FIN'!$A$1:$O$86,15,0))</f>
        <v>0</v>
      </c>
      <c r="Y298" s="96">
        <f ca="1">('TUSD BE'!$AM$10+'TUSD BF'!$AM$10+'TUSD CVA'!$AM$10)*1*(1-0.02)</f>
        <v>20.716782055066915</v>
      </c>
      <c r="Z298" s="96"/>
      <c r="AA298" s="96"/>
      <c r="AB298" s="6">
        <f>$K$298*$V$298</f>
        <v>1595.1167999999998</v>
      </c>
      <c r="AC298" s="6">
        <f>$M$298*$W$298</f>
        <v>0</v>
      </c>
      <c r="AD298" s="6">
        <f>$O$298*$X$298</f>
        <v>0</v>
      </c>
      <c r="AE298" s="6">
        <f ca="1">$K$298*$Y$298</f>
        <v>2113.1117696168253</v>
      </c>
      <c r="AF298" s="6">
        <f>$M$298*$Z$298</f>
        <v>0</v>
      </c>
      <c r="AG298" s="6">
        <f>$O$298*$AA$298</f>
        <v>0</v>
      </c>
    </row>
    <row r="299" spans="1:33" ht="11.25" customHeight="1" x14ac:dyDescent="0.25">
      <c r="A299" s="4" t="s">
        <v>21</v>
      </c>
      <c r="B299" s="4" t="s">
        <v>38</v>
      </c>
      <c r="C299" s="4" t="s">
        <v>39</v>
      </c>
      <c r="D299" s="4" t="s">
        <v>43</v>
      </c>
      <c r="E299" s="4" t="s">
        <v>52</v>
      </c>
      <c r="F299" s="4" t="s">
        <v>25</v>
      </c>
      <c r="G299" s="4" t="s">
        <v>25</v>
      </c>
      <c r="H299" s="4" t="s">
        <v>25</v>
      </c>
      <c r="I299" s="5">
        <v>44652</v>
      </c>
      <c r="J299" s="6">
        <v>172</v>
      </c>
      <c r="K299" s="96">
        <v>172</v>
      </c>
      <c r="L299" s="6">
        <v>0</v>
      </c>
      <c r="M299" s="96">
        <v>0</v>
      </c>
      <c r="N299" s="6">
        <v>0</v>
      </c>
      <c r="O299" s="96">
        <v>0</v>
      </c>
      <c r="P299" s="6">
        <v>3</v>
      </c>
      <c r="Q299" s="4" t="s">
        <v>26</v>
      </c>
      <c r="R299" s="4">
        <v>0</v>
      </c>
      <c r="S299" s="6">
        <v>19</v>
      </c>
      <c r="T299" s="6">
        <v>0</v>
      </c>
      <c r="U299" s="6">
        <v>0</v>
      </c>
      <c r="V299" s="96">
        <f>IF(ISERROR(VLOOKUP($S$299,'TAR FIN'!$A$1:$O$86,15,0)),0,VLOOKUP($S$299,'TAR FIN'!$A$1:$O$86,15,0))*(1-0.04)</f>
        <v>15.638399999999999</v>
      </c>
      <c r="W299" s="96">
        <f>IF(ISERROR(VLOOKUP($T$299,'TAR FIN'!$A$1:$O$86,15,0)),0,VLOOKUP($T$299,'TAR FIN'!$A$1:$O$86,15,0))</f>
        <v>0</v>
      </c>
      <c r="X299" s="96">
        <f>IF(ISERROR(VLOOKUP($U$299,'TAR FIN'!$A$1:$O$86,15,0)),0,VLOOKUP($U$299,'TAR FIN'!$A$1:$O$86,15,0))</f>
        <v>0</v>
      </c>
      <c r="Y299" s="96">
        <f ca="1">('TUSD BE'!$AM$10+'TUSD BF'!$AM$10+'TUSD CVA'!$AM$10)*1*(1-0.02)</f>
        <v>20.716782055066915</v>
      </c>
      <c r="Z299" s="96"/>
      <c r="AA299" s="96"/>
      <c r="AB299" s="6">
        <f>$K$299*$V$299</f>
        <v>2689.8047999999999</v>
      </c>
      <c r="AC299" s="6">
        <f>$M$299*$W$299</f>
        <v>0</v>
      </c>
      <c r="AD299" s="6">
        <f>$O$299*$X$299</f>
        <v>0</v>
      </c>
      <c r="AE299" s="6">
        <f ca="1">$K$299*$Y$299</f>
        <v>3563.2865134715094</v>
      </c>
      <c r="AF299" s="6">
        <f>$M$299*$Z$299</f>
        <v>0</v>
      </c>
      <c r="AG299" s="6">
        <f>$O$299*$AA$299</f>
        <v>0</v>
      </c>
    </row>
    <row r="300" spans="1:33" ht="11.25" customHeight="1" x14ac:dyDescent="0.25">
      <c r="A300" s="4" t="s">
        <v>21</v>
      </c>
      <c r="B300" s="4" t="s">
        <v>38</v>
      </c>
      <c r="C300" s="4" t="s">
        <v>39</v>
      </c>
      <c r="D300" s="4" t="s">
        <v>43</v>
      </c>
      <c r="E300" s="4" t="s">
        <v>52</v>
      </c>
      <c r="F300" s="4" t="s">
        <v>25</v>
      </c>
      <c r="G300" s="4" t="s">
        <v>25</v>
      </c>
      <c r="H300" s="4" t="s">
        <v>25</v>
      </c>
      <c r="I300" s="5">
        <v>44682</v>
      </c>
      <c r="J300" s="6">
        <v>177</v>
      </c>
      <c r="K300" s="96">
        <v>177</v>
      </c>
      <c r="L300" s="6">
        <v>0</v>
      </c>
      <c r="M300" s="96">
        <v>0</v>
      </c>
      <c r="N300" s="6">
        <v>0</v>
      </c>
      <c r="O300" s="96">
        <v>0</v>
      </c>
      <c r="P300" s="6">
        <v>3</v>
      </c>
      <c r="Q300" s="4" t="s">
        <v>26</v>
      </c>
      <c r="R300" s="4">
        <v>0</v>
      </c>
      <c r="S300" s="6">
        <v>19</v>
      </c>
      <c r="T300" s="6">
        <v>0</v>
      </c>
      <c r="U300" s="6">
        <v>0</v>
      </c>
      <c r="V300" s="96">
        <f>IF(ISERROR(VLOOKUP($S$300,'TAR FIN'!$A$1:$O$86,15,0)),0,VLOOKUP($S$300,'TAR FIN'!$A$1:$O$86,15,0))*(1-0.04)</f>
        <v>15.638399999999999</v>
      </c>
      <c r="W300" s="96">
        <f>IF(ISERROR(VLOOKUP($T$300,'TAR FIN'!$A$1:$O$86,15,0)),0,VLOOKUP($T$300,'TAR FIN'!$A$1:$O$86,15,0))</f>
        <v>0</v>
      </c>
      <c r="X300" s="96">
        <f>IF(ISERROR(VLOOKUP($U$300,'TAR FIN'!$A$1:$O$86,15,0)),0,VLOOKUP($U$300,'TAR FIN'!$A$1:$O$86,15,0))</f>
        <v>0</v>
      </c>
      <c r="Y300" s="96">
        <f ca="1">('TUSD BE'!$AM$10+'TUSD BF'!$AM$10+'TUSD CVA'!$AM$10)*1*(1-0.02)</f>
        <v>20.716782055066915</v>
      </c>
      <c r="Z300" s="96"/>
      <c r="AA300" s="96"/>
      <c r="AB300" s="6">
        <f>$K$300*$V$300</f>
        <v>2767.9967999999999</v>
      </c>
      <c r="AC300" s="6">
        <f>$M$300*$W$300</f>
        <v>0</v>
      </c>
      <c r="AD300" s="6">
        <f>$O$300*$X$300</f>
        <v>0</v>
      </c>
      <c r="AE300" s="6">
        <f ca="1">$K$300*$Y$300</f>
        <v>3666.8704237468437</v>
      </c>
      <c r="AF300" s="6">
        <f>$M$300*$Z$300</f>
        <v>0</v>
      </c>
      <c r="AG300" s="6">
        <f>$O$300*$AA$300</f>
        <v>0</v>
      </c>
    </row>
    <row r="301" spans="1:33" ht="11.25" customHeight="1" x14ac:dyDescent="0.25">
      <c r="A301" s="4" t="s">
        <v>55</v>
      </c>
      <c r="B301" s="4" t="s">
        <v>38</v>
      </c>
      <c r="C301" s="4" t="s">
        <v>39</v>
      </c>
      <c r="D301" s="4" t="s">
        <v>43</v>
      </c>
      <c r="E301" s="4" t="s">
        <v>52</v>
      </c>
      <c r="F301" s="4" t="s">
        <v>25</v>
      </c>
      <c r="G301" s="4" t="s">
        <v>25</v>
      </c>
      <c r="H301" s="4" t="s">
        <v>25</v>
      </c>
      <c r="I301" s="5">
        <v>44713</v>
      </c>
      <c r="J301" s="6">
        <v>177</v>
      </c>
      <c r="K301" s="96">
        <v>177</v>
      </c>
      <c r="L301" s="6">
        <v>0</v>
      </c>
      <c r="M301" s="96">
        <v>0</v>
      </c>
      <c r="N301" s="6">
        <v>0</v>
      </c>
      <c r="O301" s="96">
        <v>0</v>
      </c>
      <c r="P301" s="6">
        <v>3</v>
      </c>
      <c r="Q301" s="4" t="s">
        <v>26</v>
      </c>
      <c r="R301" s="4">
        <v>0</v>
      </c>
      <c r="S301" s="6">
        <v>19</v>
      </c>
      <c r="T301" s="6">
        <v>0</v>
      </c>
      <c r="U301" s="6">
        <v>0</v>
      </c>
      <c r="V301" s="96">
        <f>IF(ISERROR(VLOOKUP($S$301,'TAR FIN'!$A$1:$O$86,15,0)),0,VLOOKUP($S$301,'TAR FIN'!$A$1:$O$86,15,0))*(1-0.04)</f>
        <v>15.638399999999999</v>
      </c>
      <c r="W301" s="96">
        <f>IF(ISERROR(VLOOKUP($T$301,'TAR FIN'!$A$1:$O$86,15,0)),0,VLOOKUP($T$301,'TAR FIN'!$A$1:$O$86,15,0))</f>
        <v>0</v>
      </c>
      <c r="X301" s="96">
        <f>IF(ISERROR(VLOOKUP($U$301,'TAR FIN'!$A$1:$O$86,15,0)),0,VLOOKUP($U$301,'TAR FIN'!$A$1:$O$86,15,0))</f>
        <v>0</v>
      </c>
      <c r="Y301" s="96">
        <f ca="1">('TUSD BE'!$AM$10+'TUSD BF'!$AM$10+'TUSD CVA'!$AM$10)*1*(1-0.02)</f>
        <v>20.716782055066915</v>
      </c>
      <c r="Z301" s="96"/>
      <c r="AA301" s="96"/>
      <c r="AB301" s="6">
        <f>$K$301*$V$301</f>
        <v>2767.9967999999999</v>
      </c>
      <c r="AC301" s="6">
        <f>$M$301*$W$301</f>
        <v>0</v>
      </c>
      <c r="AD301" s="6">
        <f>$O$301*$X$301</f>
        <v>0</v>
      </c>
      <c r="AE301" s="6">
        <f ca="1">$K$301*$Y$301</f>
        <v>3666.8704237468437</v>
      </c>
      <c r="AF301" s="6">
        <f>$M$301*$Z$301</f>
        <v>0</v>
      </c>
      <c r="AG301" s="6">
        <f>$O$301*$AA$301</f>
        <v>0</v>
      </c>
    </row>
    <row r="302" spans="1:33" ht="11.25" customHeight="1" x14ac:dyDescent="0.25">
      <c r="A302" s="4" t="s">
        <v>21</v>
      </c>
      <c r="B302" s="4" t="s">
        <v>38</v>
      </c>
      <c r="C302" s="4" t="s">
        <v>39</v>
      </c>
      <c r="D302" s="4" t="s">
        <v>43</v>
      </c>
      <c r="E302" s="4" t="s">
        <v>52</v>
      </c>
      <c r="F302" s="4" t="s">
        <v>25</v>
      </c>
      <c r="G302" s="4" t="s">
        <v>25</v>
      </c>
      <c r="H302" s="4" t="s">
        <v>33</v>
      </c>
      <c r="I302" s="5">
        <v>44378</v>
      </c>
      <c r="J302" s="6">
        <v>0</v>
      </c>
      <c r="K302" s="96">
        <v>0</v>
      </c>
      <c r="L302" s="6">
        <v>5.0999999999999997E-2</v>
      </c>
      <c r="M302" s="96">
        <v>5.0999999999999997E-2</v>
      </c>
      <c r="N302" s="6">
        <v>5.0999999999999997E-2</v>
      </c>
      <c r="O302" s="96">
        <v>5.0999999999999997E-2</v>
      </c>
      <c r="P302" s="6">
        <v>0</v>
      </c>
      <c r="Q302" s="4" t="s">
        <v>26</v>
      </c>
      <c r="R302" s="4">
        <v>0</v>
      </c>
      <c r="S302" s="6">
        <v>0</v>
      </c>
      <c r="T302" s="6">
        <v>21</v>
      </c>
      <c r="U302" s="6">
        <v>66</v>
      </c>
      <c r="V302" s="96">
        <f>IF(ISERROR(VLOOKUP($S$302,'TAR FIN'!$A$1:$O$86,15,0)),0,VLOOKUP($S$302,'TAR FIN'!$A$1:$O$86,15,0))</f>
        <v>0</v>
      </c>
      <c r="W302" s="96">
        <f>IF(ISERROR(VLOOKUP($T$302,'TAR FIN'!$A$1:$O$86,15,0)),0,VLOOKUP($T$302,'TAR FIN'!$A$1:$O$86,15,0))*(1-0.04)</f>
        <v>572.90879999999993</v>
      </c>
      <c r="X302" s="96">
        <f>IF(ISERROR(VLOOKUP($U$302,'TAR FIN'!$A$1:$O$86,15,0)),0,VLOOKUP($U$302,'TAR FIN'!$A$1:$O$86,15,0))*(1-0.04)</f>
        <v>483.66719999999998</v>
      </c>
      <c r="Y302" s="96"/>
      <c r="Z302" s="96">
        <f ca="1">('TUSD BE'!$AM$11+'TUSD BF'!$AM$11+'TUSD CVA'!$AM$11)*1*(1-0.02)</f>
        <v>613.15693267511767</v>
      </c>
      <c r="AA302" s="96">
        <f>('TE BE'!$AB$5+'TE BF'!$AB$5+'TE CVA'!$AB$5)*1*(1-0.02)</f>
        <v>390.05630765165643</v>
      </c>
      <c r="AB302" s="6">
        <f>$K$302*$V$302</f>
        <v>0</v>
      </c>
      <c r="AC302" s="6">
        <f>$M$302*$W$302</f>
        <v>29.218348799999994</v>
      </c>
      <c r="AD302" s="6">
        <f>$O$302*$X$302</f>
        <v>24.667027199999996</v>
      </c>
      <c r="AE302" s="6">
        <f>$K$302*$Y$302</f>
        <v>0</v>
      </c>
      <c r="AF302" s="6">
        <f ca="1">$M$302*$Z$302</f>
        <v>31.271003566430998</v>
      </c>
      <c r="AG302" s="6">
        <f>$O$302*$AA$302</f>
        <v>19.892871690234475</v>
      </c>
    </row>
    <row r="303" spans="1:33" ht="11.25" customHeight="1" x14ac:dyDescent="0.25">
      <c r="A303" s="4" t="s">
        <v>21</v>
      </c>
      <c r="B303" s="4" t="s">
        <v>38</v>
      </c>
      <c r="C303" s="4" t="s">
        <v>39</v>
      </c>
      <c r="D303" s="4" t="s">
        <v>43</v>
      </c>
      <c r="E303" s="4" t="s">
        <v>52</v>
      </c>
      <c r="F303" s="4" t="s">
        <v>25</v>
      </c>
      <c r="G303" s="4" t="s">
        <v>25</v>
      </c>
      <c r="H303" s="4" t="s">
        <v>33</v>
      </c>
      <c r="I303" s="5">
        <v>44409</v>
      </c>
      <c r="J303" s="6">
        <v>0</v>
      </c>
      <c r="K303" s="96">
        <v>0</v>
      </c>
      <c r="L303" s="6">
        <v>5.0999999999999997E-2</v>
      </c>
      <c r="M303" s="96">
        <v>5.0999999999999997E-2</v>
      </c>
      <c r="N303" s="6">
        <v>5.0999999999999997E-2</v>
      </c>
      <c r="O303" s="96">
        <v>5.0999999999999997E-2</v>
      </c>
      <c r="P303" s="6">
        <v>0</v>
      </c>
      <c r="Q303" s="4" t="s">
        <v>26</v>
      </c>
      <c r="R303" s="4">
        <v>0</v>
      </c>
      <c r="S303" s="6">
        <v>0</v>
      </c>
      <c r="T303" s="6">
        <v>21</v>
      </c>
      <c r="U303" s="6">
        <v>66</v>
      </c>
      <c r="V303" s="96">
        <f>IF(ISERROR(VLOOKUP($S$303,'TAR FIN'!$A$1:$O$86,15,0)),0,VLOOKUP($S$303,'TAR FIN'!$A$1:$O$86,15,0))</f>
        <v>0</v>
      </c>
      <c r="W303" s="96">
        <f>IF(ISERROR(VLOOKUP($T$303,'TAR FIN'!$A$1:$O$86,15,0)),0,VLOOKUP($T$303,'TAR FIN'!$A$1:$O$86,15,0))*(1-0.04)</f>
        <v>572.90879999999993</v>
      </c>
      <c r="X303" s="96">
        <f>IF(ISERROR(VLOOKUP($U$303,'TAR FIN'!$A$1:$O$86,15,0)),0,VLOOKUP($U$303,'TAR FIN'!$A$1:$O$86,15,0))*(1-0.04)</f>
        <v>483.66719999999998</v>
      </c>
      <c r="Y303" s="96"/>
      <c r="Z303" s="96">
        <f ca="1">('TUSD BE'!$AM$11+'TUSD BF'!$AM$11+'TUSD CVA'!$AM$11)*1*(1-0.02)</f>
        <v>613.15693267511767</v>
      </c>
      <c r="AA303" s="96">
        <f>('TE BE'!$AB$5+'TE BF'!$AB$5+'TE CVA'!$AB$5)*1*(1-0.02)</f>
        <v>390.05630765165643</v>
      </c>
      <c r="AB303" s="6">
        <f>$K$303*$V$303</f>
        <v>0</v>
      </c>
      <c r="AC303" s="6">
        <f>$M$303*$W$303</f>
        <v>29.218348799999994</v>
      </c>
      <c r="AD303" s="6">
        <f>$O$303*$X$303</f>
        <v>24.667027199999996</v>
      </c>
      <c r="AE303" s="6">
        <f>$K$303*$Y$303</f>
        <v>0</v>
      </c>
      <c r="AF303" s="6">
        <f ca="1">$M$303*$Z$303</f>
        <v>31.271003566430998</v>
      </c>
      <c r="AG303" s="6">
        <f>$O$303*$AA$303</f>
        <v>19.892871690234475</v>
      </c>
    </row>
    <row r="304" spans="1:33" ht="11.25" customHeight="1" x14ac:dyDescent="0.25">
      <c r="A304" s="4" t="s">
        <v>21</v>
      </c>
      <c r="B304" s="4" t="s">
        <v>38</v>
      </c>
      <c r="C304" s="4" t="s">
        <v>39</v>
      </c>
      <c r="D304" s="4" t="s">
        <v>43</v>
      </c>
      <c r="E304" s="4" t="s">
        <v>52</v>
      </c>
      <c r="F304" s="4" t="s">
        <v>25</v>
      </c>
      <c r="G304" s="4" t="s">
        <v>25</v>
      </c>
      <c r="H304" s="4" t="s">
        <v>33</v>
      </c>
      <c r="I304" s="5">
        <v>44440</v>
      </c>
      <c r="J304" s="6">
        <v>0</v>
      </c>
      <c r="K304" s="96">
        <v>0</v>
      </c>
      <c r="L304" s="6">
        <v>5.1999999999999998E-2</v>
      </c>
      <c r="M304" s="96">
        <v>5.1999999999999998E-2</v>
      </c>
      <c r="N304" s="6">
        <v>5.1999999999999998E-2</v>
      </c>
      <c r="O304" s="96">
        <v>5.1999999999999998E-2</v>
      </c>
      <c r="P304" s="6">
        <v>0</v>
      </c>
      <c r="Q304" s="4" t="s">
        <v>26</v>
      </c>
      <c r="R304" s="4">
        <v>0</v>
      </c>
      <c r="S304" s="6">
        <v>0</v>
      </c>
      <c r="T304" s="6">
        <v>21</v>
      </c>
      <c r="U304" s="6">
        <v>66</v>
      </c>
      <c r="V304" s="96">
        <f>IF(ISERROR(VLOOKUP($S$304,'TAR FIN'!$A$1:$O$86,15,0)),0,VLOOKUP($S$304,'TAR FIN'!$A$1:$O$86,15,0))</f>
        <v>0</v>
      </c>
      <c r="W304" s="96">
        <f>IF(ISERROR(VLOOKUP($T$304,'TAR FIN'!$A$1:$O$86,15,0)),0,VLOOKUP($T$304,'TAR FIN'!$A$1:$O$86,15,0))*(1-0.04)</f>
        <v>572.90879999999993</v>
      </c>
      <c r="X304" s="96">
        <f>IF(ISERROR(VLOOKUP($U$304,'TAR FIN'!$A$1:$O$86,15,0)),0,VLOOKUP($U$304,'TAR FIN'!$A$1:$O$86,15,0))*(1-0.04)</f>
        <v>483.66719999999998</v>
      </c>
      <c r="Y304" s="96"/>
      <c r="Z304" s="96">
        <f ca="1">('TUSD BE'!$AM$11+'TUSD BF'!$AM$11+'TUSD CVA'!$AM$11)*1*(1-0.02)</f>
        <v>613.15693267511767</v>
      </c>
      <c r="AA304" s="96">
        <f>('TE BE'!$AB$5+'TE BF'!$AB$5+'TE CVA'!$AB$5)*1*(1-0.02)</f>
        <v>390.05630765165643</v>
      </c>
      <c r="AB304" s="6">
        <f>$K$304*$V$304</f>
        <v>0</v>
      </c>
      <c r="AC304" s="6">
        <f>$M$304*$W$304</f>
        <v>29.791257599999994</v>
      </c>
      <c r="AD304" s="6">
        <f>$O$304*$X$304</f>
        <v>25.150694399999999</v>
      </c>
      <c r="AE304" s="6">
        <f>$K$304*$Y$304</f>
        <v>0</v>
      </c>
      <c r="AF304" s="6">
        <f ca="1">$M$304*$Z$304</f>
        <v>31.884160499106116</v>
      </c>
      <c r="AG304" s="6">
        <f>$O$304*$AA$304</f>
        <v>20.282927997886134</v>
      </c>
    </row>
    <row r="305" spans="1:33" ht="11.25" customHeight="1" x14ac:dyDescent="0.25">
      <c r="A305" s="4" t="s">
        <v>21</v>
      </c>
      <c r="B305" s="4" t="s">
        <v>38</v>
      </c>
      <c r="C305" s="4" t="s">
        <v>39</v>
      </c>
      <c r="D305" s="4" t="s">
        <v>43</v>
      </c>
      <c r="E305" s="4" t="s">
        <v>52</v>
      </c>
      <c r="F305" s="4" t="s">
        <v>25</v>
      </c>
      <c r="G305" s="4" t="s">
        <v>25</v>
      </c>
      <c r="H305" s="4" t="s">
        <v>33</v>
      </c>
      <c r="I305" s="5">
        <v>44470</v>
      </c>
      <c r="J305" s="6">
        <v>0</v>
      </c>
      <c r="K305" s="96">
        <v>0</v>
      </c>
      <c r="L305" s="6">
        <v>7.2999999999999995E-2</v>
      </c>
      <c r="M305" s="96">
        <v>7.2999999999999995E-2</v>
      </c>
      <c r="N305" s="6">
        <v>7.2999999999999995E-2</v>
      </c>
      <c r="O305" s="96">
        <v>7.2999999999999995E-2</v>
      </c>
      <c r="P305" s="6">
        <v>0</v>
      </c>
      <c r="Q305" s="4" t="s">
        <v>26</v>
      </c>
      <c r="R305" s="4">
        <v>0</v>
      </c>
      <c r="S305" s="6">
        <v>0</v>
      </c>
      <c r="T305" s="6">
        <v>21</v>
      </c>
      <c r="U305" s="6">
        <v>66</v>
      </c>
      <c r="V305" s="96">
        <f>IF(ISERROR(VLOOKUP($S$305,'TAR FIN'!$A$1:$O$86,15,0)),0,VLOOKUP($S$305,'TAR FIN'!$A$1:$O$86,15,0))</f>
        <v>0</v>
      </c>
      <c r="W305" s="96">
        <f>IF(ISERROR(VLOOKUP($T$305,'TAR FIN'!$A$1:$O$86,15,0)),0,VLOOKUP($T$305,'TAR FIN'!$A$1:$O$86,15,0))*(1-0.04)</f>
        <v>572.90879999999993</v>
      </c>
      <c r="X305" s="96">
        <f>IF(ISERROR(VLOOKUP($U$305,'TAR FIN'!$A$1:$O$86,15,0)),0,VLOOKUP($U$305,'TAR FIN'!$A$1:$O$86,15,0))*(1-0.04)</f>
        <v>483.66719999999998</v>
      </c>
      <c r="Y305" s="96"/>
      <c r="Z305" s="96">
        <f ca="1">('TUSD BE'!$AM$11+'TUSD BF'!$AM$11+'TUSD CVA'!$AM$11)*1*(1-0.02)</f>
        <v>613.15693267511767</v>
      </c>
      <c r="AA305" s="96">
        <f>('TE BE'!$AB$5+'TE BF'!$AB$5+'TE CVA'!$AB$5)*1*(1-0.02)</f>
        <v>390.05630765165643</v>
      </c>
      <c r="AB305" s="6">
        <f>$K$305*$V$305</f>
        <v>0</v>
      </c>
      <c r="AC305" s="6">
        <f>$M$305*$W$305</f>
        <v>41.822342399999989</v>
      </c>
      <c r="AD305" s="6">
        <f>$O$305*$X$305</f>
        <v>35.307705599999998</v>
      </c>
      <c r="AE305" s="6">
        <f>$K$305*$Y$305</f>
        <v>0</v>
      </c>
      <c r="AF305" s="6">
        <f ca="1">$M$305*$Z$305</f>
        <v>44.760456085283586</v>
      </c>
      <c r="AG305" s="6">
        <f>$O$305*$AA$305</f>
        <v>28.474110458570916</v>
      </c>
    </row>
    <row r="306" spans="1:33" ht="11.25" customHeight="1" x14ac:dyDescent="0.25">
      <c r="A306" s="4" t="s">
        <v>21</v>
      </c>
      <c r="B306" s="4" t="s">
        <v>38</v>
      </c>
      <c r="C306" s="4" t="s">
        <v>39</v>
      </c>
      <c r="D306" s="4" t="s">
        <v>43</v>
      </c>
      <c r="E306" s="4" t="s">
        <v>52</v>
      </c>
      <c r="F306" s="4" t="s">
        <v>25</v>
      </c>
      <c r="G306" s="4" t="s">
        <v>25</v>
      </c>
      <c r="H306" s="4" t="s">
        <v>33</v>
      </c>
      <c r="I306" s="5">
        <v>44501</v>
      </c>
      <c r="J306" s="6">
        <v>0</v>
      </c>
      <c r="K306" s="96">
        <v>0</v>
      </c>
      <c r="L306" s="6">
        <v>3.5999999999999997E-2</v>
      </c>
      <c r="M306" s="96">
        <v>3.5999999999999997E-2</v>
      </c>
      <c r="N306" s="6">
        <v>3.5999999999999997E-2</v>
      </c>
      <c r="O306" s="96">
        <v>3.5999999999999997E-2</v>
      </c>
      <c r="P306" s="6">
        <v>0</v>
      </c>
      <c r="Q306" s="4" t="s">
        <v>26</v>
      </c>
      <c r="R306" s="4">
        <v>0</v>
      </c>
      <c r="S306" s="6">
        <v>0</v>
      </c>
      <c r="T306" s="6">
        <v>21</v>
      </c>
      <c r="U306" s="6">
        <v>66</v>
      </c>
      <c r="V306" s="96">
        <f>IF(ISERROR(VLOOKUP($S$306,'TAR FIN'!$A$1:$O$86,15,0)),0,VLOOKUP($S$306,'TAR FIN'!$A$1:$O$86,15,0))</f>
        <v>0</v>
      </c>
      <c r="W306" s="96">
        <f>IF(ISERROR(VLOOKUP($T$306,'TAR FIN'!$A$1:$O$86,15,0)),0,VLOOKUP($T$306,'TAR FIN'!$A$1:$O$86,15,0))*(1-0.04)</f>
        <v>572.90879999999993</v>
      </c>
      <c r="X306" s="96">
        <f>IF(ISERROR(VLOOKUP($U$306,'TAR FIN'!$A$1:$O$86,15,0)),0,VLOOKUP($U$306,'TAR FIN'!$A$1:$O$86,15,0))*(1-0.04)</f>
        <v>483.66719999999998</v>
      </c>
      <c r="Y306" s="96"/>
      <c r="Z306" s="96">
        <f ca="1">('TUSD BE'!$AM$11+'TUSD BF'!$AM$11+'TUSD CVA'!$AM$11)*1*(1-0.02)</f>
        <v>613.15693267511767</v>
      </c>
      <c r="AA306" s="96">
        <f>('TE BE'!$AB$5+'TE BF'!$AB$5+'TE CVA'!$AB$5)*1*(1-0.02)</f>
        <v>390.05630765165643</v>
      </c>
      <c r="AB306" s="6">
        <f>$K$306*$V$306</f>
        <v>0</v>
      </c>
      <c r="AC306" s="6">
        <f>$M$306*$W$306</f>
        <v>20.624716799999995</v>
      </c>
      <c r="AD306" s="6">
        <f>$O$306*$X$306</f>
        <v>17.4120192</v>
      </c>
      <c r="AE306" s="6">
        <f>$K$306*$Y$306</f>
        <v>0</v>
      </c>
      <c r="AF306" s="6">
        <f ca="1">$M$306*$Z$306</f>
        <v>22.073649576304234</v>
      </c>
      <c r="AG306" s="6">
        <f>$O$306*$AA$306</f>
        <v>14.042027075459631</v>
      </c>
    </row>
    <row r="307" spans="1:33" ht="11.25" customHeight="1" x14ac:dyDescent="0.25">
      <c r="A307" s="4" t="s">
        <v>21</v>
      </c>
      <c r="B307" s="4" t="s">
        <v>38</v>
      </c>
      <c r="C307" s="4" t="s">
        <v>39</v>
      </c>
      <c r="D307" s="4" t="s">
        <v>43</v>
      </c>
      <c r="E307" s="4" t="s">
        <v>52</v>
      </c>
      <c r="F307" s="4" t="s">
        <v>25</v>
      </c>
      <c r="G307" s="4" t="s">
        <v>25</v>
      </c>
      <c r="H307" s="4" t="s">
        <v>33</v>
      </c>
      <c r="I307" s="5">
        <v>44531</v>
      </c>
      <c r="J307" s="6">
        <v>0</v>
      </c>
      <c r="K307" s="96">
        <v>0</v>
      </c>
      <c r="L307" s="6">
        <v>6.9000000000000006E-2</v>
      </c>
      <c r="M307" s="96">
        <v>6.9000000000000006E-2</v>
      </c>
      <c r="N307" s="6">
        <v>6.9000000000000006E-2</v>
      </c>
      <c r="O307" s="96">
        <v>6.9000000000000006E-2</v>
      </c>
      <c r="P307" s="6">
        <v>0</v>
      </c>
      <c r="Q307" s="4" t="s">
        <v>26</v>
      </c>
      <c r="R307" s="4">
        <v>0</v>
      </c>
      <c r="S307" s="6">
        <v>0</v>
      </c>
      <c r="T307" s="6">
        <v>21</v>
      </c>
      <c r="U307" s="6">
        <v>66</v>
      </c>
      <c r="V307" s="96">
        <f>IF(ISERROR(VLOOKUP($S$307,'TAR FIN'!$A$1:$O$86,15,0)),0,VLOOKUP($S$307,'TAR FIN'!$A$1:$O$86,15,0))</f>
        <v>0</v>
      </c>
      <c r="W307" s="96">
        <f>IF(ISERROR(VLOOKUP($T$307,'TAR FIN'!$A$1:$O$86,15,0)),0,VLOOKUP($T$307,'TAR FIN'!$A$1:$O$86,15,0))*(1-0.04)</f>
        <v>572.90879999999993</v>
      </c>
      <c r="X307" s="96">
        <f>IF(ISERROR(VLOOKUP($U$307,'TAR FIN'!$A$1:$O$86,15,0)),0,VLOOKUP($U$307,'TAR FIN'!$A$1:$O$86,15,0))*(1-0.04)</f>
        <v>483.66719999999998</v>
      </c>
      <c r="Y307" s="96"/>
      <c r="Z307" s="96">
        <f ca="1">('TUSD BE'!$AM$11+'TUSD BF'!$AM$11+'TUSD CVA'!$AM$11)*1*(1-0.02)</f>
        <v>613.15693267511767</v>
      </c>
      <c r="AA307" s="96">
        <f>('TE BE'!$AB$5+'TE BF'!$AB$5+'TE CVA'!$AB$5)*1*(1-0.02)</f>
        <v>390.05630765165643</v>
      </c>
      <c r="AB307" s="6">
        <f>$K$307*$V$307</f>
        <v>0</v>
      </c>
      <c r="AC307" s="6">
        <f>$M$307*$W$307</f>
        <v>39.530707199999995</v>
      </c>
      <c r="AD307" s="6">
        <f>$O$307*$X$307</f>
        <v>33.373036800000001</v>
      </c>
      <c r="AE307" s="6">
        <f>$K$307*$Y$307</f>
        <v>0</v>
      </c>
      <c r="AF307" s="6">
        <f ca="1">$M$307*$Z$307</f>
        <v>42.307828354583123</v>
      </c>
      <c r="AG307" s="6">
        <f>$O$307*$AA$307</f>
        <v>26.913885227964297</v>
      </c>
    </row>
    <row r="308" spans="1:33" ht="11.25" customHeight="1" x14ac:dyDescent="0.25">
      <c r="A308" s="4" t="s">
        <v>21</v>
      </c>
      <c r="B308" s="4" t="s">
        <v>38</v>
      </c>
      <c r="C308" s="4" t="s">
        <v>39</v>
      </c>
      <c r="D308" s="4" t="s">
        <v>43</v>
      </c>
      <c r="E308" s="4" t="s">
        <v>52</v>
      </c>
      <c r="F308" s="4" t="s">
        <v>25</v>
      </c>
      <c r="G308" s="4" t="s">
        <v>25</v>
      </c>
      <c r="H308" s="4" t="s">
        <v>33</v>
      </c>
      <c r="I308" s="5">
        <v>44562</v>
      </c>
      <c r="J308" s="6">
        <v>0</v>
      </c>
      <c r="K308" s="96">
        <v>0</v>
      </c>
      <c r="L308" s="6">
        <v>0.153</v>
      </c>
      <c r="M308" s="96">
        <v>0.153</v>
      </c>
      <c r="N308" s="6">
        <v>0.153</v>
      </c>
      <c r="O308" s="96">
        <v>0.153</v>
      </c>
      <c r="P308" s="6">
        <v>0</v>
      </c>
      <c r="Q308" s="4" t="s">
        <v>26</v>
      </c>
      <c r="R308" s="4">
        <v>0</v>
      </c>
      <c r="S308" s="6">
        <v>0</v>
      </c>
      <c r="T308" s="6">
        <v>21</v>
      </c>
      <c r="U308" s="6">
        <v>66</v>
      </c>
      <c r="V308" s="96">
        <f>IF(ISERROR(VLOOKUP($S$308,'TAR FIN'!$A$1:$O$86,15,0)),0,VLOOKUP($S$308,'TAR FIN'!$A$1:$O$86,15,0))</f>
        <v>0</v>
      </c>
      <c r="W308" s="96">
        <f>IF(ISERROR(VLOOKUP($T$308,'TAR FIN'!$A$1:$O$86,15,0)),0,VLOOKUP($T$308,'TAR FIN'!$A$1:$O$86,15,0))*(1-0.04)</f>
        <v>572.90879999999993</v>
      </c>
      <c r="X308" s="96">
        <f>IF(ISERROR(VLOOKUP($U$308,'TAR FIN'!$A$1:$O$86,15,0)),0,VLOOKUP($U$308,'TAR FIN'!$A$1:$O$86,15,0))*(1-0.04)</f>
        <v>483.66719999999998</v>
      </c>
      <c r="Y308" s="96"/>
      <c r="Z308" s="96">
        <f ca="1">('TUSD BE'!$AM$11+'TUSD BF'!$AM$11+'TUSD CVA'!$AM$11)*1*(1-0.02)</f>
        <v>613.15693267511767</v>
      </c>
      <c r="AA308" s="96">
        <f>('TE BE'!$AB$5+'TE BF'!$AB$5+'TE CVA'!$AB$5)*1*(1-0.02)</f>
        <v>390.05630765165643</v>
      </c>
      <c r="AB308" s="6">
        <f>$K$308*$V$308</f>
        <v>0</v>
      </c>
      <c r="AC308" s="6">
        <f>$M$308*$W$308</f>
        <v>87.655046399999989</v>
      </c>
      <c r="AD308" s="6">
        <f>$O$308*$X$308</f>
        <v>74.001081599999992</v>
      </c>
      <c r="AE308" s="6">
        <f>$K$308*$Y$308</f>
        <v>0</v>
      </c>
      <c r="AF308" s="6">
        <f ca="1">$M$308*$Z$308</f>
        <v>93.813010699293002</v>
      </c>
      <c r="AG308" s="6">
        <f>$O$308*$AA$308</f>
        <v>59.67861507070343</v>
      </c>
    </row>
    <row r="309" spans="1:33" ht="11.25" customHeight="1" x14ac:dyDescent="0.25">
      <c r="A309" s="4" t="s">
        <v>21</v>
      </c>
      <c r="B309" s="4" t="s">
        <v>38</v>
      </c>
      <c r="C309" s="4" t="s">
        <v>39</v>
      </c>
      <c r="D309" s="4" t="s">
        <v>43</v>
      </c>
      <c r="E309" s="4" t="s">
        <v>52</v>
      </c>
      <c r="F309" s="4" t="s">
        <v>25</v>
      </c>
      <c r="G309" s="4" t="s">
        <v>25</v>
      </c>
      <c r="H309" s="4" t="s">
        <v>33</v>
      </c>
      <c r="I309" s="5">
        <v>44593</v>
      </c>
      <c r="J309" s="6">
        <v>0</v>
      </c>
      <c r="K309" s="96">
        <v>0</v>
      </c>
      <c r="L309" s="6">
        <v>0.125</v>
      </c>
      <c r="M309" s="96">
        <v>0.125</v>
      </c>
      <c r="N309" s="6">
        <v>0.125</v>
      </c>
      <c r="O309" s="96">
        <v>0.125</v>
      </c>
      <c r="P309" s="6">
        <v>0</v>
      </c>
      <c r="Q309" s="4" t="s">
        <v>26</v>
      </c>
      <c r="R309" s="4">
        <v>0</v>
      </c>
      <c r="S309" s="6">
        <v>0</v>
      </c>
      <c r="T309" s="6">
        <v>21</v>
      </c>
      <c r="U309" s="6">
        <v>66</v>
      </c>
      <c r="V309" s="96">
        <f>IF(ISERROR(VLOOKUP($S$309,'TAR FIN'!$A$1:$O$86,15,0)),0,VLOOKUP($S$309,'TAR FIN'!$A$1:$O$86,15,0))</f>
        <v>0</v>
      </c>
      <c r="W309" s="96">
        <f>IF(ISERROR(VLOOKUP($T$309,'TAR FIN'!$A$1:$O$86,15,0)),0,VLOOKUP($T$309,'TAR FIN'!$A$1:$O$86,15,0))*(1-0.04)</f>
        <v>572.90879999999993</v>
      </c>
      <c r="X309" s="96">
        <f>IF(ISERROR(VLOOKUP($U$309,'TAR FIN'!$A$1:$O$86,15,0)),0,VLOOKUP($U$309,'TAR FIN'!$A$1:$O$86,15,0))*(1-0.04)</f>
        <v>483.66719999999998</v>
      </c>
      <c r="Y309" s="96"/>
      <c r="Z309" s="96">
        <f ca="1">('TUSD BE'!$AM$11+'TUSD BF'!$AM$11+'TUSD CVA'!$AM$11)*1*(1-0.02)</f>
        <v>613.15693267511767</v>
      </c>
      <c r="AA309" s="96">
        <f>('TE BE'!$AB$5+'TE BF'!$AB$5+'TE CVA'!$AB$5)*1*(1-0.02)</f>
        <v>390.05630765165643</v>
      </c>
      <c r="AB309" s="6">
        <f>$K$309*$V$309</f>
        <v>0</v>
      </c>
      <c r="AC309" s="6">
        <f>$M$309*$W$309</f>
        <v>71.613599999999991</v>
      </c>
      <c r="AD309" s="6">
        <f>$O$309*$X$309</f>
        <v>60.458399999999997</v>
      </c>
      <c r="AE309" s="6">
        <f>$K$309*$Y$309</f>
        <v>0</v>
      </c>
      <c r="AF309" s="6">
        <f ca="1">$M$309*$Z$309</f>
        <v>76.644616584389709</v>
      </c>
      <c r="AG309" s="6">
        <f>$O$309*$AA$309</f>
        <v>48.757038456457053</v>
      </c>
    </row>
    <row r="310" spans="1:33" ht="11.25" customHeight="1" x14ac:dyDescent="0.25">
      <c r="A310" s="4" t="s">
        <v>21</v>
      </c>
      <c r="B310" s="4" t="s">
        <v>38</v>
      </c>
      <c r="C310" s="4" t="s">
        <v>39</v>
      </c>
      <c r="D310" s="4" t="s">
        <v>43</v>
      </c>
      <c r="E310" s="4" t="s">
        <v>52</v>
      </c>
      <c r="F310" s="4" t="s">
        <v>25</v>
      </c>
      <c r="G310" s="4" t="s">
        <v>25</v>
      </c>
      <c r="H310" s="4" t="s">
        <v>33</v>
      </c>
      <c r="I310" s="5">
        <v>44621</v>
      </c>
      <c r="J310" s="6">
        <v>0</v>
      </c>
      <c r="K310" s="96">
        <v>0</v>
      </c>
      <c r="L310" s="6">
        <v>6.8000000000000005E-2</v>
      </c>
      <c r="M310" s="96">
        <v>6.8000000000000005E-2</v>
      </c>
      <c r="N310" s="6">
        <v>6.8000000000000005E-2</v>
      </c>
      <c r="O310" s="96">
        <v>6.8000000000000005E-2</v>
      </c>
      <c r="P310" s="6">
        <v>0</v>
      </c>
      <c r="Q310" s="4" t="s">
        <v>26</v>
      </c>
      <c r="R310" s="4">
        <v>0</v>
      </c>
      <c r="S310" s="6">
        <v>0</v>
      </c>
      <c r="T310" s="6">
        <v>21</v>
      </c>
      <c r="U310" s="6">
        <v>66</v>
      </c>
      <c r="V310" s="96">
        <f>IF(ISERROR(VLOOKUP($S$310,'TAR FIN'!$A$1:$O$86,15,0)),0,VLOOKUP($S$310,'TAR FIN'!$A$1:$O$86,15,0))</f>
        <v>0</v>
      </c>
      <c r="W310" s="96">
        <f>IF(ISERROR(VLOOKUP($T$310,'TAR FIN'!$A$1:$O$86,15,0)),0,VLOOKUP($T$310,'TAR FIN'!$A$1:$O$86,15,0))*(1-0.04)</f>
        <v>572.90879999999993</v>
      </c>
      <c r="X310" s="96">
        <f>IF(ISERROR(VLOOKUP($U$310,'TAR FIN'!$A$1:$O$86,15,0)),0,VLOOKUP($U$310,'TAR FIN'!$A$1:$O$86,15,0))*(1-0.04)</f>
        <v>483.66719999999998</v>
      </c>
      <c r="Y310" s="96"/>
      <c r="Z310" s="96">
        <f ca="1">('TUSD BE'!$AM$11+'TUSD BF'!$AM$11+'TUSD CVA'!$AM$11)*1*(1-0.02)</f>
        <v>613.15693267511767</v>
      </c>
      <c r="AA310" s="96">
        <f>('TE BE'!$AB$5+'TE BF'!$AB$5+'TE CVA'!$AB$5)*1*(1-0.02)</f>
        <v>390.05630765165643</v>
      </c>
      <c r="AB310" s="6">
        <f>$K$310*$V$310</f>
        <v>0</v>
      </c>
      <c r="AC310" s="6">
        <f>$M$310*$W$310</f>
        <v>38.957798399999994</v>
      </c>
      <c r="AD310" s="6">
        <f>$O$310*$X$310</f>
        <v>32.889369600000002</v>
      </c>
      <c r="AE310" s="6">
        <f>$K$310*$Y$310</f>
        <v>0</v>
      </c>
      <c r="AF310" s="6">
        <f ca="1">$M$310*$Z$310</f>
        <v>41.694671421908005</v>
      </c>
      <c r="AG310" s="6">
        <f>$O$310*$AA$310</f>
        <v>26.523828920312639</v>
      </c>
    </row>
    <row r="311" spans="1:33" ht="11.25" customHeight="1" x14ac:dyDescent="0.25">
      <c r="A311" s="4" t="s">
        <v>21</v>
      </c>
      <c r="B311" s="4" t="s">
        <v>38</v>
      </c>
      <c r="C311" s="4" t="s">
        <v>39</v>
      </c>
      <c r="D311" s="4" t="s">
        <v>43</v>
      </c>
      <c r="E311" s="4" t="s">
        <v>52</v>
      </c>
      <c r="F311" s="4" t="s">
        <v>25</v>
      </c>
      <c r="G311" s="4" t="s">
        <v>25</v>
      </c>
      <c r="H311" s="4" t="s">
        <v>33</v>
      </c>
      <c r="I311" s="5">
        <v>44652</v>
      </c>
      <c r="J311" s="6">
        <v>0</v>
      </c>
      <c r="K311" s="96">
        <v>0</v>
      </c>
      <c r="L311" s="6">
        <v>9.5000000000000001E-2</v>
      </c>
      <c r="M311" s="96">
        <v>9.5000000000000001E-2</v>
      </c>
      <c r="N311" s="6">
        <v>9.5000000000000001E-2</v>
      </c>
      <c r="O311" s="96">
        <v>9.5000000000000001E-2</v>
      </c>
      <c r="P311" s="6">
        <v>0</v>
      </c>
      <c r="Q311" s="4" t="s">
        <v>26</v>
      </c>
      <c r="R311" s="4">
        <v>0</v>
      </c>
      <c r="S311" s="6">
        <v>0</v>
      </c>
      <c r="T311" s="6">
        <v>21</v>
      </c>
      <c r="U311" s="6">
        <v>66</v>
      </c>
      <c r="V311" s="96">
        <f>IF(ISERROR(VLOOKUP($S$311,'TAR FIN'!$A$1:$O$86,15,0)),0,VLOOKUP($S$311,'TAR FIN'!$A$1:$O$86,15,0))</f>
        <v>0</v>
      </c>
      <c r="W311" s="96">
        <f>IF(ISERROR(VLOOKUP($T$311,'TAR FIN'!$A$1:$O$86,15,0)),0,VLOOKUP($T$311,'TAR FIN'!$A$1:$O$86,15,0))*(1-0.04)</f>
        <v>572.90879999999993</v>
      </c>
      <c r="X311" s="96">
        <f>IF(ISERROR(VLOOKUP($U$311,'TAR FIN'!$A$1:$O$86,15,0)),0,VLOOKUP($U$311,'TAR FIN'!$A$1:$O$86,15,0))*(1-0.04)</f>
        <v>483.66719999999998</v>
      </c>
      <c r="Y311" s="96"/>
      <c r="Z311" s="96">
        <f ca="1">('TUSD BE'!$AM$11+'TUSD BF'!$AM$11+'TUSD CVA'!$AM$11)*1*(1-0.02)</f>
        <v>613.15693267511767</v>
      </c>
      <c r="AA311" s="96">
        <f>('TE BE'!$AB$5+'TE BF'!$AB$5+'TE CVA'!$AB$5)*1*(1-0.02)</f>
        <v>390.05630765165643</v>
      </c>
      <c r="AB311" s="6">
        <f>$K$311*$V$311</f>
        <v>0</v>
      </c>
      <c r="AC311" s="6">
        <f>$M$311*$W$311</f>
        <v>54.426335999999992</v>
      </c>
      <c r="AD311" s="6">
        <f>$O$311*$X$311</f>
        <v>45.948383999999997</v>
      </c>
      <c r="AE311" s="6">
        <f>$K$311*$Y$311</f>
        <v>0</v>
      </c>
      <c r="AF311" s="6">
        <f ca="1">$M$311*$Z$311</f>
        <v>58.249908604136181</v>
      </c>
      <c r="AG311" s="6">
        <f>$O$311*$AA$311</f>
        <v>37.05534922690736</v>
      </c>
    </row>
    <row r="312" spans="1:33" ht="11.25" customHeight="1" x14ac:dyDescent="0.25">
      <c r="A312" s="4" t="s">
        <v>21</v>
      </c>
      <c r="B312" s="4" t="s">
        <v>38</v>
      </c>
      <c r="C312" s="4" t="s">
        <v>39</v>
      </c>
      <c r="D312" s="4" t="s">
        <v>43</v>
      </c>
      <c r="E312" s="4" t="s">
        <v>52</v>
      </c>
      <c r="F312" s="4" t="s">
        <v>25</v>
      </c>
      <c r="G312" s="4" t="s">
        <v>25</v>
      </c>
      <c r="H312" s="4" t="s">
        <v>33</v>
      </c>
      <c r="I312" s="5">
        <v>44682</v>
      </c>
      <c r="J312" s="6">
        <v>0</v>
      </c>
      <c r="K312" s="96">
        <v>0</v>
      </c>
      <c r="L312" s="6">
        <v>0.111</v>
      </c>
      <c r="M312" s="96">
        <v>0.111</v>
      </c>
      <c r="N312" s="6">
        <v>0.111</v>
      </c>
      <c r="O312" s="96">
        <v>0.111</v>
      </c>
      <c r="P312" s="6">
        <v>0</v>
      </c>
      <c r="Q312" s="4" t="s">
        <v>26</v>
      </c>
      <c r="R312" s="4">
        <v>0</v>
      </c>
      <c r="S312" s="6">
        <v>0</v>
      </c>
      <c r="T312" s="6">
        <v>21</v>
      </c>
      <c r="U312" s="6">
        <v>66</v>
      </c>
      <c r="V312" s="96">
        <f>IF(ISERROR(VLOOKUP($S$312,'TAR FIN'!$A$1:$O$86,15,0)),0,VLOOKUP($S$312,'TAR FIN'!$A$1:$O$86,15,0))</f>
        <v>0</v>
      </c>
      <c r="W312" s="96">
        <f>IF(ISERROR(VLOOKUP($T$312,'TAR FIN'!$A$1:$O$86,15,0)),0,VLOOKUP($T$312,'TAR FIN'!$A$1:$O$86,15,0))*(1-0.04)</f>
        <v>572.90879999999993</v>
      </c>
      <c r="X312" s="96">
        <f>IF(ISERROR(VLOOKUP($U$312,'TAR FIN'!$A$1:$O$86,15,0)),0,VLOOKUP($U$312,'TAR FIN'!$A$1:$O$86,15,0))*(1-0.04)</f>
        <v>483.66719999999998</v>
      </c>
      <c r="Y312" s="96"/>
      <c r="Z312" s="96">
        <f ca="1">('TUSD BE'!$AM$11+'TUSD BF'!$AM$11+'TUSD CVA'!$AM$11)*1*(1-0.02)</f>
        <v>613.15693267511767</v>
      </c>
      <c r="AA312" s="96">
        <f>('TE BE'!$AB$5+'TE BF'!$AB$5+'TE CVA'!$AB$5)*1*(1-0.02)</f>
        <v>390.05630765165643</v>
      </c>
      <c r="AB312" s="6">
        <f>$K$312*$V$312</f>
        <v>0</v>
      </c>
      <c r="AC312" s="6">
        <f>$M$312*$W$312</f>
        <v>63.592876799999992</v>
      </c>
      <c r="AD312" s="6">
        <f>$O$312*$X$312</f>
        <v>53.6870592</v>
      </c>
      <c r="AE312" s="6">
        <f>$K$312*$Y$312</f>
        <v>0</v>
      </c>
      <c r="AF312" s="6">
        <f ca="1">$M$312*$Z$312</f>
        <v>68.060419526938063</v>
      </c>
      <c r="AG312" s="6">
        <f>$O$312*$AA$312</f>
        <v>43.296250149333865</v>
      </c>
    </row>
    <row r="313" spans="1:33" ht="11.25" customHeight="1" x14ac:dyDescent="0.25">
      <c r="A313" s="4" t="s">
        <v>55</v>
      </c>
      <c r="B313" s="4" t="s">
        <v>38</v>
      </c>
      <c r="C313" s="4" t="s">
        <v>39</v>
      </c>
      <c r="D313" s="4" t="s">
        <v>43</v>
      </c>
      <c r="E313" s="4" t="s">
        <v>52</v>
      </c>
      <c r="F313" s="4" t="s">
        <v>25</v>
      </c>
      <c r="G313" s="4" t="s">
        <v>25</v>
      </c>
      <c r="H313" s="4" t="s">
        <v>33</v>
      </c>
      <c r="I313" s="5">
        <v>44713</v>
      </c>
      <c r="J313" s="6">
        <v>0</v>
      </c>
      <c r="K313" s="96">
        <v>0</v>
      </c>
      <c r="L313" s="6">
        <v>0.111</v>
      </c>
      <c r="M313" s="96">
        <v>0.111</v>
      </c>
      <c r="N313" s="6">
        <v>0.111</v>
      </c>
      <c r="O313" s="96">
        <v>0.111</v>
      </c>
      <c r="P313" s="6">
        <v>0</v>
      </c>
      <c r="Q313" s="4" t="s">
        <v>26</v>
      </c>
      <c r="R313" s="4">
        <v>0</v>
      </c>
      <c r="S313" s="6">
        <v>0</v>
      </c>
      <c r="T313" s="6">
        <v>21</v>
      </c>
      <c r="U313" s="6">
        <v>66</v>
      </c>
      <c r="V313" s="96">
        <f>IF(ISERROR(VLOOKUP($S$313,'TAR FIN'!$A$1:$O$86,15,0)),0,VLOOKUP($S$313,'TAR FIN'!$A$1:$O$86,15,0))</f>
        <v>0</v>
      </c>
      <c r="W313" s="96">
        <f>IF(ISERROR(VLOOKUP($T$313,'TAR FIN'!$A$1:$O$86,15,0)),0,VLOOKUP($T$313,'TAR FIN'!$A$1:$O$86,15,0))*(1-0.04)</f>
        <v>572.90879999999993</v>
      </c>
      <c r="X313" s="96">
        <f>IF(ISERROR(VLOOKUP($U$313,'TAR FIN'!$A$1:$O$86,15,0)),0,VLOOKUP($U$313,'TAR FIN'!$A$1:$O$86,15,0))*(1-0.04)</f>
        <v>483.66719999999998</v>
      </c>
      <c r="Y313" s="96"/>
      <c r="Z313" s="96">
        <f ca="1">('TUSD BE'!$AM$11+'TUSD BF'!$AM$11+'TUSD CVA'!$AM$11)*1*(1-0.02)</f>
        <v>613.15693267511767</v>
      </c>
      <c r="AA313" s="96">
        <f>('TE BE'!$AB$5+'TE BF'!$AB$5+'TE CVA'!$AB$5)*1*(1-0.02)</f>
        <v>390.05630765165643</v>
      </c>
      <c r="AB313" s="6">
        <f>$K$313*$V$313</f>
        <v>0</v>
      </c>
      <c r="AC313" s="6">
        <f>$M$313*$W$313</f>
        <v>63.592876799999992</v>
      </c>
      <c r="AD313" s="6">
        <f>$O$313*$X$313</f>
        <v>53.6870592</v>
      </c>
      <c r="AE313" s="6">
        <f>$K$313*$Y$313</f>
        <v>0</v>
      </c>
      <c r="AF313" s="6">
        <f ca="1">$M$313*$Z$313</f>
        <v>68.060419526938063</v>
      </c>
      <c r="AG313" s="6">
        <f>$O$313*$AA$313</f>
        <v>43.296250149333865</v>
      </c>
    </row>
    <row r="314" spans="1:33" ht="11.25" customHeight="1" x14ac:dyDescent="0.25">
      <c r="A314" s="4" t="s">
        <v>21</v>
      </c>
      <c r="B314" s="4" t="s">
        <v>38</v>
      </c>
      <c r="C314" s="4" t="s">
        <v>39</v>
      </c>
      <c r="D314" s="4" t="s">
        <v>43</v>
      </c>
      <c r="E314" s="4" t="s">
        <v>25</v>
      </c>
      <c r="F314" s="4" t="s">
        <v>25</v>
      </c>
      <c r="G314" s="4" t="s">
        <v>25</v>
      </c>
      <c r="H314" s="4" t="s">
        <v>34</v>
      </c>
      <c r="I314" s="5">
        <v>44378</v>
      </c>
      <c r="J314" s="6">
        <v>0</v>
      </c>
      <c r="K314" s="96">
        <v>0</v>
      </c>
      <c r="L314" s="6">
        <v>82.04</v>
      </c>
      <c r="M314" s="96">
        <v>82.04</v>
      </c>
      <c r="N314" s="6">
        <v>82.04</v>
      </c>
      <c r="O314" s="96">
        <v>82.04</v>
      </c>
      <c r="P314" s="6">
        <v>0</v>
      </c>
      <c r="Q314" s="4" t="s">
        <v>26</v>
      </c>
      <c r="R314" s="4">
        <v>0</v>
      </c>
      <c r="S314" s="6">
        <v>0</v>
      </c>
      <c r="T314" s="6">
        <v>17</v>
      </c>
      <c r="U314" s="6">
        <v>78</v>
      </c>
      <c r="V314" s="96">
        <f>IF(ISERROR(VLOOKUP($S$314,'TAR FIN'!$A$1:$O$86,15,0)),0,VLOOKUP($S$314,'TAR FIN'!$A$1:$O$86,15,0))</f>
        <v>0</v>
      </c>
      <c r="W314" s="96">
        <f>IF(ISERROR(VLOOKUP($T$314,'TAR FIN'!$A$1:$O$86,15,0)),0,VLOOKUP($T$314,'TAR FIN'!$A$1:$O$86,15,0))*(1-0.04)</f>
        <v>68.409599999999998</v>
      </c>
      <c r="X314" s="96">
        <f>IF(ISERROR(VLOOKUP($U$314,'TAR FIN'!$A$1:$O$86,15,0)),0,VLOOKUP($U$314,'TAR FIN'!$A$1:$O$86,15,0))*(1-0.04)</f>
        <v>285.41759999999999</v>
      </c>
      <c r="Y314" s="96"/>
      <c r="Z314" s="96">
        <f ca="1">('TUSD BE'!$AM$12+'TUSD BF'!$AM$12+'TUSD CVA'!$AM$12)*1*(1-0.02)</f>
        <v>93.899139140559214</v>
      </c>
      <c r="AA314" s="96">
        <f>('TE BE'!$AB$6+'TE BF'!$AB$6+'TE CVA'!$AB$6)*1*(1-0.02)</f>
        <v>230.63309335138217</v>
      </c>
      <c r="AB314" s="6">
        <f>$K$314*$V$314</f>
        <v>0</v>
      </c>
      <c r="AC314" s="6">
        <f>$M$314*$W$314</f>
        <v>5612.3235840000007</v>
      </c>
      <c r="AD314" s="6">
        <f>$O$314*$X$314</f>
        <v>23415.659904</v>
      </c>
      <c r="AE314" s="6">
        <f>$K$314*$Y$314</f>
        <v>0</v>
      </c>
      <c r="AF314" s="6">
        <f ca="1">$M$314*$Z$314</f>
        <v>7703.4853750914781</v>
      </c>
      <c r="AG314" s="6">
        <f>$O$314*$AA$314</f>
        <v>18921.138978547395</v>
      </c>
    </row>
    <row r="315" spans="1:33" ht="11.25" customHeight="1" x14ac:dyDescent="0.25">
      <c r="A315" s="4" t="s">
        <v>21</v>
      </c>
      <c r="B315" s="4" t="s">
        <v>38</v>
      </c>
      <c r="C315" s="4" t="s">
        <v>39</v>
      </c>
      <c r="D315" s="4" t="s">
        <v>43</v>
      </c>
      <c r="E315" s="4" t="s">
        <v>25</v>
      </c>
      <c r="F315" s="4" t="s">
        <v>25</v>
      </c>
      <c r="G315" s="4" t="s">
        <v>25</v>
      </c>
      <c r="H315" s="4" t="s">
        <v>34</v>
      </c>
      <c r="I315" s="5">
        <v>44409</v>
      </c>
      <c r="J315" s="6">
        <v>0</v>
      </c>
      <c r="K315" s="96">
        <v>0</v>
      </c>
      <c r="L315" s="6">
        <v>76.536000000000001</v>
      </c>
      <c r="M315" s="96">
        <v>76.536000000000001</v>
      </c>
      <c r="N315" s="6">
        <v>76.536000000000001</v>
      </c>
      <c r="O315" s="96">
        <v>76.536000000000001</v>
      </c>
      <c r="P315" s="6">
        <v>0</v>
      </c>
      <c r="Q315" s="4" t="s">
        <v>26</v>
      </c>
      <c r="R315" s="4">
        <v>0</v>
      </c>
      <c r="S315" s="6">
        <v>0</v>
      </c>
      <c r="T315" s="6">
        <v>17</v>
      </c>
      <c r="U315" s="6">
        <v>78</v>
      </c>
      <c r="V315" s="96">
        <f>IF(ISERROR(VLOOKUP($S$315,'TAR FIN'!$A$1:$O$86,15,0)),0,VLOOKUP($S$315,'TAR FIN'!$A$1:$O$86,15,0))</f>
        <v>0</v>
      </c>
      <c r="W315" s="96">
        <f>IF(ISERROR(VLOOKUP($T$315,'TAR FIN'!$A$1:$O$86,15,0)),0,VLOOKUP($T$315,'TAR FIN'!$A$1:$O$86,15,0))*(1-0.04)</f>
        <v>68.409599999999998</v>
      </c>
      <c r="X315" s="96">
        <f>IF(ISERROR(VLOOKUP($U$315,'TAR FIN'!$A$1:$O$86,15,0)),0,VLOOKUP($U$315,'TAR FIN'!$A$1:$O$86,15,0))*(1-0.04)</f>
        <v>285.41759999999999</v>
      </c>
      <c r="Y315" s="96"/>
      <c r="Z315" s="96">
        <f ca="1">('TUSD BE'!$AM$12+'TUSD BF'!$AM$12+'TUSD CVA'!$AM$12)*1*(1-0.02)</f>
        <v>93.899139140559214</v>
      </c>
      <c r="AA315" s="96">
        <f>('TE BE'!$AB$6+'TE BF'!$AB$6+'TE CVA'!$AB$6)*1*(1-0.02)</f>
        <v>230.63309335138217</v>
      </c>
      <c r="AB315" s="6">
        <f>$K$315*$V$315</f>
        <v>0</v>
      </c>
      <c r="AC315" s="6">
        <f>$M$315*$W$315</f>
        <v>5235.7971455999996</v>
      </c>
      <c r="AD315" s="6">
        <f>$O$315*$X$315</f>
        <v>21844.7214336</v>
      </c>
      <c r="AE315" s="6">
        <f>$K$315*$Y$315</f>
        <v>0</v>
      </c>
      <c r="AF315" s="6">
        <f ca="1">$M$315*$Z$315</f>
        <v>7186.6645132618405</v>
      </c>
      <c r="AG315" s="6">
        <f>$O$315*$AA$315</f>
        <v>17651.734432741385</v>
      </c>
    </row>
    <row r="316" spans="1:33" ht="11.25" customHeight="1" x14ac:dyDescent="0.25">
      <c r="A316" s="4" t="s">
        <v>21</v>
      </c>
      <c r="B316" s="4" t="s">
        <v>38</v>
      </c>
      <c r="C316" s="4" t="s">
        <v>39</v>
      </c>
      <c r="D316" s="4" t="s">
        <v>43</v>
      </c>
      <c r="E316" s="4" t="s">
        <v>25</v>
      </c>
      <c r="F316" s="4" t="s">
        <v>25</v>
      </c>
      <c r="G316" s="4" t="s">
        <v>25</v>
      </c>
      <c r="H316" s="4" t="s">
        <v>34</v>
      </c>
      <c r="I316" s="5">
        <v>44440</v>
      </c>
      <c r="J316" s="6">
        <v>0</v>
      </c>
      <c r="K316" s="96">
        <v>0</v>
      </c>
      <c r="L316" s="6">
        <v>74.075999999999993</v>
      </c>
      <c r="M316" s="96">
        <v>74.075999999999993</v>
      </c>
      <c r="N316" s="6">
        <v>74.075999999999993</v>
      </c>
      <c r="O316" s="96">
        <v>74.075999999999993</v>
      </c>
      <c r="P316" s="6">
        <v>0</v>
      </c>
      <c r="Q316" s="4" t="s">
        <v>26</v>
      </c>
      <c r="R316" s="4">
        <v>0</v>
      </c>
      <c r="S316" s="6">
        <v>0</v>
      </c>
      <c r="T316" s="6">
        <v>17</v>
      </c>
      <c r="U316" s="6">
        <v>78</v>
      </c>
      <c r="V316" s="96">
        <f>IF(ISERROR(VLOOKUP($S$316,'TAR FIN'!$A$1:$O$86,15,0)),0,VLOOKUP($S$316,'TAR FIN'!$A$1:$O$86,15,0))</f>
        <v>0</v>
      </c>
      <c r="W316" s="96">
        <f>IF(ISERROR(VLOOKUP($T$316,'TAR FIN'!$A$1:$O$86,15,0)),0,VLOOKUP($T$316,'TAR FIN'!$A$1:$O$86,15,0))*(1-0.04)</f>
        <v>68.409599999999998</v>
      </c>
      <c r="X316" s="96">
        <f>IF(ISERROR(VLOOKUP($U$316,'TAR FIN'!$A$1:$O$86,15,0)),0,VLOOKUP($U$316,'TAR FIN'!$A$1:$O$86,15,0))*(1-0.04)</f>
        <v>285.41759999999999</v>
      </c>
      <c r="Y316" s="96"/>
      <c r="Z316" s="96">
        <f ca="1">('TUSD BE'!$AM$12+'TUSD BF'!$AM$12+'TUSD CVA'!$AM$12)*1*(1-0.02)</f>
        <v>93.899139140559214</v>
      </c>
      <c r="AA316" s="96">
        <f>('TE BE'!$AB$6+'TE BF'!$AB$6+'TE CVA'!$AB$6)*1*(1-0.02)</f>
        <v>230.63309335138217</v>
      </c>
      <c r="AB316" s="6">
        <f>$K$316*$V$316</f>
        <v>0</v>
      </c>
      <c r="AC316" s="6">
        <f>$M$316*$W$316</f>
        <v>5067.509529599999</v>
      </c>
      <c r="AD316" s="6">
        <f>$O$316*$X$316</f>
        <v>21142.594137599997</v>
      </c>
      <c r="AE316" s="6">
        <f>$K$316*$Y$316</f>
        <v>0</v>
      </c>
      <c r="AF316" s="6">
        <f ca="1">$M$316*$Z$316</f>
        <v>6955.6726309760634</v>
      </c>
      <c r="AG316" s="6">
        <f>$O$316*$AA$316</f>
        <v>17084.377023096986</v>
      </c>
    </row>
    <row r="317" spans="1:33" ht="11.25" customHeight="1" x14ac:dyDescent="0.25">
      <c r="A317" s="4" t="s">
        <v>21</v>
      </c>
      <c r="B317" s="4" t="s">
        <v>38</v>
      </c>
      <c r="C317" s="4" t="s">
        <v>39</v>
      </c>
      <c r="D317" s="4" t="s">
        <v>43</v>
      </c>
      <c r="E317" s="4" t="s">
        <v>25</v>
      </c>
      <c r="F317" s="4" t="s">
        <v>25</v>
      </c>
      <c r="G317" s="4" t="s">
        <v>25</v>
      </c>
      <c r="H317" s="4" t="s">
        <v>34</v>
      </c>
      <c r="I317" s="5">
        <v>44470</v>
      </c>
      <c r="J317" s="6">
        <v>0</v>
      </c>
      <c r="K317" s="96">
        <v>0</v>
      </c>
      <c r="L317" s="6">
        <v>79.597999999999999</v>
      </c>
      <c r="M317" s="96">
        <v>79.597999999999999</v>
      </c>
      <c r="N317" s="6">
        <v>79.597999999999999</v>
      </c>
      <c r="O317" s="96">
        <v>79.597999999999999</v>
      </c>
      <c r="P317" s="6">
        <v>0</v>
      </c>
      <c r="Q317" s="4" t="s">
        <v>26</v>
      </c>
      <c r="R317" s="4">
        <v>0</v>
      </c>
      <c r="S317" s="6">
        <v>0</v>
      </c>
      <c r="T317" s="6">
        <v>17</v>
      </c>
      <c r="U317" s="6">
        <v>78</v>
      </c>
      <c r="V317" s="96">
        <f>IF(ISERROR(VLOOKUP($S$317,'TAR FIN'!$A$1:$O$86,15,0)),0,VLOOKUP($S$317,'TAR FIN'!$A$1:$O$86,15,0))</f>
        <v>0</v>
      </c>
      <c r="W317" s="96">
        <f>IF(ISERROR(VLOOKUP($T$317,'TAR FIN'!$A$1:$O$86,15,0)),0,VLOOKUP($T$317,'TAR FIN'!$A$1:$O$86,15,0))*(1-0.04)</f>
        <v>68.409599999999998</v>
      </c>
      <c r="X317" s="96">
        <f>IF(ISERROR(VLOOKUP($U$317,'TAR FIN'!$A$1:$O$86,15,0)),0,VLOOKUP($U$317,'TAR FIN'!$A$1:$O$86,15,0))*(1-0.04)</f>
        <v>285.41759999999999</v>
      </c>
      <c r="Y317" s="96"/>
      <c r="Z317" s="96">
        <f ca="1">('TUSD BE'!$AM$12+'TUSD BF'!$AM$12+'TUSD CVA'!$AM$12)*1*(1-0.02)</f>
        <v>93.899139140559214</v>
      </c>
      <c r="AA317" s="96">
        <f>('TE BE'!$AB$6+'TE BF'!$AB$6+'TE CVA'!$AB$6)*1*(1-0.02)</f>
        <v>230.63309335138217</v>
      </c>
      <c r="AB317" s="6">
        <f>$K$317*$V$317</f>
        <v>0</v>
      </c>
      <c r="AC317" s="6">
        <f>$M$317*$W$317</f>
        <v>5445.2673408000001</v>
      </c>
      <c r="AD317" s="6">
        <f>$O$317*$X$317</f>
        <v>22718.670124799999</v>
      </c>
      <c r="AE317" s="6">
        <f>$K$317*$Y$317</f>
        <v>0</v>
      </c>
      <c r="AF317" s="6">
        <f ca="1">$M$317*$Z$317</f>
        <v>7474.1836773102323</v>
      </c>
      <c r="AG317" s="6">
        <f>$O$317*$AA$317</f>
        <v>18357.932964583317</v>
      </c>
    </row>
    <row r="318" spans="1:33" ht="11.25" customHeight="1" x14ac:dyDescent="0.25">
      <c r="A318" s="4" t="s">
        <v>21</v>
      </c>
      <c r="B318" s="4" t="s">
        <v>38</v>
      </c>
      <c r="C318" s="4" t="s">
        <v>39</v>
      </c>
      <c r="D318" s="4" t="s">
        <v>43</v>
      </c>
      <c r="E318" s="4" t="s">
        <v>25</v>
      </c>
      <c r="F318" s="4" t="s">
        <v>25</v>
      </c>
      <c r="G318" s="4" t="s">
        <v>25</v>
      </c>
      <c r="H318" s="4" t="s">
        <v>34</v>
      </c>
      <c r="I318" s="5">
        <v>44501</v>
      </c>
      <c r="J318" s="6">
        <v>0</v>
      </c>
      <c r="K318" s="96">
        <v>0</v>
      </c>
      <c r="L318" s="6">
        <v>105.44</v>
      </c>
      <c r="M318" s="96">
        <v>105.44</v>
      </c>
      <c r="N318" s="6">
        <v>105.44</v>
      </c>
      <c r="O318" s="96">
        <v>105.44</v>
      </c>
      <c r="P318" s="6">
        <v>0</v>
      </c>
      <c r="Q318" s="4" t="s">
        <v>26</v>
      </c>
      <c r="R318" s="4">
        <v>0</v>
      </c>
      <c r="S318" s="6">
        <v>0</v>
      </c>
      <c r="T318" s="6">
        <v>17</v>
      </c>
      <c r="U318" s="6">
        <v>78</v>
      </c>
      <c r="V318" s="96">
        <f>IF(ISERROR(VLOOKUP($S$318,'TAR FIN'!$A$1:$O$86,15,0)),0,VLOOKUP($S$318,'TAR FIN'!$A$1:$O$86,15,0))</f>
        <v>0</v>
      </c>
      <c r="W318" s="96">
        <f>IF(ISERROR(VLOOKUP($T$318,'TAR FIN'!$A$1:$O$86,15,0)),0,VLOOKUP($T$318,'TAR FIN'!$A$1:$O$86,15,0))*(1-0.04)</f>
        <v>68.409599999999998</v>
      </c>
      <c r="X318" s="96">
        <f>IF(ISERROR(VLOOKUP($U$318,'TAR FIN'!$A$1:$O$86,15,0)),0,VLOOKUP($U$318,'TAR FIN'!$A$1:$O$86,15,0))*(1-0.04)</f>
        <v>285.41759999999999</v>
      </c>
      <c r="Y318" s="96"/>
      <c r="Z318" s="96">
        <f ca="1">('TUSD BE'!$AM$12+'TUSD BF'!$AM$12+'TUSD CVA'!$AM$12)*1*(1-0.02)</f>
        <v>93.899139140559214</v>
      </c>
      <c r="AA318" s="96">
        <f>('TE BE'!$AB$6+'TE BF'!$AB$6+'TE CVA'!$AB$6)*1*(1-0.02)</f>
        <v>230.63309335138217</v>
      </c>
      <c r="AB318" s="6">
        <f>$K$318*$V$318</f>
        <v>0</v>
      </c>
      <c r="AC318" s="6">
        <f>$M$318*$W$318</f>
        <v>7213.1082239999996</v>
      </c>
      <c r="AD318" s="6">
        <f>$O$318*$X$318</f>
        <v>30094.431743999998</v>
      </c>
      <c r="AE318" s="6">
        <f>$K$318*$Y$318</f>
        <v>0</v>
      </c>
      <c r="AF318" s="6">
        <f ca="1">$M$318*$Z$318</f>
        <v>9900.7252309805626</v>
      </c>
      <c r="AG318" s="6">
        <f>$O$318*$AA$318</f>
        <v>24317.953362969736</v>
      </c>
    </row>
    <row r="319" spans="1:33" ht="11.25" customHeight="1" x14ac:dyDescent="0.25">
      <c r="A319" s="4" t="s">
        <v>21</v>
      </c>
      <c r="B319" s="4" t="s">
        <v>38</v>
      </c>
      <c r="C319" s="4" t="s">
        <v>39</v>
      </c>
      <c r="D319" s="4" t="s">
        <v>43</v>
      </c>
      <c r="E319" s="4" t="s">
        <v>25</v>
      </c>
      <c r="F319" s="4" t="s">
        <v>25</v>
      </c>
      <c r="G319" s="4" t="s">
        <v>25</v>
      </c>
      <c r="H319" s="4" t="s">
        <v>34</v>
      </c>
      <c r="I319" s="5">
        <v>44531</v>
      </c>
      <c r="J319" s="6">
        <v>0</v>
      </c>
      <c r="K319" s="96">
        <v>0</v>
      </c>
      <c r="L319" s="6">
        <v>85.52</v>
      </c>
      <c r="M319" s="96">
        <v>85.52</v>
      </c>
      <c r="N319" s="6">
        <v>85.52</v>
      </c>
      <c r="O319" s="96">
        <v>85.52</v>
      </c>
      <c r="P319" s="6">
        <v>0</v>
      </c>
      <c r="Q319" s="4" t="s">
        <v>26</v>
      </c>
      <c r="R319" s="4">
        <v>0</v>
      </c>
      <c r="S319" s="6">
        <v>0</v>
      </c>
      <c r="T319" s="6">
        <v>17</v>
      </c>
      <c r="U319" s="6">
        <v>78</v>
      </c>
      <c r="V319" s="96">
        <f>IF(ISERROR(VLOOKUP($S$319,'TAR FIN'!$A$1:$O$86,15,0)),0,VLOOKUP($S$319,'TAR FIN'!$A$1:$O$86,15,0))</f>
        <v>0</v>
      </c>
      <c r="W319" s="96">
        <f>IF(ISERROR(VLOOKUP($T$319,'TAR FIN'!$A$1:$O$86,15,0)),0,VLOOKUP($T$319,'TAR FIN'!$A$1:$O$86,15,0))*(1-0.04)</f>
        <v>68.409599999999998</v>
      </c>
      <c r="X319" s="96">
        <f>IF(ISERROR(VLOOKUP($U$319,'TAR FIN'!$A$1:$O$86,15,0)),0,VLOOKUP($U$319,'TAR FIN'!$A$1:$O$86,15,0))*(1-0.04)</f>
        <v>285.41759999999999</v>
      </c>
      <c r="Y319" s="96"/>
      <c r="Z319" s="96">
        <f ca="1">('TUSD BE'!$AM$12+'TUSD BF'!$AM$12+'TUSD CVA'!$AM$12)*1*(1-0.02)</f>
        <v>93.899139140559214</v>
      </c>
      <c r="AA319" s="96">
        <f>('TE BE'!$AB$6+'TE BF'!$AB$6+'TE CVA'!$AB$6)*1*(1-0.02)</f>
        <v>230.63309335138217</v>
      </c>
      <c r="AB319" s="6">
        <f>$K$319*$V$319</f>
        <v>0</v>
      </c>
      <c r="AC319" s="6">
        <f>$M$319*$W$319</f>
        <v>5850.3889919999992</v>
      </c>
      <c r="AD319" s="6">
        <f>$O$319*$X$319</f>
        <v>24408.913151999997</v>
      </c>
      <c r="AE319" s="6">
        <f>$K$319*$Y$319</f>
        <v>0</v>
      </c>
      <c r="AF319" s="6">
        <f ca="1">$M$319*$Z$319</f>
        <v>8030.2543793006234</v>
      </c>
      <c r="AG319" s="6">
        <f>$O$319*$AA$319</f>
        <v>19723.742143410203</v>
      </c>
    </row>
    <row r="320" spans="1:33" ht="11.25" customHeight="1" x14ac:dyDescent="0.25">
      <c r="A320" s="4" t="s">
        <v>21</v>
      </c>
      <c r="B320" s="4" t="s">
        <v>38</v>
      </c>
      <c r="C320" s="4" t="s">
        <v>39</v>
      </c>
      <c r="D320" s="4" t="s">
        <v>43</v>
      </c>
      <c r="E320" s="4" t="s">
        <v>25</v>
      </c>
      <c r="F320" s="4" t="s">
        <v>25</v>
      </c>
      <c r="G320" s="4" t="s">
        <v>25</v>
      </c>
      <c r="H320" s="4" t="s">
        <v>34</v>
      </c>
      <c r="I320" s="5">
        <v>44562</v>
      </c>
      <c r="J320" s="6">
        <v>0</v>
      </c>
      <c r="K320" s="96">
        <v>0</v>
      </c>
      <c r="L320" s="6">
        <v>110.642</v>
      </c>
      <c r="M320" s="96">
        <v>110.642</v>
      </c>
      <c r="N320" s="6">
        <v>110.642</v>
      </c>
      <c r="O320" s="96">
        <v>110.642</v>
      </c>
      <c r="P320" s="6">
        <v>0</v>
      </c>
      <c r="Q320" s="4" t="s">
        <v>26</v>
      </c>
      <c r="R320" s="4">
        <v>0</v>
      </c>
      <c r="S320" s="6">
        <v>0</v>
      </c>
      <c r="T320" s="6">
        <v>17</v>
      </c>
      <c r="U320" s="6">
        <v>78</v>
      </c>
      <c r="V320" s="96">
        <f>IF(ISERROR(VLOOKUP($S$320,'TAR FIN'!$A$1:$O$86,15,0)),0,VLOOKUP($S$320,'TAR FIN'!$A$1:$O$86,15,0))</f>
        <v>0</v>
      </c>
      <c r="W320" s="96">
        <f>IF(ISERROR(VLOOKUP($T$320,'TAR FIN'!$A$1:$O$86,15,0)),0,VLOOKUP($T$320,'TAR FIN'!$A$1:$O$86,15,0))*(1-0.04)</f>
        <v>68.409599999999998</v>
      </c>
      <c r="X320" s="96">
        <f>IF(ISERROR(VLOOKUP($U$320,'TAR FIN'!$A$1:$O$86,15,0)),0,VLOOKUP($U$320,'TAR FIN'!$A$1:$O$86,15,0))*(1-0.04)</f>
        <v>285.41759999999999</v>
      </c>
      <c r="Y320" s="96"/>
      <c r="Z320" s="96">
        <f ca="1">('TUSD BE'!$AM$12+'TUSD BF'!$AM$12+'TUSD CVA'!$AM$12)*1*(1-0.02)</f>
        <v>93.899139140559214</v>
      </c>
      <c r="AA320" s="96">
        <f>('TE BE'!$AB$6+'TE BF'!$AB$6+'TE CVA'!$AB$6)*1*(1-0.02)</f>
        <v>230.63309335138217</v>
      </c>
      <c r="AB320" s="6">
        <f>$K$320*$V$320</f>
        <v>0</v>
      </c>
      <c r="AC320" s="6">
        <f>$M$320*$W$320</f>
        <v>7568.9749631999994</v>
      </c>
      <c r="AD320" s="6">
        <f>$O$320*$X$320</f>
        <v>31579.174099199998</v>
      </c>
      <c r="AE320" s="6">
        <f>$K$320*$Y$320</f>
        <v>0</v>
      </c>
      <c r="AF320" s="6">
        <f ca="1">$M$320*$Z$320</f>
        <v>10389.188552789752</v>
      </c>
      <c r="AG320" s="6">
        <f>$O$320*$AA$320</f>
        <v>25517.706714583626</v>
      </c>
    </row>
    <row r="321" spans="1:33" ht="11.25" customHeight="1" x14ac:dyDescent="0.25">
      <c r="A321" s="4" t="s">
        <v>21</v>
      </c>
      <c r="B321" s="4" t="s">
        <v>38</v>
      </c>
      <c r="C321" s="4" t="s">
        <v>39</v>
      </c>
      <c r="D321" s="4" t="s">
        <v>43</v>
      </c>
      <c r="E321" s="4" t="s">
        <v>25</v>
      </c>
      <c r="F321" s="4" t="s">
        <v>25</v>
      </c>
      <c r="G321" s="4" t="s">
        <v>25</v>
      </c>
      <c r="H321" s="4" t="s">
        <v>34</v>
      </c>
      <c r="I321" s="5">
        <v>44593</v>
      </c>
      <c r="J321" s="6">
        <v>0</v>
      </c>
      <c r="K321" s="96">
        <v>0</v>
      </c>
      <c r="L321" s="6">
        <v>104.31</v>
      </c>
      <c r="M321" s="96">
        <v>104.31</v>
      </c>
      <c r="N321" s="6">
        <v>104.31</v>
      </c>
      <c r="O321" s="96">
        <v>104.31</v>
      </c>
      <c r="P321" s="6">
        <v>0</v>
      </c>
      <c r="Q321" s="4" t="s">
        <v>26</v>
      </c>
      <c r="R321" s="4">
        <v>0</v>
      </c>
      <c r="S321" s="6">
        <v>0</v>
      </c>
      <c r="T321" s="6">
        <v>17</v>
      </c>
      <c r="U321" s="6">
        <v>78</v>
      </c>
      <c r="V321" s="96">
        <f>IF(ISERROR(VLOOKUP($S$321,'TAR FIN'!$A$1:$O$86,15,0)),0,VLOOKUP($S$321,'TAR FIN'!$A$1:$O$86,15,0))</f>
        <v>0</v>
      </c>
      <c r="W321" s="96">
        <f>IF(ISERROR(VLOOKUP($T$321,'TAR FIN'!$A$1:$O$86,15,0)),0,VLOOKUP($T$321,'TAR FIN'!$A$1:$O$86,15,0))*(1-0.04)</f>
        <v>68.409599999999998</v>
      </c>
      <c r="X321" s="96">
        <f>IF(ISERROR(VLOOKUP($U$321,'TAR FIN'!$A$1:$O$86,15,0)),0,VLOOKUP($U$321,'TAR FIN'!$A$1:$O$86,15,0))*(1-0.04)</f>
        <v>285.41759999999999</v>
      </c>
      <c r="Y321" s="96"/>
      <c r="Z321" s="96">
        <f ca="1">('TUSD BE'!$AM$12+'TUSD BF'!$AM$12+'TUSD CVA'!$AM$12)*1*(1-0.02)</f>
        <v>93.899139140559214</v>
      </c>
      <c r="AA321" s="96">
        <f>('TE BE'!$AB$6+'TE BF'!$AB$6+'TE CVA'!$AB$6)*1*(1-0.02)</f>
        <v>230.63309335138217</v>
      </c>
      <c r="AB321" s="6">
        <f>$K$321*$V$321</f>
        <v>0</v>
      </c>
      <c r="AC321" s="6">
        <f>$M$321*$W$321</f>
        <v>7135.8053760000003</v>
      </c>
      <c r="AD321" s="6">
        <f>$O$321*$X$321</f>
        <v>29771.909855999998</v>
      </c>
      <c r="AE321" s="6">
        <f>$K$321*$Y$321</f>
        <v>0</v>
      </c>
      <c r="AF321" s="6">
        <f ca="1">$M$321*$Z$321</f>
        <v>9794.6192037517321</v>
      </c>
      <c r="AG321" s="6">
        <f>$O$321*$AA$321</f>
        <v>24057.337967482676</v>
      </c>
    </row>
    <row r="322" spans="1:33" ht="11.25" customHeight="1" x14ac:dyDescent="0.25">
      <c r="A322" s="4" t="s">
        <v>21</v>
      </c>
      <c r="B322" s="4" t="s">
        <v>38</v>
      </c>
      <c r="C322" s="4" t="s">
        <v>39</v>
      </c>
      <c r="D322" s="4" t="s">
        <v>43</v>
      </c>
      <c r="E322" s="4" t="s">
        <v>25</v>
      </c>
      <c r="F322" s="4" t="s">
        <v>25</v>
      </c>
      <c r="G322" s="4" t="s">
        <v>25</v>
      </c>
      <c r="H322" s="4" t="s">
        <v>34</v>
      </c>
      <c r="I322" s="5">
        <v>44621</v>
      </c>
      <c r="J322" s="6">
        <v>0</v>
      </c>
      <c r="K322" s="96">
        <v>0</v>
      </c>
      <c r="L322" s="6">
        <v>115.179</v>
      </c>
      <c r="M322" s="96">
        <v>115.179</v>
      </c>
      <c r="N322" s="6">
        <v>115.179</v>
      </c>
      <c r="O322" s="96">
        <v>115.179</v>
      </c>
      <c r="P322" s="6">
        <v>0</v>
      </c>
      <c r="Q322" s="4" t="s">
        <v>26</v>
      </c>
      <c r="R322" s="4">
        <v>0</v>
      </c>
      <c r="S322" s="6">
        <v>0</v>
      </c>
      <c r="T322" s="6">
        <v>17</v>
      </c>
      <c r="U322" s="6">
        <v>78</v>
      </c>
      <c r="V322" s="96">
        <f>IF(ISERROR(VLOOKUP($S$322,'TAR FIN'!$A$1:$O$86,15,0)),0,VLOOKUP($S$322,'TAR FIN'!$A$1:$O$86,15,0))</f>
        <v>0</v>
      </c>
      <c r="W322" s="96">
        <f>IF(ISERROR(VLOOKUP($T$322,'TAR FIN'!$A$1:$O$86,15,0)),0,VLOOKUP($T$322,'TAR FIN'!$A$1:$O$86,15,0))*(1-0.04)</f>
        <v>68.409599999999998</v>
      </c>
      <c r="X322" s="96">
        <f>IF(ISERROR(VLOOKUP($U$322,'TAR FIN'!$A$1:$O$86,15,0)),0,VLOOKUP($U$322,'TAR FIN'!$A$1:$O$86,15,0))*(1-0.04)</f>
        <v>285.41759999999999</v>
      </c>
      <c r="Y322" s="96"/>
      <c r="Z322" s="96">
        <f ca="1">('TUSD BE'!$AM$12+'TUSD BF'!$AM$12+'TUSD CVA'!$AM$12)*1*(1-0.02)</f>
        <v>93.899139140559214</v>
      </c>
      <c r="AA322" s="96">
        <f>('TE BE'!$AB$6+'TE BF'!$AB$6+'TE CVA'!$AB$6)*1*(1-0.02)</f>
        <v>230.63309335138217</v>
      </c>
      <c r="AB322" s="6">
        <f>$K$322*$V$322</f>
        <v>0</v>
      </c>
      <c r="AC322" s="6">
        <f>$M$322*$W$322</f>
        <v>7879.3493183999999</v>
      </c>
      <c r="AD322" s="6">
        <f>$O$322*$X$322</f>
        <v>32874.1137504</v>
      </c>
      <c r="AE322" s="6">
        <f>$K$322*$Y$322</f>
        <v>0</v>
      </c>
      <c r="AF322" s="6">
        <f ca="1">$M$322*$Z$322</f>
        <v>10815.20894707047</v>
      </c>
      <c r="AG322" s="6">
        <f>$O$322*$AA$322</f>
        <v>26564.089059118847</v>
      </c>
    </row>
    <row r="323" spans="1:33" ht="11.25" customHeight="1" x14ac:dyDescent="0.25">
      <c r="A323" s="4" t="s">
        <v>21</v>
      </c>
      <c r="B323" s="4" t="s">
        <v>38</v>
      </c>
      <c r="C323" s="4" t="s">
        <v>39</v>
      </c>
      <c r="D323" s="4" t="s">
        <v>43</v>
      </c>
      <c r="E323" s="4" t="s">
        <v>25</v>
      </c>
      <c r="F323" s="4" t="s">
        <v>25</v>
      </c>
      <c r="G323" s="4" t="s">
        <v>25</v>
      </c>
      <c r="H323" s="4" t="s">
        <v>34</v>
      </c>
      <c r="I323" s="5">
        <v>44652</v>
      </c>
      <c r="J323" s="6">
        <v>0</v>
      </c>
      <c r="K323" s="96">
        <v>0</v>
      </c>
      <c r="L323" s="6">
        <v>144.667</v>
      </c>
      <c r="M323" s="96">
        <v>144.667</v>
      </c>
      <c r="N323" s="6">
        <v>144.667</v>
      </c>
      <c r="O323" s="96">
        <v>144.667</v>
      </c>
      <c r="P323" s="6">
        <v>0</v>
      </c>
      <c r="Q323" s="4" t="s">
        <v>26</v>
      </c>
      <c r="R323" s="4">
        <v>0</v>
      </c>
      <c r="S323" s="6">
        <v>0</v>
      </c>
      <c r="T323" s="6">
        <v>17</v>
      </c>
      <c r="U323" s="6">
        <v>78</v>
      </c>
      <c r="V323" s="96">
        <f>IF(ISERROR(VLOOKUP($S$323,'TAR FIN'!$A$1:$O$86,15,0)),0,VLOOKUP($S$323,'TAR FIN'!$A$1:$O$86,15,0))</f>
        <v>0</v>
      </c>
      <c r="W323" s="96">
        <f>IF(ISERROR(VLOOKUP($T$323,'TAR FIN'!$A$1:$O$86,15,0)),0,VLOOKUP($T$323,'TAR FIN'!$A$1:$O$86,15,0))*(1-0.04)</f>
        <v>68.409599999999998</v>
      </c>
      <c r="X323" s="96">
        <f>IF(ISERROR(VLOOKUP($U$323,'TAR FIN'!$A$1:$O$86,15,0)),0,VLOOKUP($U$323,'TAR FIN'!$A$1:$O$86,15,0))*(1-0.04)</f>
        <v>285.41759999999999</v>
      </c>
      <c r="Y323" s="96"/>
      <c r="Z323" s="96">
        <f ca="1">('TUSD BE'!$AM$12+'TUSD BF'!$AM$12+'TUSD CVA'!$AM$12)*1*(1-0.02)</f>
        <v>93.899139140559214</v>
      </c>
      <c r="AA323" s="96">
        <f>('TE BE'!$AB$6+'TE BF'!$AB$6+'TE CVA'!$AB$6)*1*(1-0.02)</f>
        <v>230.63309335138217</v>
      </c>
      <c r="AB323" s="6">
        <f>$K$323*$V$323</f>
        <v>0</v>
      </c>
      <c r="AC323" s="6">
        <f>$M$323*$W$323</f>
        <v>9896.6116031999991</v>
      </c>
      <c r="AD323" s="6">
        <f>$O$323*$X$323</f>
        <v>41290.507939199997</v>
      </c>
      <c r="AE323" s="6">
        <f>$K$323*$Y$323</f>
        <v>0</v>
      </c>
      <c r="AF323" s="6">
        <f ca="1">$M$323*$Z$323</f>
        <v>13584.10676204728</v>
      </c>
      <c r="AG323" s="6">
        <f>$O$323*$AA$323</f>
        <v>33364.997715864403</v>
      </c>
    </row>
    <row r="324" spans="1:33" ht="11.25" customHeight="1" x14ac:dyDescent="0.25">
      <c r="A324" s="4" t="s">
        <v>21</v>
      </c>
      <c r="B324" s="4" t="s">
        <v>38</v>
      </c>
      <c r="C324" s="4" t="s">
        <v>39</v>
      </c>
      <c r="D324" s="4" t="s">
        <v>43</v>
      </c>
      <c r="E324" s="4" t="s">
        <v>25</v>
      </c>
      <c r="F324" s="4" t="s">
        <v>25</v>
      </c>
      <c r="G324" s="4" t="s">
        <v>25</v>
      </c>
      <c r="H324" s="4" t="s">
        <v>34</v>
      </c>
      <c r="I324" s="5">
        <v>44682</v>
      </c>
      <c r="J324" s="6">
        <v>0</v>
      </c>
      <c r="K324" s="96">
        <v>0</v>
      </c>
      <c r="L324" s="6">
        <v>117.187</v>
      </c>
      <c r="M324" s="96">
        <v>117.187</v>
      </c>
      <c r="N324" s="6">
        <v>117.187</v>
      </c>
      <c r="O324" s="96">
        <v>117.187</v>
      </c>
      <c r="P324" s="6">
        <v>0</v>
      </c>
      <c r="Q324" s="4" t="s">
        <v>26</v>
      </c>
      <c r="R324" s="4">
        <v>0</v>
      </c>
      <c r="S324" s="6">
        <v>0</v>
      </c>
      <c r="T324" s="6">
        <v>17</v>
      </c>
      <c r="U324" s="6">
        <v>78</v>
      </c>
      <c r="V324" s="96">
        <f>IF(ISERROR(VLOOKUP($S$324,'TAR FIN'!$A$1:$O$86,15,0)),0,VLOOKUP($S$324,'TAR FIN'!$A$1:$O$86,15,0))</f>
        <v>0</v>
      </c>
      <c r="W324" s="96">
        <f>IF(ISERROR(VLOOKUP($T$324,'TAR FIN'!$A$1:$O$86,15,0)),0,VLOOKUP($T$324,'TAR FIN'!$A$1:$O$86,15,0))*(1-0.04)</f>
        <v>68.409599999999998</v>
      </c>
      <c r="X324" s="96">
        <f>IF(ISERROR(VLOOKUP($U$324,'TAR FIN'!$A$1:$O$86,15,0)),0,VLOOKUP($U$324,'TAR FIN'!$A$1:$O$86,15,0))*(1-0.04)</f>
        <v>285.41759999999999</v>
      </c>
      <c r="Y324" s="96"/>
      <c r="Z324" s="96">
        <f ca="1">('TUSD BE'!$AM$12+'TUSD BF'!$AM$12+'TUSD CVA'!$AM$12)*1*(1-0.02)</f>
        <v>93.899139140559214</v>
      </c>
      <c r="AA324" s="96">
        <f>('TE BE'!$AB$6+'TE BF'!$AB$6+'TE CVA'!$AB$6)*1*(1-0.02)</f>
        <v>230.63309335138217</v>
      </c>
      <c r="AB324" s="6">
        <f>$K$324*$V$324</f>
        <v>0</v>
      </c>
      <c r="AC324" s="6">
        <f>$M$324*$W$324</f>
        <v>8016.7157951999998</v>
      </c>
      <c r="AD324" s="6">
        <f>$O$324*$X$324</f>
        <v>33447.232291200002</v>
      </c>
      <c r="AE324" s="6">
        <f>$K$324*$Y$324</f>
        <v>0</v>
      </c>
      <c r="AF324" s="6">
        <f ca="1">$M$324*$Z$324</f>
        <v>11003.758418464713</v>
      </c>
      <c r="AG324" s="6">
        <f>$O$324*$AA$324</f>
        <v>27027.200310568423</v>
      </c>
    </row>
    <row r="325" spans="1:33" ht="11.25" customHeight="1" x14ac:dyDescent="0.25">
      <c r="A325" s="4" t="s">
        <v>55</v>
      </c>
      <c r="B325" s="4" t="s">
        <v>38</v>
      </c>
      <c r="C325" s="4" t="s">
        <v>39</v>
      </c>
      <c r="D325" s="4" t="s">
        <v>43</v>
      </c>
      <c r="E325" s="4" t="s">
        <v>25</v>
      </c>
      <c r="F325" s="4" t="s">
        <v>25</v>
      </c>
      <c r="G325" s="4" t="s">
        <v>25</v>
      </c>
      <c r="H325" s="4" t="s">
        <v>34</v>
      </c>
      <c r="I325" s="5">
        <v>44713</v>
      </c>
      <c r="J325" s="6">
        <v>0</v>
      </c>
      <c r="K325" s="96">
        <v>0</v>
      </c>
      <c r="L325" s="6">
        <v>117.187</v>
      </c>
      <c r="M325" s="96">
        <v>117.187</v>
      </c>
      <c r="N325" s="6">
        <v>117.187</v>
      </c>
      <c r="O325" s="96">
        <v>117.187</v>
      </c>
      <c r="P325" s="6">
        <v>0</v>
      </c>
      <c r="Q325" s="4" t="s">
        <v>26</v>
      </c>
      <c r="R325" s="4">
        <v>0</v>
      </c>
      <c r="S325" s="6">
        <v>0</v>
      </c>
      <c r="T325" s="6">
        <v>17</v>
      </c>
      <c r="U325" s="6">
        <v>78</v>
      </c>
      <c r="V325" s="96">
        <f>IF(ISERROR(VLOOKUP($S$325,'TAR FIN'!$A$1:$O$86,15,0)),0,VLOOKUP($S$325,'TAR FIN'!$A$1:$O$86,15,0))</f>
        <v>0</v>
      </c>
      <c r="W325" s="96">
        <f>IF(ISERROR(VLOOKUP($T$325,'TAR FIN'!$A$1:$O$86,15,0)),0,VLOOKUP($T$325,'TAR FIN'!$A$1:$O$86,15,0))*(1-0.04)</f>
        <v>68.409599999999998</v>
      </c>
      <c r="X325" s="96">
        <f>IF(ISERROR(VLOOKUP($U$325,'TAR FIN'!$A$1:$O$86,15,0)),0,VLOOKUP($U$325,'TAR FIN'!$A$1:$O$86,15,0))*(1-0.04)</f>
        <v>285.41759999999999</v>
      </c>
      <c r="Y325" s="96"/>
      <c r="Z325" s="96">
        <f ca="1">('TUSD BE'!$AM$12+'TUSD BF'!$AM$12+'TUSD CVA'!$AM$12)*1*(1-0.02)</f>
        <v>93.899139140559214</v>
      </c>
      <c r="AA325" s="96">
        <f>('TE BE'!$AB$6+'TE BF'!$AB$6+'TE CVA'!$AB$6)*1*(1-0.02)</f>
        <v>230.63309335138217</v>
      </c>
      <c r="AB325" s="6">
        <f>$K$325*$V$325</f>
        <v>0</v>
      </c>
      <c r="AC325" s="6">
        <f>$M$325*$W$325</f>
        <v>8016.7157951999998</v>
      </c>
      <c r="AD325" s="6">
        <f>$O$325*$X$325</f>
        <v>33447.232291200002</v>
      </c>
      <c r="AE325" s="6">
        <f>$K$325*$Y$325</f>
        <v>0</v>
      </c>
      <c r="AF325" s="6">
        <f ca="1">$M$325*$Z$325</f>
        <v>11003.758418464713</v>
      </c>
      <c r="AG325" s="6">
        <f>$O$325*$AA$325</f>
        <v>27027.200310568423</v>
      </c>
    </row>
    <row r="326" spans="1:33" ht="11.25" customHeight="1" x14ac:dyDescent="0.25">
      <c r="A326" s="4" t="s">
        <v>21</v>
      </c>
      <c r="B326" s="4" t="s">
        <v>38</v>
      </c>
      <c r="C326" s="4" t="s">
        <v>39</v>
      </c>
      <c r="D326" s="4" t="s">
        <v>43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44378</v>
      </c>
      <c r="J326" s="6">
        <v>518</v>
      </c>
      <c r="K326" s="96">
        <v>518</v>
      </c>
      <c r="L326" s="6">
        <v>0</v>
      </c>
      <c r="M326" s="96">
        <v>0</v>
      </c>
      <c r="N326" s="6">
        <v>0</v>
      </c>
      <c r="O326" s="96">
        <v>0</v>
      </c>
      <c r="P326" s="6">
        <v>5</v>
      </c>
      <c r="Q326" s="4" t="s">
        <v>26</v>
      </c>
      <c r="R326" s="4">
        <v>0</v>
      </c>
      <c r="S326" s="6">
        <v>19</v>
      </c>
      <c r="T326" s="6">
        <v>0</v>
      </c>
      <c r="U326" s="6">
        <v>0</v>
      </c>
      <c r="V326" s="96">
        <f>IF(ISERROR(VLOOKUP($S$326,'TAR FIN'!$A$1:$O$86,15,0)),0,VLOOKUP($S$326,'TAR FIN'!$A$1:$O$86,15,0))*(1-0.04)</f>
        <v>15.638399999999999</v>
      </c>
      <c r="W326" s="96">
        <f>IF(ISERROR(VLOOKUP($T$326,'TAR FIN'!$A$1:$O$86,15,0)),0,VLOOKUP($T$326,'TAR FIN'!$A$1:$O$86,15,0))</f>
        <v>0</v>
      </c>
      <c r="X326" s="96">
        <f>IF(ISERROR(VLOOKUP($U$326,'TAR FIN'!$A$1:$O$86,15,0)),0,VLOOKUP($U$326,'TAR FIN'!$A$1:$O$86,15,0))</f>
        <v>0</v>
      </c>
      <c r="Y326" s="96">
        <f ca="1">('TUSD BE'!$AM$10+'TUSD BF'!$AM$10+'TUSD CVA'!$AM$10)*1*(1-0.02)</f>
        <v>20.716782055066915</v>
      </c>
      <c r="Z326" s="96"/>
      <c r="AA326" s="96"/>
      <c r="AB326" s="6">
        <f>$K$326*$V$326</f>
        <v>8100.6911999999993</v>
      </c>
      <c r="AC326" s="6">
        <f>$M$326*$W$326</f>
        <v>0</v>
      </c>
      <c r="AD326" s="6">
        <f>$O$326*$X$326</f>
        <v>0</v>
      </c>
      <c r="AE326" s="6">
        <f ca="1">$K$326*$Y$326</f>
        <v>10731.293104524662</v>
      </c>
      <c r="AF326" s="6">
        <f>$M$326*$Z$326</f>
        <v>0</v>
      </c>
      <c r="AG326" s="6">
        <f>$O$326*$AA$326</f>
        <v>0</v>
      </c>
    </row>
    <row r="327" spans="1:33" ht="11.25" customHeight="1" x14ac:dyDescent="0.25">
      <c r="A327" s="4" t="s">
        <v>21</v>
      </c>
      <c r="B327" s="4" t="s">
        <v>38</v>
      </c>
      <c r="C327" s="4" t="s">
        <v>39</v>
      </c>
      <c r="D327" s="4" t="s">
        <v>43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44409</v>
      </c>
      <c r="J327" s="6">
        <v>380</v>
      </c>
      <c r="K327" s="96">
        <v>380</v>
      </c>
      <c r="L327" s="6">
        <v>0</v>
      </c>
      <c r="M327" s="96">
        <v>0</v>
      </c>
      <c r="N327" s="6">
        <v>0</v>
      </c>
      <c r="O327" s="96">
        <v>0</v>
      </c>
      <c r="P327" s="6">
        <v>5</v>
      </c>
      <c r="Q327" s="4" t="s">
        <v>26</v>
      </c>
      <c r="R327" s="4">
        <v>0</v>
      </c>
      <c r="S327" s="6">
        <v>19</v>
      </c>
      <c r="T327" s="6">
        <v>0</v>
      </c>
      <c r="U327" s="6">
        <v>0</v>
      </c>
      <c r="V327" s="96">
        <f>IF(ISERROR(VLOOKUP($S$327,'TAR FIN'!$A$1:$O$86,15,0)),0,VLOOKUP($S$327,'TAR FIN'!$A$1:$O$86,15,0))*(1-0.04)</f>
        <v>15.638399999999999</v>
      </c>
      <c r="W327" s="96">
        <f>IF(ISERROR(VLOOKUP($T$327,'TAR FIN'!$A$1:$O$86,15,0)),0,VLOOKUP($T$327,'TAR FIN'!$A$1:$O$86,15,0))</f>
        <v>0</v>
      </c>
      <c r="X327" s="96">
        <f>IF(ISERROR(VLOOKUP($U$327,'TAR FIN'!$A$1:$O$86,15,0)),0,VLOOKUP($U$327,'TAR FIN'!$A$1:$O$86,15,0))</f>
        <v>0</v>
      </c>
      <c r="Y327" s="96">
        <f ca="1">('TUSD BE'!$AM$10+'TUSD BF'!$AM$10+'TUSD CVA'!$AM$10)*1*(1-0.02)</f>
        <v>20.716782055066915</v>
      </c>
      <c r="Z327" s="96"/>
      <c r="AA327" s="96"/>
      <c r="AB327" s="6">
        <f>$K$327*$V$327</f>
        <v>5942.5919999999996</v>
      </c>
      <c r="AC327" s="6">
        <f>$M$327*$W$327</f>
        <v>0</v>
      </c>
      <c r="AD327" s="6">
        <f>$O$327*$X$327</f>
        <v>0</v>
      </c>
      <c r="AE327" s="6">
        <f ca="1">$K$327*$Y$327</f>
        <v>7872.3771809254276</v>
      </c>
      <c r="AF327" s="6">
        <f>$M$327*$Z$327</f>
        <v>0</v>
      </c>
      <c r="AG327" s="6">
        <f>$O$327*$AA$327</f>
        <v>0</v>
      </c>
    </row>
    <row r="328" spans="1:33" ht="11.25" customHeight="1" x14ac:dyDescent="0.25">
      <c r="A328" s="4" t="s">
        <v>21</v>
      </c>
      <c r="B328" s="4" t="s">
        <v>38</v>
      </c>
      <c r="C328" s="4" t="s">
        <v>39</v>
      </c>
      <c r="D328" s="4" t="s">
        <v>43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44440</v>
      </c>
      <c r="J328" s="6">
        <v>321</v>
      </c>
      <c r="K328" s="96">
        <v>321</v>
      </c>
      <c r="L328" s="6">
        <v>0</v>
      </c>
      <c r="M328" s="96">
        <v>0</v>
      </c>
      <c r="N328" s="6">
        <v>0</v>
      </c>
      <c r="O328" s="96">
        <v>0</v>
      </c>
      <c r="P328" s="6">
        <v>5</v>
      </c>
      <c r="Q328" s="4" t="s">
        <v>26</v>
      </c>
      <c r="R328" s="4">
        <v>0</v>
      </c>
      <c r="S328" s="6">
        <v>19</v>
      </c>
      <c r="T328" s="6">
        <v>0</v>
      </c>
      <c r="U328" s="6">
        <v>0</v>
      </c>
      <c r="V328" s="96">
        <f>IF(ISERROR(VLOOKUP($S$328,'TAR FIN'!$A$1:$O$86,15,0)),0,VLOOKUP($S$328,'TAR FIN'!$A$1:$O$86,15,0))*(1-0.04)</f>
        <v>15.638399999999999</v>
      </c>
      <c r="W328" s="96">
        <f>IF(ISERROR(VLOOKUP($T$328,'TAR FIN'!$A$1:$O$86,15,0)),0,VLOOKUP($T$328,'TAR FIN'!$A$1:$O$86,15,0))</f>
        <v>0</v>
      </c>
      <c r="X328" s="96">
        <f>IF(ISERROR(VLOOKUP($U$328,'TAR FIN'!$A$1:$O$86,15,0)),0,VLOOKUP($U$328,'TAR FIN'!$A$1:$O$86,15,0))</f>
        <v>0</v>
      </c>
      <c r="Y328" s="96">
        <f ca="1">('TUSD BE'!$AM$10+'TUSD BF'!$AM$10+'TUSD CVA'!$AM$10)*1*(1-0.02)</f>
        <v>20.716782055066915</v>
      </c>
      <c r="Z328" s="96"/>
      <c r="AA328" s="96"/>
      <c r="AB328" s="6">
        <f>$K$328*$V$328</f>
        <v>5019.9263999999994</v>
      </c>
      <c r="AC328" s="6">
        <f>$M$328*$W$328</f>
        <v>0</v>
      </c>
      <c r="AD328" s="6">
        <f>$O$328*$X$328</f>
        <v>0</v>
      </c>
      <c r="AE328" s="6">
        <f ca="1">$K$328*$Y$328</f>
        <v>6650.0870396764794</v>
      </c>
      <c r="AF328" s="6">
        <f>$M$328*$Z$328</f>
        <v>0</v>
      </c>
      <c r="AG328" s="6">
        <f>$O$328*$AA$328</f>
        <v>0</v>
      </c>
    </row>
    <row r="329" spans="1:33" ht="11.25" customHeight="1" x14ac:dyDescent="0.25">
      <c r="A329" s="4" t="s">
        <v>21</v>
      </c>
      <c r="B329" s="4" t="s">
        <v>38</v>
      </c>
      <c r="C329" s="4" t="s">
        <v>39</v>
      </c>
      <c r="D329" s="4" t="s">
        <v>43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44470</v>
      </c>
      <c r="J329" s="6">
        <v>450</v>
      </c>
      <c r="K329" s="96">
        <v>450</v>
      </c>
      <c r="L329" s="6">
        <v>0</v>
      </c>
      <c r="M329" s="96">
        <v>0</v>
      </c>
      <c r="N329" s="6">
        <v>0</v>
      </c>
      <c r="O329" s="96">
        <v>0</v>
      </c>
      <c r="P329" s="6">
        <v>5</v>
      </c>
      <c r="Q329" s="4" t="s">
        <v>26</v>
      </c>
      <c r="R329" s="4">
        <v>0</v>
      </c>
      <c r="S329" s="6">
        <v>19</v>
      </c>
      <c r="T329" s="6">
        <v>0</v>
      </c>
      <c r="U329" s="6">
        <v>0</v>
      </c>
      <c r="V329" s="96">
        <f>IF(ISERROR(VLOOKUP($S$329,'TAR FIN'!$A$1:$O$86,15,0)),0,VLOOKUP($S$329,'TAR FIN'!$A$1:$O$86,15,0))*(1-0.04)</f>
        <v>15.638399999999999</v>
      </c>
      <c r="W329" s="96">
        <f>IF(ISERROR(VLOOKUP($T$329,'TAR FIN'!$A$1:$O$86,15,0)),0,VLOOKUP($T$329,'TAR FIN'!$A$1:$O$86,15,0))</f>
        <v>0</v>
      </c>
      <c r="X329" s="96">
        <f>IF(ISERROR(VLOOKUP($U$329,'TAR FIN'!$A$1:$O$86,15,0)),0,VLOOKUP($U$329,'TAR FIN'!$A$1:$O$86,15,0))</f>
        <v>0</v>
      </c>
      <c r="Y329" s="96">
        <f ca="1">('TUSD BE'!$AM$10+'TUSD BF'!$AM$10+'TUSD CVA'!$AM$10)*1*(1-0.02)</f>
        <v>20.716782055066915</v>
      </c>
      <c r="Z329" s="96"/>
      <c r="AA329" s="96"/>
      <c r="AB329" s="6">
        <f>$K$329*$V$329</f>
        <v>7037.28</v>
      </c>
      <c r="AC329" s="6">
        <f>$M$329*$W$329</f>
        <v>0</v>
      </c>
      <c r="AD329" s="6">
        <f>$O$329*$X$329</f>
        <v>0</v>
      </c>
      <c r="AE329" s="6">
        <f ca="1">$K$329*$Y$329</f>
        <v>9322.5519247801112</v>
      </c>
      <c r="AF329" s="6">
        <f>$M$329*$Z$329</f>
        <v>0</v>
      </c>
      <c r="AG329" s="6">
        <f>$O$329*$AA$329</f>
        <v>0</v>
      </c>
    </row>
    <row r="330" spans="1:33" ht="11.25" customHeight="1" x14ac:dyDescent="0.25">
      <c r="A330" s="4" t="s">
        <v>21</v>
      </c>
      <c r="B330" s="4" t="s">
        <v>38</v>
      </c>
      <c r="C330" s="4" t="s">
        <v>39</v>
      </c>
      <c r="D330" s="4" t="s">
        <v>43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44501</v>
      </c>
      <c r="J330" s="6">
        <v>537</v>
      </c>
      <c r="K330" s="96">
        <v>537</v>
      </c>
      <c r="L330" s="6">
        <v>0</v>
      </c>
      <c r="M330" s="96">
        <v>0</v>
      </c>
      <c r="N330" s="6">
        <v>0</v>
      </c>
      <c r="O330" s="96">
        <v>0</v>
      </c>
      <c r="P330" s="6">
        <v>5</v>
      </c>
      <c r="Q330" s="4" t="s">
        <v>26</v>
      </c>
      <c r="R330" s="4">
        <v>0</v>
      </c>
      <c r="S330" s="6">
        <v>19</v>
      </c>
      <c r="T330" s="6">
        <v>0</v>
      </c>
      <c r="U330" s="6">
        <v>0</v>
      </c>
      <c r="V330" s="96">
        <f>IF(ISERROR(VLOOKUP($S$330,'TAR FIN'!$A$1:$O$86,15,0)),0,VLOOKUP($S$330,'TAR FIN'!$A$1:$O$86,15,0))*(1-0.04)</f>
        <v>15.638399999999999</v>
      </c>
      <c r="W330" s="96">
        <f>IF(ISERROR(VLOOKUP($T$330,'TAR FIN'!$A$1:$O$86,15,0)),0,VLOOKUP($T$330,'TAR FIN'!$A$1:$O$86,15,0))</f>
        <v>0</v>
      </c>
      <c r="X330" s="96">
        <f>IF(ISERROR(VLOOKUP($U$330,'TAR FIN'!$A$1:$O$86,15,0)),0,VLOOKUP($U$330,'TAR FIN'!$A$1:$O$86,15,0))</f>
        <v>0</v>
      </c>
      <c r="Y330" s="96">
        <f ca="1">('TUSD BE'!$AM$10+'TUSD BF'!$AM$10+'TUSD CVA'!$AM$10)*1*(1-0.02)</f>
        <v>20.716782055066915</v>
      </c>
      <c r="Z330" s="96"/>
      <c r="AA330" s="96"/>
      <c r="AB330" s="6">
        <f>$K$330*$V$330</f>
        <v>8397.8207999999995</v>
      </c>
      <c r="AC330" s="6">
        <f>$M$330*$W$330</f>
        <v>0</v>
      </c>
      <c r="AD330" s="6">
        <f>$O$330*$X$330</f>
        <v>0</v>
      </c>
      <c r="AE330" s="6">
        <f ca="1">$K$330*$Y$330</f>
        <v>11124.911963570934</v>
      </c>
      <c r="AF330" s="6">
        <f>$M$330*$Z$330</f>
        <v>0</v>
      </c>
      <c r="AG330" s="6">
        <f>$O$330*$AA$330</f>
        <v>0</v>
      </c>
    </row>
    <row r="331" spans="1:33" ht="11.25" customHeight="1" x14ac:dyDescent="0.25">
      <c r="A331" s="4" t="s">
        <v>21</v>
      </c>
      <c r="B331" s="4" t="s">
        <v>38</v>
      </c>
      <c r="C331" s="4" t="s">
        <v>39</v>
      </c>
      <c r="D331" s="4" t="s">
        <v>43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44531</v>
      </c>
      <c r="J331" s="6">
        <v>404</v>
      </c>
      <c r="K331" s="96">
        <v>404</v>
      </c>
      <c r="L331" s="6">
        <v>0</v>
      </c>
      <c r="M331" s="96">
        <v>0</v>
      </c>
      <c r="N331" s="6">
        <v>0</v>
      </c>
      <c r="O331" s="96">
        <v>0</v>
      </c>
      <c r="P331" s="6">
        <v>5</v>
      </c>
      <c r="Q331" s="4" t="s">
        <v>26</v>
      </c>
      <c r="R331" s="4">
        <v>0</v>
      </c>
      <c r="S331" s="6">
        <v>19</v>
      </c>
      <c r="T331" s="6">
        <v>0</v>
      </c>
      <c r="U331" s="6">
        <v>0</v>
      </c>
      <c r="V331" s="96">
        <f>IF(ISERROR(VLOOKUP($S$331,'TAR FIN'!$A$1:$O$86,15,0)),0,VLOOKUP($S$331,'TAR FIN'!$A$1:$O$86,15,0))*(1-0.04)</f>
        <v>15.638399999999999</v>
      </c>
      <c r="W331" s="96">
        <f>IF(ISERROR(VLOOKUP($T$331,'TAR FIN'!$A$1:$O$86,15,0)),0,VLOOKUP($T$331,'TAR FIN'!$A$1:$O$86,15,0))</f>
        <v>0</v>
      </c>
      <c r="X331" s="96">
        <f>IF(ISERROR(VLOOKUP($U$331,'TAR FIN'!$A$1:$O$86,15,0)),0,VLOOKUP($U$331,'TAR FIN'!$A$1:$O$86,15,0))</f>
        <v>0</v>
      </c>
      <c r="Y331" s="96">
        <f ca="1">('TUSD BE'!$AM$10+'TUSD BF'!$AM$10+'TUSD CVA'!$AM$10)*1*(1-0.02)</f>
        <v>20.716782055066915</v>
      </c>
      <c r="Z331" s="96"/>
      <c r="AA331" s="96"/>
      <c r="AB331" s="6">
        <f>$K$331*$V$331</f>
        <v>6317.9135999999999</v>
      </c>
      <c r="AC331" s="6">
        <f>$M$331*$W$331</f>
        <v>0</v>
      </c>
      <c r="AD331" s="6">
        <f>$O$331*$X$331</f>
        <v>0</v>
      </c>
      <c r="AE331" s="6">
        <f ca="1">$K$331*$Y$331</f>
        <v>8369.5799502470327</v>
      </c>
      <c r="AF331" s="6">
        <f>$M$331*$Z$331</f>
        <v>0</v>
      </c>
      <c r="AG331" s="6">
        <f>$O$331*$AA$331</f>
        <v>0</v>
      </c>
    </row>
    <row r="332" spans="1:33" ht="11.25" customHeight="1" x14ac:dyDescent="0.25">
      <c r="A332" s="4" t="s">
        <v>21</v>
      </c>
      <c r="B332" s="4" t="s">
        <v>38</v>
      </c>
      <c r="C332" s="4" t="s">
        <v>39</v>
      </c>
      <c r="D332" s="4" t="s">
        <v>43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44562</v>
      </c>
      <c r="J332" s="6">
        <v>525</v>
      </c>
      <c r="K332" s="96">
        <v>525</v>
      </c>
      <c r="L332" s="6">
        <v>0</v>
      </c>
      <c r="M332" s="96">
        <v>0</v>
      </c>
      <c r="N332" s="6">
        <v>0</v>
      </c>
      <c r="O332" s="96">
        <v>0</v>
      </c>
      <c r="P332" s="6">
        <v>5</v>
      </c>
      <c r="Q332" s="4" t="s">
        <v>26</v>
      </c>
      <c r="R332" s="4">
        <v>0</v>
      </c>
      <c r="S332" s="6">
        <v>19</v>
      </c>
      <c r="T332" s="6">
        <v>0</v>
      </c>
      <c r="U332" s="6">
        <v>0</v>
      </c>
      <c r="V332" s="96">
        <f>IF(ISERROR(VLOOKUP($S$332,'TAR FIN'!$A$1:$O$86,15,0)),0,VLOOKUP($S$332,'TAR FIN'!$A$1:$O$86,15,0))*(1-0.04)</f>
        <v>15.638399999999999</v>
      </c>
      <c r="W332" s="96">
        <f>IF(ISERROR(VLOOKUP($T$332,'TAR FIN'!$A$1:$O$86,15,0)),0,VLOOKUP($T$332,'TAR FIN'!$A$1:$O$86,15,0))</f>
        <v>0</v>
      </c>
      <c r="X332" s="96">
        <f>IF(ISERROR(VLOOKUP($U$332,'TAR FIN'!$A$1:$O$86,15,0)),0,VLOOKUP($U$332,'TAR FIN'!$A$1:$O$86,15,0))</f>
        <v>0</v>
      </c>
      <c r="Y332" s="96">
        <f ca="1">('TUSD BE'!$AM$10+'TUSD BF'!$AM$10+'TUSD CVA'!$AM$10)*1*(1-0.02)</f>
        <v>20.716782055066915</v>
      </c>
      <c r="Z332" s="96"/>
      <c r="AA332" s="96"/>
      <c r="AB332" s="6">
        <f>$K$332*$V$332</f>
        <v>8210.16</v>
      </c>
      <c r="AC332" s="6">
        <f>$M$332*$W$332</f>
        <v>0</v>
      </c>
      <c r="AD332" s="6">
        <f>$O$332*$X$332</f>
        <v>0</v>
      </c>
      <c r="AE332" s="6">
        <f ca="1">$K$332*$Y$332</f>
        <v>10876.31057891013</v>
      </c>
      <c r="AF332" s="6">
        <f>$M$332*$Z$332</f>
        <v>0</v>
      </c>
      <c r="AG332" s="6">
        <f>$O$332*$AA$332</f>
        <v>0</v>
      </c>
    </row>
    <row r="333" spans="1:33" ht="11.25" customHeight="1" x14ac:dyDescent="0.25">
      <c r="A333" s="4" t="s">
        <v>21</v>
      </c>
      <c r="B333" s="4" t="s">
        <v>38</v>
      </c>
      <c r="C333" s="4" t="s">
        <v>39</v>
      </c>
      <c r="D333" s="4" t="s">
        <v>43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44593</v>
      </c>
      <c r="J333" s="6">
        <v>595</v>
      </c>
      <c r="K333" s="96">
        <v>595</v>
      </c>
      <c r="L333" s="6">
        <v>0</v>
      </c>
      <c r="M333" s="96">
        <v>0</v>
      </c>
      <c r="N333" s="6">
        <v>0</v>
      </c>
      <c r="O333" s="96">
        <v>0</v>
      </c>
      <c r="P333" s="6">
        <v>5</v>
      </c>
      <c r="Q333" s="4" t="s">
        <v>26</v>
      </c>
      <c r="R333" s="4">
        <v>0</v>
      </c>
      <c r="S333" s="6">
        <v>19</v>
      </c>
      <c r="T333" s="6">
        <v>0</v>
      </c>
      <c r="U333" s="6">
        <v>0</v>
      </c>
      <c r="V333" s="96">
        <f>IF(ISERROR(VLOOKUP($S$333,'TAR FIN'!$A$1:$O$86,15,0)),0,VLOOKUP($S$333,'TAR FIN'!$A$1:$O$86,15,0))*(1-0.04)</f>
        <v>15.638399999999999</v>
      </c>
      <c r="W333" s="96">
        <f>IF(ISERROR(VLOOKUP($T$333,'TAR FIN'!$A$1:$O$86,15,0)),0,VLOOKUP($T$333,'TAR FIN'!$A$1:$O$86,15,0))</f>
        <v>0</v>
      </c>
      <c r="X333" s="96">
        <f>IF(ISERROR(VLOOKUP($U$333,'TAR FIN'!$A$1:$O$86,15,0)),0,VLOOKUP($U$333,'TAR FIN'!$A$1:$O$86,15,0))</f>
        <v>0</v>
      </c>
      <c r="Y333" s="96">
        <f ca="1">('TUSD BE'!$AM$10+'TUSD BF'!$AM$10+'TUSD CVA'!$AM$10)*1*(1-0.02)</f>
        <v>20.716782055066915</v>
      </c>
      <c r="Z333" s="96"/>
      <c r="AA333" s="96"/>
      <c r="AB333" s="6">
        <f>$K$333*$V$333</f>
        <v>9304.848</v>
      </c>
      <c r="AC333" s="6">
        <f>$M$333*$W$333</f>
        <v>0</v>
      </c>
      <c r="AD333" s="6">
        <f>$O$333*$X$333</f>
        <v>0</v>
      </c>
      <c r="AE333" s="6">
        <f ca="1">$K$333*$Y$333</f>
        <v>12326.485322764815</v>
      </c>
      <c r="AF333" s="6">
        <f>$M$333*$Z$333</f>
        <v>0</v>
      </c>
      <c r="AG333" s="6">
        <f>$O$333*$AA$333</f>
        <v>0</v>
      </c>
    </row>
    <row r="334" spans="1:33" ht="11.25" customHeight="1" x14ac:dyDescent="0.25">
      <c r="A334" s="4" t="s">
        <v>21</v>
      </c>
      <c r="B334" s="4" t="s">
        <v>38</v>
      </c>
      <c r="C334" s="4" t="s">
        <v>39</v>
      </c>
      <c r="D334" s="4" t="s">
        <v>43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44621</v>
      </c>
      <c r="J334" s="6">
        <v>737</v>
      </c>
      <c r="K334" s="96">
        <v>737</v>
      </c>
      <c r="L334" s="6">
        <v>0</v>
      </c>
      <c r="M334" s="96">
        <v>0</v>
      </c>
      <c r="N334" s="6">
        <v>0</v>
      </c>
      <c r="O334" s="96">
        <v>0</v>
      </c>
      <c r="P334" s="6">
        <v>5</v>
      </c>
      <c r="Q334" s="4" t="s">
        <v>26</v>
      </c>
      <c r="R334" s="4">
        <v>0</v>
      </c>
      <c r="S334" s="6">
        <v>19</v>
      </c>
      <c r="T334" s="6">
        <v>0</v>
      </c>
      <c r="U334" s="6">
        <v>0</v>
      </c>
      <c r="V334" s="96">
        <f>IF(ISERROR(VLOOKUP($S$334,'TAR FIN'!$A$1:$O$86,15,0)),0,VLOOKUP($S$334,'TAR FIN'!$A$1:$O$86,15,0))*(1-0.04)</f>
        <v>15.638399999999999</v>
      </c>
      <c r="W334" s="96">
        <f>IF(ISERROR(VLOOKUP($T$334,'TAR FIN'!$A$1:$O$86,15,0)),0,VLOOKUP($T$334,'TAR FIN'!$A$1:$O$86,15,0))</f>
        <v>0</v>
      </c>
      <c r="X334" s="96">
        <f>IF(ISERROR(VLOOKUP($U$334,'TAR FIN'!$A$1:$O$86,15,0)),0,VLOOKUP($U$334,'TAR FIN'!$A$1:$O$86,15,0))</f>
        <v>0</v>
      </c>
      <c r="Y334" s="96">
        <f ca="1">('TUSD BE'!$AM$10+'TUSD BF'!$AM$10+'TUSD CVA'!$AM$10)*1*(1-0.02)</f>
        <v>20.716782055066915</v>
      </c>
      <c r="Z334" s="96"/>
      <c r="AA334" s="96"/>
      <c r="AB334" s="6">
        <f>$K$334*$V$334</f>
        <v>11525.5008</v>
      </c>
      <c r="AC334" s="6">
        <f>$M$334*$W$334</f>
        <v>0</v>
      </c>
      <c r="AD334" s="6">
        <f>$O$334*$X$334</f>
        <v>0</v>
      </c>
      <c r="AE334" s="6">
        <f ca="1">$K$334*$Y$334</f>
        <v>15268.268374584317</v>
      </c>
      <c r="AF334" s="6">
        <f>$M$334*$Z$334</f>
        <v>0</v>
      </c>
      <c r="AG334" s="6">
        <f>$O$334*$AA$334</f>
        <v>0</v>
      </c>
    </row>
    <row r="335" spans="1:33" ht="11.25" customHeight="1" x14ac:dyDescent="0.25">
      <c r="A335" s="4" t="s">
        <v>21</v>
      </c>
      <c r="B335" s="4" t="s">
        <v>38</v>
      </c>
      <c r="C335" s="4" t="s">
        <v>39</v>
      </c>
      <c r="D335" s="4" t="s">
        <v>43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44652</v>
      </c>
      <c r="J335" s="6">
        <v>810</v>
      </c>
      <c r="K335" s="96">
        <v>810</v>
      </c>
      <c r="L335" s="6">
        <v>0</v>
      </c>
      <c r="M335" s="96">
        <v>0</v>
      </c>
      <c r="N335" s="6">
        <v>0</v>
      </c>
      <c r="O335" s="96">
        <v>0</v>
      </c>
      <c r="P335" s="6">
        <v>5</v>
      </c>
      <c r="Q335" s="4" t="s">
        <v>26</v>
      </c>
      <c r="R335" s="4">
        <v>0</v>
      </c>
      <c r="S335" s="6">
        <v>19</v>
      </c>
      <c r="T335" s="6">
        <v>0</v>
      </c>
      <c r="U335" s="6">
        <v>0</v>
      </c>
      <c r="V335" s="96">
        <f>IF(ISERROR(VLOOKUP($S$335,'TAR FIN'!$A$1:$O$86,15,0)),0,VLOOKUP($S$335,'TAR FIN'!$A$1:$O$86,15,0))*(1-0.04)</f>
        <v>15.638399999999999</v>
      </c>
      <c r="W335" s="96">
        <f>IF(ISERROR(VLOOKUP($T$335,'TAR FIN'!$A$1:$O$86,15,0)),0,VLOOKUP($T$335,'TAR FIN'!$A$1:$O$86,15,0))</f>
        <v>0</v>
      </c>
      <c r="X335" s="96">
        <f>IF(ISERROR(VLOOKUP($U$335,'TAR FIN'!$A$1:$O$86,15,0)),0,VLOOKUP($U$335,'TAR FIN'!$A$1:$O$86,15,0))</f>
        <v>0</v>
      </c>
      <c r="Y335" s="96">
        <f ca="1">('TUSD BE'!$AM$10+'TUSD BF'!$AM$10+'TUSD CVA'!$AM$10)*1*(1-0.02)</f>
        <v>20.716782055066915</v>
      </c>
      <c r="Z335" s="96"/>
      <c r="AA335" s="96"/>
      <c r="AB335" s="6">
        <f>$K$335*$V$335</f>
        <v>12667.103999999999</v>
      </c>
      <c r="AC335" s="6">
        <f>$M$335*$W$335</f>
        <v>0</v>
      </c>
      <c r="AD335" s="6">
        <f>$O$335*$X$335</f>
        <v>0</v>
      </c>
      <c r="AE335" s="6">
        <f ca="1">$K$335*$Y$335</f>
        <v>16780.593464604201</v>
      </c>
      <c r="AF335" s="6">
        <f>$M$335*$Z$335</f>
        <v>0</v>
      </c>
      <c r="AG335" s="6">
        <f>$O$335*$AA$335</f>
        <v>0</v>
      </c>
    </row>
    <row r="336" spans="1:33" ht="11.25" customHeight="1" x14ac:dyDescent="0.25">
      <c r="A336" s="4" t="s">
        <v>21</v>
      </c>
      <c r="B336" s="4" t="s">
        <v>38</v>
      </c>
      <c r="C336" s="4" t="s">
        <v>39</v>
      </c>
      <c r="D336" s="4" t="s">
        <v>43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44682</v>
      </c>
      <c r="J336" s="6">
        <v>773</v>
      </c>
      <c r="K336" s="96">
        <v>773</v>
      </c>
      <c r="L336" s="6">
        <v>0</v>
      </c>
      <c r="M336" s="96">
        <v>0</v>
      </c>
      <c r="N336" s="6">
        <v>0</v>
      </c>
      <c r="O336" s="96">
        <v>0</v>
      </c>
      <c r="P336" s="6">
        <v>5</v>
      </c>
      <c r="Q336" s="4" t="s">
        <v>26</v>
      </c>
      <c r="R336" s="4">
        <v>0</v>
      </c>
      <c r="S336" s="6">
        <v>19</v>
      </c>
      <c r="T336" s="6">
        <v>0</v>
      </c>
      <c r="U336" s="6">
        <v>0</v>
      </c>
      <c r="V336" s="96">
        <f>IF(ISERROR(VLOOKUP($S$336,'TAR FIN'!$A$1:$O$86,15,0)),0,VLOOKUP($S$336,'TAR FIN'!$A$1:$O$86,15,0))*(1-0.04)</f>
        <v>15.638399999999999</v>
      </c>
      <c r="W336" s="96">
        <f>IF(ISERROR(VLOOKUP($T$336,'TAR FIN'!$A$1:$O$86,15,0)),0,VLOOKUP($T$336,'TAR FIN'!$A$1:$O$86,15,0))</f>
        <v>0</v>
      </c>
      <c r="X336" s="96">
        <f>IF(ISERROR(VLOOKUP($U$336,'TAR FIN'!$A$1:$O$86,15,0)),0,VLOOKUP($U$336,'TAR FIN'!$A$1:$O$86,15,0))</f>
        <v>0</v>
      </c>
      <c r="Y336" s="96">
        <f ca="1">('TUSD BE'!$AM$10+'TUSD BF'!$AM$10+'TUSD CVA'!$AM$10)*1*(1-0.02)</f>
        <v>20.716782055066915</v>
      </c>
      <c r="Z336" s="96"/>
      <c r="AA336" s="96"/>
      <c r="AB336" s="6">
        <f>$K$336*$V$336</f>
        <v>12088.483199999999</v>
      </c>
      <c r="AC336" s="6">
        <f>$M$336*$W$336</f>
        <v>0</v>
      </c>
      <c r="AD336" s="6">
        <f>$O$336*$X$336</f>
        <v>0</v>
      </c>
      <c r="AE336" s="6">
        <f ca="1">$K$336*$Y$336</f>
        <v>16014.072528566725</v>
      </c>
      <c r="AF336" s="6">
        <f>$M$336*$Z$336</f>
        <v>0</v>
      </c>
      <c r="AG336" s="6">
        <f>$O$336*$AA$336</f>
        <v>0</v>
      </c>
    </row>
    <row r="337" spans="1:33" ht="11.25" customHeight="1" x14ac:dyDescent="0.25">
      <c r="A337" s="4" t="s">
        <v>55</v>
      </c>
      <c r="B337" s="4" t="s">
        <v>38</v>
      </c>
      <c r="C337" s="4" t="s">
        <v>39</v>
      </c>
      <c r="D337" s="4" t="s">
        <v>43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44713</v>
      </c>
      <c r="J337" s="6">
        <v>773</v>
      </c>
      <c r="K337" s="96">
        <v>773</v>
      </c>
      <c r="L337" s="6">
        <v>0</v>
      </c>
      <c r="M337" s="96">
        <v>0</v>
      </c>
      <c r="N337" s="6">
        <v>0</v>
      </c>
      <c r="O337" s="96">
        <v>0</v>
      </c>
      <c r="P337" s="6">
        <v>5</v>
      </c>
      <c r="Q337" s="4" t="s">
        <v>26</v>
      </c>
      <c r="R337" s="4">
        <v>0</v>
      </c>
      <c r="S337" s="6">
        <v>19</v>
      </c>
      <c r="T337" s="6">
        <v>0</v>
      </c>
      <c r="U337" s="6">
        <v>0</v>
      </c>
      <c r="V337" s="96">
        <f>IF(ISERROR(VLOOKUP($S$337,'TAR FIN'!$A$1:$O$86,15,0)),0,VLOOKUP($S$337,'TAR FIN'!$A$1:$O$86,15,0))*(1-0.04)</f>
        <v>15.638399999999999</v>
      </c>
      <c r="W337" s="96">
        <f>IF(ISERROR(VLOOKUP($T$337,'TAR FIN'!$A$1:$O$86,15,0)),0,VLOOKUP($T$337,'TAR FIN'!$A$1:$O$86,15,0))</f>
        <v>0</v>
      </c>
      <c r="X337" s="96">
        <f>IF(ISERROR(VLOOKUP($U$337,'TAR FIN'!$A$1:$O$86,15,0)),0,VLOOKUP($U$337,'TAR FIN'!$A$1:$O$86,15,0))</f>
        <v>0</v>
      </c>
      <c r="Y337" s="96">
        <f ca="1">('TUSD BE'!$AM$10+'TUSD BF'!$AM$10+'TUSD CVA'!$AM$10)*1*(1-0.02)</f>
        <v>20.716782055066915</v>
      </c>
      <c r="Z337" s="96"/>
      <c r="AA337" s="96"/>
      <c r="AB337" s="6">
        <f>$K$337*$V$337</f>
        <v>12088.483199999999</v>
      </c>
      <c r="AC337" s="6">
        <f>$M$337*$W$337</f>
        <v>0</v>
      </c>
      <c r="AD337" s="6">
        <f>$O$337*$X$337</f>
        <v>0</v>
      </c>
      <c r="AE337" s="6">
        <f ca="1">$K$337*$Y$337</f>
        <v>16014.072528566725</v>
      </c>
      <c r="AF337" s="6">
        <f>$M$337*$Z$337</f>
        <v>0</v>
      </c>
      <c r="AG337" s="6">
        <f>$O$337*$AA$337</f>
        <v>0</v>
      </c>
    </row>
    <row r="338" spans="1:33" ht="11.25" customHeight="1" x14ac:dyDescent="0.25">
      <c r="A338" s="4" t="s">
        <v>21</v>
      </c>
      <c r="B338" s="4" t="s">
        <v>38</v>
      </c>
      <c r="C338" s="4" t="s">
        <v>39</v>
      </c>
      <c r="D338" s="4" t="s">
        <v>43</v>
      </c>
      <c r="E338" s="4" t="s">
        <v>25</v>
      </c>
      <c r="F338" s="4" t="s">
        <v>25</v>
      </c>
      <c r="G338" s="4" t="s">
        <v>25</v>
      </c>
      <c r="H338" s="4" t="s">
        <v>33</v>
      </c>
      <c r="I338" s="5">
        <v>44378</v>
      </c>
      <c r="J338" s="6">
        <v>0</v>
      </c>
      <c r="K338" s="96">
        <v>0</v>
      </c>
      <c r="L338" s="6">
        <v>3.0960000000000001</v>
      </c>
      <c r="M338" s="96">
        <v>3.0960000000000001</v>
      </c>
      <c r="N338" s="6">
        <v>3.0960000000000001</v>
      </c>
      <c r="O338" s="96">
        <v>3.0960000000000001</v>
      </c>
      <c r="P338" s="6">
        <v>0</v>
      </c>
      <c r="Q338" s="4" t="s">
        <v>26</v>
      </c>
      <c r="R338" s="4">
        <v>0</v>
      </c>
      <c r="S338" s="6">
        <v>0</v>
      </c>
      <c r="T338" s="6">
        <v>21</v>
      </c>
      <c r="U338" s="6">
        <v>66</v>
      </c>
      <c r="V338" s="96">
        <f>IF(ISERROR(VLOOKUP($S$338,'TAR FIN'!$A$1:$O$86,15,0)),0,VLOOKUP($S$338,'TAR FIN'!$A$1:$O$86,15,0))</f>
        <v>0</v>
      </c>
      <c r="W338" s="96">
        <f>IF(ISERROR(VLOOKUP($T$338,'TAR FIN'!$A$1:$O$86,15,0)),0,VLOOKUP($T$338,'TAR FIN'!$A$1:$O$86,15,0))*(1-0.04)</f>
        <v>572.90879999999993</v>
      </c>
      <c r="X338" s="96">
        <f>IF(ISERROR(VLOOKUP($U$338,'TAR FIN'!$A$1:$O$86,15,0)),0,VLOOKUP($U$338,'TAR FIN'!$A$1:$O$86,15,0))*(1-0.04)</f>
        <v>483.66719999999998</v>
      </c>
      <c r="Y338" s="96"/>
      <c r="Z338" s="96">
        <f ca="1">('TUSD BE'!$AM$11+'TUSD BF'!$AM$11+'TUSD CVA'!$AM$11)*1*(1-0.02)</f>
        <v>613.15693267511767</v>
      </c>
      <c r="AA338" s="96">
        <f>('TE BE'!$AB$5+'TE BF'!$AB$5+'TE CVA'!$AB$5)*1*(1-0.02)</f>
        <v>390.05630765165643</v>
      </c>
      <c r="AB338" s="6">
        <f>$K$338*$V$338</f>
        <v>0</v>
      </c>
      <c r="AC338" s="6">
        <f>$M$338*$W$338</f>
        <v>1773.7256447999998</v>
      </c>
      <c r="AD338" s="6">
        <f>$O$338*$X$338</f>
        <v>1497.4336512</v>
      </c>
      <c r="AE338" s="6">
        <f>$K$338*$Y$338</f>
        <v>0</v>
      </c>
      <c r="AF338" s="6">
        <f ca="1">$M$338*$Z$338</f>
        <v>1898.3338635621644</v>
      </c>
      <c r="AG338" s="6">
        <f>$O$338*$AA$338</f>
        <v>1207.6143284895284</v>
      </c>
    </row>
    <row r="339" spans="1:33" ht="11.25" customHeight="1" x14ac:dyDescent="0.25">
      <c r="A339" s="4" t="s">
        <v>21</v>
      </c>
      <c r="B339" s="4" t="s">
        <v>38</v>
      </c>
      <c r="C339" s="4" t="s">
        <v>39</v>
      </c>
      <c r="D339" s="4" t="s">
        <v>43</v>
      </c>
      <c r="E339" s="4" t="s">
        <v>25</v>
      </c>
      <c r="F339" s="4" t="s">
        <v>25</v>
      </c>
      <c r="G339" s="4" t="s">
        <v>25</v>
      </c>
      <c r="H339" s="4" t="s">
        <v>33</v>
      </c>
      <c r="I339" s="5">
        <v>44409</v>
      </c>
      <c r="J339" s="6">
        <v>0</v>
      </c>
      <c r="K339" s="96">
        <v>0</v>
      </c>
      <c r="L339" s="6">
        <v>3.1389999999999998</v>
      </c>
      <c r="M339" s="96">
        <v>3.1389999999999998</v>
      </c>
      <c r="N339" s="6">
        <v>3.1389999999999998</v>
      </c>
      <c r="O339" s="96">
        <v>3.1389999999999998</v>
      </c>
      <c r="P339" s="6">
        <v>0</v>
      </c>
      <c r="Q339" s="4" t="s">
        <v>26</v>
      </c>
      <c r="R339" s="4">
        <v>0</v>
      </c>
      <c r="S339" s="6">
        <v>0</v>
      </c>
      <c r="T339" s="6">
        <v>21</v>
      </c>
      <c r="U339" s="6">
        <v>66</v>
      </c>
      <c r="V339" s="96">
        <f>IF(ISERROR(VLOOKUP($S$339,'TAR FIN'!$A$1:$O$86,15,0)),0,VLOOKUP($S$339,'TAR FIN'!$A$1:$O$86,15,0))</f>
        <v>0</v>
      </c>
      <c r="W339" s="96">
        <f>IF(ISERROR(VLOOKUP($T$339,'TAR FIN'!$A$1:$O$86,15,0)),0,VLOOKUP($T$339,'TAR FIN'!$A$1:$O$86,15,0))*(1-0.04)</f>
        <v>572.90879999999993</v>
      </c>
      <c r="X339" s="96">
        <f>IF(ISERROR(VLOOKUP($U$339,'TAR FIN'!$A$1:$O$86,15,0)),0,VLOOKUP($U$339,'TAR FIN'!$A$1:$O$86,15,0))*(1-0.04)</f>
        <v>483.66719999999998</v>
      </c>
      <c r="Y339" s="96"/>
      <c r="Z339" s="96">
        <f ca="1">('TUSD BE'!$AM$11+'TUSD BF'!$AM$11+'TUSD CVA'!$AM$11)*1*(1-0.02)</f>
        <v>613.15693267511767</v>
      </c>
      <c r="AA339" s="96">
        <f>('TE BE'!$AB$5+'TE BF'!$AB$5+'TE CVA'!$AB$5)*1*(1-0.02)</f>
        <v>390.05630765165643</v>
      </c>
      <c r="AB339" s="6">
        <f>$K$339*$V$339</f>
        <v>0</v>
      </c>
      <c r="AC339" s="6">
        <f>$M$339*$W$339</f>
        <v>1798.3607231999997</v>
      </c>
      <c r="AD339" s="6">
        <f>$O$339*$X$339</f>
        <v>1518.2313407999998</v>
      </c>
      <c r="AE339" s="6">
        <f>$K$339*$Y$339</f>
        <v>0</v>
      </c>
      <c r="AF339" s="6">
        <f ca="1">$M$339*$Z$339</f>
        <v>1924.6996116671942</v>
      </c>
      <c r="AG339" s="6">
        <f>$O$339*$AA$339</f>
        <v>1224.3867497185495</v>
      </c>
    </row>
    <row r="340" spans="1:33" ht="11.25" customHeight="1" x14ac:dyDescent="0.25">
      <c r="A340" s="4" t="s">
        <v>21</v>
      </c>
      <c r="B340" s="4" t="s">
        <v>38</v>
      </c>
      <c r="C340" s="4" t="s">
        <v>39</v>
      </c>
      <c r="D340" s="4" t="s">
        <v>43</v>
      </c>
      <c r="E340" s="4" t="s">
        <v>25</v>
      </c>
      <c r="F340" s="4" t="s">
        <v>25</v>
      </c>
      <c r="G340" s="4" t="s">
        <v>25</v>
      </c>
      <c r="H340" s="4" t="s">
        <v>33</v>
      </c>
      <c r="I340" s="5">
        <v>44440</v>
      </c>
      <c r="J340" s="6">
        <v>0</v>
      </c>
      <c r="K340" s="96">
        <v>0</v>
      </c>
      <c r="L340" s="6">
        <v>3.145</v>
      </c>
      <c r="M340" s="96">
        <v>3.145</v>
      </c>
      <c r="N340" s="6">
        <v>3.145</v>
      </c>
      <c r="O340" s="96">
        <v>3.145</v>
      </c>
      <c r="P340" s="6">
        <v>0</v>
      </c>
      <c r="Q340" s="4" t="s">
        <v>26</v>
      </c>
      <c r="R340" s="4">
        <v>0</v>
      </c>
      <c r="S340" s="6">
        <v>0</v>
      </c>
      <c r="T340" s="6">
        <v>21</v>
      </c>
      <c r="U340" s="6">
        <v>66</v>
      </c>
      <c r="V340" s="96">
        <f>IF(ISERROR(VLOOKUP($S$340,'TAR FIN'!$A$1:$O$86,15,0)),0,VLOOKUP($S$340,'TAR FIN'!$A$1:$O$86,15,0))</f>
        <v>0</v>
      </c>
      <c r="W340" s="96">
        <f>IF(ISERROR(VLOOKUP($T$340,'TAR FIN'!$A$1:$O$86,15,0)),0,VLOOKUP($T$340,'TAR FIN'!$A$1:$O$86,15,0))*(1-0.04)</f>
        <v>572.90879999999993</v>
      </c>
      <c r="X340" s="96">
        <f>IF(ISERROR(VLOOKUP($U$340,'TAR FIN'!$A$1:$O$86,15,0)),0,VLOOKUP($U$340,'TAR FIN'!$A$1:$O$86,15,0))*(1-0.04)</f>
        <v>483.66719999999998</v>
      </c>
      <c r="Y340" s="96"/>
      <c r="Z340" s="96">
        <f ca="1">('TUSD BE'!$AM$11+'TUSD BF'!$AM$11+'TUSD CVA'!$AM$11)*1*(1-0.02)</f>
        <v>613.15693267511767</v>
      </c>
      <c r="AA340" s="96">
        <f>('TE BE'!$AB$5+'TE BF'!$AB$5+'TE CVA'!$AB$5)*1*(1-0.02)</f>
        <v>390.05630765165643</v>
      </c>
      <c r="AB340" s="6">
        <f>$K$340*$V$340</f>
        <v>0</v>
      </c>
      <c r="AC340" s="6">
        <f>$M$340*$W$340</f>
        <v>1801.7981759999998</v>
      </c>
      <c r="AD340" s="6">
        <f>$O$340*$X$340</f>
        <v>1521.1333439999999</v>
      </c>
      <c r="AE340" s="6">
        <f>$K$340*$Y$340</f>
        <v>0</v>
      </c>
      <c r="AF340" s="6">
        <f ca="1">$M$340*$Z$340</f>
        <v>1928.3785532632451</v>
      </c>
      <c r="AG340" s="6">
        <f>$O$340*$AA$340</f>
        <v>1226.7270875644595</v>
      </c>
    </row>
    <row r="341" spans="1:33" ht="11.25" customHeight="1" x14ac:dyDescent="0.25">
      <c r="A341" s="4" t="s">
        <v>21</v>
      </c>
      <c r="B341" s="4" t="s">
        <v>38</v>
      </c>
      <c r="C341" s="4" t="s">
        <v>39</v>
      </c>
      <c r="D341" s="4" t="s">
        <v>43</v>
      </c>
      <c r="E341" s="4" t="s">
        <v>25</v>
      </c>
      <c r="F341" s="4" t="s">
        <v>25</v>
      </c>
      <c r="G341" s="4" t="s">
        <v>25</v>
      </c>
      <c r="H341" s="4" t="s">
        <v>33</v>
      </c>
      <c r="I341" s="5">
        <v>44470</v>
      </c>
      <c r="J341" s="6">
        <v>0</v>
      </c>
      <c r="K341" s="96">
        <v>0</v>
      </c>
      <c r="L341" s="6">
        <v>7.8280000000000003</v>
      </c>
      <c r="M341" s="96">
        <v>7.8280000000000003</v>
      </c>
      <c r="N341" s="6">
        <v>7.8280000000000003</v>
      </c>
      <c r="O341" s="96">
        <v>7.8280000000000003</v>
      </c>
      <c r="P341" s="6">
        <v>0</v>
      </c>
      <c r="Q341" s="4" t="s">
        <v>26</v>
      </c>
      <c r="R341" s="4">
        <v>0</v>
      </c>
      <c r="S341" s="6">
        <v>0</v>
      </c>
      <c r="T341" s="6">
        <v>21</v>
      </c>
      <c r="U341" s="6">
        <v>66</v>
      </c>
      <c r="V341" s="96">
        <f>IF(ISERROR(VLOOKUP($S$341,'TAR FIN'!$A$1:$O$86,15,0)),0,VLOOKUP($S$341,'TAR FIN'!$A$1:$O$86,15,0))</f>
        <v>0</v>
      </c>
      <c r="W341" s="96">
        <f>IF(ISERROR(VLOOKUP($T$341,'TAR FIN'!$A$1:$O$86,15,0)),0,VLOOKUP($T$341,'TAR FIN'!$A$1:$O$86,15,0))*(1-0.04)</f>
        <v>572.90879999999993</v>
      </c>
      <c r="X341" s="96">
        <f>IF(ISERROR(VLOOKUP($U$341,'TAR FIN'!$A$1:$O$86,15,0)),0,VLOOKUP($U$341,'TAR FIN'!$A$1:$O$86,15,0))*(1-0.04)</f>
        <v>483.66719999999998</v>
      </c>
      <c r="Y341" s="96"/>
      <c r="Z341" s="96">
        <f ca="1">('TUSD BE'!$AM$11+'TUSD BF'!$AM$11+'TUSD CVA'!$AM$11)*1*(1-0.02)</f>
        <v>613.15693267511767</v>
      </c>
      <c r="AA341" s="96">
        <f>('TE BE'!$AB$5+'TE BF'!$AB$5+'TE CVA'!$AB$5)*1*(1-0.02)</f>
        <v>390.05630765165643</v>
      </c>
      <c r="AB341" s="6">
        <f>$K$341*$V$341</f>
        <v>0</v>
      </c>
      <c r="AC341" s="6">
        <f>$M$341*$W$341</f>
        <v>4484.7300863999999</v>
      </c>
      <c r="AD341" s="6">
        <f>$O$341*$X$341</f>
        <v>3786.1468415999998</v>
      </c>
      <c r="AE341" s="6">
        <f>$K$341*$Y$341</f>
        <v>0</v>
      </c>
      <c r="AF341" s="6">
        <f ca="1">$M$341*$Z$341</f>
        <v>4799.7924689808215</v>
      </c>
      <c r="AG341" s="6">
        <f>$O$341*$AA$341</f>
        <v>3053.3607762971665</v>
      </c>
    </row>
    <row r="342" spans="1:33" ht="11.25" customHeight="1" x14ac:dyDescent="0.25">
      <c r="A342" s="4" t="s">
        <v>21</v>
      </c>
      <c r="B342" s="4" t="s">
        <v>38</v>
      </c>
      <c r="C342" s="4" t="s">
        <v>39</v>
      </c>
      <c r="D342" s="4" t="s">
        <v>43</v>
      </c>
      <c r="E342" s="4" t="s">
        <v>25</v>
      </c>
      <c r="F342" s="4" t="s">
        <v>25</v>
      </c>
      <c r="G342" s="4" t="s">
        <v>25</v>
      </c>
      <c r="H342" s="4" t="s">
        <v>33</v>
      </c>
      <c r="I342" s="5">
        <v>44501</v>
      </c>
      <c r="J342" s="6">
        <v>0</v>
      </c>
      <c r="K342" s="96">
        <v>0</v>
      </c>
      <c r="L342" s="6">
        <v>9.3659999999999997</v>
      </c>
      <c r="M342" s="96">
        <v>9.3659999999999997</v>
      </c>
      <c r="N342" s="6">
        <v>9.3659999999999997</v>
      </c>
      <c r="O342" s="96">
        <v>9.3659999999999997</v>
      </c>
      <c r="P342" s="6">
        <v>0</v>
      </c>
      <c r="Q342" s="4" t="s">
        <v>26</v>
      </c>
      <c r="R342" s="4">
        <v>0</v>
      </c>
      <c r="S342" s="6">
        <v>0</v>
      </c>
      <c r="T342" s="6">
        <v>21</v>
      </c>
      <c r="U342" s="6">
        <v>66</v>
      </c>
      <c r="V342" s="96">
        <f>IF(ISERROR(VLOOKUP($S$342,'TAR FIN'!$A$1:$O$86,15,0)),0,VLOOKUP($S$342,'TAR FIN'!$A$1:$O$86,15,0))</f>
        <v>0</v>
      </c>
      <c r="W342" s="96">
        <f>IF(ISERROR(VLOOKUP($T$342,'TAR FIN'!$A$1:$O$86,15,0)),0,VLOOKUP($T$342,'TAR FIN'!$A$1:$O$86,15,0))*(1-0.04)</f>
        <v>572.90879999999993</v>
      </c>
      <c r="X342" s="96">
        <f>IF(ISERROR(VLOOKUP($U$342,'TAR FIN'!$A$1:$O$86,15,0)),0,VLOOKUP($U$342,'TAR FIN'!$A$1:$O$86,15,0))*(1-0.04)</f>
        <v>483.66719999999998</v>
      </c>
      <c r="Y342" s="96"/>
      <c r="Z342" s="96">
        <f ca="1">('TUSD BE'!$AM$11+'TUSD BF'!$AM$11+'TUSD CVA'!$AM$11)*1*(1-0.02)</f>
        <v>613.15693267511767</v>
      </c>
      <c r="AA342" s="96">
        <f>('TE BE'!$AB$5+'TE BF'!$AB$5+'TE CVA'!$AB$5)*1*(1-0.02)</f>
        <v>390.05630765165643</v>
      </c>
      <c r="AB342" s="6">
        <f>$K$342*$V$342</f>
        <v>0</v>
      </c>
      <c r="AC342" s="6">
        <f>$M$342*$W$342</f>
        <v>5365.8638207999993</v>
      </c>
      <c r="AD342" s="6">
        <f>$O$342*$X$342</f>
        <v>4530.0269951999999</v>
      </c>
      <c r="AE342" s="6">
        <f>$K$342*$Y$342</f>
        <v>0</v>
      </c>
      <c r="AF342" s="6">
        <f ca="1">$M$342*$Z$342</f>
        <v>5742.8278314351519</v>
      </c>
      <c r="AG342" s="6">
        <f>$O$342*$AA$342</f>
        <v>3653.267377465414</v>
      </c>
    </row>
    <row r="343" spans="1:33" ht="11.25" customHeight="1" x14ac:dyDescent="0.25">
      <c r="A343" s="4" t="s">
        <v>21</v>
      </c>
      <c r="B343" s="4" t="s">
        <v>38</v>
      </c>
      <c r="C343" s="4" t="s">
        <v>39</v>
      </c>
      <c r="D343" s="4" t="s">
        <v>43</v>
      </c>
      <c r="E343" s="4" t="s">
        <v>25</v>
      </c>
      <c r="F343" s="4" t="s">
        <v>25</v>
      </c>
      <c r="G343" s="4" t="s">
        <v>25</v>
      </c>
      <c r="H343" s="4" t="s">
        <v>33</v>
      </c>
      <c r="I343" s="5">
        <v>44531</v>
      </c>
      <c r="J343" s="6">
        <v>0</v>
      </c>
      <c r="K343" s="96">
        <v>0</v>
      </c>
      <c r="L343" s="6">
        <v>3.806</v>
      </c>
      <c r="M343" s="96">
        <v>3.806</v>
      </c>
      <c r="N343" s="6">
        <v>3.806</v>
      </c>
      <c r="O343" s="96">
        <v>3.806</v>
      </c>
      <c r="P343" s="6">
        <v>0</v>
      </c>
      <c r="Q343" s="4" t="s">
        <v>26</v>
      </c>
      <c r="R343" s="4">
        <v>0</v>
      </c>
      <c r="S343" s="6">
        <v>0</v>
      </c>
      <c r="T343" s="6">
        <v>21</v>
      </c>
      <c r="U343" s="6">
        <v>66</v>
      </c>
      <c r="V343" s="96">
        <f>IF(ISERROR(VLOOKUP($S$343,'TAR FIN'!$A$1:$O$86,15,0)),0,VLOOKUP($S$343,'TAR FIN'!$A$1:$O$86,15,0))</f>
        <v>0</v>
      </c>
      <c r="W343" s="96">
        <f>IF(ISERROR(VLOOKUP($T$343,'TAR FIN'!$A$1:$O$86,15,0)),0,VLOOKUP($T$343,'TAR FIN'!$A$1:$O$86,15,0))*(1-0.04)</f>
        <v>572.90879999999993</v>
      </c>
      <c r="X343" s="96">
        <f>IF(ISERROR(VLOOKUP($U$343,'TAR FIN'!$A$1:$O$86,15,0)),0,VLOOKUP($U$343,'TAR FIN'!$A$1:$O$86,15,0))*(1-0.04)</f>
        <v>483.66719999999998</v>
      </c>
      <c r="Y343" s="96"/>
      <c r="Z343" s="96">
        <f ca="1">('TUSD BE'!$AM$11+'TUSD BF'!$AM$11+'TUSD CVA'!$AM$11)*1*(1-0.02)</f>
        <v>613.15693267511767</v>
      </c>
      <c r="AA343" s="96">
        <f>('TE BE'!$AB$5+'TE BF'!$AB$5+'TE CVA'!$AB$5)*1*(1-0.02)</f>
        <v>390.05630765165643</v>
      </c>
      <c r="AB343" s="6">
        <f>$K$343*$V$343</f>
        <v>0</v>
      </c>
      <c r="AC343" s="6">
        <f>$M$343*$W$343</f>
        <v>2180.4908927999995</v>
      </c>
      <c r="AD343" s="6">
        <f>$O$343*$X$343</f>
        <v>1840.8373632</v>
      </c>
      <c r="AE343" s="6">
        <f>$K$343*$Y$343</f>
        <v>0</v>
      </c>
      <c r="AF343" s="6">
        <f ca="1">$M$343*$Z$343</f>
        <v>2333.6752857614979</v>
      </c>
      <c r="AG343" s="6">
        <f>$O$343*$AA$343</f>
        <v>1484.5543069222044</v>
      </c>
    </row>
    <row r="344" spans="1:33" ht="11.25" customHeight="1" x14ac:dyDescent="0.25">
      <c r="A344" s="4" t="s">
        <v>21</v>
      </c>
      <c r="B344" s="4" t="s">
        <v>38</v>
      </c>
      <c r="C344" s="4" t="s">
        <v>39</v>
      </c>
      <c r="D344" s="4" t="s">
        <v>43</v>
      </c>
      <c r="E344" s="4" t="s">
        <v>25</v>
      </c>
      <c r="F344" s="4" t="s">
        <v>25</v>
      </c>
      <c r="G344" s="4" t="s">
        <v>25</v>
      </c>
      <c r="H344" s="4" t="s">
        <v>33</v>
      </c>
      <c r="I344" s="5">
        <v>44562</v>
      </c>
      <c r="J344" s="6">
        <v>0</v>
      </c>
      <c r="K344" s="96">
        <v>0</v>
      </c>
      <c r="L344" s="6">
        <v>6.9459999999999997</v>
      </c>
      <c r="M344" s="96">
        <v>6.9459999999999997</v>
      </c>
      <c r="N344" s="6">
        <v>6.9459999999999997</v>
      </c>
      <c r="O344" s="96">
        <v>6.9459999999999997</v>
      </c>
      <c r="P344" s="6">
        <v>0</v>
      </c>
      <c r="Q344" s="4" t="s">
        <v>26</v>
      </c>
      <c r="R344" s="4">
        <v>0</v>
      </c>
      <c r="S344" s="6">
        <v>0</v>
      </c>
      <c r="T344" s="6">
        <v>21</v>
      </c>
      <c r="U344" s="6">
        <v>66</v>
      </c>
      <c r="V344" s="96">
        <f>IF(ISERROR(VLOOKUP($S$344,'TAR FIN'!$A$1:$O$86,15,0)),0,VLOOKUP($S$344,'TAR FIN'!$A$1:$O$86,15,0))</f>
        <v>0</v>
      </c>
      <c r="W344" s="96">
        <f>IF(ISERROR(VLOOKUP($T$344,'TAR FIN'!$A$1:$O$86,15,0)),0,VLOOKUP($T$344,'TAR FIN'!$A$1:$O$86,15,0))*(1-0.04)</f>
        <v>572.90879999999993</v>
      </c>
      <c r="X344" s="96">
        <f>IF(ISERROR(VLOOKUP($U$344,'TAR FIN'!$A$1:$O$86,15,0)),0,VLOOKUP($U$344,'TAR FIN'!$A$1:$O$86,15,0))*(1-0.04)</f>
        <v>483.66719999999998</v>
      </c>
      <c r="Y344" s="96"/>
      <c r="Z344" s="96">
        <f ca="1">('TUSD BE'!$AM$11+'TUSD BF'!$AM$11+'TUSD CVA'!$AM$11)*1*(1-0.02)</f>
        <v>613.15693267511767</v>
      </c>
      <c r="AA344" s="96">
        <f>('TE BE'!$AB$5+'TE BF'!$AB$5+'TE CVA'!$AB$5)*1*(1-0.02)</f>
        <v>390.05630765165643</v>
      </c>
      <c r="AB344" s="6">
        <f>$K$344*$V$344</f>
        <v>0</v>
      </c>
      <c r="AC344" s="6">
        <f>$M$344*$W$344</f>
        <v>3979.4245247999993</v>
      </c>
      <c r="AD344" s="6">
        <f>$O$344*$X$344</f>
        <v>3359.5523711999999</v>
      </c>
      <c r="AE344" s="6">
        <f>$K$344*$Y$344</f>
        <v>0</v>
      </c>
      <c r="AF344" s="6">
        <f ca="1">$M$344*$Z$344</f>
        <v>4258.9880543613672</v>
      </c>
      <c r="AG344" s="6">
        <f>$O$344*$AA$344</f>
        <v>2709.3311129484055</v>
      </c>
    </row>
    <row r="345" spans="1:33" ht="11.25" customHeight="1" x14ac:dyDescent="0.25">
      <c r="A345" s="4" t="s">
        <v>21</v>
      </c>
      <c r="B345" s="4" t="s">
        <v>38</v>
      </c>
      <c r="C345" s="4" t="s">
        <v>39</v>
      </c>
      <c r="D345" s="4" t="s">
        <v>43</v>
      </c>
      <c r="E345" s="4" t="s">
        <v>25</v>
      </c>
      <c r="F345" s="4" t="s">
        <v>25</v>
      </c>
      <c r="G345" s="4" t="s">
        <v>25</v>
      </c>
      <c r="H345" s="4" t="s">
        <v>33</v>
      </c>
      <c r="I345" s="5">
        <v>44593</v>
      </c>
      <c r="J345" s="6">
        <v>0</v>
      </c>
      <c r="K345" s="96">
        <v>0</v>
      </c>
      <c r="L345" s="6">
        <v>7.7380000000000004</v>
      </c>
      <c r="M345" s="96">
        <v>7.7380000000000004</v>
      </c>
      <c r="N345" s="6">
        <v>7.7380000000000004</v>
      </c>
      <c r="O345" s="96">
        <v>7.7380000000000004</v>
      </c>
      <c r="P345" s="6">
        <v>0</v>
      </c>
      <c r="Q345" s="4" t="s">
        <v>26</v>
      </c>
      <c r="R345" s="4">
        <v>0</v>
      </c>
      <c r="S345" s="6">
        <v>0</v>
      </c>
      <c r="T345" s="6">
        <v>21</v>
      </c>
      <c r="U345" s="6">
        <v>66</v>
      </c>
      <c r="V345" s="96">
        <f>IF(ISERROR(VLOOKUP($S$345,'TAR FIN'!$A$1:$O$86,15,0)),0,VLOOKUP($S$345,'TAR FIN'!$A$1:$O$86,15,0))</f>
        <v>0</v>
      </c>
      <c r="W345" s="96">
        <f>IF(ISERROR(VLOOKUP($T$345,'TAR FIN'!$A$1:$O$86,15,0)),0,VLOOKUP($T$345,'TAR FIN'!$A$1:$O$86,15,0))*(1-0.04)</f>
        <v>572.90879999999993</v>
      </c>
      <c r="X345" s="96">
        <f>IF(ISERROR(VLOOKUP($U$345,'TAR FIN'!$A$1:$O$86,15,0)),0,VLOOKUP($U$345,'TAR FIN'!$A$1:$O$86,15,0))*(1-0.04)</f>
        <v>483.66719999999998</v>
      </c>
      <c r="Y345" s="96"/>
      <c r="Z345" s="96">
        <f ca="1">('TUSD BE'!$AM$11+'TUSD BF'!$AM$11+'TUSD CVA'!$AM$11)*1*(1-0.02)</f>
        <v>613.15693267511767</v>
      </c>
      <c r="AA345" s="96">
        <f>('TE BE'!$AB$5+'TE BF'!$AB$5+'TE CVA'!$AB$5)*1*(1-0.02)</f>
        <v>390.05630765165643</v>
      </c>
      <c r="AB345" s="6">
        <f>$K$345*$V$345</f>
        <v>0</v>
      </c>
      <c r="AC345" s="6">
        <f>$M$345*$W$345</f>
        <v>4433.1682943999995</v>
      </c>
      <c r="AD345" s="6">
        <f>$O$345*$X$345</f>
        <v>3742.6167936000002</v>
      </c>
      <c r="AE345" s="6">
        <f>$K$345*$Y$345</f>
        <v>0</v>
      </c>
      <c r="AF345" s="6">
        <f ca="1">$M$345*$Z$345</f>
        <v>4744.6083450400611</v>
      </c>
      <c r="AG345" s="6">
        <f>$O$345*$AA$345</f>
        <v>3018.2557086085176</v>
      </c>
    </row>
    <row r="346" spans="1:33" ht="11.25" customHeight="1" x14ac:dyDescent="0.25">
      <c r="A346" s="4" t="s">
        <v>21</v>
      </c>
      <c r="B346" s="4" t="s">
        <v>38</v>
      </c>
      <c r="C346" s="4" t="s">
        <v>39</v>
      </c>
      <c r="D346" s="4" t="s">
        <v>43</v>
      </c>
      <c r="E346" s="4" t="s">
        <v>25</v>
      </c>
      <c r="F346" s="4" t="s">
        <v>25</v>
      </c>
      <c r="G346" s="4" t="s">
        <v>25</v>
      </c>
      <c r="H346" s="4" t="s">
        <v>33</v>
      </c>
      <c r="I346" s="5">
        <v>44621</v>
      </c>
      <c r="J346" s="6">
        <v>0</v>
      </c>
      <c r="K346" s="96">
        <v>0</v>
      </c>
      <c r="L346" s="6">
        <v>12.128</v>
      </c>
      <c r="M346" s="96">
        <v>12.128</v>
      </c>
      <c r="N346" s="6">
        <v>12.128</v>
      </c>
      <c r="O346" s="96">
        <v>12.128</v>
      </c>
      <c r="P346" s="6">
        <v>0</v>
      </c>
      <c r="Q346" s="4" t="s">
        <v>26</v>
      </c>
      <c r="R346" s="4">
        <v>0</v>
      </c>
      <c r="S346" s="6">
        <v>0</v>
      </c>
      <c r="T346" s="6">
        <v>21</v>
      </c>
      <c r="U346" s="6">
        <v>66</v>
      </c>
      <c r="V346" s="96">
        <f>IF(ISERROR(VLOOKUP($S$346,'TAR FIN'!$A$1:$O$86,15,0)),0,VLOOKUP($S$346,'TAR FIN'!$A$1:$O$86,15,0))</f>
        <v>0</v>
      </c>
      <c r="W346" s="96">
        <f>IF(ISERROR(VLOOKUP($T$346,'TAR FIN'!$A$1:$O$86,15,0)),0,VLOOKUP($T$346,'TAR FIN'!$A$1:$O$86,15,0))*(1-0.04)</f>
        <v>572.90879999999993</v>
      </c>
      <c r="X346" s="96">
        <f>IF(ISERROR(VLOOKUP($U$346,'TAR FIN'!$A$1:$O$86,15,0)),0,VLOOKUP($U$346,'TAR FIN'!$A$1:$O$86,15,0))*(1-0.04)</f>
        <v>483.66719999999998</v>
      </c>
      <c r="Y346" s="96"/>
      <c r="Z346" s="96">
        <f ca="1">('TUSD BE'!$AM$11+'TUSD BF'!$AM$11+'TUSD CVA'!$AM$11)*1*(1-0.02)</f>
        <v>613.15693267511767</v>
      </c>
      <c r="AA346" s="96">
        <f>('TE BE'!$AB$5+'TE BF'!$AB$5+'TE CVA'!$AB$5)*1*(1-0.02)</f>
        <v>390.05630765165643</v>
      </c>
      <c r="AB346" s="6">
        <f>$K$346*$V$346</f>
        <v>0</v>
      </c>
      <c r="AC346" s="6">
        <f>$M$346*$W$346</f>
        <v>6948.2379263999992</v>
      </c>
      <c r="AD346" s="6">
        <f>$O$346*$X$346</f>
        <v>5865.9158016000001</v>
      </c>
      <c r="AE346" s="6">
        <f>$K$346*$Y$346</f>
        <v>0</v>
      </c>
      <c r="AF346" s="6">
        <f ca="1">$M$346*$Z$346</f>
        <v>7436.3672794838276</v>
      </c>
      <c r="AG346" s="6">
        <f>$O$346*$AA$346</f>
        <v>4730.6028991992889</v>
      </c>
    </row>
    <row r="347" spans="1:33" ht="11.25" customHeight="1" x14ac:dyDescent="0.25">
      <c r="A347" s="4" t="s">
        <v>21</v>
      </c>
      <c r="B347" s="4" t="s">
        <v>38</v>
      </c>
      <c r="C347" s="4" t="s">
        <v>39</v>
      </c>
      <c r="D347" s="4" t="s">
        <v>43</v>
      </c>
      <c r="E347" s="4" t="s">
        <v>25</v>
      </c>
      <c r="F347" s="4" t="s">
        <v>25</v>
      </c>
      <c r="G347" s="4" t="s">
        <v>25</v>
      </c>
      <c r="H347" s="4" t="s">
        <v>33</v>
      </c>
      <c r="I347" s="5">
        <v>44652</v>
      </c>
      <c r="J347" s="6">
        <v>0</v>
      </c>
      <c r="K347" s="96">
        <v>0</v>
      </c>
      <c r="L347" s="6">
        <v>13.789</v>
      </c>
      <c r="M347" s="96">
        <v>13.789</v>
      </c>
      <c r="N347" s="6">
        <v>13.789</v>
      </c>
      <c r="O347" s="96">
        <v>13.789</v>
      </c>
      <c r="P347" s="6">
        <v>0</v>
      </c>
      <c r="Q347" s="4" t="s">
        <v>26</v>
      </c>
      <c r="R347" s="4">
        <v>0</v>
      </c>
      <c r="S347" s="6">
        <v>0</v>
      </c>
      <c r="T347" s="6">
        <v>21</v>
      </c>
      <c r="U347" s="6">
        <v>66</v>
      </c>
      <c r="V347" s="96">
        <f>IF(ISERROR(VLOOKUP($S$347,'TAR FIN'!$A$1:$O$86,15,0)),0,VLOOKUP($S$347,'TAR FIN'!$A$1:$O$86,15,0))</f>
        <v>0</v>
      </c>
      <c r="W347" s="96">
        <f>IF(ISERROR(VLOOKUP($T$347,'TAR FIN'!$A$1:$O$86,15,0)),0,VLOOKUP($T$347,'TAR FIN'!$A$1:$O$86,15,0))*(1-0.04)</f>
        <v>572.90879999999993</v>
      </c>
      <c r="X347" s="96">
        <f>IF(ISERROR(VLOOKUP($U$347,'TAR FIN'!$A$1:$O$86,15,0)),0,VLOOKUP($U$347,'TAR FIN'!$A$1:$O$86,15,0))*(1-0.04)</f>
        <v>483.66719999999998</v>
      </c>
      <c r="Y347" s="96"/>
      <c r="Z347" s="96">
        <f ca="1">('TUSD BE'!$AM$11+'TUSD BF'!$AM$11+'TUSD CVA'!$AM$11)*1*(1-0.02)</f>
        <v>613.15693267511767</v>
      </c>
      <c r="AA347" s="96">
        <f>('TE BE'!$AB$5+'TE BF'!$AB$5+'TE CVA'!$AB$5)*1*(1-0.02)</f>
        <v>390.05630765165643</v>
      </c>
      <c r="AB347" s="6">
        <f>$K$347*$V$347</f>
        <v>0</v>
      </c>
      <c r="AC347" s="6">
        <f>$M$347*$W$347</f>
        <v>7899.8394431999986</v>
      </c>
      <c r="AD347" s="6">
        <f>$O$347*$X$347</f>
        <v>6669.2870207999995</v>
      </c>
      <c r="AE347" s="6">
        <f>$K$347*$Y$347</f>
        <v>0</v>
      </c>
      <c r="AF347" s="6">
        <f ca="1">$M$347*$Z$347</f>
        <v>8454.8209446571982</v>
      </c>
      <c r="AG347" s="6">
        <f>$O$347*$AA$347</f>
        <v>5378.4864262086903</v>
      </c>
    </row>
    <row r="348" spans="1:33" ht="11.25" customHeight="1" x14ac:dyDescent="0.25">
      <c r="A348" s="4" t="s">
        <v>21</v>
      </c>
      <c r="B348" s="4" t="s">
        <v>38</v>
      </c>
      <c r="C348" s="4" t="s">
        <v>39</v>
      </c>
      <c r="D348" s="4" t="s">
        <v>43</v>
      </c>
      <c r="E348" s="4" t="s">
        <v>25</v>
      </c>
      <c r="F348" s="4" t="s">
        <v>25</v>
      </c>
      <c r="G348" s="4" t="s">
        <v>25</v>
      </c>
      <c r="H348" s="4" t="s">
        <v>33</v>
      </c>
      <c r="I348" s="5">
        <v>44682</v>
      </c>
      <c r="J348" s="6">
        <v>0</v>
      </c>
      <c r="K348" s="96">
        <v>0</v>
      </c>
      <c r="L348" s="6">
        <v>8.1319999999999997</v>
      </c>
      <c r="M348" s="96">
        <v>8.1319999999999997</v>
      </c>
      <c r="N348" s="6">
        <v>8.1319999999999997</v>
      </c>
      <c r="O348" s="96">
        <v>8.1319999999999997</v>
      </c>
      <c r="P348" s="6">
        <v>0</v>
      </c>
      <c r="Q348" s="4" t="s">
        <v>26</v>
      </c>
      <c r="R348" s="4">
        <v>0</v>
      </c>
      <c r="S348" s="6">
        <v>0</v>
      </c>
      <c r="T348" s="6">
        <v>21</v>
      </c>
      <c r="U348" s="6">
        <v>66</v>
      </c>
      <c r="V348" s="96">
        <f>IF(ISERROR(VLOOKUP($S$348,'TAR FIN'!$A$1:$O$86,15,0)),0,VLOOKUP($S$348,'TAR FIN'!$A$1:$O$86,15,0))</f>
        <v>0</v>
      </c>
      <c r="W348" s="96">
        <f>IF(ISERROR(VLOOKUP($T$348,'TAR FIN'!$A$1:$O$86,15,0)),0,VLOOKUP($T$348,'TAR FIN'!$A$1:$O$86,15,0))*(1-0.04)</f>
        <v>572.90879999999993</v>
      </c>
      <c r="X348" s="96">
        <f>IF(ISERROR(VLOOKUP($U$348,'TAR FIN'!$A$1:$O$86,15,0)),0,VLOOKUP($U$348,'TAR FIN'!$A$1:$O$86,15,0))*(1-0.04)</f>
        <v>483.66719999999998</v>
      </c>
      <c r="Y348" s="96"/>
      <c r="Z348" s="96">
        <f ca="1">('TUSD BE'!$AM$11+'TUSD BF'!$AM$11+'TUSD CVA'!$AM$11)*1*(1-0.02)</f>
        <v>613.15693267511767</v>
      </c>
      <c r="AA348" s="96">
        <f>('TE BE'!$AB$5+'TE BF'!$AB$5+'TE CVA'!$AB$5)*1*(1-0.02)</f>
        <v>390.05630765165643</v>
      </c>
      <c r="AB348" s="6">
        <f>$K$348*$V$348</f>
        <v>0</v>
      </c>
      <c r="AC348" s="6">
        <f>$M$348*$W$348</f>
        <v>4658.8943615999997</v>
      </c>
      <c r="AD348" s="6">
        <f>$O$348*$X$348</f>
        <v>3933.1816703999998</v>
      </c>
      <c r="AE348" s="6">
        <f>$K$348*$Y$348</f>
        <v>0</v>
      </c>
      <c r="AF348" s="6">
        <f ca="1">$M$348*$Z$348</f>
        <v>4986.1921765140569</v>
      </c>
      <c r="AG348" s="6">
        <f>$O$348*$AA$348</f>
        <v>3171.9378938232699</v>
      </c>
    </row>
    <row r="349" spans="1:33" ht="11.25" customHeight="1" x14ac:dyDescent="0.25">
      <c r="A349" s="4" t="s">
        <v>55</v>
      </c>
      <c r="B349" s="4" t="s">
        <v>38</v>
      </c>
      <c r="C349" s="4" t="s">
        <v>39</v>
      </c>
      <c r="D349" s="4" t="s">
        <v>43</v>
      </c>
      <c r="E349" s="4" t="s">
        <v>25</v>
      </c>
      <c r="F349" s="4" t="s">
        <v>25</v>
      </c>
      <c r="G349" s="4" t="s">
        <v>25</v>
      </c>
      <c r="H349" s="4" t="s">
        <v>33</v>
      </c>
      <c r="I349" s="5">
        <v>44713</v>
      </c>
      <c r="J349" s="6">
        <v>0</v>
      </c>
      <c r="K349" s="96">
        <v>0</v>
      </c>
      <c r="L349" s="6">
        <v>8.1319999999999997</v>
      </c>
      <c r="M349" s="96">
        <v>8.1319999999999997</v>
      </c>
      <c r="N349" s="6">
        <v>8.1319999999999997</v>
      </c>
      <c r="O349" s="96">
        <v>8.1319999999999997</v>
      </c>
      <c r="P349" s="6">
        <v>0</v>
      </c>
      <c r="Q349" s="4" t="s">
        <v>26</v>
      </c>
      <c r="R349" s="4">
        <v>0</v>
      </c>
      <c r="S349" s="6">
        <v>0</v>
      </c>
      <c r="T349" s="6">
        <v>21</v>
      </c>
      <c r="U349" s="6">
        <v>66</v>
      </c>
      <c r="V349" s="96">
        <f>IF(ISERROR(VLOOKUP($S$349,'TAR FIN'!$A$1:$O$86,15,0)),0,VLOOKUP($S$349,'TAR FIN'!$A$1:$O$86,15,0))</f>
        <v>0</v>
      </c>
      <c r="W349" s="96">
        <f>IF(ISERROR(VLOOKUP($T$349,'TAR FIN'!$A$1:$O$86,15,0)),0,VLOOKUP($T$349,'TAR FIN'!$A$1:$O$86,15,0))*(1-0.04)</f>
        <v>572.90879999999993</v>
      </c>
      <c r="X349" s="96">
        <f>IF(ISERROR(VLOOKUP($U$349,'TAR FIN'!$A$1:$O$86,15,0)),0,VLOOKUP($U$349,'TAR FIN'!$A$1:$O$86,15,0))*(1-0.04)</f>
        <v>483.66719999999998</v>
      </c>
      <c r="Y349" s="96"/>
      <c r="Z349" s="96">
        <f ca="1">('TUSD BE'!$AM$11+'TUSD BF'!$AM$11+'TUSD CVA'!$AM$11)*1*(1-0.02)</f>
        <v>613.15693267511767</v>
      </c>
      <c r="AA349" s="96">
        <f>('TE BE'!$AB$5+'TE BF'!$AB$5+'TE CVA'!$AB$5)*1*(1-0.02)</f>
        <v>390.05630765165643</v>
      </c>
      <c r="AB349" s="6">
        <f>$K$349*$V$349</f>
        <v>0</v>
      </c>
      <c r="AC349" s="6">
        <f>$M$349*$W$349</f>
        <v>4658.8943615999997</v>
      </c>
      <c r="AD349" s="6">
        <f>$O$349*$X$349</f>
        <v>3933.1816703999998</v>
      </c>
      <c r="AE349" s="6">
        <f>$K$349*$Y$349</f>
        <v>0</v>
      </c>
      <c r="AF349" s="6">
        <f ca="1">$M$349*$Z$349</f>
        <v>4986.1921765140569</v>
      </c>
      <c r="AG349" s="6">
        <f>$O$349*$AA$349</f>
        <v>3171.9378938232699</v>
      </c>
    </row>
    <row r="350" spans="1:33" ht="11.25" customHeight="1" x14ac:dyDescent="0.25">
      <c r="A350" s="4" t="s">
        <v>21</v>
      </c>
      <c r="B350" s="4" t="s">
        <v>22</v>
      </c>
      <c r="C350" s="4" t="s">
        <v>32</v>
      </c>
      <c r="D350" s="4" t="s">
        <v>24</v>
      </c>
      <c r="E350" s="4" t="s">
        <v>24</v>
      </c>
      <c r="F350" s="4" t="s">
        <v>25</v>
      </c>
      <c r="G350" s="4" t="s">
        <v>25</v>
      </c>
      <c r="H350" s="4" t="s">
        <v>34</v>
      </c>
      <c r="I350" s="5">
        <v>44378</v>
      </c>
      <c r="J350" s="6">
        <v>0</v>
      </c>
      <c r="K350" s="6">
        <v>0</v>
      </c>
      <c r="L350" s="6">
        <v>2.1110000000000002</v>
      </c>
      <c r="M350" s="6">
        <v>2.1110000000000002</v>
      </c>
      <c r="N350" s="6">
        <v>2.1110000000000002</v>
      </c>
      <c r="O350" s="6">
        <v>2.1110000000000002</v>
      </c>
      <c r="P350" s="6">
        <v>0</v>
      </c>
      <c r="Q350" s="4" t="s">
        <v>26</v>
      </c>
      <c r="R350" s="4">
        <v>0</v>
      </c>
      <c r="S350" s="6">
        <v>0</v>
      </c>
      <c r="T350" s="6">
        <v>2</v>
      </c>
      <c r="U350" s="6">
        <v>37</v>
      </c>
      <c r="V350" s="6">
        <f>IF(ISERROR(VLOOKUP($S$350,'TAR FIN'!$A$1:$O$86,15,0)),0,VLOOKUP($S$350,'TAR FIN'!$A$1:$O$86,15,0))</f>
        <v>0</v>
      </c>
      <c r="W350" s="6">
        <f>IF(ISERROR(VLOOKUP($T$350,'TAR FIN'!$A$1:$O$86,15,0)),0,VLOOKUP($T$350,'TAR FIN'!$A$1:$O$86,15,0))</f>
        <v>155.24</v>
      </c>
      <c r="X350" s="6">
        <f>IF(ISERROR(VLOOKUP($U$350,'TAR FIN'!$A$1:$O$86,15,0)),0,VLOOKUP($U$350,'TAR FIN'!$A$1:$O$86,15,0))</f>
        <v>297.31</v>
      </c>
      <c r="Y350" s="6"/>
      <c r="Z350" s="6">
        <f ca="1">('TUSD BE'!$AM$19+'TUSD BF'!$AM$19+'TUSD CVA'!$AM$19)*1</f>
        <v>186.39450398462222</v>
      </c>
      <c r="AA350" s="6">
        <f>('TE BE'!$AB$11+'TE BF'!$AB$11+'TE CVA'!$AB$11)*1</f>
        <v>235.33989117487977</v>
      </c>
      <c r="AB350" s="6">
        <f>$K$350*$V$350</f>
        <v>0</v>
      </c>
      <c r="AC350" s="6">
        <f>$M$350*$W$350</f>
        <v>327.71164000000005</v>
      </c>
      <c r="AD350" s="6">
        <f>$O$350*$X$350</f>
        <v>627.62141000000008</v>
      </c>
      <c r="AE350" s="6">
        <f>$K$350*$Y$350</f>
        <v>0</v>
      </c>
      <c r="AF350" s="6">
        <f ca="1">$M$350*$Z$350</f>
        <v>393.47879791153753</v>
      </c>
      <c r="AG350" s="6">
        <f>$O$350*$AA$350</f>
        <v>496.80251027017124</v>
      </c>
    </row>
    <row r="351" spans="1:33" ht="11.25" customHeight="1" x14ac:dyDescent="0.25">
      <c r="A351" s="4" t="s">
        <v>21</v>
      </c>
      <c r="B351" s="4" t="s">
        <v>22</v>
      </c>
      <c r="C351" s="4" t="s">
        <v>32</v>
      </c>
      <c r="D351" s="4" t="s">
        <v>24</v>
      </c>
      <c r="E351" s="4" t="s">
        <v>24</v>
      </c>
      <c r="F351" s="4" t="s">
        <v>25</v>
      </c>
      <c r="G351" s="4" t="s">
        <v>25</v>
      </c>
      <c r="H351" s="4" t="s">
        <v>34</v>
      </c>
      <c r="I351" s="5">
        <v>44409</v>
      </c>
      <c r="J351" s="6">
        <v>0</v>
      </c>
      <c r="K351" s="6">
        <v>0</v>
      </c>
      <c r="L351" s="6">
        <v>1.8939999999999999</v>
      </c>
      <c r="M351" s="6">
        <v>1.8939999999999999</v>
      </c>
      <c r="N351" s="6">
        <v>1.8939999999999999</v>
      </c>
      <c r="O351" s="6">
        <v>1.8939999999999999</v>
      </c>
      <c r="P351" s="6">
        <v>0</v>
      </c>
      <c r="Q351" s="4" t="s">
        <v>26</v>
      </c>
      <c r="R351" s="4">
        <v>0</v>
      </c>
      <c r="S351" s="6">
        <v>0</v>
      </c>
      <c r="T351" s="6">
        <v>2</v>
      </c>
      <c r="U351" s="6">
        <v>37</v>
      </c>
      <c r="V351" s="6">
        <f>IF(ISERROR(VLOOKUP($S$351,'TAR FIN'!$A$1:$O$86,15,0)),0,VLOOKUP($S$351,'TAR FIN'!$A$1:$O$86,15,0))</f>
        <v>0</v>
      </c>
      <c r="W351" s="6">
        <f>IF(ISERROR(VLOOKUP($T$351,'TAR FIN'!$A$1:$O$86,15,0)),0,VLOOKUP($T$351,'TAR FIN'!$A$1:$O$86,15,0))</f>
        <v>155.24</v>
      </c>
      <c r="X351" s="6">
        <f>IF(ISERROR(VLOOKUP($U$351,'TAR FIN'!$A$1:$O$86,15,0)),0,VLOOKUP($U$351,'TAR FIN'!$A$1:$O$86,15,0))</f>
        <v>297.31</v>
      </c>
      <c r="Y351" s="6"/>
      <c r="Z351" s="6">
        <f ca="1">('TUSD BE'!$AM$19+'TUSD BF'!$AM$19+'TUSD CVA'!$AM$19)*1</f>
        <v>186.39450398462222</v>
      </c>
      <c r="AA351" s="6">
        <f>('TE BE'!$AB$11+'TE BF'!$AB$11+'TE CVA'!$AB$11)*1</f>
        <v>235.33989117487977</v>
      </c>
      <c r="AB351" s="6">
        <f>$K$351*$V$351</f>
        <v>0</v>
      </c>
      <c r="AC351" s="6">
        <f>$M$351*$W$351</f>
        <v>294.02456000000001</v>
      </c>
      <c r="AD351" s="6">
        <f>$O$351*$X$351</f>
        <v>563.10514000000001</v>
      </c>
      <c r="AE351" s="6">
        <f>$K$351*$Y$351</f>
        <v>0</v>
      </c>
      <c r="AF351" s="6">
        <f ca="1">$M$351*$Z$351</f>
        <v>353.03119054687448</v>
      </c>
      <c r="AG351" s="6">
        <f>$O$351*$AA$351</f>
        <v>445.73375388522226</v>
      </c>
    </row>
    <row r="352" spans="1:33" ht="11.25" customHeight="1" x14ac:dyDescent="0.25">
      <c r="A352" s="4" t="s">
        <v>21</v>
      </c>
      <c r="B352" s="4" t="s">
        <v>22</v>
      </c>
      <c r="C352" s="4" t="s">
        <v>32</v>
      </c>
      <c r="D352" s="4" t="s">
        <v>24</v>
      </c>
      <c r="E352" s="4" t="s">
        <v>24</v>
      </c>
      <c r="F352" s="4" t="s">
        <v>25</v>
      </c>
      <c r="G352" s="4" t="s">
        <v>25</v>
      </c>
      <c r="H352" s="4" t="s">
        <v>34</v>
      </c>
      <c r="I352" s="5">
        <v>44440</v>
      </c>
      <c r="J352" s="6">
        <v>0</v>
      </c>
      <c r="K352" s="6">
        <v>0</v>
      </c>
      <c r="L352" s="6">
        <v>1.3680000000000001</v>
      </c>
      <c r="M352" s="6">
        <v>1.3680000000000001</v>
      </c>
      <c r="N352" s="6">
        <v>1.3680000000000001</v>
      </c>
      <c r="O352" s="6">
        <v>1.3680000000000001</v>
      </c>
      <c r="P352" s="6">
        <v>0</v>
      </c>
      <c r="Q352" s="4" t="s">
        <v>26</v>
      </c>
      <c r="R352" s="4">
        <v>0</v>
      </c>
      <c r="S352" s="6">
        <v>0</v>
      </c>
      <c r="T352" s="6">
        <v>2</v>
      </c>
      <c r="U352" s="6">
        <v>37</v>
      </c>
      <c r="V352" s="6">
        <f>IF(ISERROR(VLOOKUP($S$352,'TAR FIN'!$A$1:$O$86,15,0)),0,VLOOKUP($S$352,'TAR FIN'!$A$1:$O$86,15,0))</f>
        <v>0</v>
      </c>
      <c r="W352" s="6">
        <f>IF(ISERROR(VLOOKUP($T$352,'TAR FIN'!$A$1:$O$86,15,0)),0,VLOOKUP($T$352,'TAR FIN'!$A$1:$O$86,15,0))</f>
        <v>155.24</v>
      </c>
      <c r="X352" s="6">
        <f>IF(ISERROR(VLOOKUP($U$352,'TAR FIN'!$A$1:$O$86,15,0)),0,VLOOKUP($U$352,'TAR FIN'!$A$1:$O$86,15,0))</f>
        <v>297.31</v>
      </c>
      <c r="Y352" s="6"/>
      <c r="Z352" s="6">
        <f ca="1">('TUSD BE'!$AM$19+'TUSD BF'!$AM$19+'TUSD CVA'!$AM$19)*1</f>
        <v>186.39450398462222</v>
      </c>
      <c r="AA352" s="6">
        <f>('TE BE'!$AB$11+'TE BF'!$AB$11+'TE CVA'!$AB$11)*1</f>
        <v>235.33989117487977</v>
      </c>
      <c r="AB352" s="6">
        <f>$K$352*$V$352</f>
        <v>0</v>
      </c>
      <c r="AC352" s="6">
        <f>$M$352*$W$352</f>
        <v>212.36832000000004</v>
      </c>
      <c r="AD352" s="6">
        <f>$O$352*$X$352</f>
        <v>406.72008000000005</v>
      </c>
      <c r="AE352" s="6">
        <f>$K$352*$Y$352</f>
        <v>0</v>
      </c>
      <c r="AF352" s="6">
        <f ca="1">$M$352*$Z$352</f>
        <v>254.98768145096321</v>
      </c>
      <c r="AG352" s="6">
        <f>$O$352*$AA$352</f>
        <v>321.94497112723553</v>
      </c>
    </row>
    <row r="353" spans="1:33" ht="11.25" customHeight="1" x14ac:dyDescent="0.25">
      <c r="A353" s="4" t="s">
        <v>21</v>
      </c>
      <c r="B353" s="4" t="s">
        <v>22</v>
      </c>
      <c r="C353" s="4" t="s">
        <v>32</v>
      </c>
      <c r="D353" s="4" t="s">
        <v>24</v>
      </c>
      <c r="E353" s="4" t="s">
        <v>24</v>
      </c>
      <c r="F353" s="4" t="s">
        <v>25</v>
      </c>
      <c r="G353" s="4" t="s">
        <v>25</v>
      </c>
      <c r="H353" s="4" t="s">
        <v>34</v>
      </c>
      <c r="I353" s="5">
        <v>44470</v>
      </c>
      <c r="J353" s="6">
        <v>0</v>
      </c>
      <c r="K353" s="6">
        <v>0</v>
      </c>
      <c r="L353" s="6">
        <v>1.0580000000000001</v>
      </c>
      <c r="M353" s="6">
        <v>1.0580000000000001</v>
      </c>
      <c r="N353" s="6">
        <v>1.0580000000000001</v>
      </c>
      <c r="O353" s="6">
        <v>1.0580000000000001</v>
      </c>
      <c r="P353" s="6">
        <v>0</v>
      </c>
      <c r="Q353" s="4" t="s">
        <v>26</v>
      </c>
      <c r="R353" s="4">
        <v>0</v>
      </c>
      <c r="S353" s="6">
        <v>0</v>
      </c>
      <c r="T353" s="6">
        <v>2</v>
      </c>
      <c r="U353" s="6">
        <v>37</v>
      </c>
      <c r="V353" s="6">
        <f>IF(ISERROR(VLOOKUP($S$353,'TAR FIN'!$A$1:$O$86,15,0)),0,VLOOKUP($S$353,'TAR FIN'!$A$1:$O$86,15,0))</f>
        <v>0</v>
      </c>
      <c r="W353" s="6">
        <f>IF(ISERROR(VLOOKUP($T$353,'TAR FIN'!$A$1:$O$86,15,0)),0,VLOOKUP($T$353,'TAR FIN'!$A$1:$O$86,15,0))</f>
        <v>155.24</v>
      </c>
      <c r="X353" s="6">
        <f>IF(ISERROR(VLOOKUP($U$353,'TAR FIN'!$A$1:$O$86,15,0)),0,VLOOKUP($U$353,'TAR FIN'!$A$1:$O$86,15,0))</f>
        <v>297.31</v>
      </c>
      <c r="Y353" s="6"/>
      <c r="Z353" s="6">
        <f ca="1">('TUSD BE'!$AM$19+'TUSD BF'!$AM$19+'TUSD CVA'!$AM$19)*1</f>
        <v>186.39450398462222</v>
      </c>
      <c r="AA353" s="6">
        <f>('TE BE'!$AB$11+'TE BF'!$AB$11+'TE CVA'!$AB$11)*1</f>
        <v>235.33989117487977</v>
      </c>
      <c r="AB353" s="6">
        <f>$K$353*$V$353</f>
        <v>0</v>
      </c>
      <c r="AC353" s="6">
        <f>$M$353*$W$353</f>
        <v>164.24392000000003</v>
      </c>
      <c r="AD353" s="6">
        <f>$O$353*$X$353</f>
        <v>314.55398000000002</v>
      </c>
      <c r="AE353" s="6">
        <f>$K$353*$Y$353</f>
        <v>0</v>
      </c>
      <c r="AF353" s="6">
        <f ca="1">$M$353*$Z$353</f>
        <v>197.20538521573033</v>
      </c>
      <c r="AG353" s="6">
        <f>$O$353*$AA$353</f>
        <v>248.98960486302281</v>
      </c>
    </row>
    <row r="354" spans="1:33" ht="11.25" customHeight="1" x14ac:dyDescent="0.25">
      <c r="A354" s="4" t="s">
        <v>21</v>
      </c>
      <c r="B354" s="4" t="s">
        <v>22</v>
      </c>
      <c r="C354" s="4" t="s">
        <v>32</v>
      </c>
      <c r="D354" s="4" t="s">
        <v>24</v>
      </c>
      <c r="E354" s="4" t="s">
        <v>24</v>
      </c>
      <c r="F354" s="4" t="s">
        <v>25</v>
      </c>
      <c r="G354" s="4" t="s">
        <v>25</v>
      </c>
      <c r="H354" s="4" t="s">
        <v>34</v>
      </c>
      <c r="I354" s="5">
        <v>44501</v>
      </c>
      <c r="J354" s="6">
        <v>0</v>
      </c>
      <c r="K354" s="6">
        <v>0</v>
      </c>
      <c r="L354" s="6">
        <v>1.204</v>
      </c>
      <c r="M354" s="6">
        <v>1.204</v>
      </c>
      <c r="N354" s="6">
        <v>1.204</v>
      </c>
      <c r="O354" s="6">
        <v>1.204</v>
      </c>
      <c r="P354" s="6">
        <v>0</v>
      </c>
      <c r="Q354" s="4" t="s">
        <v>26</v>
      </c>
      <c r="R354" s="4">
        <v>0</v>
      </c>
      <c r="S354" s="6">
        <v>0</v>
      </c>
      <c r="T354" s="6">
        <v>2</v>
      </c>
      <c r="U354" s="6">
        <v>37</v>
      </c>
      <c r="V354" s="6">
        <f>IF(ISERROR(VLOOKUP($S$354,'TAR FIN'!$A$1:$O$86,15,0)),0,VLOOKUP($S$354,'TAR FIN'!$A$1:$O$86,15,0))</f>
        <v>0</v>
      </c>
      <c r="W354" s="6">
        <f>IF(ISERROR(VLOOKUP($T$354,'TAR FIN'!$A$1:$O$86,15,0)),0,VLOOKUP($T$354,'TAR FIN'!$A$1:$O$86,15,0))</f>
        <v>155.24</v>
      </c>
      <c r="X354" s="6">
        <f>IF(ISERROR(VLOOKUP($U$354,'TAR FIN'!$A$1:$O$86,15,0)),0,VLOOKUP($U$354,'TAR FIN'!$A$1:$O$86,15,0))</f>
        <v>297.31</v>
      </c>
      <c r="Y354" s="6"/>
      <c r="Z354" s="6">
        <f ca="1">('TUSD BE'!$AM$19+'TUSD BF'!$AM$19+'TUSD CVA'!$AM$19)*1</f>
        <v>186.39450398462222</v>
      </c>
      <c r="AA354" s="6">
        <f>('TE BE'!$AB$11+'TE BF'!$AB$11+'TE CVA'!$AB$11)*1</f>
        <v>235.33989117487977</v>
      </c>
      <c r="AB354" s="6">
        <f>$K$354*$V$354</f>
        <v>0</v>
      </c>
      <c r="AC354" s="6">
        <f>$M$354*$W$354</f>
        <v>186.90896000000001</v>
      </c>
      <c r="AD354" s="6">
        <f>$O$354*$X$354</f>
        <v>357.96123999999998</v>
      </c>
      <c r="AE354" s="6">
        <f>$K$354*$Y$354</f>
        <v>0</v>
      </c>
      <c r="AF354" s="6">
        <f ca="1">$M$354*$Z$354</f>
        <v>224.41898279748514</v>
      </c>
      <c r="AG354" s="6">
        <f>$O$354*$AA$354</f>
        <v>283.34922897455522</v>
      </c>
    </row>
    <row r="355" spans="1:33" ht="11.25" customHeight="1" x14ac:dyDescent="0.25">
      <c r="A355" s="4" t="s">
        <v>21</v>
      </c>
      <c r="B355" s="4" t="s">
        <v>22</v>
      </c>
      <c r="C355" s="4" t="s">
        <v>32</v>
      </c>
      <c r="D355" s="4" t="s">
        <v>24</v>
      </c>
      <c r="E355" s="4" t="s">
        <v>24</v>
      </c>
      <c r="F355" s="4" t="s">
        <v>25</v>
      </c>
      <c r="G355" s="4" t="s">
        <v>25</v>
      </c>
      <c r="H355" s="4" t="s">
        <v>34</v>
      </c>
      <c r="I355" s="5">
        <v>44531</v>
      </c>
      <c r="J355" s="6">
        <v>0</v>
      </c>
      <c r="K355" s="6">
        <v>0</v>
      </c>
      <c r="L355" s="6">
        <v>1.3480000000000001</v>
      </c>
      <c r="M355" s="6">
        <v>1.3480000000000001</v>
      </c>
      <c r="N355" s="6">
        <v>1.3480000000000001</v>
      </c>
      <c r="O355" s="6">
        <v>1.3480000000000001</v>
      </c>
      <c r="P355" s="6">
        <v>0</v>
      </c>
      <c r="Q355" s="4" t="s">
        <v>26</v>
      </c>
      <c r="R355" s="4">
        <v>0</v>
      </c>
      <c r="S355" s="6">
        <v>0</v>
      </c>
      <c r="T355" s="6">
        <v>2</v>
      </c>
      <c r="U355" s="6">
        <v>37</v>
      </c>
      <c r="V355" s="6">
        <f>IF(ISERROR(VLOOKUP($S$355,'TAR FIN'!$A$1:$O$86,15,0)),0,VLOOKUP($S$355,'TAR FIN'!$A$1:$O$86,15,0))</f>
        <v>0</v>
      </c>
      <c r="W355" s="6">
        <f>IF(ISERROR(VLOOKUP($T$355,'TAR FIN'!$A$1:$O$86,15,0)),0,VLOOKUP($T$355,'TAR FIN'!$A$1:$O$86,15,0))</f>
        <v>155.24</v>
      </c>
      <c r="X355" s="6">
        <f>IF(ISERROR(VLOOKUP($U$355,'TAR FIN'!$A$1:$O$86,15,0)),0,VLOOKUP($U$355,'TAR FIN'!$A$1:$O$86,15,0))</f>
        <v>297.31</v>
      </c>
      <c r="Y355" s="6"/>
      <c r="Z355" s="6">
        <f ca="1">('TUSD BE'!$AM$19+'TUSD BF'!$AM$19+'TUSD CVA'!$AM$19)*1</f>
        <v>186.39450398462222</v>
      </c>
      <c r="AA355" s="6">
        <f>('TE BE'!$AB$11+'TE BF'!$AB$11+'TE CVA'!$AB$11)*1</f>
        <v>235.33989117487977</v>
      </c>
      <c r="AB355" s="6">
        <f>$K$355*$V$355</f>
        <v>0</v>
      </c>
      <c r="AC355" s="6">
        <f>$M$355*$W$355</f>
        <v>209.26352000000003</v>
      </c>
      <c r="AD355" s="6">
        <f>$O$355*$X$355</f>
        <v>400.77388000000002</v>
      </c>
      <c r="AE355" s="6">
        <f>$K$355*$Y$355</f>
        <v>0</v>
      </c>
      <c r="AF355" s="6">
        <f ca="1">$M$355*$Z$355</f>
        <v>251.25979137127078</v>
      </c>
      <c r="AG355" s="6">
        <f>$O$355*$AA$355</f>
        <v>317.23817330373794</v>
      </c>
    </row>
    <row r="356" spans="1:33" ht="11.25" customHeight="1" x14ac:dyDescent="0.25">
      <c r="A356" s="4" t="s">
        <v>21</v>
      </c>
      <c r="B356" s="4" t="s">
        <v>22</v>
      </c>
      <c r="C356" s="4" t="s">
        <v>32</v>
      </c>
      <c r="D356" s="4" t="s">
        <v>24</v>
      </c>
      <c r="E356" s="4" t="s">
        <v>24</v>
      </c>
      <c r="F356" s="4" t="s">
        <v>25</v>
      </c>
      <c r="G356" s="4" t="s">
        <v>25</v>
      </c>
      <c r="H356" s="4" t="s">
        <v>34</v>
      </c>
      <c r="I356" s="5">
        <v>44562</v>
      </c>
      <c r="J356" s="6">
        <v>0</v>
      </c>
      <c r="K356" s="6">
        <v>0</v>
      </c>
      <c r="L356" s="6">
        <v>1.6739999999999999</v>
      </c>
      <c r="M356" s="6">
        <v>1.6739999999999999</v>
      </c>
      <c r="N356" s="6">
        <v>1.6739999999999999</v>
      </c>
      <c r="O356" s="6">
        <v>1.6739999999999999</v>
      </c>
      <c r="P356" s="6">
        <v>0</v>
      </c>
      <c r="Q356" s="4" t="s">
        <v>26</v>
      </c>
      <c r="R356" s="4">
        <v>0</v>
      </c>
      <c r="S356" s="6">
        <v>0</v>
      </c>
      <c r="T356" s="6">
        <v>2</v>
      </c>
      <c r="U356" s="6">
        <v>37</v>
      </c>
      <c r="V356" s="6">
        <f>IF(ISERROR(VLOOKUP($S$356,'TAR FIN'!$A$1:$O$86,15,0)),0,VLOOKUP($S$356,'TAR FIN'!$A$1:$O$86,15,0))</f>
        <v>0</v>
      </c>
      <c r="W356" s="6">
        <f>IF(ISERROR(VLOOKUP($T$356,'TAR FIN'!$A$1:$O$86,15,0)),0,VLOOKUP($T$356,'TAR FIN'!$A$1:$O$86,15,0))</f>
        <v>155.24</v>
      </c>
      <c r="X356" s="6">
        <f>IF(ISERROR(VLOOKUP($U$356,'TAR FIN'!$A$1:$O$86,15,0)),0,VLOOKUP($U$356,'TAR FIN'!$A$1:$O$86,15,0))</f>
        <v>297.31</v>
      </c>
      <c r="Y356" s="6"/>
      <c r="Z356" s="6">
        <f ca="1">('TUSD BE'!$AM$19+'TUSD BF'!$AM$19+'TUSD CVA'!$AM$19)*1</f>
        <v>186.39450398462222</v>
      </c>
      <c r="AA356" s="6">
        <f>('TE BE'!$AB$11+'TE BF'!$AB$11+'TE CVA'!$AB$11)*1</f>
        <v>235.33989117487977</v>
      </c>
      <c r="AB356" s="6">
        <f>$K$356*$V$356</f>
        <v>0</v>
      </c>
      <c r="AC356" s="6">
        <f>$M$356*$W$356</f>
        <v>259.87175999999999</v>
      </c>
      <c r="AD356" s="6">
        <f>$O$356*$X$356</f>
        <v>497.69693999999998</v>
      </c>
      <c r="AE356" s="6">
        <f>$K$356*$Y$356</f>
        <v>0</v>
      </c>
      <c r="AF356" s="6">
        <f ca="1">$M$356*$Z$356</f>
        <v>312.02439967025759</v>
      </c>
      <c r="AG356" s="6">
        <f>$O$356*$AA$356</f>
        <v>393.95897782674871</v>
      </c>
    </row>
    <row r="357" spans="1:33" ht="11.25" customHeight="1" x14ac:dyDescent="0.25">
      <c r="A357" s="4" t="s">
        <v>21</v>
      </c>
      <c r="B357" s="4" t="s">
        <v>22</v>
      </c>
      <c r="C357" s="4" t="s">
        <v>32</v>
      </c>
      <c r="D357" s="4" t="s">
        <v>24</v>
      </c>
      <c r="E357" s="4" t="s">
        <v>24</v>
      </c>
      <c r="F357" s="4" t="s">
        <v>25</v>
      </c>
      <c r="G357" s="4" t="s">
        <v>25</v>
      </c>
      <c r="H357" s="4" t="s">
        <v>34</v>
      </c>
      <c r="I357" s="5">
        <v>44593</v>
      </c>
      <c r="J357" s="6">
        <v>0</v>
      </c>
      <c r="K357" s="6">
        <v>0</v>
      </c>
      <c r="L357" s="6">
        <v>1.49</v>
      </c>
      <c r="M357" s="6">
        <v>1.49</v>
      </c>
      <c r="N357" s="6">
        <v>1.49</v>
      </c>
      <c r="O357" s="6">
        <v>1.49</v>
      </c>
      <c r="P357" s="6">
        <v>0</v>
      </c>
      <c r="Q357" s="4" t="s">
        <v>26</v>
      </c>
      <c r="R357" s="4">
        <v>0</v>
      </c>
      <c r="S357" s="6">
        <v>0</v>
      </c>
      <c r="T357" s="6">
        <v>2</v>
      </c>
      <c r="U357" s="6">
        <v>37</v>
      </c>
      <c r="V357" s="6">
        <f>IF(ISERROR(VLOOKUP($S$357,'TAR FIN'!$A$1:$O$86,15,0)),0,VLOOKUP($S$357,'TAR FIN'!$A$1:$O$86,15,0))</f>
        <v>0</v>
      </c>
      <c r="W357" s="6">
        <f>IF(ISERROR(VLOOKUP($T$357,'TAR FIN'!$A$1:$O$86,15,0)),0,VLOOKUP($T$357,'TAR FIN'!$A$1:$O$86,15,0))</f>
        <v>155.24</v>
      </c>
      <c r="X357" s="6">
        <f>IF(ISERROR(VLOOKUP($U$357,'TAR FIN'!$A$1:$O$86,15,0)),0,VLOOKUP($U$357,'TAR FIN'!$A$1:$O$86,15,0))</f>
        <v>297.31</v>
      </c>
      <c r="Y357" s="6"/>
      <c r="Z357" s="6">
        <f ca="1">('TUSD BE'!$AM$19+'TUSD BF'!$AM$19+'TUSD CVA'!$AM$19)*1</f>
        <v>186.39450398462222</v>
      </c>
      <c r="AA357" s="6">
        <f>('TE BE'!$AB$11+'TE BF'!$AB$11+'TE CVA'!$AB$11)*1</f>
        <v>235.33989117487977</v>
      </c>
      <c r="AB357" s="6">
        <f>$K$357*$V$357</f>
        <v>0</v>
      </c>
      <c r="AC357" s="6">
        <f>$M$357*$W$357</f>
        <v>231.30760000000001</v>
      </c>
      <c r="AD357" s="6">
        <f>$O$357*$X$357</f>
        <v>442.99189999999999</v>
      </c>
      <c r="AE357" s="6">
        <f>$K$357*$Y$357</f>
        <v>0</v>
      </c>
      <c r="AF357" s="6">
        <f ca="1">$M$357*$Z$357</f>
        <v>277.7278109370871</v>
      </c>
      <c r="AG357" s="6">
        <f>$O$357*$AA$357</f>
        <v>350.65643785057085</v>
      </c>
    </row>
    <row r="358" spans="1:33" ht="11.25" customHeight="1" x14ac:dyDescent="0.25">
      <c r="A358" s="4" t="s">
        <v>21</v>
      </c>
      <c r="B358" s="4" t="s">
        <v>22</v>
      </c>
      <c r="C358" s="4" t="s">
        <v>32</v>
      </c>
      <c r="D358" s="4" t="s">
        <v>24</v>
      </c>
      <c r="E358" s="4" t="s">
        <v>24</v>
      </c>
      <c r="F358" s="4" t="s">
        <v>25</v>
      </c>
      <c r="G358" s="4" t="s">
        <v>25</v>
      </c>
      <c r="H358" s="4" t="s">
        <v>34</v>
      </c>
      <c r="I358" s="5">
        <v>44621</v>
      </c>
      <c r="J358" s="6">
        <v>0</v>
      </c>
      <c r="K358" s="6">
        <v>0</v>
      </c>
      <c r="L358" s="6">
        <v>1.5249999999999999</v>
      </c>
      <c r="M358" s="6">
        <v>1.5249999999999999</v>
      </c>
      <c r="N358" s="6">
        <v>1.5249999999999999</v>
      </c>
      <c r="O358" s="6">
        <v>1.5249999999999999</v>
      </c>
      <c r="P358" s="6">
        <v>0</v>
      </c>
      <c r="Q358" s="4" t="s">
        <v>26</v>
      </c>
      <c r="R358" s="4">
        <v>0</v>
      </c>
      <c r="S358" s="6">
        <v>0</v>
      </c>
      <c r="T358" s="6">
        <v>2</v>
      </c>
      <c r="U358" s="6">
        <v>37</v>
      </c>
      <c r="V358" s="6">
        <f>IF(ISERROR(VLOOKUP($S$358,'TAR FIN'!$A$1:$O$86,15,0)),0,VLOOKUP($S$358,'TAR FIN'!$A$1:$O$86,15,0))</f>
        <v>0</v>
      </c>
      <c r="W358" s="6">
        <f>IF(ISERROR(VLOOKUP($T$358,'TAR FIN'!$A$1:$O$86,15,0)),0,VLOOKUP($T$358,'TAR FIN'!$A$1:$O$86,15,0))</f>
        <v>155.24</v>
      </c>
      <c r="X358" s="6">
        <f>IF(ISERROR(VLOOKUP($U$358,'TAR FIN'!$A$1:$O$86,15,0)),0,VLOOKUP($U$358,'TAR FIN'!$A$1:$O$86,15,0))</f>
        <v>297.31</v>
      </c>
      <c r="Y358" s="6"/>
      <c r="Z358" s="6">
        <f ca="1">('TUSD BE'!$AM$19+'TUSD BF'!$AM$19+'TUSD CVA'!$AM$19)*1</f>
        <v>186.39450398462222</v>
      </c>
      <c r="AA358" s="6">
        <f>('TE BE'!$AB$11+'TE BF'!$AB$11+'TE CVA'!$AB$11)*1</f>
        <v>235.33989117487977</v>
      </c>
      <c r="AB358" s="6">
        <f>$K$358*$V$358</f>
        <v>0</v>
      </c>
      <c r="AC358" s="6">
        <f>$M$358*$W$358</f>
        <v>236.74100000000001</v>
      </c>
      <c r="AD358" s="6">
        <f>$O$358*$X$358</f>
        <v>453.39774999999997</v>
      </c>
      <c r="AE358" s="6">
        <f>$K$358*$Y$358</f>
        <v>0</v>
      </c>
      <c r="AF358" s="6">
        <f ca="1">$M$358*$Z$358</f>
        <v>284.25161857654888</v>
      </c>
      <c r="AG358" s="6">
        <f>$O$358*$AA$358</f>
        <v>358.89333404169162</v>
      </c>
    </row>
    <row r="359" spans="1:33" ht="11.25" customHeight="1" x14ac:dyDescent="0.25">
      <c r="A359" s="4" t="s">
        <v>21</v>
      </c>
      <c r="B359" s="4" t="s">
        <v>22</v>
      </c>
      <c r="C359" s="4" t="s">
        <v>32</v>
      </c>
      <c r="D359" s="4" t="s">
        <v>24</v>
      </c>
      <c r="E359" s="4" t="s">
        <v>24</v>
      </c>
      <c r="F359" s="4" t="s">
        <v>25</v>
      </c>
      <c r="G359" s="4" t="s">
        <v>25</v>
      </c>
      <c r="H359" s="4" t="s">
        <v>34</v>
      </c>
      <c r="I359" s="5">
        <v>44652</v>
      </c>
      <c r="J359" s="6">
        <v>0</v>
      </c>
      <c r="K359" s="6">
        <v>0</v>
      </c>
      <c r="L359" s="6">
        <v>0.93600000000000005</v>
      </c>
      <c r="M359" s="6">
        <v>0.93600000000000005</v>
      </c>
      <c r="N359" s="6">
        <v>0.93600000000000005</v>
      </c>
      <c r="O359" s="6">
        <v>0.93600000000000005</v>
      </c>
      <c r="P359" s="6">
        <v>0</v>
      </c>
      <c r="Q359" s="4" t="s">
        <v>26</v>
      </c>
      <c r="R359" s="4">
        <v>0</v>
      </c>
      <c r="S359" s="6">
        <v>0</v>
      </c>
      <c r="T359" s="6">
        <v>2</v>
      </c>
      <c r="U359" s="6">
        <v>37</v>
      </c>
      <c r="V359" s="6">
        <f>IF(ISERROR(VLOOKUP($S$359,'TAR FIN'!$A$1:$O$86,15,0)),0,VLOOKUP($S$359,'TAR FIN'!$A$1:$O$86,15,0))</f>
        <v>0</v>
      </c>
      <c r="W359" s="6">
        <f>IF(ISERROR(VLOOKUP($T$359,'TAR FIN'!$A$1:$O$86,15,0)),0,VLOOKUP($T$359,'TAR FIN'!$A$1:$O$86,15,0))</f>
        <v>155.24</v>
      </c>
      <c r="X359" s="6">
        <f>IF(ISERROR(VLOOKUP($U$359,'TAR FIN'!$A$1:$O$86,15,0)),0,VLOOKUP($U$359,'TAR FIN'!$A$1:$O$86,15,0))</f>
        <v>297.31</v>
      </c>
      <c r="Y359" s="6"/>
      <c r="Z359" s="6">
        <f ca="1">('TUSD BE'!$AM$19+'TUSD BF'!$AM$19+'TUSD CVA'!$AM$19)*1</f>
        <v>186.39450398462222</v>
      </c>
      <c r="AA359" s="6">
        <f>('TE BE'!$AB$11+'TE BF'!$AB$11+'TE CVA'!$AB$11)*1</f>
        <v>235.33989117487977</v>
      </c>
      <c r="AB359" s="6">
        <f>$K$359*$V$359</f>
        <v>0</v>
      </c>
      <c r="AC359" s="6">
        <f>$M$359*$W$359</f>
        <v>145.30464000000001</v>
      </c>
      <c r="AD359" s="6">
        <f>$O$359*$X$359</f>
        <v>278.28216000000003</v>
      </c>
      <c r="AE359" s="6">
        <f>$K$359*$Y$359</f>
        <v>0</v>
      </c>
      <c r="AF359" s="6">
        <f ca="1">$M$359*$Z$359</f>
        <v>174.46525572960641</v>
      </c>
      <c r="AG359" s="6">
        <f>$O$359*$AA$359</f>
        <v>220.27813813968748</v>
      </c>
    </row>
    <row r="360" spans="1:33" ht="11.25" customHeight="1" x14ac:dyDescent="0.25">
      <c r="A360" s="4" t="s">
        <v>21</v>
      </c>
      <c r="B360" s="4" t="s">
        <v>22</v>
      </c>
      <c r="C360" s="4" t="s">
        <v>32</v>
      </c>
      <c r="D360" s="4" t="s">
        <v>24</v>
      </c>
      <c r="E360" s="4" t="s">
        <v>24</v>
      </c>
      <c r="F360" s="4" t="s">
        <v>25</v>
      </c>
      <c r="G360" s="4" t="s">
        <v>25</v>
      </c>
      <c r="H360" s="4" t="s">
        <v>34</v>
      </c>
      <c r="I360" s="5">
        <v>44682</v>
      </c>
      <c r="J360" s="6">
        <v>0</v>
      </c>
      <c r="K360" s="6">
        <v>0</v>
      </c>
      <c r="L360" s="6">
        <v>1.093</v>
      </c>
      <c r="M360" s="6">
        <v>1.093</v>
      </c>
      <c r="N360" s="6">
        <v>1.093</v>
      </c>
      <c r="O360" s="6">
        <v>1.093</v>
      </c>
      <c r="P360" s="6">
        <v>0</v>
      </c>
      <c r="Q360" s="4" t="s">
        <v>26</v>
      </c>
      <c r="R360" s="4">
        <v>0</v>
      </c>
      <c r="S360" s="6">
        <v>0</v>
      </c>
      <c r="T360" s="6">
        <v>2</v>
      </c>
      <c r="U360" s="6">
        <v>37</v>
      </c>
      <c r="V360" s="6">
        <f>IF(ISERROR(VLOOKUP($S$360,'TAR FIN'!$A$1:$O$86,15,0)),0,VLOOKUP($S$360,'TAR FIN'!$A$1:$O$86,15,0))</f>
        <v>0</v>
      </c>
      <c r="W360" s="6">
        <f>IF(ISERROR(VLOOKUP($T$360,'TAR FIN'!$A$1:$O$86,15,0)),0,VLOOKUP($T$360,'TAR FIN'!$A$1:$O$86,15,0))</f>
        <v>155.24</v>
      </c>
      <c r="X360" s="6">
        <f>IF(ISERROR(VLOOKUP($U$360,'TAR FIN'!$A$1:$O$86,15,0)),0,VLOOKUP($U$360,'TAR FIN'!$A$1:$O$86,15,0))</f>
        <v>297.31</v>
      </c>
      <c r="Y360" s="6"/>
      <c r="Z360" s="6">
        <f ca="1">('TUSD BE'!$AM$19+'TUSD BF'!$AM$19+'TUSD CVA'!$AM$19)*1</f>
        <v>186.39450398462222</v>
      </c>
      <c r="AA360" s="6">
        <f>('TE BE'!$AB$11+'TE BF'!$AB$11+'TE CVA'!$AB$11)*1</f>
        <v>235.33989117487977</v>
      </c>
      <c r="AB360" s="6">
        <f>$K$360*$V$360</f>
        <v>0</v>
      </c>
      <c r="AC360" s="6">
        <f>$M$360*$W$360</f>
        <v>169.67732000000001</v>
      </c>
      <c r="AD360" s="6">
        <f>$O$360*$X$360</f>
        <v>324.95983000000001</v>
      </c>
      <c r="AE360" s="6">
        <f>$K$360*$Y$360</f>
        <v>0</v>
      </c>
      <c r="AF360" s="6">
        <f ca="1">$M$360*$Z$360</f>
        <v>203.72919285519208</v>
      </c>
      <c r="AG360" s="6">
        <f>$O$360*$AA$360</f>
        <v>257.22650105414357</v>
      </c>
    </row>
    <row r="361" spans="1:33" ht="11.25" customHeight="1" x14ac:dyDescent="0.25">
      <c r="A361" s="4" t="s">
        <v>55</v>
      </c>
      <c r="B361" s="4" t="s">
        <v>22</v>
      </c>
      <c r="C361" s="4" t="s">
        <v>32</v>
      </c>
      <c r="D361" s="4" t="s">
        <v>24</v>
      </c>
      <c r="E361" s="4" t="s">
        <v>24</v>
      </c>
      <c r="F361" s="4" t="s">
        <v>25</v>
      </c>
      <c r="G361" s="4" t="s">
        <v>25</v>
      </c>
      <c r="H361" s="4" t="s">
        <v>34</v>
      </c>
      <c r="I361" s="5">
        <v>44713</v>
      </c>
      <c r="J361" s="6">
        <v>0</v>
      </c>
      <c r="K361" s="6">
        <v>0</v>
      </c>
      <c r="L361" s="6">
        <v>1.093</v>
      </c>
      <c r="M361" s="6">
        <v>1.093</v>
      </c>
      <c r="N361" s="6">
        <v>1.093</v>
      </c>
      <c r="O361" s="6">
        <v>1.093</v>
      </c>
      <c r="P361" s="6">
        <v>0</v>
      </c>
      <c r="Q361" s="4" t="s">
        <v>26</v>
      </c>
      <c r="R361" s="4">
        <v>0</v>
      </c>
      <c r="S361" s="6">
        <v>0</v>
      </c>
      <c r="T361" s="6">
        <v>2</v>
      </c>
      <c r="U361" s="6">
        <v>37</v>
      </c>
      <c r="V361" s="6">
        <f>IF(ISERROR(VLOOKUP($S$361,'TAR FIN'!$A$1:$O$86,15,0)),0,VLOOKUP($S$361,'TAR FIN'!$A$1:$O$86,15,0))</f>
        <v>0</v>
      </c>
      <c r="W361" s="6">
        <f>IF(ISERROR(VLOOKUP($T$361,'TAR FIN'!$A$1:$O$86,15,0)),0,VLOOKUP($T$361,'TAR FIN'!$A$1:$O$86,15,0))</f>
        <v>155.24</v>
      </c>
      <c r="X361" s="6">
        <f>IF(ISERROR(VLOOKUP($U$361,'TAR FIN'!$A$1:$O$86,15,0)),0,VLOOKUP($U$361,'TAR FIN'!$A$1:$O$86,15,0))</f>
        <v>297.31</v>
      </c>
      <c r="Y361" s="6"/>
      <c r="Z361" s="6">
        <f ca="1">('TUSD BE'!$AM$19+'TUSD BF'!$AM$19+'TUSD CVA'!$AM$19)*1</f>
        <v>186.39450398462222</v>
      </c>
      <c r="AA361" s="6">
        <f>('TE BE'!$AB$11+'TE BF'!$AB$11+'TE CVA'!$AB$11)*1</f>
        <v>235.33989117487977</v>
      </c>
      <c r="AB361" s="6">
        <f>$K$361*$V$361</f>
        <v>0</v>
      </c>
      <c r="AC361" s="6">
        <f>$M$361*$W$361</f>
        <v>169.67732000000001</v>
      </c>
      <c r="AD361" s="6">
        <f>$O$361*$X$361</f>
        <v>324.95983000000001</v>
      </c>
      <c r="AE361" s="6">
        <f>$K$361*$Y$361</f>
        <v>0</v>
      </c>
      <c r="AF361" s="6">
        <f ca="1">$M$361*$Z$361</f>
        <v>203.72919285519208</v>
      </c>
      <c r="AG361" s="6">
        <f>$O$361*$AA$361</f>
        <v>257.22650105414357</v>
      </c>
    </row>
    <row r="362" spans="1:33" ht="11.25" customHeight="1" x14ac:dyDescent="0.25">
      <c r="A362" s="4" t="s">
        <v>21</v>
      </c>
      <c r="B362" s="4" t="s">
        <v>22</v>
      </c>
      <c r="C362" s="4" t="s">
        <v>32</v>
      </c>
      <c r="D362" s="4" t="s">
        <v>24</v>
      </c>
      <c r="E362" s="4" t="s">
        <v>24</v>
      </c>
      <c r="F362" s="4" t="s">
        <v>25</v>
      </c>
      <c r="G362" s="4" t="s">
        <v>25</v>
      </c>
      <c r="H362" s="4" t="s">
        <v>35</v>
      </c>
      <c r="I362" s="5">
        <v>44378</v>
      </c>
      <c r="J362" s="6">
        <v>0</v>
      </c>
      <c r="K362" s="6">
        <v>0</v>
      </c>
      <c r="L362" s="6">
        <v>0.192</v>
      </c>
      <c r="M362" s="6">
        <v>0.192</v>
      </c>
      <c r="N362" s="6">
        <v>0.192</v>
      </c>
      <c r="O362" s="6">
        <v>0.192</v>
      </c>
      <c r="P362" s="6">
        <v>0</v>
      </c>
      <c r="Q362" s="4" t="s">
        <v>26</v>
      </c>
      <c r="R362" s="4">
        <v>0</v>
      </c>
      <c r="S362" s="6">
        <v>0</v>
      </c>
      <c r="T362" s="6">
        <v>9</v>
      </c>
      <c r="U362" s="6">
        <v>46</v>
      </c>
      <c r="V362" s="6">
        <f>IF(ISERROR(VLOOKUP($S$362,'TAR FIN'!$A$1:$O$86,15,0)),0,VLOOKUP($S$362,'TAR FIN'!$A$1:$O$86,15,0))</f>
        <v>0</v>
      </c>
      <c r="W362" s="6">
        <f>IF(ISERROR(VLOOKUP($T$362,'TAR FIN'!$A$1:$O$86,15,0)),0,VLOOKUP($T$362,'TAR FIN'!$A$1:$O$86,15,0))</f>
        <v>493.16</v>
      </c>
      <c r="X362" s="6">
        <f>IF(ISERROR(VLOOKUP($U$362,'TAR FIN'!$A$1:$O$86,15,0)),0,VLOOKUP($U$362,'TAR FIN'!$A$1:$O$86,15,0))</f>
        <v>297.31</v>
      </c>
      <c r="Y362" s="6"/>
      <c r="Z362" s="6">
        <f ca="1">('TUSD BE'!$AM$18+'TUSD BF'!$AM$18+'TUSD CVA'!$AM$18)*1</f>
        <v>437.62682457863491</v>
      </c>
      <c r="AA362" s="6">
        <f>('TE BE'!$AB$10+'TE BF'!$AB$10+'TE CVA'!$AB$10)*1</f>
        <v>235.33989117487977</v>
      </c>
      <c r="AB362" s="6">
        <f>$K$362*$V$362</f>
        <v>0</v>
      </c>
      <c r="AC362" s="6">
        <f>$M$362*$W$362</f>
        <v>94.686720000000008</v>
      </c>
      <c r="AD362" s="6">
        <f>$O$362*$X$362</f>
        <v>57.08352</v>
      </c>
      <c r="AE362" s="6">
        <f>$K$362*$Y$362</f>
        <v>0</v>
      </c>
      <c r="AF362" s="6">
        <f ca="1">$M$362*$Z$362</f>
        <v>84.024350319097906</v>
      </c>
      <c r="AG362" s="6">
        <f>$O$362*$AA$362</f>
        <v>45.185259105576918</v>
      </c>
    </row>
    <row r="363" spans="1:33" ht="11.25" customHeight="1" x14ac:dyDescent="0.25">
      <c r="A363" s="4" t="s">
        <v>21</v>
      </c>
      <c r="B363" s="4" t="s">
        <v>22</v>
      </c>
      <c r="C363" s="4" t="s">
        <v>32</v>
      </c>
      <c r="D363" s="4" t="s">
        <v>24</v>
      </c>
      <c r="E363" s="4" t="s">
        <v>24</v>
      </c>
      <c r="F363" s="4" t="s">
        <v>25</v>
      </c>
      <c r="G363" s="4" t="s">
        <v>25</v>
      </c>
      <c r="H363" s="4" t="s">
        <v>35</v>
      </c>
      <c r="I363" s="5">
        <v>44409</v>
      </c>
      <c r="J363" s="6">
        <v>0</v>
      </c>
      <c r="K363" s="6">
        <v>0</v>
      </c>
      <c r="L363" s="6">
        <v>0.184</v>
      </c>
      <c r="M363" s="6">
        <v>0.184</v>
      </c>
      <c r="N363" s="6">
        <v>0.184</v>
      </c>
      <c r="O363" s="6">
        <v>0.184</v>
      </c>
      <c r="P363" s="6">
        <v>0</v>
      </c>
      <c r="Q363" s="4" t="s">
        <v>26</v>
      </c>
      <c r="R363" s="4">
        <v>0</v>
      </c>
      <c r="S363" s="6">
        <v>0</v>
      </c>
      <c r="T363" s="6">
        <v>9</v>
      </c>
      <c r="U363" s="6">
        <v>46</v>
      </c>
      <c r="V363" s="6">
        <f>IF(ISERROR(VLOOKUP($S$363,'TAR FIN'!$A$1:$O$86,15,0)),0,VLOOKUP($S$363,'TAR FIN'!$A$1:$O$86,15,0))</f>
        <v>0</v>
      </c>
      <c r="W363" s="6">
        <f>IF(ISERROR(VLOOKUP($T$363,'TAR FIN'!$A$1:$O$86,15,0)),0,VLOOKUP($T$363,'TAR FIN'!$A$1:$O$86,15,0))</f>
        <v>493.16</v>
      </c>
      <c r="X363" s="6">
        <f>IF(ISERROR(VLOOKUP($U$363,'TAR FIN'!$A$1:$O$86,15,0)),0,VLOOKUP($U$363,'TAR FIN'!$A$1:$O$86,15,0))</f>
        <v>297.31</v>
      </c>
      <c r="Y363" s="6"/>
      <c r="Z363" s="6">
        <f ca="1">('TUSD BE'!$AM$18+'TUSD BF'!$AM$18+'TUSD CVA'!$AM$18)*1</f>
        <v>437.62682457863491</v>
      </c>
      <c r="AA363" s="6">
        <f>('TE BE'!$AB$10+'TE BF'!$AB$10+'TE CVA'!$AB$10)*1</f>
        <v>235.33989117487977</v>
      </c>
      <c r="AB363" s="6">
        <f>$K$363*$V$363</f>
        <v>0</v>
      </c>
      <c r="AC363" s="6">
        <f>$M$363*$W$363</f>
        <v>90.741439999999997</v>
      </c>
      <c r="AD363" s="6">
        <f>$O$363*$X$363</f>
        <v>54.705039999999997</v>
      </c>
      <c r="AE363" s="6">
        <f>$K$363*$Y$363</f>
        <v>0</v>
      </c>
      <c r="AF363" s="6">
        <f ca="1">$M$363*$Z$363</f>
        <v>80.523335722468829</v>
      </c>
      <c r="AG363" s="6">
        <f>$O$363*$AA$363</f>
        <v>43.302539976177876</v>
      </c>
    </row>
    <row r="364" spans="1:33" ht="11.25" customHeight="1" x14ac:dyDescent="0.25">
      <c r="A364" s="4" t="s">
        <v>21</v>
      </c>
      <c r="B364" s="4" t="s">
        <v>22</v>
      </c>
      <c r="C364" s="4" t="s">
        <v>32</v>
      </c>
      <c r="D364" s="4" t="s">
        <v>24</v>
      </c>
      <c r="E364" s="4" t="s">
        <v>24</v>
      </c>
      <c r="F364" s="4" t="s">
        <v>25</v>
      </c>
      <c r="G364" s="4" t="s">
        <v>25</v>
      </c>
      <c r="H364" s="4" t="s">
        <v>35</v>
      </c>
      <c r="I364" s="5">
        <v>44440</v>
      </c>
      <c r="J364" s="6">
        <v>0</v>
      </c>
      <c r="K364" s="6">
        <v>0</v>
      </c>
      <c r="L364" s="6">
        <v>0.123</v>
      </c>
      <c r="M364" s="6">
        <v>0.123</v>
      </c>
      <c r="N364" s="6">
        <v>0.123</v>
      </c>
      <c r="O364" s="6">
        <v>0.123</v>
      </c>
      <c r="P364" s="6">
        <v>0</v>
      </c>
      <c r="Q364" s="4" t="s">
        <v>26</v>
      </c>
      <c r="R364" s="4">
        <v>0</v>
      </c>
      <c r="S364" s="6">
        <v>0</v>
      </c>
      <c r="T364" s="6">
        <v>9</v>
      </c>
      <c r="U364" s="6">
        <v>46</v>
      </c>
      <c r="V364" s="6">
        <f>IF(ISERROR(VLOOKUP($S$364,'TAR FIN'!$A$1:$O$86,15,0)),0,VLOOKUP($S$364,'TAR FIN'!$A$1:$O$86,15,0))</f>
        <v>0</v>
      </c>
      <c r="W364" s="6">
        <f>IF(ISERROR(VLOOKUP($T$364,'TAR FIN'!$A$1:$O$86,15,0)),0,VLOOKUP($T$364,'TAR FIN'!$A$1:$O$86,15,0))</f>
        <v>493.16</v>
      </c>
      <c r="X364" s="6">
        <f>IF(ISERROR(VLOOKUP($U$364,'TAR FIN'!$A$1:$O$86,15,0)),0,VLOOKUP($U$364,'TAR FIN'!$A$1:$O$86,15,0))</f>
        <v>297.31</v>
      </c>
      <c r="Y364" s="6"/>
      <c r="Z364" s="6">
        <f ca="1">('TUSD BE'!$AM$18+'TUSD BF'!$AM$18+'TUSD CVA'!$AM$18)*1</f>
        <v>437.62682457863491</v>
      </c>
      <c r="AA364" s="6">
        <f>('TE BE'!$AB$10+'TE BF'!$AB$10+'TE CVA'!$AB$10)*1</f>
        <v>235.33989117487977</v>
      </c>
      <c r="AB364" s="6">
        <f>$K$364*$V$364</f>
        <v>0</v>
      </c>
      <c r="AC364" s="6">
        <f>$M$364*$W$364</f>
        <v>60.658680000000004</v>
      </c>
      <c r="AD364" s="6">
        <f>$O$364*$X$364</f>
        <v>36.569130000000001</v>
      </c>
      <c r="AE364" s="6">
        <f>$K$364*$Y$364</f>
        <v>0</v>
      </c>
      <c r="AF364" s="6">
        <f ca="1">$M$364*$Z$364</f>
        <v>53.828099423172091</v>
      </c>
      <c r="AG364" s="6">
        <f>$O$364*$AA$364</f>
        <v>28.946806614510212</v>
      </c>
    </row>
    <row r="365" spans="1:33" ht="11.25" customHeight="1" x14ac:dyDescent="0.25">
      <c r="A365" s="4" t="s">
        <v>21</v>
      </c>
      <c r="B365" s="4" t="s">
        <v>22</v>
      </c>
      <c r="C365" s="4" t="s">
        <v>32</v>
      </c>
      <c r="D365" s="4" t="s">
        <v>24</v>
      </c>
      <c r="E365" s="4" t="s">
        <v>24</v>
      </c>
      <c r="F365" s="4" t="s">
        <v>25</v>
      </c>
      <c r="G365" s="4" t="s">
        <v>25</v>
      </c>
      <c r="H365" s="4" t="s">
        <v>35</v>
      </c>
      <c r="I365" s="5">
        <v>44470</v>
      </c>
      <c r="J365" s="6">
        <v>0</v>
      </c>
      <c r="K365" s="6">
        <v>0</v>
      </c>
      <c r="L365" s="6">
        <v>0.105</v>
      </c>
      <c r="M365" s="6">
        <v>0.105</v>
      </c>
      <c r="N365" s="6">
        <v>0.105</v>
      </c>
      <c r="O365" s="6">
        <v>0.105</v>
      </c>
      <c r="P365" s="6">
        <v>0</v>
      </c>
      <c r="Q365" s="4" t="s">
        <v>26</v>
      </c>
      <c r="R365" s="4">
        <v>0</v>
      </c>
      <c r="S365" s="6">
        <v>0</v>
      </c>
      <c r="T365" s="6">
        <v>9</v>
      </c>
      <c r="U365" s="6">
        <v>46</v>
      </c>
      <c r="V365" s="6">
        <f>IF(ISERROR(VLOOKUP($S$365,'TAR FIN'!$A$1:$O$86,15,0)),0,VLOOKUP($S$365,'TAR FIN'!$A$1:$O$86,15,0))</f>
        <v>0</v>
      </c>
      <c r="W365" s="6">
        <f>IF(ISERROR(VLOOKUP($T$365,'TAR FIN'!$A$1:$O$86,15,0)),0,VLOOKUP($T$365,'TAR FIN'!$A$1:$O$86,15,0))</f>
        <v>493.16</v>
      </c>
      <c r="X365" s="6">
        <f>IF(ISERROR(VLOOKUP($U$365,'TAR FIN'!$A$1:$O$86,15,0)),0,VLOOKUP($U$365,'TAR FIN'!$A$1:$O$86,15,0))</f>
        <v>297.31</v>
      </c>
      <c r="Y365" s="6"/>
      <c r="Z365" s="6">
        <f ca="1">('TUSD BE'!$AM$18+'TUSD BF'!$AM$18+'TUSD CVA'!$AM$18)*1</f>
        <v>437.62682457863491</v>
      </c>
      <c r="AA365" s="6">
        <f>('TE BE'!$AB$10+'TE BF'!$AB$10+'TE CVA'!$AB$10)*1</f>
        <v>235.33989117487977</v>
      </c>
      <c r="AB365" s="6">
        <f>$K$365*$V$365</f>
        <v>0</v>
      </c>
      <c r="AC365" s="6">
        <f>$M$365*$W$365</f>
        <v>51.781800000000004</v>
      </c>
      <c r="AD365" s="6">
        <f>$O$365*$X$365</f>
        <v>31.217549999999999</v>
      </c>
      <c r="AE365" s="6">
        <f>$K$365*$Y$365</f>
        <v>0</v>
      </c>
      <c r="AF365" s="6">
        <f ca="1">$M$365*$Z$365</f>
        <v>45.950816580756666</v>
      </c>
      <c r="AG365" s="6">
        <f>$O$365*$AA$365</f>
        <v>24.710688573362376</v>
      </c>
    </row>
    <row r="366" spans="1:33" ht="11.25" customHeight="1" x14ac:dyDescent="0.25">
      <c r="A366" s="4" t="s">
        <v>21</v>
      </c>
      <c r="B366" s="4" t="s">
        <v>22</v>
      </c>
      <c r="C366" s="4" t="s">
        <v>32</v>
      </c>
      <c r="D366" s="4" t="s">
        <v>24</v>
      </c>
      <c r="E366" s="4" t="s">
        <v>24</v>
      </c>
      <c r="F366" s="4" t="s">
        <v>25</v>
      </c>
      <c r="G366" s="4" t="s">
        <v>25</v>
      </c>
      <c r="H366" s="4" t="s">
        <v>35</v>
      </c>
      <c r="I366" s="5">
        <v>44501</v>
      </c>
      <c r="J366" s="6">
        <v>0</v>
      </c>
      <c r="K366" s="6">
        <v>0</v>
      </c>
      <c r="L366" s="6">
        <v>9.7000000000000003E-2</v>
      </c>
      <c r="M366" s="6">
        <v>9.7000000000000003E-2</v>
      </c>
      <c r="N366" s="6">
        <v>9.7000000000000003E-2</v>
      </c>
      <c r="O366" s="6">
        <v>9.7000000000000003E-2</v>
      </c>
      <c r="P366" s="6">
        <v>0</v>
      </c>
      <c r="Q366" s="4" t="s">
        <v>26</v>
      </c>
      <c r="R366" s="4">
        <v>0</v>
      </c>
      <c r="S366" s="6">
        <v>0</v>
      </c>
      <c r="T366" s="6">
        <v>9</v>
      </c>
      <c r="U366" s="6">
        <v>46</v>
      </c>
      <c r="V366" s="6">
        <f>IF(ISERROR(VLOOKUP($S$366,'TAR FIN'!$A$1:$O$86,15,0)),0,VLOOKUP($S$366,'TAR FIN'!$A$1:$O$86,15,0))</f>
        <v>0</v>
      </c>
      <c r="W366" s="6">
        <f>IF(ISERROR(VLOOKUP($T$366,'TAR FIN'!$A$1:$O$86,15,0)),0,VLOOKUP($T$366,'TAR FIN'!$A$1:$O$86,15,0))</f>
        <v>493.16</v>
      </c>
      <c r="X366" s="6">
        <f>IF(ISERROR(VLOOKUP($U$366,'TAR FIN'!$A$1:$O$86,15,0)),0,VLOOKUP($U$366,'TAR FIN'!$A$1:$O$86,15,0))</f>
        <v>297.31</v>
      </c>
      <c r="Y366" s="6"/>
      <c r="Z366" s="6">
        <f ca="1">('TUSD BE'!$AM$18+'TUSD BF'!$AM$18+'TUSD CVA'!$AM$18)*1</f>
        <v>437.62682457863491</v>
      </c>
      <c r="AA366" s="6">
        <f>('TE BE'!$AB$10+'TE BF'!$AB$10+'TE CVA'!$AB$10)*1</f>
        <v>235.33989117487977</v>
      </c>
      <c r="AB366" s="6">
        <f>$K$366*$V$366</f>
        <v>0</v>
      </c>
      <c r="AC366" s="6">
        <f>$M$366*$W$366</f>
        <v>47.836520000000007</v>
      </c>
      <c r="AD366" s="6">
        <f>$O$366*$X$366</f>
        <v>28.83907</v>
      </c>
      <c r="AE366" s="6">
        <f>$K$366*$Y$366</f>
        <v>0</v>
      </c>
      <c r="AF366" s="6">
        <f ca="1">$M$366*$Z$366</f>
        <v>42.449801984127589</v>
      </c>
      <c r="AG366" s="6">
        <f>$O$366*$AA$366</f>
        <v>22.827969443963337</v>
      </c>
    </row>
    <row r="367" spans="1:33" ht="11.25" customHeight="1" x14ac:dyDescent="0.25">
      <c r="A367" s="4" t="s">
        <v>21</v>
      </c>
      <c r="B367" s="4" t="s">
        <v>22</v>
      </c>
      <c r="C367" s="4" t="s">
        <v>32</v>
      </c>
      <c r="D367" s="4" t="s">
        <v>24</v>
      </c>
      <c r="E367" s="4" t="s">
        <v>24</v>
      </c>
      <c r="F367" s="4" t="s">
        <v>25</v>
      </c>
      <c r="G367" s="4" t="s">
        <v>25</v>
      </c>
      <c r="H367" s="4" t="s">
        <v>35</v>
      </c>
      <c r="I367" s="5">
        <v>44531</v>
      </c>
      <c r="J367" s="6">
        <v>0</v>
      </c>
      <c r="K367" s="6">
        <v>0</v>
      </c>
      <c r="L367" s="6">
        <v>0.108</v>
      </c>
      <c r="M367" s="6">
        <v>0.108</v>
      </c>
      <c r="N367" s="6">
        <v>0.108</v>
      </c>
      <c r="O367" s="6">
        <v>0.108</v>
      </c>
      <c r="P367" s="6">
        <v>0</v>
      </c>
      <c r="Q367" s="4" t="s">
        <v>26</v>
      </c>
      <c r="R367" s="4">
        <v>0</v>
      </c>
      <c r="S367" s="6">
        <v>0</v>
      </c>
      <c r="T367" s="6">
        <v>9</v>
      </c>
      <c r="U367" s="6">
        <v>46</v>
      </c>
      <c r="V367" s="6">
        <f>IF(ISERROR(VLOOKUP($S$367,'TAR FIN'!$A$1:$O$86,15,0)),0,VLOOKUP($S$367,'TAR FIN'!$A$1:$O$86,15,0))</f>
        <v>0</v>
      </c>
      <c r="W367" s="6">
        <f>IF(ISERROR(VLOOKUP($T$367,'TAR FIN'!$A$1:$O$86,15,0)),0,VLOOKUP($T$367,'TAR FIN'!$A$1:$O$86,15,0))</f>
        <v>493.16</v>
      </c>
      <c r="X367" s="6">
        <f>IF(ISERROR(VLOOKUP($U$367,'TAR FIN'!$A$1:$O$86,15,0)),0,VLOOKUP($U$367,'TAR FIN'!$A$1:$O$86,15,0))</f>
        <v>297.31</v>
      </c>
      <c r="Y367" s="6"/>
      <c r="Z367" s="6">
        <f ca="1">('TUSD BE'!$AM$18+'TUSD BF'!$AM$18+'TUSD CVA'!$AM$18)*1</f>
        <v>437.62682457863491</v>
      </c>
      <c r="AA367" s="6">
        <f>('TE BE'!$AB$10+'TE BF'!$AB$10+'TE CVA'!$AB$10)*1</f>
        <v>235.33989117487977</v>
      </c>
      <c r="AB367" s="6">
        <f>$K$367*$V$367</f>
        <v>0</v>
      </c>
      <c r="AC367" s="6">
        <f>$M$367*$W$367</f>
        <v>53.261279999999999</v>
      </c>
      <c r="AD367" s="6">
        <f>$O$367*$X$367</f>
        <v>32.109479999999998</v>
      </c>
      <c r="AE367" s="6">
        <f>$K$367*$Y$367</f>
        <v>0</v>
      </c>
      <c r="AF367" s="6">
        <f ca="1">$M$367*$Z$367</f>
        <v>47.263697054492567</v>
      </c>
      <c r="AG367" s="6">
        <f>$O$367*$AA$367</f>
        <v>25.416708246887016</v>
      </c>
    </row>
    <row r="368" spans="1:33" ht="11.25" customHeight="1" x14ac:dyDescent="0.25">
      <c r="A368" s="4" t="s">
        <v>21</v>
      </c>
      <c r="B368" s="4" t="s">
        <v>22</v>
      </c>
      <c r="C368" s="4" t="s">
        <v>32</v>
      </c>
      <c r="D368" s="4" t="s">
        <v>24</v>
      </c>
      <c r="E368" s="4" t="s">
        <v>24</v>
      </c>
      <c r="F368" s="4" t="s">
        <v>25</v>
      </c>
      <c r="G368" s="4" t="s">
        <v>25</v>
      </c>
      <c r="H368" s="4" t="s">
        <v>35</v>
      </c>
      <c r="I368" s="5">
        <v>44562</v>
      </c>
      <c r="J368" s="6">
        <v>0</v>
      </c>
      <c r="K368" s="6">
        <v>0</v>
      </c>
      <c r="L368" s="6">
        <v>0.16300000000000001</v>
      </c>
      <c r="M368" s="6">
        <v>0.16300000000000001</v>
      </c>
      <c r="N368" s="6">
        <v>0.16300000000000001</v>
      </c>
      <c r="O368" s="6">
        <v>0.16300000000000001</v>
      </c>
      <c r="P368" s="6">
        <v>0</v>
      </c>
      <c r="Q368" s="4" t="s">
        <v>26</v>
      </c>
      <c r="R368" s="4">
        <v>0</v>
      </c>
      <c r="S368" s="6">
        <v>0</v>
      </c>
      <c r="T368" s="6">
        <v>9</v>
      </c>
      <c r="U368" s="6">
        <v>46</v>
      </c>
      <c r="V368" s="6">
        <f>IF(ISERROR(VLOOKUP($S$368,'TAR FIN'!$A$1:$O$86,15,0)),0,VLOOKUP($S$368,'TAR FIN'!$A$1:$O$86,15,0))</f>
        <v>0</v>
      </c>
      <c r="W368" s="6">
        <f>IF(ISERROR(VLOOKUP($T$368,'TAR FIN'!$A$1:$O$86,15,0)),0,VLOOKUP($T$368,'TAR FIN'!$A$1:$O$86,15,0))</f>
        <v>493.16</v>
      </c>
      <c r="X368" s="6">
        <f>IF(ISERROR(VLOOKUP($U$368,'TAR FIN'!$A$1:$O$86,15,0)),0,VLOOKUP($U$368,'TAR FIN'!$A$1:$O$86,15,0))</f>
        <v>297.31</v>
      </c>
      <c r="Y368" s="6"/>
      <c r="Z368" s="6">
        <f ca="1">('TUSD BE'!$AM$18+'TUSD BF'!$AM$18+'TUSD CVA'!$AM$18)*1</f>
        <v>437.62682457863491</v>
      </c>
      <c r="AA368" s="6">
        <f>('TE BE'!$AB$10+'TE BF'!$AB$10+'TE CVA'!$AB$10)*1</f>
        <v>235.33989117487977</v>
      </c>
      <c r="AB368" s="6">
        <f>$K$368*$V$368</f>
        <v>0</v>
      </c>
      <c r="AC368" s="6">
        <f>$M$368*$W$368</f>
        <v>80.385080000000002</v>
      </c>
      <c r="AD368" s="6">
        <f>$O$368*$X$368</f>
        <v>48.461530000000003</v>
      </c>
      <c r="AE368" s="6">
        <f>$K$368*$Y$368</f>
        <v>0</v>
      </c>
      <c r="AF368" s="6">
        <f ca="1">$M$368*$Z$368</f>
        <v>71.333172406317487</v>
      </c>
      <c r="AG368" s="6">
        <f>$O$368*$AA$368</f>
        <v>38.360402261505406</v>
      </c>
    </row>
    <row r="369" spans="1:33" ht="11.25" customHeight="1" x14ac:dyDescent="0.25">
      <c r="A369" s="4" t="s">
        <v>21</v>
      </c>
      <c r="B369" s="4" t="s">
        <v>22</v>
      </c>
      <c r="C369" s="4" t="s">
        <v>32</v>
      </c>
      <c r="D369" s="4" t="s">
        <v>24</v>
      </c>
      <c r="E369" s="4" t="s">
        <v>24</v>
      </c>
      <c r="F369" s="4" t="s">
        <v>25</v>
      </c>
      <c r="G369" s="4" t="s">
        <v>25</v>
      </c>
      <c r="H369" s="4" t="s">
        <v>35</v>
      </c>
      <c r="I369" s="5">
        <v>44593</v>
      </c>
      <c r="J369" s="6">
        <v>0</v>
      </c>
      <c r="K369" s="6">
        <v>0</v>
      </c>
      <c r="L369" s="6">
        <v>0.13200000000000001</v>
      </c>
      <c r="M369" s="6">
        <v>0.13200000000000001</v>
      </c>
      <c r="N369" s="6">
        <v>0.13200000000000001</v>
      </c>
      <c r="O369" s="6">
        <v>0.13200000000000001</v>
      </c>
      <c r="P369" s="6">
        <v>0</v>
      </c>
      <c r="Q369" s="4" t="s">
        <v>26</v>
      </c>
      <c r="R369" s="4">
        <v>0</v>
      </c>
      <c r="S369" s="6">
        <v>0</v>
      </c>
      <c r="T369" s="6">
        <v>9</v>
      </c>
      <c r="U369" s="6">
        <v>46</v>
      </c>
      <c r="V369" s="6">
        <f>IF(ISERROR(VLOOKUP($S$369,'TAR FIN'!$A$1:$O$86,15,0)),0,VLOOKUP($S$369,'TAR FIN'!$A$1:$O$86,15,0))</f>
        <v>0</v>
      </c>
      <c r="W369" s="6">
        <f>IF(ISERROR(VLOOKUP($T$369,'TAR FIN'!$A$1:$O$86,15,0)),0,VLOOKUP($T$369,'TAR FIN'!$A$1:$O$86,15,0))</f>
        <v>493.16</v>
      </c>
      <c r="X369" s="6">
        <f>IF(ISERROR(VLOOKUP($U$369,'TAR FIN'!$A$1:$O$86,15,0)),0,VLOOKUP($U$369,'TAR FIN'!$A$1:$O$86,15,0))</f>
        <v>297.31</v>
      </c>
      <c r="Y369" s="6"/>
      <c r="Z369" s="6">
        <f ca="1">('TUSD BE'!$AM$18+'TUSD BF'!$AM$18+'TUSD CVA'!$AM$18)*1</f>
        <v>437.62682457863491</v>
      </c>
      <c r="AA369" s="6">
        <f>('TE BE'!$AB$10+'TE BF'!$AB$10+'TE CVA'!$AB$10)*1</f>
        <v>235.33989117487977</v>
      </c>
      <c r="AB369" s="6">
        <f>$K$369*$V$369</f>
        <v>0</v>
      </c>
      <c r="AC369" s="6">
        <f>$M$369*$W$369</f>
        <v>65.097120000000004</v>
      </c>
      <c r="AD369" s="6">
        <f>$O$369*$X$369</f>
        <v>39.24492</v>
      </c>
      <c r="AE369" s="6">
        <f>$K$369*$Y$369</f>
        <v>0</v>
      </c>
      <c r="AF369" s="6">
        <f ca="1">$M$369*$Z$369</f>
        <v>57.766740844379811</v>
      </c>
      <c r="AG369" s="6">
        <f>$O$369*$AA$369</f>
        <v>31.064865635084132</v>
      </c>
    </row>
    <row r="370" spans="1:33" ht="11.25" customHeight="1" x14ac:dyDescent="0.25">
      <c r="A370" s="4" t="s">
        <v>21</v>
      </c>
      <c r="B370" s="4" t="s">
        <v>22</v>
      </c>
      <c r="C370" s="4" t="s">
        <v>32</v>
      </c>
      <c r="D370" s="4" t="s">
        <v>24</v>
      </c>
      <c r="E370" s="4" t="s">
        <v>24</v>
      </c>
      <c r="F370" s="4" t="s">
        <v>25</v>
      </c>
      <c r="G370" s="4" t="s">
        <v>25</v>
      </c>
      <c r="H370" s="4" t="s">
        <v>35</v>
      </c>
      <c r="I370" s="5">
        <v>44621</v>
      </c>
      <c r="J370" s="6">
        <v>0</v>
      </c>
      <c r="K370" s="6">
        <v>0</v>
      </c>
      <c r="L370" s="6">
        <v>0.14899999999999999</v>
      </c>
      <c r="M370" s="6">
        <v>0.14899999999999999</v>
      </c>
      <c r="N370" s="6">
        <v>0.14899999999999999</v>
      </c>
      <c r="O370" s="6">
        <v>0.14899999999999999</v>
      </c>
      <c r="P370" s="6">
        <v>0</v>
      </c>
      <c r="Q370" s="4" t="s">
        <v>26</v>
      </c>
      <c r="R370" s="4">
        <v>0</v>
      </c>
      <c r="S370" s="6">
        <v>0</v>
      </c>
      <c r="T370" s="6">
        <v>9</v>
      </c>
      <c r="U370" s="6">
        <v>46</v>
      </c>
      <c r="V370" s="6">
        <f>IF(ISERROR(VLOOKUP($S$370,'TAR FIN'!$A$1:$O$86,15,0)),0,VLOOKUP($S$370,'TAR FIN'!$A$1:$O$86,15,0))</f>
        <v>0</v>
      </c>
      <c r="W370" s="6">
        <f>IF(ISERROR(VLOOKUP($T$370,'TAR FIN'!$A$1:$O$86,15,0)),0,VLOOKUP($T$370,'TAR FIN'!$A$1:$O$86,15,0))</f>
        <v>493.16</v>
      </c>
      <c r="X370" s="6">
        <f>IF(ISERROR(VLOOKUP($U$370,'TAR FIN'!$A$1:$O$86,15,0)),0,VLOOKUP($U$370,'TAR FIN'!$A$1:$O$86,15,0))</f>
        <v>297.31</v>
      </c>
      <c r="Y370" s="6"/>
      <c r="Z370" s="6">
        <f ca="1">('TUSD BE'!$AM$18+'TUSD BF'!$AM$18+'TUSD CVA'!$AM$18)*1</f>
        <v>437.62682457863491</v>
      </c>
      <c r="AA370" s="6">
        <f>('TE BE'!$AB$10+'TE BF'!$AB$10+'TE CVA'!$AB$10)*1</f>
        <v>235.33989117487977</v>
      </c>
      <c r="AB370" s="6">
        <f>$K$370*$V$370</f>
        <v>0</v>
      </c>
      <c r="AC370" s="6">
        <f>$M$370*$W$370</f>
        <v>73.480840000000001</v>
      </c>
      <c r="AD370" s="6">
        <f>$O$370*$X$370</f>
        <v>44.299189999999996</v>
      </c>
      <c r="AE370" s="6">
        <f>$K$370*$Y$370</f>
        <v>0</v>
      </c>
      <c r="AF370" s="6">
        <f ca="1">$M$370*$Z$370</f>
        <v>65.206396862216593</v>
      </c>
      <c r="AG370" s="6">
        <f>$O$370*$AA$370</f>
        <v>35.065643785057084</v>
      </c>
    </row>
    <row r="371" spans="1:33" ht="11.25" customHeight="1" x14ac:dyDescent="0.25">
      <c r="A371" s="4" t="s">
        <v>21</v>
      </c>
      <c r="B371" s="4" t="s">
        <v>22</v>
      </c>
      <c r="C371" s="4" t="s">
        <v>32</v>
      </c>
      <c r="D371" s="4" t="s">
        <v>24</v>
      </c>
      <c r="E371" s="4" t="s">
        <v>24</v>
      </c>
      <c r="F371" s="4" t="s">
        <v>25</v>
      </c>
      <c r="G371" s="4" t="s">
        <v>25</v>
      </c>
      <c r="H371" s="4" t="s">
        <v>35</v>
      </c>
      <c r="I371" s="5">
        <v>44652</v>
      </c>
      <c r="J371" s="6">
        <v>0</v>
      </c>
      <c r="K371" s="6">
        <v>0</v>
      </c>
      <c r="L371" s="6">
        <v>8.4000000000000005E-2</v>
      </c>
      <c r="M371" s="6">
        <v>8.4000000000000005E-2</v>
      </c>
      <c r="N371" s="6">
        <v>8.4000000000000005E-2</v>
      </c>
      <c r="O371" s="6">
        <v>8.4000000000000005E-2</v>
      </c>
      <c r="P371" s="6">
        <v>0</v>
      </c>
      <c r="Q371" s="4" t="s">
        <v>26</v>
      </c>
      <c r="R371" s="4">
        <v>0</v>
      </c>
      <c r="S371" s="6">
        <v>0</v>
      </c>
      <c r="T371" s="6">
        <v>9</v>
      </c>
      <c r="U371" s="6">
        <v>46</v>
      </c>
      <c r="V371" s="6">
        <f>IF(ISERROR(VLOOKUP($S$371,'TAR FIN'!$A$1:$O$86,15,0)),0,VLOOKUP($S$371,'TAR FIN'!$A$1:$O$86,15,0))</f>
        <v>0</v>
      </c>
      <c r="W371" s="6">
        <f>IF(ISERROR(VLOOKUP($T$371,'TAR FIN'!$A$1:$O$86,15,0)),0,VLOOKUP($T$371,'TAR FIN'!$A$1:$O$86,15,0))</f>
        <v>493.16</v>
      </c>
      <c r="X371" s="6">
        <f>IF(ISERROR(VLOOKUP($U$371,'TAR FIN'!$A$1:$O$86,15,0)),0,VLOOKUP($U$371,'TAR FIN'!$A$1:$O$86,15,0))</f>
        <v>297.31</v>
      </c>
      <c r="Y371" s="6"/>
      <c r="Z371" s="6">
        <f ca="1">('TUSD BE'!$AM$18+'TUSD BF'!$AM$18+'TUSD CVA'!$AM$18)*1</f>
        <v>437.62682457863491</v>
      </c>
      <c r="AA371" s="6">
        <f>('TE BE'!$AB$10+'TE BF'!$AB$10+'TE CVA'!$AB$10)*1</f>
        <v>235.33989117487977</v>
      </c>
      <c r="AB371" s="6">
        <f>$K$371*$V$371</f>
        <v>0</v>
      </c>
      <c r="AC371" s="6">
        <f>$M$371*$W$371</f>
        <v>41.425440000000002</v>
      </c>
      <c r="AD371" s="6">
        <f>$O$371*$X$371</f>
        <v>24.974040000000002</v>
      </c>
      <c r="AE371" s="6">
        <f>$K$371*$Y$371</f>
        <v>0</v>
      </c>
      <c r="AF371" s="6">
        <f ca="1">$M$371*$Z$371</f>
        <v>36.760653264605338</v>
      </c>
      <c r="AG371" s="6">
        <f>$O$371*$AA$371</f>
        <v>19.768550858689903</v>
      </c>
    </row>
    <row r="372" spans="1:33" ht="11.25" customHeight="1" x14ac:dyDescent="0.25">
      <c r="A372" s="4" t="s">
        <v>21</v>
      </c>
      <c r="B372" s="4" t="s">
        <v>22</v>
      </c>
      <c r="C372" s="4" t="s">
        <v>32</v>
      </c>
      <c r="D372" s="4" t="s">
        <v>24</v>
      </c>
      <c r="E372" s="4" t="s">
        <v>24</v>
      </c>
      <c r="F372" s="4" t="s">
        <v>25</v>
      </c>
      <c r="G372" s="4" t="s">
        <v>25</v>
      </c>
      <c r="H372" s="4" t="s">
        <v>35</v>
      </c>
      <c r="I372" s="5">
        <v>44682</v>
      </c>
      <c r="J372" s="6">
        <v>0</v>
      </c>
      <c r="K372" s="6">
        <v>0</v>
      </c>
      <c r="L372" s="6">
        <v>0.32500000000000001</v>
      </c>
      <c r="M372" s="6">
        <v>0.32500000000000001</v>
      </c>
      <c r="N372" s="6">
        <v>0.32500000000000001</v>
      </c>
      <c r="O372" s="6">
        <v>0.32500000000000001</v>
      </c>
      <c r="P372" s="6">
        <v>0</v>
      </c>
      <c r="Q372" s="4" t="s">
        <v>26</v>
      </c>
      <c r="R372" s="4">
        <v>0</v>
      </c>
      <c r="S372" s="6">
        <v>0</v>
      </c>
      <c r="T372" s="6">
        <v>9</v>
      </c>
      <c r="U372" s="6">
        <v>46</v>
      </c>
      <c r="V372" s="6">
        <f>IF(ISERROR(VLOOKUP($S$372,'TAR FIN'!$A$1:$O$86,15,0)),0,VLOOKUP($S$372,'TAR FIN'!$A$1:$O$86,15,0))</f>
        <v>0</v>
      </c>
      <c r="W372" s="6">
        <f>IF(ISERROR(VLOOKUP($T$372,'TAR FIN'!$A$1:$O$86,15,0)),0,VLOOKUP($T$372,'TAR FIN'!$A$1:$O$86,15,0))</f>
        <v>493.16</v>
      </c>
      <c r="X372" s="6">
        <f>IF(ISERROR(VLOOKUP($U$372,'TAR FIN'!$A$1:$O$86,15,0)),0,VLOOKUP($U$372,'TAR FIN'!$A$1:$O$86,15,0))</f>
        <v>297.31</v>
      </c>
      <c r="Y372" s="6"/>
      <c r="Z372" s="6">
        <f ca="1">('TUSD BE'!$AM$18+'TUSD BF'!$AM$18+'TUSD CVA'!$AM$18)*1</f>
        <v>437.62682457863491</v>
      </c>
      <c r="AA372" s="6">
        <f>('TE BE'!$AB$10+'TE BF'!$AB$10+'TE CVA'!$AB$10)*1</f>
        <v>235.33989117487977</v>
      </c>
      <c r="AB372" s="6">
        <f>$K$372*$V$372</f>
        <v>0</v>
      </c>
      <c r="AC372" s="6">
        <f>$M$372*$W$372</f>
        <v>160.27700000000002</v>
      </c>
      <c r="AD372" s="6">
        <f>$O$372*$X$372</f>
        <v>96.625750000000011</v>
      </c>
      <c r="AE372" s="6">
        <f>$K$372*$Y$372</f>
        <v>0</v>
      </c>
      <c r="AF372" s="6">
        <f ca="1">$M$372*$Z$372</f>
        <v>142.22871798805636</v>
      </c>
      <c r="AG372" s="6">
        <f>$O$372*$AA$372</f>
        <v>76.485464631835924</v>
      </c>
    </row>
    <row r="373" spans="1:33" ht="11.25" customHeight="1" x14ac:dyDescent="0.25">
      <c r="A373" s="4" t="s">
        <v>55</v>
      </c>
      <c r="B373" s="4" t="s">
        <v>22</v>
      </c>
      <c r="C373" s="4" t="s">
        <v>32</v>
      </c>
      <c r="D373" s="4" t="s">
        <v>24</v>
      </c>
      <c r="E373" s="4" t="s">
        <v>24</v>
      </c>
      <c r="F373" s="4" t="s">
        <v>25</v>
      </c>
      <c r="G373" s="4" t="s">
        <v>25</v>
      </c>
      <c r="H373" s="4" t="s">
        <v>35</v>
      </c>
      <c r="I373" s="5">
        <v>44713</v>
      </c>
      <c r="J373" s="6">
        <v>0</v>
      </c>
      <c r="K373" s="6">
        <v>0</v>
      </c>
      <c r="L373" s="6">
        <v>0.32500000000000001</v>
      </c>
      <c r="M373" s="6">
        <v>0.32500000000000001</v>
      </c>
      <c r="N373" s="6">
        <v>0.32500000000000001</v>
      </c>
      <c r="O373" s="6">
        <v>0.32500000000000001</v>
      </c>
      <c r="P373" s="6">
        <v>0</v>
      </c>
      <c r="Q373" s="4" t="s">
        <v>26</v>
      </c>
      <c r="R373" s="4">
        <v>0</v>
      </c>
      <c r="S373" s="6">
        <v>0</v>
      </c>
      <c r="T373" s="6">
        <v>9</v>
      </c>
      <c r="U373" s="6">
        <v>46</v>
      </c>
      <c r="V373" s="6">
        <f>IF(ISERROR(VLOOKUP($S$373,'TAR FIN'!$A$1:$O$86,15,0)),0,VLOOKUP($S$373,'TAR FIN'!$A$1:$O$86,15,0))</f>
        <v>0</v>
      </c>
      <c r="W373" s="6">
        <f>IF(ISERROR(VLOOKUP($T$373,'TAR FIN'!$A$1:$O$86,15,0)),0,VLOOKUP($T$373,'TAR FIN'!$A$1:$O$86,15,0))</f>
        <v>493.16</v>
      </c>
      <c r="X373" s="6">
        <f>IF(ISERROR(VLOOKUP($U$373,'TAR FIN'!$A$1:$O$86,15,0)),0,VLOOKUP($U$373,'TAR FIN'!$A$1:$O$86,15,0))</f>
        <v>297.31</v>
      </c>
      <c r="Y373" s="6"/>
      <c r="Z373" s="6">
        <f ca="1">('TUSD BE'!$AM$18+'TUSD BF'!$AM$18+'TUSD CVA'!$AM$18)*1</f>
        <v>437.62682457863491</v>
      </c>
      <c r="AA373" s="6">
        <f>('TE BE'!$AB$10+'TE BF'!$AB$10+'TE CVA'!$AB$10)*1</f>
        <v>235.33989117487977</v>
      </c>
      <c r="AB373" s="6">
        <f>$K$373*$V$373</f>
        <v>0</v>
      </c>
      <c r="AC373" s="6">
        <f>$M$373*$W$373</f>
        <v>160.27700000000002</v>
      </c>
      <c r="AD373" s="6">
        <f>$O$373*$X$373</f>
        <v>96.625750000000011</v>
      </c>
      <c r="AE373" s="6">
        <f>$K$373*$Y$373</f>
        <v>0</v>
      </c>
      <c r="AF373" s="6">
        <f ca="1">$M$373*$Z$373</f>
        <v>142.22871798805636</v>
      </c>
      <c r="AG373" s="6">
        <f>$O$373*$AA$373</f>
        <v>76.485464631835924</v>
      </c>
    </row>
    <row r="374" spans="1:33" ht="11.25" customHeight="1" x14ac:dyDescent="0.25">
      <c r="A374" s="4" t="s">
        <v>21</v>
      </c>
      <c r="B374" s="4" t="s">
        <v>22</v>
      </c>
      <c r="C374" s="4" t="s">
        <v>32</v>
      </c>
      <c r="D374" s="4" t="s">
        <v>24</v>
      </c>
      <c r="E374" s="4" t="s">
        <v>24</v>
      </c>
      <c r="F374" s="4" t="s">
        <v>25</v>
      </c>
      <c r="G374" s="4" t="s">
        <v>25</v>
      </c>
      <c r="H374" s="4" t="s">
        <v>33</v>
      </c>
      <c r="I374" s="5">
        <v>44378</v>
      </c>
      <c r="J374" s="6">
        <v>0</v>
      </c>
      <c r="K374" s="6">
        <v>0</v>
      </c>
      <c r="L374" s="6">
        <v>0.32800000000000001</v>
      </c>
      <c r="M374" s="6">
        <v>0.32800000000000001</v>
      </c>
      <c r="N374" s="6">
        <v>0.32800000000000001</v>
      </c>
      <c r="O374" s="6">
        <v>0.32800000000000001</v>
      </c>
      <c r="P374" s="6">
        <v>0</v>
      </c>
      <c r="Q374" s="4" t="s">
        <v>26</v>
      </c>
      <c r="R374" s="4">
        <v>0</v>
      </c>
      <c r="S374" s="6">
        <v>0</v>
      </c>
      <c r="T374" s="6">
        <v>15</v>
      </c>
      <c r="U374" s="6">
        <v>69</v>
      </c>
      <c r="V374" s="6">
        <f>IF(ISERROR(VLOOKUP($S$374,'TAR FIN'!$A$1:$O$86,15,0)),0,VLOOKUP($S$374,'TAR FIN'!$A$1:$O$86,15,0))</f>
        <v>0</v>
      </c>
      <c r="W374" s="6">
        <f>IF(ISERROR(VLOOKUP($T$374,'TAR FIN'!$A$1:$O$86,15,0)),0,VLOOKUP($T$374,'TAR FIN'!$A$1:$O$86,15,0))</f>
        <v>874.51</v>
      </c>
      <c r="X374" s="6">
        <f>IF(ISERROR(VLOOKUP($U$374,'TAR FIN'!$A$1:$O$86,15,0)),0,VLOOKUP($U$374,'TAR FIN'!$A$1:$O$86,15,0))</f>
        <v>503.82</v>
      </c>
      <c r="Y374" s="6"/>
      <c r="Z374" s="6">
        <f ca="1">('TUSD BE'!$AM$17+'TUSD BF'!$AM$17+'TUSD CVA'!$AM$17)*1</f>
        <v>751.66721126633001</v>
      </c>
      <c r="AA374" s="6">
        <f>('TE BE'!$AB$9+'TE BF'!$AB$9+'TE CVA'!$AB$9)*1</f>
        <v>398.01664046087393</v>
      </c>
      <c r="AB374" s="6">
        <f>$K$374*$V$374</f>
        <v>0</v>
      </c>
      <c r="AC374" s="6">
        <f>$M$374*$W$374</f>
        <v>286.83928000000003</v>
      </c>
      <c r="AD374" s="6">
        <f>$O$374*$X$374</f>
        <v>165.25296</v>
      </c>
      <c r="AE374" s="6">
        <f>$K$374*$Y$374</f>
        <v>0</v>
      </c>
      <c r="AF374" s="6">
        <f ca="1">$M$374*$Z$374</f>
        <v>246.54684529535626</v>
      </c>
      <c r="AG374" s="6">
        <f>$O$374*$AA$374</f>
        <v>130.54945807116667</v>
      </c>
    </row>
    <row r="375" spans="1:33" ht="11.25" customHeight="1" x14ac:dyDescent="0.25">
      <c r="A375" s="4" t="s">
        <v>21</v>
      </c>
      <c r="B375" s="4" t="s">
        <v>22</v>
      </c>
      <c r="C375" s="4" t="s">
        <v>32</v>
      </c>
      <c r="D375" s="4" t="s">
        <v>24</v>
      </c>
      <c r="E375" s="4" t="s">
        <v>24</v>
      </c>
      <c r="F375" s="4" t="s">
        <v>25</v>
      </c>
      <c r="G375" s="4" t="s">
        <v>25</v>
      </c>
      <c r="H375" s="4" t="s">
        <v>33</v>
      </c>
      <c r="I375" s="5">
        <v>44409</v>
      </c>
      <c r="J375" s="6">
        <v>0</v>
      </c>
      <c r="K375" s="6">
        <v>0</v>
      </c>
      <c r="L375" s="6">
        <v>0.30399999999999999</v>
      </c>
      <c r="M375" s="6">
        <v>0.30399999999999999</v>
      </c>
      <c r="N375" s="6">
        <v>0.30399999999999999</v>
      </c>
      <c r="O375" s="6">
        <v>0.30399999999999999</v>
      </c>
      <c r="P375" s="6">
        <v>0</v>
      </c>
      <c r="Q375" s="4" t="s">
        <v>26</v>
      </c>
      <c r="R375" s="4">
        <v>0</v>
      </c>
      <c r="S375" s="6">
        <v>0</v>
      </c>
      <c r="T375" s="6">
        <v>15</v>
      </c>
      <c r="U375" s="6">
        <v>69</v>
      </c>
      <c r="V375" s="6">
        <f>IF(ISERROR(VLOOKUP($S$375,'TAR FIN'!$A$1:$O$86,15,0)),0,VLOOKUP($S$375,'TAR FIN'!$A$1:$O$86,15,0))</f>
        <v>0</v>
      </c>
      <c r="W375" s="6">
        <f>IF(ISERROR(VLOOKUP($T$375,'TAR FIN'!$A$1:$O$86,15,0)),0,VLOOKUP($T$375,'TAR FIN'!$A$1:$O$86,15,0))</f>
        <v>874.51</v>
      </c>
      <c r="X375" s="6">
        <f>IF(ISERROR(VLOOKUP($U$375,'TAR FIN'!$A$1:$O$86,15,0)),0,VLOOKUP($U$375,'TAR FIN'!$A$1:$O$86,15,0))</f>
        <v>503.82</v>
      </c>
      <c r="Y375" s="6"/>
      <c r="Z375" s="6">
        <f ca="1">('TUSD BE'!$AM$17+'TUSD BF'!$AM$17+'TUSD CVA'!$AM$17)*1</f>
        <v>751.66721126633001</v>
      </c>
      <c r="AA375" s="6">
        <f>('TE BE'!$AB$9+'TE BF'!$AB$9+'TE CVA'!$AB$9)*1</f>
        <v>398.01664046087393</v>
      </c>
      <c r="AB375" s="6">
        <f>$K$375*$V$375</f>
        <v>0</v>
      </c>
      <c r="AC375" s="6">
        <f>$M$375*$W$375</f>
        <v>265.85104000000001</v>
      </c>
      <c r="AD375" s="6">
        <f>$O$375*$X$375</f>
        <v>153.16128</v>
      </c>
      <c r="AE375" s="6">
        <f>$K$375*$Y$375</f>
        <v>0</v>
      </c>
      <c r="AF375" s="6">
        <f ca="1">$M$375*$Z$375</f>
        <v>228.50683222496431</v>
      </c>
      <c r="AG375" s="6">
        <f>$O$375*$AA$375</f>
        <v>120.99705870010567</v>
      </c>
    </row>
    <row r="376" spans="1:33" ht="11.25" customHeight="1" x14ac:dyDescent="0.25">
      <c r="A376" s="4" t="s">
        <v>21</v>
      </c>
      <c r="B376" s="4" t="s">
        <v>22</v>
      </c>
      <c r="C376" s="4" t="s">
        <v>32</v>
      </c>
      <c r="D376" s="4" t="s">
        <v>24</v>
      </c>
      <c r="E376" s="4" t="s">
        <v>24</v>
      </c>
      <c r="F376" s="4" t="s">
        <v>25</v>
      </c>
      <c r="G376" s="4" t="s">
        <v>25</v>
      </c>
      <c r="H376" s="4" t="s">
        <v>33</v>
      </c>
      <c r="I376" s="5">
        <v>44440</v>
      </c>
      <c r="J376" s="6">
        <v>0</v>
      </c>
      <c r="K376" s="6">
        <v>0</v>
      </c>
      <c r="L376" s="6">
        <v>0.223</v>
      </c>
      <c r="M376" s="6">
        <v>0.223</v>
      </c>
      <c r="N376" s="6">
        <v>0.223</v>
      </c>
      <c r="O376" s="6">
        <v>0.223</v>
      </c>
      <c r="P376" s="6">
        <v>0</v>
      </c>
      <c r="Q376" s="4" t="s">
        <v>26</v>
      </c>
      <c r="R376" s="4">
        <v>0</v>
      </c>
      <c r="S376" s="6">
        <v>0</v>
      </c>
      <c r="T376" s="6">
        <v>15</v>
      </c>
      <c r="U376" s="6">
        <v>69</v>
      </c>
      <c r="V376" s="6">
        <f>IF(ISERROR(VLOOKUP($S$376,'TAR FIN'!$A$1:$O$86,15,0)),0,VLOOKUP($S$376,'TAR FIN'!$A$1:$O$86,15,0))</f>
        <v>0</v>
      </c>
      <c r="W376" s="6">
        <f>IF(ISERROR(VLOOKUP($T$376,'TAR FIN'!$A$1:$O$86,15,0)),0,VLOOKUP($T$376,'TAR FIN'!$A$1:$O$86,15,0))</f>
        <v>874.51</v>
      </c>
      <c r="X376" s="6">
        <f>IF(ISERROR(VLOOKUP($U$376,'TAR FIN'!$A$1:$O$86,15,0)),0,VLOOKUP($U$376,'TAR FIN'!$A$1:$O$86,15,0))</f>
        <v>503.82</v>
      </c>
      <c r="Y376" s="6"/>
      <c r="Z376" s="6">
        <f ca="1">('TUSD BE'!$AM$17+'TUSD BF'!$AM$17+'TUSD CVA'!$AM$17)*1</f>
        <v>751.66721126633001</v>
      </c>
      <c r="AA376" s="6">
        <f>('TE BE'!$AB$9+'TE BF'!$AB$9+'TE CVA'!$AB$9)*1</f>
        <v>398.01664046087393</v>
      </c>
      <c r="AB376" s="6">
        <f>$K$376*$V$376</f>
        <v>0</v>
      </c>
      <c r="AC376" s="6">
        <f>$M$376*$W$376</f>
        <v>195.01572999999999</v>
      </c>
      <c r="AD376" s="6">
        <f>$O$376*$X$376</f>
        <v>112.35186</v>
      </c>
      <c r="AE376" s="6">
        <f>$K$376*$Y$376</f>
        <v>0</v>
      </c>
      <c r="AF376" s="6">
        <f ca="1">$M$376*$Z$376</f>
        <v>167.62178811239158</v>
      </c>
      <c r="AG376" s="6">
        <f>$O$376*$AA$376</f>
        <v>88.757710822774882</v>
      </c>
    </row>
    <row r="377" spans="1:33" ht="11.25" customHeight="1" x14ac:dyDescent="0.25">
      <c r="A377" s="4" t="s">
        <v>21</v>
      </c>
      <c r="B377" s="4" t="s">
        <v>22</v>
      </c>
      <c r="C377" s="4" t="s">
        <v>32</v>
      </c>
      <c r="D377" s="4" t="s">
        <v>24</v>
      </c>
      <c r="E377" s="4" t="s">
        <v>24</v>
      </c>
      <c r="F377" s="4" t="s">
        <v>25</v>
      </c>
      <c r="G377" s="4" t="s">
        <v>25</v>
      </c>
      <c r="H377" s="4" t="s">
        <v>33</v>
      </c>
      <c r="I377" s="5">
        <v>44470</v>
      </c>
      <c r="J377" s="6">
        <v>0</v>
      </c>
      <c r="K377" s="6">
        <v>0</v>
      </c>
      <c r="L377" s="6">
        <v>0.192</v>
      </c>
      <c r="M377" s="6">
        <v>0.192</v>
      </c>
      <c r="N377" s="6">
        <v>0.192</v>
      </c>
      <c r="O377" s="6">
        <v>0.192</v>
      </c>
      <c r="P377" s="6">
        <v>0</v>
      </c>
      <c r="Q377" s="4" t="s">
        <v>26</v>
      </c>
      <c r="R377" s="4">
        <v>0</v>
      </c>
      <c r="S377" s="6">
        <v>0</v>
      </c>
      <c r="T377" s="6">
        <v>15</v>
      </c>
      <c r="U377" s="6">
        <v>69</v>
      </c>
      <c r="V377" s="6">
        <f>IF(ISERROR(VLOOKUP($S$377,'TAR FIN'!$A$1:$O$86,15,0)),0,VLOOKUP($S$377,'TAR FIN'!$A$1:$O$86,15,0))</f>
        <v>0</v>
      </c>
      <c r="W377" s="6">
        <f>IF(ISERROR(VLOOKUP($T$377,'TAR FIN'!$A$1:$O$86,15,0)),0,VLOOKUP($T$377,'TAR FIN'!$A$1:$O$86,15,0))</f>
        <v>874.51</v>
      </c>
      <c r="X377" s="6">
        <f>IF(ISERROR(VLOOKUP($U$377,'TAR FIN'!$A$1:$O$86,15,0)),0,VLOOKUP($U$377,'TAR FIN'!$A$1:$O$86,15,0))</f>
        <v>503.82</v>
      </c>
      <c r="Y377" s="6"/>
      <c r="Z377" s="6">
        <f ca="1">('TUSD BE'!$AM$17+'TUSD BF'!$AM$17+'TUSD CVA'!$AM$17)*1</f>
        <v>751.66721126633001</v>
      </c>
      <c r="AA377" s="6">
        <f>('TE BE'!$AB$9+'TE BF'!$AB$9+'TE CVA'!$AB$9)*1</f>
        <v>398.01664046087393</v>
      </c>
      <c r="AB377" s="6">
        <f>$K$377*$V$377</f>
        <v>0</v>
      </c>
      <c r="AC377" s="6">
        <f>$M$377*$W$377</f>
        <v>167.90592000000001</v>
      </c>
      <c r="AD377" s="6">
        <f>$O$377*$X$377</f>
        <v>96.733440000000002</v>
      </c>
      <c r="AE377" s="6">
        <f>$K$377*$Y$377</f>
        <v>0</v>
      </c>
      <c r="AF377" s="6">
        <f ca="1">$M$377*$Z$377</f>
        <v>144.32010456313537</v>
      </c>
      <c r="AG377" s="6">
        <f>$O$377*$AA$377</f>
        <v>76.419194968487801</v>
      </c>
    </row>
    <row r="378" spans="1:33" ht="11.25" customHeight="1" x14ac:dyDescent="0.25">
      <c r="A378" s="4" t="s">
        <v>21</v>
      </c>
      <c r="B378" s="4" t="s">
        <v>22</v>
      </c>
      <c r="C378" s="4" t="s">
        <v>32</v>
      </c>
      <c r="D378" s="4" t="s">
        <v>24</v>
      </c>
      <c r="E378" s="4" t="s">
        <v>24</v>
      </c>
      <c r="F378" s="4" t="s">
        <v>25</v>
      </c>
      <c r="G378" s="4" t="s">
        <v>25</v>
      </c>
      <c r="H378" s="4" t="s">
        <v>33</v>
      </c>
      <c r="I378" s="5">
        <v>44501</v>
      </c>
      <c r="J378" s="6">
        <v>0</v>
      </c>
      <c r="K378" s="6">
        <v>0</v>
      </c>
      <c r="L378" s="6">
        <v>0.2</v>
      </c>
      <c r="M378" s="6">
        <v>0.2</v>
      </c>
      <c r="N378" s="6">
        <v>0.2</v>
      </c>
      <c r="O378" s="6">
        <v>0.2</v>
      </c>
      <c r="P378" s="6">
        <v>0</v>
      </c>
      <c r="Q378" s="4" t="s">
        <v>26</v>
      </c>
      <c r="R378" s="4">
        <v>0</v>
      </c>
      <c r="S378" s="6">
        <v>0</v>
      </c>
      <c r="T378" s="6">
        <v>15</v>
      </c>
      <c r="U378" s="6">
        <v>69</v>
      </c>
      <c r="V378" s="6">
        <f>IF(ISERROR(VLOOKUP($S$378,'TAR FIN'!$A$1:$O$86,15,0)),0,VLOOKUP($S$378,'TAR FIN'!$A$1:$O$86,15,0))</f>
        <v>0</v>
      </c>
      <c r="W378" s="6">
        <f>IF(ISERROR(VLOOKUP($T$378,'TAR FIN'!$A$1:$O$86,15,0)),0,VLOOKUP($T$378,'TAR FIN'!$A$1:$O$86,15,0))</f>
        <v>874.51</v>
      </c>
      <c r="X378" s="6">
        <f>IF(ISERROR(VLOOKUP($U$378,'TAR FIN'!$A$1:$O$86,15,0)),0,VLOOKUP($U$378,'TAR FIN'!$A$1:$O$86,15,0))</f>
        <v>503.82</v>
      </c>
      <c r="Y378" s="6"/>
      <c r="Z378" s="6">
        <f ca="1">('TUSD BE'!$AM$17+'TUSD BF'!$AM$17+'TUSD CVA'!$AM$17)*1</f>
        <v>751.66721126633001</v>
      </c>
      <c r="AA378" s="6">
        <f>('TE BE'!$AB$9+'TE BF'!$AB$9+'TE CVA'!$AB$9)*1</f>
        <v>398.01664046087393</v>
      </c>
      <c r="AB378" s="6">
        <f>$K$378*$V$378</f>
        <v>0</v>
      </c>
      <c r="AC378" s="6">
        <f>$M$378*$W$378</f>
        <v>174.90200000000002</v>
      </c>
      <c r="AD378" s="6">
        <f>$O$378*$X$378</f>
        <v>100.76400000000001</v>
      </c>
      <c r="AE378" s="6">
        <f>$K$378*$Y$378</f>
        <v>0</v>
      </c>
      <c r="AF378" s="6">
        <f ca="1">$M$378*$Z$378</f>
        <v>150.33344225326601</v>
      </c>
      <c r="AG378" s="6">
        <f>$O$378*$AA$378</f>
        <v>79.603328092174792</v>
      </c>
    </row>
    <row r="379" spans="1:33" ht="11.25" customHeight="1" x14ac:dyDescent="0.25">
      <c r="A379" s="4" t="s">
        <v>21</v>
      </c>
      <c r="B379" s="4" t="s">
        <v>22</v>
      </c>
      <c r="C379" s="4" t="s">
        <v>32</v>
      </c>
      <c r="D379" s="4" t="s">
        <v>24</v>
      </c>
      <c r="E379" s="4" t="s">
        <v>24</v>
      </c>
      <c r="F379" s="4" t="s">
        <v>25</v>
      </c>
      <c r="G379" s="4" t="s">
        <v>25</v>
      </c>
      <c r="H379" s="4" t="s">
        <v>33</v>
      </c>
      <c r="I379" s="5">
        <v>44531</v>
      </c>
      <c r="J379" s="6">
        <v>0</v>
      </c>
      <c r="K379" s="6">
        <v>0</v>
      </c>
      <c r="L379" s="6">
        <v>0.187</v>
      </c>
      <c r="M379" s="6">
        <v>0.187</v>
      </c>
      <c r="N379" s="6">
        <v>0.187</v>
      </c>
      <c r="O379" s="6">
        <v>0.187</v>
      </c>
      <c r="P379" s="6">
        <v>0</v>
      </c>
      <c r="Q379" s="4" t="s">
        <v>26</v>
      </c>
      <c r="R379" s="4">
        <v>0</v>
      </c>
      <c r="S379" s="6">
        <v>0</v>
      </c>
      <c r="T379" s="6">
        <v>15</v>
      </c>
      <c r="U379" s="6">
        <v>69</v>
      </c>
      <c r="V379" s="6">
        <f>IF(ISERROR(VLOOKUP($S$379,'TAR FIN'!$A$1:$O$86,15,0)),0,VLOOKUP($S$379,'TAR FIN'!$A$1:$O$86,15,0))</f>
        <v>0</v>
      </c>
      <c r="W379" s="6">
        <f>IF(ISERROR(VLOOKUP($T$379,'TAR FIN'!$A$1:$O$86,15,0)),0,VLOOKUP($T$379,'TAR FIN'!$A$1:$O$86,15,0))</f>
        <v>874.51</v>
      </c>
      <c r="X379" s="6">
        <f>IF(ISERROR(VLOOKUP($U$379,'TAR FIN'!$A$1:$O$86,15,0)),0,VLOOKUP($U$379,'TAR FIN'!$A$1:$O$86,15,0))</f>
        <v>503.82</v>
      </c>
      <c r="Y379" s="6"/>
      <c r="Z379" s="6">
        <f ca="1">('TUSD BE'!$AM$17+'TUSD BF'!$AM$17+'TUSD CVA'!$AM$17)*1</f>
        <v>751.66721126633001</v>
      </c>
      <c r="AA379" s="6">
        <f>('TE BE'!$AB$9+'TE BF'!$AB$9+'TE CVA'!$AB$9)*1</f>
        <v>398.01664046087393</v>
      </c>
      <c r="AB379" s="6">
        <f>$K$379*$V$379</f>
        <v>0</v>
      </c>
      <c r="AC379" s="6">
        <f>$M$379*$W$379</f>
        <v>163.53336999999999</v>
      </c>
      <c r="AD379" s="6">
        <f>$O$379*$X$379</f>
        <v>94.214339999999993</v>
      </c>
      <c r="AE379" s="6">
        <f>$K$379*$Y$379</f>
        <v>0</v>
      </c>
      <c r="AF379" s="6">
        <f ca="1">$M$379*$Z$379</f>
        <v>140.5617685068037</v>
      </c>
      <c r="AG379" s="6">
        <f>$O$379*$AA$379</f>
        <v>74.429111766183425</v>
      </c>
    </row>
    <row r="380" spans="1:33" ht="11.25" customHeight="1" x14ac:dyDescent="0.25">
      <c r="A380" s="4" t="s">
        <v>21</v>
      </c>
      <c r="B380" s="4" t="s">
        <v>22</v>
      </c>
      <c r="C380" s="4" t="s">
        <v>32</v>
      </c>
      <c r="D380" s="4" t="s">
        <v>24</v>
      </c>
      <c r="E380" s="4" t="s">
        <v>24</v>
      </c>
      <c r="F380" s="4" t="s">
        <v>25</v>
      </c>
      <c r="G380" s="4" t="s">
        <v>25</v>
      </c>
      <c r="H380" s="4" t="s">
        <v>33</v>
      </c>
      <c r="I380" s="5">
        <v>44562</v>
      </c>
      <c r="J380" s="6">
        <v>0</v>
      </c>
      <c r="K380" s="6">
        <v>0</v>
      </c>
      <c r="L380" s="6">
        <v>0.252</v>
      </c>
      <c r="M380" s="6">
        <v>0.252</v>
      </c>
      <c r="N380" s="6">
        <v>0.252</v>
      </c>
      <c r="O380" s="6">
        <v>0.252</v>
      </c>
      <c r="P380" s="6">
        <v>0</v>
      </c>
      <c r="Q380" s="4" t="s">
        <v>26</v>
      </c>
      <c r="R380" s="4">
        <v>0</v>
      </c>
      <c r="S380" s="6">
        <v>0</v>
      </c>
      <c r="T380" s="6">
        <v>15</v>
      </c>
      <c r="U380" s="6">
        <v>69</v>
      </c>
      <c r="V380" s="6">
        <f>IF(ISERROR(VLOOKUP($S$380,'TAR FIN'!$A$1:$O$86,15,0)),0,VLOOKUP($S$380,'TAR FIN'!$A$1:$O$86,15,0))</f>
        <v>0</v>
      </c>
      <c r="W380" s="6">
        <f>IF(ISERROR(VLOOKUP($T$380,'TAR FIN'!$A$1:$O$86,15,0)),0,VLOOKUP($T$380,'TAR FIN'!$A$1:$O$86,15,0))</f>
        <v>874.51</v>
      </c>
      <c r="X380" s="6">
        <f>IF(ISERROR(VLOOKUP($U$380,'TAR FIN'!$A$1:$O$86,15,0)),0,VLOOKUP($U$380,'TAR FIN'!$A$1:$O$86,15,0))</f>
        <v>503.82</v>
      </c>
      <c r="Y380" s="6"/>
      <c r="Z380" s="6">
        <f ca="1">('TUSD BE'!$AM$17+'TUSD BF'!$AM$17+'TUSD CVA'!$AM$17)*1</f>
        <v>751.66721126633001</v>
      </c>
      <c r="AA380" s="6">
        <f>('TE BE'!$AB$9+'TE BF'!$AB$9+'TE CVA'!$AB$9)*1</f>
        <v>398.01664046087393</v>
      </c>
      <c r="AB380" s="6">
        <f>$K$380*$V$380</f>
        <v>0</v>
      </c>
      <c r="AC380" s="6">
        <f>$M$380*$W$380</f>
        <v>220.37652</v>
      </c>
      <c r="AD380" s="6">
        <f>$O$380*$X$380</f>
        <v>126.96263999999999</v>
      </c>
      <c r="AE380" s="6">
        <f>$K$380*$Y$380</f>
        <v>0</v>
      </c>
      <c r="AF380" s="6">
        <f ca="1">$M$380*$Z$380</f>
        <v>189.42013723911518</v>
      </c>
      <c r="AG380" s="6">
        <f>$O$380*$AA$380</f>
        <v>100.30019339614023</v>
      </c>
    </row>
    <row r="381" spans="1:33" ht="11.25" customHeight="1" x14ac:dyDescent="0.25">
      <c r="A381" s="4" t="s">
        <v>21</v>
      </c>
      <c r="B381" s="4" t="s">
        <v>22</v>
      </c>
      <c r="C381" s="4" t="s">
        <v>32</v>
      </c>
      <c r="D381" s="4" t="s">
        <v>24</v>
      </c>
      <c r="E381" s="4" t="s">
        <v>24</v>
      </c>
      <c r="F381" s="4" t="s">
        <v>25</v>
      </c>
      <c r="G381" s="4" t="s">
        <v>25</v>
      </c>
      <c r="H381" s="4" t="s">
        <v>33</v>
      </c>
      <c r="I381" s="5">
        <v>44593</v>
      </c>
      <c r="J381" s="6">
        <v>0</v>
      </c>
      <c r="K381" s="6">
        <v>0</v>
      </c>
      <c r="L381" s="6">
        <v>0.20300000000000001</v>
      </c>
      <c r="M381" s="6">
        <v>0.20300000000000001</v>
      </c>
      <c r="N381" s="6">
        <v>0.20300000000000001</v>
      </c>
      <c r="O381" s="6">
        <v>0.20300000000000001</v>
      </c>
      <c r="P381" s="6">
        <v>0</v>
      </c>
      <c r="Q381" s="4" t="s">
        <v>26</v>
      </c>
      <c r="R381" s="4">
        <v>0</v>
      </c>
      <c r="S381" s="6">
        <v>0</v>
      </c>
      <c r="T381" s="6">
        <v>15</v>
      </c>
      <c r="U381" s="6">
        <v>69</v>
      </c>
      <c r="V381" s="6">
        <f>IF(ISERROR(VLOOKUP($S$381,'TAR FIN'!$A$1:$O$86,15,0)),0,VLOOKUP($S$381,'TAR FIN'!$A$1:$O$86,15,0))</f>
        <v>0</v>
      </c>
      <c r="W381" s="6">
        <f>IF(ISERROR(VLOOKUP($T$381,'TAR FIN'!$A$1:$O$86,15,0)),0,VLOOKUP($T$381,'TAR FIN'!$A$1:$O$86,15,0))</f>
        <v>874.51</v>
      </c>
      <c r="X381" s="6">
        <f>IF(ISERROR(VLOOKUP($U$381,'TAR FIN'!$A$1:$O$86,15,0)),0,VLOOKUP($U$381,'TAR FIN'!$A$1:$O$86,15,0))</f>
        <v>503.82</v>
      </c>
      <c r="Y381" s="6"/>
      <c r="Z381" s="6">
        <f ca="1">('TUSD BE'!$AM$17+'TUSD BF'!$AM$17+'TUSD CVA'!$AM$17)*1</f>
        <v>751.66721126633001</v>
      </c>
      <c r="AA381" s="6">
        <f>('TE BE'!$AB$9+'TE BF'!$AB$9+'TE CVA'!$AB$9)*1</f>
        <v>398.01664046087393</v>
      </c>
      <c r="AB381" s="6">
        <f>$K$381*$V$381</f>
        <v>0</v>
      </c>
      <c r="AC381" s="6">
        <f>$M$381*$W$381</f>
        <v>177.52553</v>
      </c>
      <c r="AD381" s="6">
        <f>$O$381*$X$381</f>
        <v>102.27546000000001</v>
      </c>
      <c r="AE381" s="6">
        <f>$K$381*$Y$381</f>
        <v>0</v>
      </c>
      <c r="AF381" s="6">
        <f ca="1">$M$381*$Z$381</f>
        <v>152.58844388706501</v>
      </c>
      <c r="AG381" s="6">
        <f>$O$381*$AA$381</f>
        <v>80.79737801355742</v>
      </c>
    </row>
    <row r="382" spans="1:33" ht="11.25" customHeight="1" x14ac:dyDescent="0.25">
      <c r="A382" s="4" t="s">
        <v>21</v>
      </c>
      <c r="B382" s="4" t="s">
        <v>22</v>
      </c>
      <c r="C382" s="4" t="s">
        <v>32</v>
      </c>
      <c r="D382" s="4" t="s">
        <v>24</v>
      </c>
      <c r="E382" s="4" t="s">
        <v>24</v>
      </c>
      <c r="F382" s="4" t="s">
        <v>25</v>
      </c>
      <c r="G382" s="4" t="s">
        <v>25</v>
      </c>
      <c r="H382" s="4" t="s">
        <v>33</v>
      </c>
      <c r="I382" s="5">
        <v>44621</v>
      </c>
      <c r="J382" s="6">
        <v>0</v>
      </c>
      <c r="K382" s="6">
        <v>0</v>
      </c>
      <c r="L382" s="6">
        <v>0.24299999999999999</v>
      </c>
      <c r="M382" s="6">
        <v>0.24299999999999999</v>
      </c>
      <c r="N382" s="6">
        <v>0.24299999999999999</v>
      </c>
      <c r="O382" s="6">
        <v>0.24299999999999999</v>
      </c>
      <c r="P382" s="6">
        <v>0</v>
      </c>
      <c r="Q382" s="4" t="s">
        <v>26</v>
      </c>
      <c r="R382" s="4">
        <v>0</v>
      </c>
      <c r="S382" s="6">
        <v>0</v>
      </c>
      <c r="T382" s="6">
        <v>15</v>
      </c>
      <c r="U382" s="6">
        <v>69</v>
      </c>
      <c r="V382" s="6">
        <f>IF(ISERROR(VLOOKUP($S$382,'TAR FIN'!$A$1:$O$86,15,0)),0,VLOOKUP($S$382,'TAR FIN'!$A$1:$O$86,15,0))</f>
        <v>0</v>
      </c>
      <c r="W382" s="6">
        <f>IF(ISERROR(VLOOKUP($T$382,'TAR FIN'!$A$1:$O$86,15,0)),0,VLOOKUP($T$382,'TAR FIN'!$A$1:$O$86,15,0))</f>
        <v>874.51</v>
      </c>
      <c r="X382" s="6">
        <f>IF(ISERROR(VLOOKUP($U$382,'TAR FIN'!$A$1:$O$86,15,0)),0,VLOOKUP($U$382,'TAR FIN'!$A$1:$O$86,15,0))</f>
        <v>503.82</v>
      </c>
      <c r="Y382" s="6"/>
      <c r="Z382" s="6">
        <f ca="1">('TUSD BE'!$AM$17+'TUSD BF'!$AM$17+'TUSD CVA'!$AM$17)*1</f>
        <v>751.66721126633001</v>
      </c>
      <c r="AA382" s="6">
        <f>('TE BE'!$AB$9+'TE BF'!$AB$9+'TE CVA'!$AB$9)*1</f>
        <v>398.01664046087393</v>
      </c>
      <c r="AB382" s="6">
        <f>$K$382*$V$382</f>
        <v>0</v>
      </c>
      <c r="AC382" s="6">
        <f>$M$382*$W$382</f>
        <v>212.50593000000001</v>
      </c>
      <c r="AD382" s="6">
        <f>$O$382*$X$382</f>
        <v>122.42825999999999</v>
      </c>
      <c r="AE382" s="6">
        <f>$K$382*$Y$382</f>
        <v>0</v>
      </c>
      <c r="AF382" s="6">
        <f ca="1">$M$382*$Z$382</f>
        <v>182.65513233771819</v>
      </c>
      <c r="AG382" s="6">
        <f>$O$382*$AA$382</f>
        <v>96.718043631992359</v>
      </c>
    </row>
    <row r="383" spans="1:33" ht="11.25" customHeight="1" x14ac:dyDescent="0.25">
      <c r="A383" s="4" t="s">
        <v>21</v>
      </c>
      <c r="B383" s="4" t="s">
        <v>22</v>
      </c>
      <c r="C383" s="4" t="s">
        <v>32</v>
      </c>
      <c r="D383" s="4" t="s">
        <v>24</v>
      </c>
      <c r="E383" s="4" t="s">
        <v>24</v>
      </c>
      <c r="F383" s="4" t="s">
        <v>25</v>
      </c>
      <c r="G383" s="4" t="s">
        <v>25</v>
      </c>
      <c r="H383" s="4" t="s">
        <v>33</v>
      </c>
      <c r="I383" s="5">
        <v>44652</v>
      </c>
      <c r="J383" s="6">
        <v>0</v>
      </c>
      <c r="K383" s="6">
        <v>0</v>
      </c>
      <c r="L383" s="6">
        <v>0.184</v>
      </c>
      <c r="M383" s="6">
        <v>0.184</v>
      </c>
      <c r="N383" s="6">
        <v>0.184</v>
      </c>
      <c r="O383" s="6">
        <v>0.184</v>
      </c>
      <c r="P383" s="6">
        <v>0</v>
      </c>
      <c r="Q383" s="4" t="s">
        <v>26</v>
      </c>
      <c r="R383" s="4">
        <v>0</v>
      </c>
      <c r="S383" s="6">
        <v>0</v>
      </c>
      <c r="T383" s="6">
        <v>15</v>
      </c>
      <c r="U383" s="6">
        <v>69</v>
      </c>
      <c r="V383" s="6">
        <f>IF(ISERROR(VLOOKUP($S$383,'TAR FIN'!$A$1:$O$86,15,0)),0,VLOOKUP($S$383,'TAR FIN'!$A$1:$O$86,15,0))</f>
        <v>0</v>
      </c>
      <c r="W383" s="6">
        <f>IF(ISERROR(VLOOKUP($T$383,'TAR FIN'!$A$1:$O$86,15,0)),0,VLOOKUP($T$383,'TAR FIN'!$A$1:$O$86,15,0))</f>
        <v>874.51</v>
      </c>
      <c r="X383" s="6">
        <f>IF(ISERROR(VLOOKUP($U$383,'TAR FIN'!$A$1:$O$86,15,0)),0,VLOOKUP($U$383,'TAR FIN'!$A$1:$O$86,15,0))</f>
        <v>503.82</v>
      </c>
      <c r="Y383" s="6"/>
      <c r="Z383" s="6">
        <f ca="1">('TUSD BE'!$AM$17+'TUSD BF'!$AM$17+'TUSD CVA'!$AM$17)*1</f>
        <v>751.66721126633001</v>
      </c>
      <c r="AA383" s="6">
        <f>('TE BE'!$AB$9+'TE BF'!$AB$9+'TE CVA'!$AB$9)*1</f>
        <v>398.01664046087393</v>
      </c>
      <c r="AB383" s="6">
        <f>$K$383*$V$383</f>
        <v>0</v>
      </c>
      <c r="AC383" s="6">
        <f>$M$383*$W$383</f>
        <v>160.90984</v>
      </c>
      <c r="AD383" s="6">
        <f>$O$383*$X$383</f>
        <v>92.702879999999993</v>
      </c>
      <c r="AE383" s="6">
        <f>$K$383*$Y$383</f>
        <v>0</v>
      </c>
      <c r="AF383" s="6">
        <f ca="1">$M$383*$Z$383</f>
        <v>138.30676687300473</v>
      </c>
      <c r="AG383" s="6">
        <f>$O$383*$AA$383</f>
        <v>73.235061844800796</v>
      </c>
    </row>
    <row r="384" spans="1:33" ht="11.25" customHeight="1" x14ac:dyDescent="0.25">
      <c r="A384" s="4" t="s">
        <v>21</v>
      </c>
      <c r="B384" s="4" t="s">
        <v>22</v>
      </c>
      <c r="C384" s="4" t="s">
        <v>32</v>
      </c>
      <c r="D384" s="4" t="s">
        <v>24</v>
      </c>
      <c r="E384" s="4" t="s">
        <v>24</v>
      </c>
      <c r="F384" s="4" t="s">
        <v>25</v>
      </c>
      <c r="G384" s="4" t="s">
        <v>25</v>
      </c>
      <c r="H384" s="4" t="s">
        <v>33</v>
      </c>
      <c r="I384" s="5">
        <v>44682</v>
      </c>
      <c r="J384" s="6">
        <v>0</v>
      </c>
      <c r="K384" s="6">
        <v>0</v>
      </c>
      <c r="L384" s="6">
        <v>0.221</v>
      </c>
      <c r="M384" s="6">
        <v>0.221</v>
      </c>
      <c r="N384" s="6">
        <v>0.221</v>
      </c>
      <c r="O384" s="6">
        <v>0.221</v>
      </c>
      <c r="P384" s="6">
        <v>0</v>
      </c>
      <c r="Q384" s="4" t="s">
        <v>26</v>
      </c>
      <c r="R384" s="4">
        <v>0</v>
      </c>
      <c r="S384" s="6">
        <v>0</v>
      </c>
      <c r="T384" s="6">
        <v>15</v>
      </c>
      <c r="U384" s="6">
        <v>69</v>
      </c>
      <c r="V384" s="6">
        <f>IF(ISERROR(VLOOKUP($S$384,'TAR FIN'!$A$1:$O$86,15,0)),0,VLOOKUP($S$384,'TAR FIN'!$A$1:$O$86,15,0))</f>
        <v>0</v>
      </c>
      <c r="W384" s="6">
        <f>IF(ISERROR(VLOOKUP($T$384,'TAR FIN'!$A$1:$O$86,15,0)),0,VLOOKUP($T$384,'TAR FIN'!$A$1:$O$86,15,0))</f>
        <v>874.51</v>
      </c>
      <c r="X384" s="6">
        <f>IF(ISERROR(VLOOKUP($U$384,'TAR FIN'!$A$1:$O$86,15,0)),0,VLOOKUP($U$384,'TAR FIN'!$A$1:$O$86,15,0))</f>
        <v>503.82</v>
      </c>
      <c r="Y384" s="6"/>
      <c r="Z384" s="6">
        <f ca="1">('TUSD BE'!$AM$17+'TUSD BF'!$AM$17+'TUSD CVA'!$AM$17)*1</f>
        <v>751.66721126633001</v>
      </c>
      <c r="AA384" s="6">
        <f>('TE BE'!$AB$9+'TE BF'!$AB$9+'TE CVA'!$AB$9)*1</f>
        <v>398.01664046087393</v>
      </c>
      <c r="AB384" s="6">
        <f>$K$384*$V$384</f>
        <v>0</v>
      </c>
      <c r="AC384" s="6">
        <f>$M$384*$W$384</f>
        <v>193.26670999999999</v>
      </c>
      <c r="AD384" s="6">
        <f>$O$384*$X$384</f>
        <v>111.34421999999999</v>
      </c>
      <c r="AE384" s="6">
        <f>$K$384*$Y$384</f>
        <v>0</v>
      </c>
      <c r="AF384" s="6">
        <f ca="1">$M$384*$Z$384</f>
        <v>166.11845368985894</v>
      </c>
      <c r="AG384" s="6">
        <f>$O$384*$AA$384</f>
        <v>87.961677541853135</v>
      </c>
    </row>
    <row r="385" spans="1:33" ht="11.25" customHeight="1" x14ac:dyDescent="0.25">
      <c r="A385" s="4" t="s">
        <v>55</v>
      </c>
      <c r="B385" s="4" t="s">
        <v>22</v>
      </c>
      <c r="C385" s="4" t="s">
        <v>32</v>
      </c>
      <c r="D385" s="4" t="s">
        <v>24</v>
      </c>
      <c r="E385" s="4" t="s">
        <v>24</v>
      </c>
      <c r="F385" s="4" t="s">
        <v>25</v>
      </c>
      <c r="G385" s="4" t="s">
        <v>25</v>
      </c>
      <c r="H385" s="4" t="s">
        <v>33</v>
      </c>
      <c r="I385" s="5">
        <v>44713</v>
      </c>
      <c r="J385" s="6">
        <v>0</v>
      </c>
      <c r="K385" s="6">
        <v>0</v>
      </c>
      <c r="L385" s="6">
        <v>0.221</v>
      </c>
      <c r="M385" s="6">
        <v>0.221</v>
      </c>
      <c r="N385" s="6">
        <v>0.221</v>
      </c>
      <c r="O385" s="6">
        <v>0.221</v>
      </c>
      <c r="P385" s="6">
        <v>0</v>
      </c>
      <c r="Q385" s="4" t="s">
        <v>26</v>
      </c>
      <c r="R385" s="4">
        <v>0</v>
      </c>
      <c r="S385" s="6">
        <v>0</v>
      </c>
      <c r="T385" s="6">
        <v>15</v>
      </c>
      <c r="U385" s="6">
        <v>69</v>
      </c>
      <c r="V385" s="6">
        <f>IF(ISERROR(VLOOKUP($S$385,'TAR FIN'!$A$1:$O$86,15,0)),0,VLOOKUP($S$385,'TAR FIN'!$A$1:$O$86,15,0))</f>
        <v>0</v>
      </c>
      <c r="W385" s="6">
        <f>IF(ISERROR(VLOOKUP($T$385,'TAR FIN'!$A$1:$O$86,15,0)),0,VLOOKUP($T$385,'TAR FIN'!$A$1:$O$86,15,0))</f>
        <v>874.51</v>
      </c>
      <c r="X385" s="6">
        <f>IF(ISERROR(VLOOKUP($U$385,'TAR FIN'!$A$1:$O$86,15,0)),0,VLOOKUP($U$385,'TAR FIN'!$A$1:$O$86,15,0))</f>
        <v>503.82</v>
      </c>
      <c r="Y385" s="6"/>
      <c r="Z385" s="6">
        <f ca="1">('TUSD BE'!$AM$17+'TUSD BF'!$AM$17+'TUSD CVA'!$AM$17)*1</f>
        <v>751.66721126633001</v>
      </c>
      <c r="AA385" s="6">
        <f>('TE BE'!$AB$9+'TE BF'!$AB$9+'TE CVA'!$AB$9)*1</f>
        <v>398.01664046087393</v>
      </c>
      <c r="AB385" s="6">
        <f>$K$385*$V$385</f>
        <v>0</v>
      </c>
      <c r="AC385" s="6">
        <f>$M$385*$W$385</f>
        <v>193.26670999999999</v>
      </c>
      <c r="AD385" s="6">
        <f>$O$385*$X$385</f>
        <v>111.34421999999999</v>
      </c>
      <c r="AE385" s="6">
        <f>$K$385*$Y$385</f>
        <v>0</v>
      </c>
      <c r="AF385" s="6">
        <f ca="1">$M$385*$Z$385</f>
        <v>166.11845368985894</v>
      </c>
      <c r="AG385" s="6">
        <f>$O$385*$AA$385</f>
        <v>87.961677541853135</v>
      </c>
    </row>
    <row r="386" spans="1:33" ht="11.25" customHeight="1" x14ac:dyDescent="0.25">
      <c r="A386" s="4" t="s">
        <v>21</v>
      </c>
      <c r="B386" s="4" t="s">
        <v>22</v>
      </c>
      <c r="C386" s="4" t="s">
        <v>23</v>
      </c>
      <c r="D386" s="4" t="s">
        <v>24</v>
      </c>
      <c r="E386" s="4" t="s">
        <v>24</v>
      </c>
      <c r="F386" s="4" t="s">
        <v>25</v>
      </c>
      <c r="G386" s="4" t="s">
        <v>25</v>
      </c>
      <c r="H386" s="4" t="s">
        <v>25</v>
      </c>
      <c r="I386" s="5">
        <v>44378</v>
      </c>
      <c r="J386" s="6">
        <v>0</v>
      </c>
      <c r="K386" s="6">
        <v>0</v>
      </c>
      <c r="L386" s="6">
        <v>3154.2910000000002</v>
      </c>
      <c r="M386" s="6">
        <v>3154.2910000000002</v>
      </c>
      <c r="N386" s="6">
        <v>3154.2910000000002</v>
      </c>
      <c r="O386" s="6">
        <v>3154.2910000000002</v>
      </c>
      <c r="P386" s="6">
        <v>16524</v>
      </c>
      <c r="Q386" s="4" t="s">
        <v>26</v>
      </c>
      <c r="R386" s="4">
        <v>0</v>
      </c>
      <c r="S386" s="6">
        <v>0</v>
      </c>
      <c r="T386" s="6">
        <v>12</v>
      </c>
      <c r="U386" s="6">
        <v>48</v>
      </c>
      <c r="V386" s="6">
        <f>IF(ISERROR(VLOOKUP($S$386,'TAR FIN'!$A$1:$O$86,15,0)),0,VLOOKUP($S$386,'TAR FIN'!$A$1:$O$86,15,0))</f>
        <v>0</v>
      </c>
      <c r="W386" s="6">
        <f>IF(ISERROR(VLOOKUP($T$386,'TAR FIN'!$A$1:$O$86,15,0)),0,VLOOKUP($T$386,'TAR FIN'!$A$1:$O$86,15,0))</f>
        <v>326.98</v>
      </c>
      <c r="X386" s="6">
        <f>IF(ISERROR(VLOOKUP($U$386,'TAR FIN'!$A$1:$O$86,15,0)),0,VLOOKUP($U$386,'TAR FIN'!$A$1:$O$86,15,0))</f>
        <v>314.52</v>
      </c>
      <c r="Y386" s="6"/>
      <c r="Z386" s="6">
        <f ca="1">('TUSD BE'!$AM$20+'TUSD BF'!$AM$20+'TUSD CVA'!$AM$20)*1</f>
        <v>313.91386533817797</v>
      </c>
      <c r="AA386" s="6">
        <f>('TE BE'!$AB$12+'TE BF'!$AB$12+'TE CVA'!$AB$12)*1</f>
        <v>248.89628694871266</v>
      </c>
      <c r="AB386" s="6">
        <f>$K$386*$V$386</f>
        <v>0</v>
      </c>
      <c r="AC386" s="6">
        <f>$M$386*$W$386</f>
        <v>1031390.0711800001</v>
      </c>
      <c r="AD386" s="6">
        <f>$O$386*$X$386</f>
        <v>992087.60531999997</v>
      </c>
      <c r="AE386" s="6">
        <f>$K$386*$Y$386</f>
        <v>0</v>
      </c>
      <c r="AF386" s="6">
        <f ca="1">$M$386*$Z$386</f>
        <v>990175.68021142681</v>
      </c>
      <c r="AG386" s="6">
        <f>$O$386*$AA$386</f>
        <v>785091.31785574183</v>
      </c>
    </row>
    <row r="387" spans="1:33" ht="11.25" customHeight="1" x14ac:dyDescent="0.25">
      <c r="A387" s="4" t="s">
        <v>27</v>
      </c>
      <c r="B387" s="4" t="s">
        <v>22</v>
      </c>
      <c r="C387" s="4" t="s">
        <v>23</v>
      </c>
      <c r="D387" s="4" t="s">
        <v>24</v>
      </c>
      <c r="E387" s="4" t="s">
        <v>24</v>
      </c>
      <c r="F387" s="4" t="s">
        <v>25</v>
      </c>
      <c r="G387" s="4" t="s">
        <v>25</v>
      </c>
      <c r="H387" s="4" t="s">
        <v>25</v>
      </c>
      <c r="I387" s="5">
        <v>44378</v>
      </c>
      <c r="J387" s="6">
        <v>0</v>
      </c>
      <c r="K387" s="6">
        <v>0</v>
      </c>
      <c r="L387" s="6">
        <v>46.767000000000003</v>
      </c>
      <c r="M387" s="6">
        <v>46.767000000000003</v>
      </c>
      <c r="N387" s="6">
        <v>46.767000000000003</v>
      </c>
      <c r="O387" s="6">
        <v>46.767000000000003</v>
      </c>
      <c r="P387" s="6">
        <v>332</v>
      </c>
      <c r="Q387" s="4" t="s">
        <v>26</v>
      </c>
      <c r="R387" s="4">
        <v>0</v>
      </c>
      <c r="S387" s="6">
        <v>0</v>
      </c>
      <c r="T387" s="6">
        <v>12</v>
      </c>
      <c r="U387" s="6">
        <v>48</v>
      </c>
      <c r="V387" s="6">
        <f>IF(ISERROR(VLOOKUP($S$387,'TAR FIN'!$A$1:$O$86,15,0)),0,VLOOKUP($S$387,'TAR FIN'!$A$1:$O$86,15,0))</f>
        <v>0</v>
      </c>
      <c r="W387" s="6">
        <f>IF(ISERROR(VLOOKUP($T$387,'TAR FIN'!$A$1:$O$86,15,0)),0,VLOOKUP($T$387,'TAR FIN'!$A$1:$O$86,15,0))</f>
        <v>326.98</v>
      </c>
      <c r="X387" s="6">
        <f>IF(ISERROR(VLOOKUP($U$387,'TAR FIN'!$A$1:$O$86,15,0)),0,VLOOKUP($U$387,'TAR FIN'!$A$1:$O$86,15,0))</f>
        <v>314.52</v>
      </c>
      <c r="Y387" s="6"/>
      <c r="Z387" s="6">
        <f ca="1">('TUSD BE'!$AM$20+'TUSD BF'!$AM$20+'TUSD CVA'!$AM$20)*1</f>
        <v>313.91386533817797</v>
      </c>
      <c r="AA387" s="6">
        <f>('TE BE'!$AB$12+'TE BF'!$AB$12+'TE CVA'!$AB$12)*1</f>
        <v>248.89628694871266</v>
      </c>
      <c r="AB387" s="6">
        <f>$K$387*$V$387</f>
        <v>0</v>
      </c>
      <c r="AC387" s="6">
        <f>$M$387*$W$387</f>
        <v>15291.873660000001</v>
      </c>
      <c r="AD387" s="6">
        <f>$O$387*$X$387</f>
        <v>14709.15684</v>
      </c>
      <c r="AE387" s="6">
        <f>$K$387*$Y$387</f>
        <v>0</v>
      </c>
      <c r="AF387" s="6">
        <f ca="1">$M$387*$Z$387</f>
        <v>14680.80974027057</v>
      </c>
      <c r="AG387" s="6">
        <f>$O$387*$AA$387</f>
        <v>11640.132651730446</v>
      </c>
    </row>
    <row r="388" spans="1:33" ht="11.25" customHeight="1" x14ac:dyDescent="0.25">
      <c r="A388" s="4" t="s">
        <v>21</v>
      </c>
      <c r="B388" s="4" t="s">
        <v>22</v>
      </c>
      <c r="C388" s="4" t="s">
        <v>23</v>
      </c>
      <c r="D388" s="4" t="s">
        <v>24</v>
      </c>
      <c r="E388" s="4" t="s">
        <v>24</v>
      </c>
      <c r="F388" s="4" t="s">
        <v>25</v>
      </c>
      <c r="G388" s="4" t="s">
        <v>25</v>
      </c>
      <c r="H388" s="4" t="s">
        <v>25</v>
      </c>
      <c r="I388" s="5">
        <v>44409</v>
      </c>
      <c r="J388" s="6">
        <v>0</v>
      </c>
      <c r="K388" s="6">
        <v>0</v>
      </c>
      <c r="L388" s="6">
        <v>3090.5439999999999</v>
      </c>
      <c r="M388" s="6">
        <v>3090.5439999999999</v>
      </c>
      <c r="N388" s="6">
        <v>3090.5439999999999</v>
      </c>
      <c r="O388" s="6">
        <v>3090.5439999999999</v>
      </c>
      <c r="P388" s="6">
        <v>16536</v>
      </c>
      <c r="Q388" s="4" t="s">
        <v>26</v>
      </c>
      <c r="R388" s="4">
        <v>0</v>
      </c>
      <c r="S388" s="6">
        <v>0</v>
      </c>
      <c r="T388" s="6">
        <v>12</v>
      </c>
      <c r="U388" s="6">
        <v>48</v>
      </c>
      <c r="V388" s="6">
        <f>IF(ISERROR(VLOOKUP($S$388,'TAR FIN'!$A$1:$O$86,15,0)),0,VLOOKUP($S$388,'TAR FIN'!$A$1:$O$86,15,0))</f>
        <v>0</v>
      </c>
      <c r="W388" s="6">
        <f>IF(ISERROR(VLOOKUP($T$388,'TAR FIN'!$A$1:$O$86,15,0)),0,VLOOKUP($T$388,'TAR FIN'!$A$1:$O$86,15,0))</f>
        <v>326.98</v>
      </c>
      <c r="X388" s="6">
        <f>IF(ISERROR(VLOOKUP($U$388,'TAR FIN'!$A$1:$O$86,15,0)),0,VLOOKUP($U$388,'TAR FIN'!$A$1:$O$86,15,0))</f>
        <v>314.52</v>
      </c>
      <c r="Y388" s="6"/>
      <c r="Z388" s="6">
        <f ca="1">('TUSD BE'!$AM$20+'TUSD BF'!$AM$20+'TUSD CVA'!$AM$20)*1</f>
        <v>313.91386533817797</v>
      </c>
      <c r="AA388" s="6">
        <f>('TE BE'!$AB$12+'TE BF'!$AB$12+'TE CVA'!$AB$12)*1</f>
        <v>248.89628694871266</v>
      </c>
      <c r="AB388" s="6">
        <f>$K$388*$V$388</f>
        <v>0</v>
      </c>
      <c r="AC388" s="6">
        <f>$M$388*$W$388</f>
        <v>1010546.07712</v>
      </c>
      <c r="AD388" s="6">
        <f>$O$388*$X$388</f>
        <v>972037.89887999988</v>
      </c>
      <c r="AE388" s="6">
        <f>$K$388*$Y$388</f>
        <v>0</v>
      </c>
      <c r="AF388" s="6">
        <f ca="1">$M$388*$Z$388</f>
        <v>970164.6130377138</v>
      </c>
      <c r="AG388" s="6">
        <f>$O$388*$AA$388</f>
        <v>769224.92625162215</v>
      </c>
    </row>
    <row r="389" spans="1:33" ht="11.25" customHeight="1" x14ac:dyDescent="0.25">
      <c r="A389" s="4" t="s">
        <v>41</v>
      </c>
      <c r="B389" s="4" t="s">
        <v>22</v>
      </c>
      <c r="C389" s="4" t="s">
        <v>23</v>
      </c>
      <c r="D389" s="4" t="s">
        <v>24</v>
      </c>
      <c r="E389" s="4" t="s">
        <v>24</v>
      </c>
      <c r="F389" s="4" t="s">
        <v>25</v>
      </c>
      <c r="G389" s="4" t="s">
        <v>25</v>
      </c>
      <c r="H389" s="4" t="s">
        <v>25</v>
      </c>
      <c r="I389" s="5">
        <v>44409</v>
      </c>
      <c r="J389" s="6">
        <v>0</v>
      </c>
      <c r="K389" s="6">
        <v>0</v>
      </c>
      <c r="L389" s="6">
        <v>-0.13800000000000001</v>
      </c>
      <c r="M389" s="6">
        <v>-0.13800000000000001</v>
      </c>
      <c r="N389" s="6">
        <v>-0.13800000000000001</v>
      </c>
      <c r="O389" s="6">
        <v>-0.13800000000000001</v>
      </c>
      <c r="P389" s="6">
        <v>0</v>
      </c>
      <c r="Q389" s="4" t="s">
        <v>26</v>
      </c>
      <c r="R389" s="4">
        <v>0</v>
      </c>
      <c r="S389" s="6">
        <v>0</v>
      </c>
      <c r="T389" s="6">
        <v>12</v>
      </c>
      <c r="U389" s="6">
        <v>48</v>
      </c>
      <c r="V389" s="6">
        <f>IF(ISERROR(VLOOKUP($S$389,'TAR FIN'!$A$1:$O$86,15,0)),0,VLOOKUP($S$389,'TAR FIN'!$A$1:$O$86,15,0))</f>
        <v>0</v>
      </c>
      <c r="W389" s="6">
        <f>IF(ISERROR(VLOOKUP($T$389,'TAR FIN'!$A$1:$O$86,15,0)),0,VLOOKUP($T$389,'TAR FIN'!$A$1:$O$86,15,0))</f>
        <v>326.98</v>
      </c>
      <c r="X389" s="6">
        <f>IF(ISERROR(VLOOKUP($U$389,'TAR FIN'!$A$1:$O$86,15,0)),0,VLOOKUP($U$389,'TAR FIN'!$A$1:$O$86,15,0))</f>
        <v>314.52</v>
      </c>
      <c r="Y389" s="6"/>
      <c r="Z389" s="6">
        <f ca="1">('TUSD BE'!$AM$20+'TUSD BF'!$AM$20+'TUSD CVA'!$AM$20)*1</f>
        <v>313.91386533817797</v>
      </c>
      <c r="AA389" s="6">
        <f>('TE BE'!$AB$12+'TE BF'!$AB$12+'TE CVA'!$AB$12)*1</f>
        <v>248.89628694871266</v>
      </c>
      <c r="AB389" s="6">
        <f>$K$389*$V$389</f>
        <v>0</v>
      </c>
      <c r="AC389" s="6">
        <f>$M$389*$W$389</f>
        <v>-45.12324000000001</v>
      </c>
      <c r="AD389" s="6">
        <f>$O$389*$X$389</f>
        <v>-43.403759999999998</v>
      </c>
      <c r="AE389" s="6">
        <f>$K$389*$Y$389</f>
        <v>0</v>
      </c>
      <c r="AF389" s="6">
        <f ca="1">$M$389*$Z$389</f>
        <v>-43.320113416668562</v>
      </c>
      <c r="AG389" s="6">
        <f>$O$389*$AA$389</f>
        <v>-34.347687598922349</v>
      </c>
    </row>
    <row r="390" spans="1:33" ht="11.25" customHeight="1" x14ac:dyDescent="0.25">
      <c r="A390" s="4" t="s">
        <v>27</v>
      </c>
      <c r="B390" s="4" t="s">
        <v>22</v>
      </c>
      <c r="C390" s="4" t="s">
        <v>23</v>
      </c>
      <c r="D390" s="4" t="s">
        <v>24</v>
      </c>
      <c r="E390" s="4" t="s">
        <v>24</v>
      </c>
      <c r="F390" s="4" t="s">
        <v>25</v>
      </c>
      <c r="G390" s="4" t="s">
        <v>25</v>
      </c>
      <c r="H390" s="4" t="s">
        <v>25</v>
      </c>
      <c r="I390" s="5">
        <v>44409</v>
      </c>
      <c r="J390" s="6">
        <v>0</v>
      </c>
      <c r="K390" s="6">
        <v>0</v>
      </c>
      <c r="L390" s="6">
        <v>43.393000000000001</v>
      </c>
      <c r="M390" s="6">
        <v>43.393000000000001</v>
      </c>
      <c r="N390" s="6">
        <v>43.393000000000001</v>
      </c>
      <c r="O390" s="6">
        <v>43.393000000000001</v>
      </c>
      <c r="P390" s="6">
        <v>350</v>
      </c>
      <c r="Q390" s="4" t="s">
        <v>26</v>
      </c>
      <c r="R390" s="4">
        <v>0</v>
      </c>
      <c r="S390" s="6">
        <v>0</v>
      </c>
      <c r="T390" s="6">
        <v>12</v>
      </c>
      <c r="U390" s="6">
        <v>48</v>
      </c>
      <c r="V390" s="6">
        <f>IF(ISERROR(VLOOKUP($S$390,'TAR FIN'!$A$1:$O$86,15,0)),0,VLOOKUP($S$390,'TAR FIN'!$A$1:$O$86,15,0))</f>
        <v>0</v>
      </c>
      <c r="W390" s="6">
        <f>IF(ISERROR(VLOOKUP($T$390,'TAR FIN'!$A$1:$O$86,15,0)),0,VLOOKUP($T$390,'TAR FIN'!$A$1:$O$86,15,0))</f>
        <v>326.98</v>
      </c>
      <c r="X390" s="6">
        <f>IF(ISERROR(VLOOKUP($U$390,'TAR FIN'!$A$1:$O$86,15,0)),0,VLOOKUP($U$390,'TAR FIN'!$A$1:$O$86,15,0))</f>
        <v>314.52</v>
      </c>
      <c r="Y390" s="6"/>
      <c r="Z390" s="6">
        <f ca="1">('TUSD BE'!$AM$20+'TUSD BF'!$AM$20+'TUSD CVA'!$AM$20)*1</f>
        <v>313.91386533817797</v>
      </c>
      <c r="AA390" s="6">
        <f>('TE BE'!$AB$12+'TE BF'!$AB$12+'TE CVA'!$AB$12)*1</f>
        <v>248.89628694871266</v>
      </c>
      <c r="AB390" s="6">
        <f>$K$390*$V$390</f>
        <v>0</v>
      </c>
      <c r="AC390" s="6">
        <f>$M$390*$W$390</f>
        <v>14188.64314</v>
      </c>
      <c r="AD390" s="6">
        <f>$O$390*$X$390</f>
        <v>13647.966359999999</v>
      </c>
      <c r="AE390" s="6">
        <f>$K$390*$Y$390</f>
        <v>0</v>
      </c>
      <c r="AF390" s="6">
        <f ca="1">$M$390*$Z$390</f>
        <v>13621.664358619557</v>
      </c>
      <c r="AG390" s="6">
        <f>$O$390*$AA$390</f>
        <v>10800.356579565489</v>
      </c>
    </row>
    <row r="391" spans="1:33" ht="11.25" customHeight="1" x14ac:dyDescent="0.25">
      <c r="A391" s="4" t="s">
        <v>21</v>
      </c>
      <c r="B391" s="4" t="s">
        <v>22</v>
      </c>
      <c r="C391" s="4" t="s">
        <v>23</v>
      </c>
      <c r="D391" s="4" t="s">
        <v>24</v>
      </c>
      <c r="E391" s="4" t="s">
        <v>24</v>
      </c>
      <c r="F391" s="4" t="s">
        <v>25</v>
      </c>
      <c r="G391" s="4" t="s">
        <v>25</v>
      </c>
      <c r="H391" s="4" t="s">
        <v>25</v>
      </c>
      <c r="I391" s="5">
        <v>44440</v>
      </c>
      <c r="J391" s="6">
        <v>0</v>
      </c>
      <c r="K391" s="6">
        <v>0</v>
      </c>
      <c r="L391" s="6">
        <v>2833.5360000000001</v>
      </c>
      <c r="M391" s="6">
        <v>2833.5360000000001</v>
      </c>
      <c r="N391" s="6">
        <v>2833.5360000000001</v>
      </c>
      <c r="O391" s="6">
        <v>2833.5360000000001</v>
      </c>
      <c r="P391" s="6">
        <v>16515</v>
      </c>
      <c r="Q391" s="4" t="s">
        <v>26</v>
      </c>
      <c r="R391" s="4">
        <v>0</v>
      </c>
      <c r="S391" s="6">
        <v>0</v>
      </c>
      <c r="T391" s="6">
        <v>12</v>
      </c>
      <c r="U391" s="6">
        <v>48</v>
      </c>
      <c r="V391" s="6">
        <f>IF(ISERROR(VLOOKUP($S$391,'TAR FIN'!$A$1:$O$86,15,0)),0,VLOOKUP($S$391,'TAR FIN'!$A$1:$O$86,15,0))</f>
        <v>0</v>
      </c>
      <c r="W391" s="6">
        <f>IF(ISERROR(VLOOKUP($T$391,'TAR FIN'!$A$1:$O$86,15,0)),0,VLOOKUP($T$391,'TAR FIN'!$A$1:$O$86,15,0))</f>
        <v>326.98</v>
      </c>
      <c r="X391" s="6">
        <f>IF(ISERROR(VLOOKUP($U$391,'TAR FIN'!$A$1:$O$86,15,0)),0,VLOOKUP($U$391,'TAR FIN'!$A$1:$O$86,15,0))</f>
        <v>314.52</v>
      </c>
      <c r="Y391" s="6"/>
      <c r="Z391" s="6">
        <f ca="1">('TUSD BE'!$AM$20+'TUSD BF'!$AM$20+'TUSD CVA'!$AM$20)*1</f>
        <v>313.91386533817797</v>
      </c>
      <c r="AA391" s="6">
        <f>('TE BE'!$AB$12+'TE BF'!$AB$12+'TE CVA'!$AB$12)*1</f>
        <v>248.89628694871266</v>
      </c>
      <c r="AB391" s="6">
        <f>$K$391*$V$391</f>
        <v>0</v>
      </c>
      <c r="AC391" s="6">
        <f>$M$391*$W$391</f>
        <v>926509.60128000006</v>
      </c>
      <c r="AD391" s="6">
        <f>$O$391*$X$391</f>
        <v>891203.74271999998</v>
      </c>
      <c r="AE391" s="6">
        <f>$K$391*$Y$391</f>
        <v>0</v>
      </c>
      <c r="AF391" s="6">
        <f ca="1">$M$391*$Z$391</f>
        <v>889486.23833487951</v>
      </c>
      <c r="AG391" s="6">
        <f>$O$391*$AA$391</f>
        <v>705256.58933550748</v>
      </c>
    </row>
    <row r="392" spans="1:33" ht="11.25" customHeight="1" x14ac:dyDescent="0.25">
      <c r="A392" s="4" t="s">
        <v>41</v>
      </c>
      <c r="B392" s="4" t="s">
        <v>22</v>
      </c>
      <c r="C392" s="4" t="s">
        <v>23</v>
      </c>
      <c r="D392" s="4" t="s">
        <v>24</v>
      </c>
      <c r="E392" s="4" t="s">
        <v>24</v>
      </c>
      <c r="F392" s="4" t="s">
        <v>25</v>
      </c>
      <c r="G392" s="4" t="s">
        <v>25</v>
      </c>
      <c r="H392" s="4" t="s">
        <v>25</v>
      </c>
      <c r="I392" s="5">
        <v>44440</v>
      </c>
      <c r="J392" s="6">
        <v>0</v>
      </c>
      <c r="K392" s="6">
        <v>0</v>
      </c>
      <c r="L392" s="6">
        <v>-0.77</v>
      </c>
      <c r="M392" s="6">
        <v>-0.77</v>
      </c>
      <c r="N392" s="6">
        <v>-0.77</v>
      </c>
      <c r="O392" s="6">
        <v>-0.77</v>
      </c>
      <c r="P392" s="6">
        <v>0</v>
      </c>
      <c r="Q392" s="4" t="s">
        <v>26</v>
      </c>
      <c r="R392" s="4">
        <v>0</v>
      </c>
      <c r="S392" s="6">
        <v>0</v>
      </c>
      <c r="T392" s="6">
        <v>12</v>
      </c>
      <c r="U392" s="6">
        <v>48</v>
      </c>
      <c r="V392" s="6">
        <f>IF(ISERROR(VLOOKUP($S$392,'TAR FIN'!$A$1:$O$86,15,0)),0,VLOOKUP($S$392,'TAR FIN'!$A$1:$O$86,15,0))</f>
        <v>0</v>
      </c>
      <c r="W392" s="6">
        <f>IF(ISERROR(VLOOKUP($T$392,'TAR FIN'!$A$1:$O$86,15,0)),0,VLOOKUP($T$392,'TAR FIN'!$A$1:$O$86,15,0))</f>
        <v>326.98</v>
      </c>
      <c r="X392" s="6">
        <f>IF(ISERROR(VLOOKUP($U$392,'TAR FIN'!$A$1:$O$86,15,0)),0,VLOOKUP($U$392,'TAR FIN'!$A$1:$O$86,15,0))</f>
        <v>314.52</v>
      </c>
      <c r="Y392" s="6"/>
      <c r="Z392" s="6">
        <f ca="1">('TUSD BE'!$AM$20+'TUSD BF'!$AM$20+'TUSD CVA'!$AM$20)*1</f>
        <v>313.91386533817797</v>
      </c>
      <c r="AA392" s="6">
        <f>('TE BE'!$AB$12+'TE BF'!$AB$12+'TE CVA'!$AB$12)*1</f>
        <v>248.89628694871266</v>
      </c>
      <c r="AB392" s="6">
        <f>$K$392*$V$392</f>
        <v>0</v>
      </c>
      <c r="AC392" s="6">
        <f>$M$392*$W$392</f>
        <v>-251.77460000000002</v>
      </c>
      <c r="AD392" s="6">
        <f>$O$392*$X$392</f>
        <v>-242.18039999999999</v>
      </c>
      <c r="AE392" s="6">
        <f>$K$392*$Y$392</f>
        <v>0</v>
      </c>
      <c r="AF392" s="6">
        <f ca="1">$M$392*$Z$392</f>
        <v>-241.71367631039703</v>
      </c>
      <c r="AG392" s="6">
        <f>$O$392*$AA$392</f>
        <v>-191.65014095050876</v>
      </c>
    </row>
    <row r="393" spans="1:33" ht="11.25" customHeight="1" x14ac:dyDescent="0.25">
      <c r="A393" s="4" t="s">
        <v>27</v>
      </c>
      <c r="B393" s="4" t="s">
        <v>22</v>
      </c>
      <c r="C393" s="4" t="s">
        <v>23</v>
      </c>
      <c r="D393" s="4" t="s">
        <v>24</v>
      </c>
      <c r="E393" s="4" t="s">
        <v>24</v>
      </c>
      <c r="F393" s="4" t="s">
        <v>25</v>
      </c>
      <c r="G393" s="4" t="s">
        <v>25</v>
      </c>
      <c r="H393" s="4" t="s">
        <v>25</v>
      </c>
      <c r="I393" s="5">
        <v>44440</v>
      </c>
      <c r="J393" s="6">
        <v>0</v>
      </c>
      <c r="K393" s="6">
        <v>0</v>
      </c>
      <c r="L393" s="6">
        <v>40.738999999999997</v>
      </c>
      <c r="M393" s="6">
        <v>40.738999999999997</v>
      </c>
      <c r="N393" s="6">
        <v>40.738999999999997</v>
      </c>
      <c r="O393" s="6">
        <v>40.738999999999997</v>
      </c>
      <c r="P393" s="6">
        <v>372</v>
      </c>
      <c r="Q393" s="4" t="s">
        <v>26</v>
      </c>
      <c r="R393" s="4">
        <v>0</v>
      </c>
      <c r="S393" s="6">
        <v>0</v>
      </c>
      <c r="T393" s="6">
        <v>12</v>
      </c>
      <c r="U393" s="6">
        <v>48</v>
      </c>
      <c r="V393" s="6">
        <f>IF(ISERROR(VLOOKUP($S$393,'TAR FIN'!$A$1:$O$86,15,0)),0,VLOOKUP($S$393,'TAR FIN'!$A$1:$O$86,15,0))</f>
        <v>0</v>
      </c>
      <c r="W393" s="6">
        <f>IF(ISERROR(VLOOKUP($T$393,'TAR FIN'!$A$1:$O$86,15,0)),0,VLOOKUP($T$393,'TAR FIN'!$A$1:$O$86,15,0))</f>
        <v>326.98</v>
      </c>
      <c r="X393" s="6">
        <f>IF(ISERROR(VLOOKUP($U$393,'TAR FIN'!$A$1:$O$86,15,0)),0,VLOOKUP($U$393,'TAR FIN'!$A$1:$O$86,15,0))</f>
        <v>314.52</v>
      </c>
      <c r="Y393" s="6"/>
      <c r="Z393" s="6">
        <f ca="1">('TUSD BE'!$AM$20+'TUSD BF'!$AM$20+'TUSD CVA'!$AM$20)*1</f>
        <v>313.91386533817797</v>
      </c>
      <c r="AA393" s="6">
        <f>('TE BE'!$AB$12+'TE BF'!$AB$12+'TE CVA'!$AB$12)*1</f>
        <v>248.89628694871266</v>
      </c>
      <c r="AB393" s="6">
        <f>$K$393*$V$393</f>
        <v>0</v>
      </c>
      <c r="AC393" s="6">
        <f>$M$393*$W$393</f>
        <v>13320.83822</v>
      </c>
      <c r="AD393" s="6">
        <f>$O$393*$X$393</f>
        <v>12813.230279999998</v>
      </c>
      <c r="AE393" s="6">
        <f>$K$393*$Y$393</f>
        <v>0</v>
      </c>
      <c r="AF393" s="6">
        <f ca="1">$M$393*$Z$393</f>
        <v>12788.536960012032</v>
      </c>
      <c r="AG393" s="6">
        <f>$O$393*$AA$393</f>
        <v>10139.785834003604</v>
      </c>
    </row>
    <row r="394" spans="1:33" ht="11.25" customHeight="1" x14ac:dyDescent="0.25">
      <c r="A394" s="4" t="s">
        <v>21</v>
      </c>
      <c r="B394" s="4" t="s">
        <v>22</v>
      </c>
      <c r="C394" s="4" t="s">
        <v>23</v>
      </c>
      <c r="D394" s="4" t="s">
        <v>24</v>
      </c>
      <c r="E394" s="4" t="s">
        <v>24</v>
      </c>
      <c r="F394" s="4" t="s">
        <v>25</v>
      </c>
      <c r="G394" s="4" t="s">
        <v>25</v>
      </c>
      <c r="H394" s="4" t="s">
        <v>25</v>
      </c>
      <c r="I394" s="5">
        <v>44470</v>
      </c>
      <c r="J394" s="6">
        <v>0</v>
      </c>
      <c r="K394" s="6">
        <v>0</v>
      </c>
      <c r="L394" s="6">
        <v>2772.837</v>
      </c>
      <c r="M394" s="6">
        <v>2772.837</v>
      </c>
      <c r="N394" s="6">
        <v>2772.837</v>
      </c>
      <c r="O394" s="6">
        <v>2772.837</v>
      </c>
      <c r="P394" s="6">
        <v>16503</v>
      </c>
      <c r="Q394" s="4" t="s">
        <v>26</v>
      </c>
      <c r="R394" s="4">
        <v>0</v>
      </c>
      <c r="S394" s="6">
        <v>0</v>
      </c>
      <c r="T394" s="6">
        <v>12</v>
      </c>
      <c r="U394" s="6">
        <v>48</v>
      </c>
      <c r="V394" s="6">
        <f>IF(ISERROR(VLOOKUP($S$394,'TAR FIN'!$A$1:$O$86,15,0)),0,VLOOKUP($S$394,'TAR FIN'!$A$1:$O$86,15,0))</f>
        <v>0</v>
      </c>
      <c r="W394" s="6">
        <f>IF(ISERROR(VLOOKUP($T$394,'TAR FIN'!$A$1:$O$86,15,0)),0,VLOOKUP($T$394,'TAR FIN'!$A$1:$O$86,15,0))</f>
        <v>326.98</v>
      </c>
      <c r="X394" s="6">
        <f>IF(ISERROR(VLOOKUP($U$394,'TAR FIN'!$A$1:$O$86,15,0)),0,VLOOKUP($U$394,'TAR FIN'!$A$1:$O$86,15,0))</f>
        <v>314.52</v>
      </c>
      <c r="Y394" s="6"/>
      <c r="Z394" s="6">
        <f ca="1">('TUSD BE'!$AM$20+'TUSD BF'!$AM$20+'TUSD CVA'!$AM$20)*1</f>
        <v>313.91386533817797</v>
      </c>
      <c r="AA394" s="6">
        <f>('TE BE'!$AB$12+'TE BF'!$AB$12+'TE CVA'!$AB$12)*1</f>
        <v>248.89628694871266</v>
      </c>
      <c r="AB394" s="6">
        <f>$K$394*$V$394</f>
        <v>0</v>
      </c>
      <c r="AC394" s="6">
        <f>$M$394*$W$394</f>
        <v>906662.24226000009</v>
      </c>
      <c r="AD394" s="6">
        <f>$O$394*$X$394</f>
        <v>872112.69323999994</v>
      </c>
      <c r="AE394" s="6">
        <f>$K$394*$Y$394</f>
        <v>0</v>
      </c>
      <c r="AF394" s="6">
        <f ca="1">$M$394*$Z$394</f>
        <v>870431.98062271741</v>
      </c>
      <c r="AG394" s="6">
        <f>$O$394*$AA$394</f>
        <v>690148.83361400757</v>
      </c>
    </row>
    <row r="395" spans="1:33" ht="11.25" customHeight="1" x14ac:dyDescent="0.25">
      <c r="A395" s="4" t="s">
        <v>41</v>
      </c>
      <c r="B395" s="4" t="s">
        <v>22</v>
      </c>
      <c r="C395" s="4" t="s">
        <v>23</v>
      </c>
      <c r="D395" s="4" t="s">
        <v>24</v>
      </c>
      <c r="E395" s="4" t="s">
        <v>24</v>
      </c>
      <c r="F395" s="4" t="s">
        <v>25</v>
      </c>
      <c r="G395" s="4" t="s">
        <v>25</v>
      </c>
      <c r="H395" s="4" t="s">
        <v>25</v>
      </c>
      <c r="I395" s="5">
        <v>44470</v>
      </c>
      <c r="J395" s="6">
        <v>0</v>
      </c>
      <c r="K395" s="6">
        <v>0</v>
      </c>
      <c r="L395" s="6">
        <v>-1.353</v>
      </c>
      <c r="M395" s="6">
        <v>-1.353</v>
      </c>
      <c r="N395" s="6">
        <v>-1.353</v>
      </c>
      <c r="O395" s="6">
        <v>-1.353</v>
      </c>
      <c r="P395" s="6">
        <v>0</v>
      </c>
      <c r="Q395" s="4" t="s">
        <v>26</v>
      </c>
      <c r="R395" s="4">
        <v>0</v>
      </c>
      <c r="S395" s="6">
        <v>0</v>
      </c>
      <c r="T395" s="6">
        <v>12</v>
      </c>
      <c r="U395" s="6">
        <v>48</v>
      </c>
      <c r="V395" s="6">
        <f>IF(ISERROR(VLOOKUP($S$395,'TAR FIN'!$A$1:$O$86,15,0)),0,VLOOKUP($S$395,'TAR FIN'!$A$1:$O$86,15,0))</f>
        <v>0</v>
      </c>
      <c r="W395" s="6">
        <f>IF(ISERROR(VLOOKUP($T$395,'TAR FIN'!$A$1:$O$86,15,0)),0,VLOOKUP($T$395,'TAR FIN'!$A$1:$O$86,15,0))</f>
        <v>326.98</v>
      </c>
      <c r="X395" s="6">
        <f>IF(ISERROR(VLOOKUP($U$395,'TAR FIN'!$A$1:$O$86,15,0)),0,VLOOKUP($U$395,'TAR FIN'!$A$1:$O$86,15,0))</f>
        <v>314.52</v>
      </c>
      <c r="Y395" s="6"/>
      <c r="Z395" s="6">
        <f ca="1">('TUSD BE'!$AM$20+'TUSD BF'!$AM$20+'TUSD CVA'!$AM$20)*1</f>
        <v>313.91386533817797</v>
      </c>
      <c r="AA395" s="6">
        <f>('TE BE'!$AB$12+'TE BF'!$AB$12+'TE CVA'!$AB$12)*1</f>
        <v>248.89628694871266</v>
      </c>
      <c r="AB395" s="6">
        <f>$K$395*$V$395</f>
        <v>0</v>
      </c>
      <c r="AC395" s="6">
        <f>$M$395*$W$395</f>
        <v>-442.40394000000003</v>
      </c>
      <c r="AD395" s="6">
        <f>$O$395*$X$395</f>
        <v>-425.54555999999997</v>
      </c>
      <c r="AE395" s="6">
        <f>$K$395*$Y$395</f>
        <v>0</v>
      </c>
      <c r="AF395" s="6">
        <f ca="1">$M$395*$Z$395</f>
        <v>-424.72545980255478</v>
      </c>
      <c r="AG395" s="6">
        <f>$O$395*$AA$395</f>
        <v>-336.7566762416082</v>
      </c>
    </row>
    <row r="396" spans="1:33" ht="11.25" customHeight="1" x14ac:dyDescent="0.25">
      <c r="A396" s="4" t="s">
        <v>27</v>
      </c>
      <c r="B396" s="4" t="s">
        <v>22</v>
      </c>
      <c r="C396" s="4" t="s">
        <v>23</v>
      </c>
      <c r="D396" s="4" t="s">
        <v>24</v>
      </c>
      <c r="E396" s="4" t="s">
        <v>24</v>
      </c>
      <c r="F396" s="4" t="s">
        <v>25</v>
      </c>
      <c r="G396" s="4" t="s">
        <v>25</v>
      </c>
      <c r="H396" s="4" t="s">
        <v>25</v>
      </c>
      <c r="I396" s="5">
        <v>44470</v>
      </c>
      <c r="J396" s="6">
        <v>0</v>
      </c>
      <c r="K396" s="6">
        <v>0</v>
      </c>
      <c r="L396" s="6">
        <v>38.133000000000003</v>
      </c>
      <c r="M396" s="6">
        <v>38.133000000000003</v>
      </c>
      <c r="N396" s="6">
        <v>38.133000000000003</v>
      </c>
      <c r="O396" s="6">
        <v>38.133000000000003</v>
      </c>
      <c r="P396" s="6">
        <v>396</v>
      </c>
      <c r="Q396" s="4" t="s">
        <v>26</v>
      </c>
      <c r="R396" s="4">
        <v>0</v>
      </c>
      <c r="S396" s="6">
        <v>0</v>
      </c>
      <c r="T396" s="6">
        <v>12</v>
      </c>
      <c r="U396" s="6">
        <v>48</v>
      </c>
      <c r="V396" s="6">
        <f>IF(ISERROR(VLOOKUP($S$396,'TAR FIN'!$A$1:$O$86,15,0)),0,VLOOKUP($S$396,'TAR FIN'!$A$1:$O$86,15,0))</f>
        <v>0</v>
      </c>
      <c r="W396" s="6">
        <f>IF(ISERROR(VLOOKUP($T$396,'TAR FIN'!$A$1:$O$86,15,0)),0,VLOOKUP($T$396,'TAR FIN'!$A$1:$O$86,15,0))</f>
        <v>326.98</v>
      </c>
      <c r="X396" s="6">
        <f>IF(ISERROR(VLOOKUP($U$396,'TAR FIN'!$A$1:$O$86,15,0)),0,VLOOKUP($U$396,'TAR FIN'!$A$1:$O$86,15,0))</f>
        <v>314.52</v>
      </c>
      <c r="Y396" s="6"/>
      <c r="Z396" s="6">
        <f ca="1">('TUSD BE'!$AM$20+'TUSD BF'!$AM$20+'TUSD CVA'!$AM$20)*1</f>
        <v>313.91386533817797</v>
      </c>
      <c r="AA396" s="6">
        <f>('TE BE'!$AB$12+'TE BF'!$AB$12+'TE CVA'!$AB$12)*1</f>
        <v>248.89628694871266</v>
      </c>
      <c r="AB396" s="6">
        <f>$K$396*$V$396</f>
        <v>0</v>
      </c>
      <c r="AC396" s="6">
        <f>$M$396*$W$396</f>
        <v>12468.728340000001</v>
      </c>
      <c r="AD396" s="6">
        <f>$O$396*$X$396</f>
        <v>11993.59116</v>
      </c>
      <c r="AE396" s="6">
        <f>$K$396*$Y$396</f>
        <v>0</v>
      </c>
      <c r="AF396" s="6">
        <f ca="1">$M$396*$Z$396</f>
        <v>11970.477426940741</v>
      </c>
      <c r="AG396" s="6">
        <f>$O$396*$AA$396</f>
        <v>9491.1621102152603</v>
      </c>
    </row>
    <row r="397" spans="1:33" ht="11.25" customHeight="1" x14ac:dyDescent="0.25">
      <c r="A397" s="4" t="s">
        <v>21</v>
      </c>
      <c r="B397" s="4" t="s">
        <v>22</v>
      </c>
      <c r="C397" s="4" t="s">
        <v>23</v>
      </c>
      <c r="D397" s="4" t="s">
        <v>24</v>
      </c>
      <c r="E397" s="4" t="s">
        <v>24</v>
      </c>
      <c r="F397" s="4" t="s">
        <v>25</v>
      </c>
      <c r="G397" s="4" t="s">
        <v>25</v>
      </c>
      <c r="H397" s="4" t="s">
        <v>25</v>
      </c>
      <c r="I397" s="5">
        <v>44501</v>
      </c>
      <c r="J397" s="6">
        <v>0</v>
      </c>
      <c r="K397" s="6">
        <v>0</v>
      </c>
      <c r="L397" s="6">
        <v>3114.3560000000002</v>
      </c>
      <c r="M397" s="6">
        <v>3114.3560000000002</v>
      </c>
      <c r="N397" s="6">
        <v>3114.3560000000002</v>
      </c>
      <c r="O397" s="6">
        <v>3114.3560000000002</v>
      </c>
      <c r="P397" s="6">
        <v>16484</v>
      </c>
      <c r="Q397" s="4" t="s">
        <v>26</v>
      </c>
      <c r="R397" s="4">
        <v>0</v>
      </c>
      <c r="S397" s="6">
        <v>0</v>
      </c>
      <c r="T397" s="6">
        <v>12</v>
      </c>
      <c r="U397" s="6">
        <v>48</v>
      </c>
      <c r="V397" s="6">
        <f>IF(ISERROR(VLOOKUP($S$397,'TAR FIN'!$A$1:$O$86,15,0)),0,VLOOKUP($S$397,'TAR FIN'!$A$1:$O$86,15,0))</f>
        <v>0</v>
      </c>
      <c r="W397" s="6">
        <f>IF(ISERROR(VLOOKUP($T$397,'TAR FIN'!$A$1:$O$86,15,0)),0,VLOOKUP($T$397,'TAR FIN'!$A$1:$O$86,15,0))</f>
        <v>326.98</v>
      </c>
      <c r="X397" s="6">
        <f>IF(ISERROR(VLOOKUP($U$397,'TAR FIN'!$A$1:$O$86,15,0)),0,VLOOKUP($U$397,'TAR FIN'!$A$1:$O$86,15,0))</f>
        <v>314.52</v>
      </c>
      <c r="Y397" s="6"/>
      <c r="Z397" s="6">
        <f ca="1">('TUSD BE'!$AM$20+'TUSD BF'!$AM$20+'TUSD CVA'!$AM$20)*1</f>
        <v>313.91386533817797</v>
      </c>
      <c r="AA397" s="6">
        <f>('TE BE'!$AB$12+'TE BF'!$AB$12+'TE CVA'!$AB$12)*1</f>
        <v>248.89628694871266</v>
      </c>
      <c r="AB397" s="6">
        <f>$K$397*$V$397</f>
        <v>0</v>
      </c>
      <c r="AC397" s="6">
        <f>$M$397*$W$397</f>
        <v>1018332.1248800001</v>
      </c>
      <c r="AD397" s="6">
        <f>$O$397*$X$397</f>
        <v>979527.24912000005</v>
      </c>
      <c r="AE397" s="6">
        <f>$K$397*$Y$397</f>
        <v>0</v>
      </c>
      <c r="AF397" s="6">
        <f ca="1">$M$397*$Z$397</f>
        <v>977639.5299991467</v>
      </c>
      <c r="AG397" s="6">
        <f>$O$397*$AA$397</f>
        <v>775151.64463644498</v>
      </c>
    </row>
    <row r="398" spans="1:33" ht="11.25" customHeight="1" x14ac:dyDescent="0.25">
      <c r="A398" s="4" t="s">
        <v>41</v>
      </c>
      <c r="B398" s="4" t="s">
        <v>22</v>
      </c>
      <c r="C398" s="4" t="s">
        <v>23</v>
      </c>
      <c r="D398" s="4" t="s">
        <v>24</v>
      </c>
      <c r="E398" s="4" t="s">
        <v>24</v>
      </c>
      <c r="F398" s="4" t="s">
        <v>25</v>
      </c>
      <c r="G398" s="4" t="s">
        <v>25</v>
      </c>
      <c r="H398" s="4" t="s">
        <v>25</v>
      </c>
      <c r="I398" s="5">
        <v>44501</v>
      </c>
      <c r="J398" s="6">
        <v>0</v>
      </c>
      <c r="K398" s="6">
        <v>0</v>
      </c>
      <c r="L398" s="6">
        <v>-1.1379999999999999</v>
      </c>
      <c r="M398" s="6">
        <v>-1.1379999999999999</v>
      </c>
      <c r="N398" s="6">
        <v>-1.1379999999999999</v>
      </c>
      <c r="O398" s="6">
        <v>-1.1379999999999999</v>
      </c>
      <c r="P398" s="6">
        <v>0</v>
      </c>
      <c r="Q398" s="4" t="s">
        <v>26</v>
      </c>
      <c r="R398" s="4">
        <v>0</v>
      </c>
      <c r="S398" s="6">
        <v>0</v>
      </c>
      <c r="T398" s="6">
        <v>12</v>
      </c>
      <c r="U398" s="6">
        <v>48</v>
      </c>
      <c r="V398" s="6">
        <f>IF(ISERROR(VLOOKUP($S$398,'TAR FIN'!$A$1:$O$86,15,0)),0,VLOOKUP($S$398,'TAR FIN'!$A$1:$O$86,15,0))</f>
        <v>0</v>
      </c>
      <c r="W398" s="6">
        <f>IF(ISERROR(VLOOKUP($T$398,'TAR FIN'!$A$1:$O$86,15,0)),0,VLOOKUP($T$398,'TAR FIN'!$A$1:$O$86,15,0))</f>
        <v>326.98</v>
      </c>
      <c r="X398" s="6">
        <f>IF(ISERROR(VLOOKUP($U$398,'TAR FIN'!$A$1:$O$86,15,0)),0,VLOOKUP($U$398,'TAR FIN'!$A$1:$O$86,15,0))</f>
        <v>314.52</v>
      </c>
      <c r="Y398" s="6"/>
      <c r="Z398" s="6">
        <f ca="1">('TUSD BE'!$AM$20+'TUSD BF'!$AM$20+'TUSD CVA'!$AM$20)*1</f>
        <v>313.91386533817797</v>
      </c>
      <c r="AA398" s="6">
        <f>('TE BE'!$AB$12+'TE BF'!$AB$12+'TE CVA'!$AB$12)*1</f>
        <v>248.89628694871266</v>
      </c>
      <c r="AB398" s="6">
        <f>$K$398*$V$398</f>
        <v>0</v>
      </c>
      <c r="AC398" s="6">
        <f>$M$398*$W$398</f>
        <v>-372.10323999999997</v>
      </c>
      <c r="AD398" s="6">
        <f>$O$398*$X$398</f>
        <v>-357.92375999999996</v>
      </c>
      <c r="AE398" s="6">
        <f>$K$398*$Y$398</f>
        <v>0</v>
      </c>
      <c r="AF398" s="6">
        <f ca="1">$M$398*$Z$398</f>
        <v>-357.23397875484648</v>
      </c>
      <c r="AG398" s="6">
        <f>$O$398*$AA$398</f>
        <v>-283.24397454763499</v>
      </c>
    </row>
    <row r="399" spans="1:33" ht="11.25" customHeight="1" x14ac:dyDescent="0.25">
      <c r="A399" s="4" t="s">
        <v>27</v>
      </c>
      <c r="B399" s="4" t="s">
        <v>22</v>
      </c>
      <c r="C399" s="4" t="s">
        <v>23</v>
      </c>
      <c r="D399" s="4" t="s">
        <v>24</v>
      </c>
      <c r="E399" s="4" t="s">
        <v>24</v>
      </c>
      <c r="F399" s="4" t="s">
        <v>25</v>
      </c>
      <c r="G399" s="4" t="s">
        <v>25</v>
      </c>
      <c r="H399" s="4" t="s">
        <v>25</v>
      </c>
      <c r="I399" s="5">
        <v>44501</v>
      </c>
      <c r="J399" s="6">
        <v>0</v>
      </c>
      <c r="K399" s="6">
        <v>0</v>
      </c>
      <c r="L399" s="6">
        <v>45.253999999999998</v>
      </c>
      <c r="M399" s="6">
        <v>45.253999999999998</v>
      </c>
      <c r="N399" s="6">
        <v>45.253999999999998</v>
      </c>
      <c r="O399" s="6">
        <v>45.253999999999998</v>
      </c>
      <c r="P399" s="6">
        <v>430</v>
      </c>
      <c r="Q399" s="4" t="s">
        <v>26</v>
      </c>
      <c r="R399" s="4">
        <v>0</v>
      </c>
      <c r="S399" s="6">
        <v>0</v>
      </c>
      <c r="T399" s="6">
        <v>12</v>
      </c>
      <c r="U399" s="6">
        <v>48</v>
      </c>
      <c r="V399" s="6">
        <f>IF(ISERROR(VLOOKUP($S$399,'TAR FIN'!$A$1:$O$86,15,0)),0,VLOOKUP($S$399,'TAR FIN'!$A$1:$O$86,15,0))</f>
        <v>0</v>
      </c>
      <c r="W399" s="6">
        <f>IF(ISERROR(VLOOKUP($T$399,'TAR FIN'!$A$1:$O$86,15,0)),0,VLOOKUP($T$399,'TAR FIN'!$A$1:$O$86,15,0))</f>
        <v>326.98</v>
      </c>
      <c r="X399" s="6">
        <f>IF(ISERROR(VLOOKUP($U$399,'TAR FIN'!$A$1:$O$86,15,0)),0,VLOOKUP($U$399,'TAR FIN'!$A$1:$O$86,15,0))</f>
        <v>314.52</v>
      </c>
      <c r="Y399" s="6"/>
      <c r="Z399" s="6">
        <f ca="1">('TUSD BE'!$AM$20+'TUSD BF'!$AM$20+'TUSD CVA'!$AM$20)*1</f>
        <v>313.91386533817797</v>
      </c>
      <c r="AA399" s="6">
        <f>('TE BE'!$AB$12+'TE BF'!$AB$12+'TE CVA'!$AB$12)*1</f>
        <v>248.89628694871266</v>
      </c>
      <c r="AB399" s="6">
        <f>$K$399*$V$399</f>
        <v>0</v>
      </c>
      <c r="AC399" s="6">
        <f>$M$399*$W$399</f>
        <v>14797.15292</v>
      </c>
      <c r="AD399" s="6">
        <f>$O$399*$X$399</f>
        <v>14233.288079999998</v>
      </c>
      <c r="AE399" s="6">
        <f>$K$399*$Y$399</f>
        <v>0</v>
      </c>
      <c r="AF399" s="6">
        <f ca="1">$M$399*$Z$399</f>
        <v>14205.858062013906</v>
      </c>
      <c r="AG399" s="6">
        <f>$O$399*$AA$399</f>
        <v>11263.552569577041</v>
      </c>
    </row>
    <row r="400" spans="1:33" ht="11.25" customHeight="1" x14ac:dyDescent="0.25">
      <c r="A400" s="4" t="s">
        <v>21</v>
      </c>
      <c r="B400" s="4" t="s">
        <v>22</v>
      </c>
      <c r="C400" s="4" t="s">
        <v>23</v>
      </c>
      <c r="D400" s="4" t="s">
        <v>24</v>
      </c>
      <c r="E400" s="4" t="s">
        <v>24</v>
      </c>
      <c r="F400" s="4" t="s">
        <v>25</v>
      </c>
      <c r="G400" s="4" t="s">
        <v>25</v>
      </c>
      <c r="H400" s="4" t="s">
        <v>25</v>
      </c>
      <c r="I400" s="5">
        <v>44531</v>
      </c>
      <c r="J400" s="6">
        <v>0</v>
      </c>
      <c r="K400" s="6">
        <v>0</v>
      </c>
      <c r="L400" s="6">
        <v>3332.3330000000001</v>
      </c>
      <c r="M400" s="6">
        <v>3332.3330000000001</v>
      </c>
      <c r="N400" s="6">
        <v>3332.3330000000001</v>
      </c>
      <c r="O400" s="6">
        <v>3332.3330000000001</v>
      </c>
      <c r="P400" s="6">
        <v>16485</v>
      </c>
      <c r="Q400" s="4" t="s">
        <v>26</v>
      </c>
      <c r="R400" s="4">
        <v>0</v>
      </c>
      <c r="S400" s="6">
        <v>0</v>
      </c>
      <c r="T400" s="6">
        <v>12</v>
      </c>
      <c r="U400" s="6">
        <v>48</v>
      </c>
      <c r="V400" s="6">
        <f>IF(ISERROR(VLOOKUP($S$400,'TAR FIN'!$A$1:$O$86,15,0)),0,VLOOKUP($S$400,'TAR FIN'!$A$1:$O$86,15,0))</f>
        <v>0</v>
      </c>
      <c r="W400" s="6">
        <f>IF(ISERROR(VLOOKUP($T$400,'TAR FIN'!$A$1:$O$86,15,0)),0,VLOOKUP($T$400,'TAR FIN'!$A$1:$O$86,15,0))</f>
        <v>326.98</v>
      </c>
      <c r="X400" s="6">
        <f>IF(ISERROR(VLOOKUP($U$400,'TAR FIN'!$A$1:$O$86,15,0)),0,VLOOKUP($U$400,'TAR FIN'!$A$1:$O$86,15,0))</f>
        <v>314.52</v>
      </c>
      <c r="Y400" s="6"/>
      <c r="Z400" s="6">
        <f ca="1">('TUSD BE'!$AM$20+'TUSD BF'!$AM$20+'TUSD CVA'!$AM$20)*1</f>
        <v>313.91386533817797</v>
      </c>
      <c r="AA400" s="6">
        <f>('TE BE'!$AB$12+'TE BF'!$AB$12+'TE CVA'!$AB$12)*1</f>
        <v>248.89628694871266</v>
      </c>
      <c r="AB400" s="6">
        <f>$K$400*$V$400</f>
        <v>0</v>
      </c>
      <c r="AC400" s="6">
        <f>$M$400*$W$400</f>
        <v>1089606.24434</v>
      </c>
      <c r="AD400" s="6">
        <f>$O$400*$X$400</f>
        <v>1048085.3751599999</v>
      </c>
      <c r="AE400" s="6">
        <f>$K$400*$Y$400</f>
        <v>0</v>
      </c>
      <c r="AF400" s="6">
        <f ca="1">$M$400*$Z$400</f>
        <v>1046065.5326239667</v>
      </c>
      <c r="AG400" s="6">
        <f>$O$400*$AA$400</f>
        <v>829405.31057666452</v>
      </c>
    </row>
    <row r="401" spans="1:33" ht="11.25" customHeight="1" x14ac:dyDescent="0.25">
      <c r="A401" s="4" t="s">
        <v>41</v>
      </c>
      <c r="B401" s="4" t="s">
        <v>22</v>
      </c>
      <c r="C401" s="4" t="s">
        <v>23</v>
      </c>
      <c r="D401" s="4" t="s">
        <v>24</v>
      </c>
      <c r="E401" s="4" t="s">
        <v>24</v>
      </c>
      <c r="F401" s="4" t="s">
        <v>25</v>
      </c>
      <c r="G401" s="4" t="s">
        <v>25</v>
      </c>
      <c r="H401" s="4" t="s">
        <v>25</v>
      </c>
      <c r="I401" s="5">
        <v>44531</v>
      </c>
      <c r="J401" s="6">
        <v>0</v>
      </c>
      <c r="K401" s="6">
        <v>0</v>
      </c>
      <c r="L401" s="6">
        <v>-0.97699999999999998</v>
      </c>
      <c r="M401" s="6">
        <v>-0.97699999999999998</v>
      </c>
      <c r="N401" s="6">
        <v>-0.97699999999999998</v>
      </c>
      <c r="O401" s="6">
        <v>-0.97699999999999998</v>
      </c>
      <c r="P401" s="6">
        <v>0</v>
      </c>
      <c r="Q401" s="4" t="s">
        <v>26</v>
      </c>
      <c r="R401" s="4">
        <v>0</v>
      </c>
      <c r="S401" s="6">
        <v>0</v>
      </c>
      <c r="T401" s="6">
        <v>12</v>
      </c>
      <c r="U401" s="6">
        <v>48</v>
      </c>
      <c r="V401" s="6">
        <f>IF(ISERROR(VLOOKUP($S$401,'TAR FIN'!$A$1:$O$86,15,0)),0,VLOOKUP($S$401,'TAR FIN'!$A$1:$O$86,15,0))</f>
        <v>0</v>
      </c>
      <c r="W401" s="6">
        <f>IF(ISERROR(VLOOKUP($T$401,'TAR FIN'!$A$1:$O$86,15,0)),0,VLOOKUP($T$401,'TAR FIN'!$A$1:$O$86,15,0))</f>
        <v>326.98</v>
      </c>
      <c r="X401" s="6">
        <f>IF(ISERROR(VLOOKUP($U$401,'TAR FIN'!$A$1:$O$86,15,0)),0,VLOOKUP($U$401,'TAR FIN'!$A$1:$O$86,15,0))</f>
        <v>314.52</v>
      </c>
      <c r="Y401" s="6"/>
      <c r="Z401" s="6">
        <f ca="1">('TUSD BE'!$AM$20+'TUSD BF'!$AM$20+'TUSD CVA'!$AM$20)*1</f>
        <v>313.91386533817797</v>
      </c>
      <c r="AA401" s="6">
        <f>('TE BE'!$AB$12+'TE BF'!$AB$12+'TE CVA'!$AB$12)*1</f>
        <v>248.89628694871266</v>
      </c>
      <c r="AB401" s="6">
        <f>$K$401*$V$401</f>
        <v>0</v>
      </c>
      <c r="AC401" s="6">
        <f>$M$401*$W$401</f>
        <v>-319.45946000000004</v>
      </c>
      <c r="AD401" s="6">
        <f>$O$401*$X$401</f>
        <v>-307.28603999999996</v>
      </c>
      <c r="AE401" s="6">
        <f>$K$401*$Y$401</f>
        <v>0</v>
      </c>
      <c r="AF401" s="6">
        <f ca="1">$M$401*$Z$401</f>
        <v>-306.69384643539985</v>
      </c>
      <c r="AG401" s="6">
        <f>$O$401*$AA$401</f>
        <v>-243.17167234889226</v>
      </c>
    </row>
    <row r="402" spans="1:33" ht="11.25" customHeight="1" x14ac:dyDescent="0.25">
      <c r="A402" s="4" t="s">
        <v>27</v>
      </c>
      <c r="B402" s="4" t="s">
        <v>22</v>
      </c>
      <c r="C402" s="4" t="s">
        <v>23</v>
      </c>
      <c r="D402" s="4" t="s">
        <v>24</v>
      </c>
      <c r="E402" s="4" t="s">
        <v>24</v>
      </c>
      <c r="F402" s="4" t="s">
        <v>25</v>
      </c>
      <c r="G402" s="4" t="s">
        <v>25</v>
      </c>
      <c r="H402" s="4" t="s">
        <v>25</v>
      </c>
      <c r="I402" s="5">
        <v>44531</v>
      </c>
      <c r="J402" s="6">
        <v>0</v>
      </c>
      <c r="K402" s="6">
        <v>0</v>
      </c>
      <c r="L402" s="6">
        <v>50.527000000000001</v>
      </c>
      <c r="M402" s="6">
        <v>50.527000000000001</v>
      </c>
      <c r="N402" s="6">
        <v>50.527000000000001</v>
      </c>
      <c r="O402" s="6">
        <v>50.527000000000001</v>
      </c>
      <c r="P402" s="6">
        <v>459</v>
      </c>
      <c r="Q402" s="4" t="s">
        <v>26</v>
      </c>
      <c r="R402" s="4">
        <v>0</v>
      </c>
      <c r="S402" s="6">
        <v>0</v>
      </c>
      <c r="T402" s="6">
        <v>12</v>
      </c>
      <c r="U402" s="6">
        <v>48</v>
      </c>
      <c r="V402" s="6">
        <f>IF(ISERROR(VLOOKUP($S$402,'TAR FIN'!$A$1:$O$86,15,0)),0,VLOOKUP($S$402,'TAR FIN'!$A$1:$O$86,15,0))</f>
        <v>0</v>
      </c>
      <c r="W402" s="6">
        <f>IF(ISERROR(VLOOKUP($T$402,'TAR FIN'!$A$1:$O$86,15,0)),0,VLOOKUP($T$402,'TAR FIN'!$A$1:$O$86,15,0))</f>
        <v>326.98</v>
      </c>
      <c r="X402" s="6">
        <f>IF(ISERROR(VLOOKUP($U$402,'TAR FIN'!$A$1:$O$86,15,0)),0,VLOOKUP($U$402,'TAR FIN'!$A$1:$O$86,15,0))</f>
        <v>314.52</v>
      </c>
      <c r="Y402" s="6"/>
      <c r="Z402" s="6">
        <f ca="1">('TUSD BE'!$AM$20+'TUSD BF'!$AM$20+'TUSD CVA'!$AM$20)*1</f>
        <v>313.91386533817797</v>
      </c>
      <c r="AA402" s="6">
        <f>('TE BE'!$AB$12+'TE BF'!$AB$12+'TE CVA'!$AB$12)*1</f>
        <v>248.89628694871266</v>
      </c>
      <c r="AB402" s="6">
        <f>$K$402*$V$402</f>
        <v>0</v>
      </c>
      <c r="AC402" s="6">
        <f>$M$402*$W$402</f>
        <v>16521.318460000002</v>
      </c>
      <c r="AD402" s="6">
        <f>$O$402*$X$402</f>
        <v>15891.752039999999</v>
      </c>
      <c r="AE402" s="6">
        <f>$K$402*$Y$402</f>
        <v>0</v>
      </c>
      <c r="AF402" s="6">
        <f ca="1">$M$402*$Z$402</f>
        <v>15861.125873942119</v>
      </c>
      <c r="AG402" s="6">
        <f>$O$402*$AA$402</f>
        <v>12575.982690657605</v>
      </c>
    </row>
    <row r="403" spans="1:33" ht="11.25" customHeight="1" x14ac:dyDescent="0.25">
      <c r="A403" s="4" t="s">
        <v>21</v>
      </c>
      <c r="B403" s="4" t="s">
        <v>22</v>
      </c>
      <c r="C403" s="4" t="s">
        <v>23</v>
      </c>
      <c r="D403" s="4" t="s">
        <v>24</v>
      </c>
      <c r="E403" s="4" t="s">
        <v>24</v>
      </c>
      <c r="F403" s="4" t="s">
        <v>25</v>
      </c>
      <c r="G403" s="4" t="s">
        <v>25</v>
      </c>
      <c r="H403" s="4" t="s">
        <v>25</v>
      </c>
      <c r="I403" s="5">
        <v>44562</v>
      </c>
      <c r="J403" s="6">
        <v>0</v>
      </c>
      <c r="K403" s="6">
        <v>0</v>
      </c>
      <c r="L403" s="6">
        <v>3819.6080000000002</v>
      </c>
      <c r="M403" s="6">
        <v>3819.6080000000002</v>
      </c>
      <c r="N403" s="6">
        <v>3819.6080000000002</v>
      </c>
      <c r="O403" s="6">
        <v>3819.6080000000002</v>
      </c>
      <c r="P403" s="6">
        <v>16283</v>
      </c>
      <c r="Q403" s="4" t="s">
        <v>26</v>
      </c>
      <c r="R403" s="4">
        <v>0</v>
      </c>
      <c r="S403" s="6">
        <v>0</v>
      </c>
      <c r="T403" s="6">
        <v>12</v>
      </c>
      <c r="U403" s="6">
        <v>48</v>
      </c>
      <c r="V403" s="6">
        <f>IF(ISERROR(VLOOKUP($S$403,'TAR FIN'!$A$1:$O$86,15,0)),0,VLOOKUP($S$403,'TAR FIN'!$A$1:$O$86,15,0))</f>
        <v>0</v>
      </c>
      <c r="W403" s="6">
        <f>IF(ISERROR(VLOOKUP($T$403,'TAR FIN'!$A$1:$O$86,15,0)),0,VLOOKUP($T$403,'TAR FIN'!$A$1:$O$86,15,0))</f>
        <v>326.98</v>
      </c>
      <c r="X403" s="6">
        <f>IF(ISERROR(VLOOKUP($U$403,'TAR FIN'!$A$1:$O$86,15,0)),0,VLOOKUP($U$403,'TAR FIN'!$A$1:$O$86,15,0))</f>
        <v>314.52</v>
      </c>
      <c r="Y403" s="6"/>
      <c r="Z403" s="6">
        <f ca="1">('TUSD BE'!$AM$20+'TUSD BF'!$AM$20+'TUSD CVA'!$AM$20)*1</f>
        <v>313.91386533817797</v>
      </c>
      <c r="AA403" s="6">
        <f>('TE BE'!$AB$12+'TE BF'!$AB$12+'TE CVA'!$AB$12)*1</f>
        <v>248.89628694871266</v>
      </c>
      <c r="AB403" s="6">
        <f>$K$403*$V$403</f>
        <v>0</v>
      </c>
      <c r="AC403" s="6">
        <f>$M$403*$W$403</f>
        <v>1248935.4238400001</v>
      </c>
      <c r="AD403" s="6">
        <f>$O$403*$X$403</f>
        <v>1201343.1081600001</v>
      </c>
      <c r="AE403" s="6">
        <f>$K$403*$Y$403</f>
        <v>0</v>
      </c>
      <c r="AF403" s="6">
        <f ca="1">$M$403*$Z$403</f>
        <v>1199027.9113566272</v>
      </c>
      <c r="AG403" s="6">
        <f>$O$403*$AA$403</f>
        <v>950686.24879959854</v>
      </c>
    </row>
    <row r="404" spans="1:33" ht="11.25" customHeight="1" x14ac:dyDescent="0.25">
      <c r="A404" s="4" t="s">
        <v>27</v>
      </c>
      <c r="B404" s="4" t="s">
        <v>22</v>
      </c>
      <c r="C404" s="4" t="s">
        <v>23</v>
      </c>
      <c r="D404" s="4" t="s">
        <v>24</v>
      </c>
      <c r="E404" s="4" t="s">
        <v>24</v>
      </c>
      <c r="F404" s="4" t="s">
        <v>25</v>
      </c>
      <c r="G404" s="4" t="s">
        <v>25</v>
      </c>
      <c r="H404" s="4" t="s">
        <v>25</v>
      </c>
      <c r="I404" s="5">
        <v>44562</v>
      </c>
      <c r="J404" s="6">
        <v>0</v>
      </c>
      <c r="K404" s="6">
        <v>0</v>
      </c>
      <c r="L404" s="6">
        <v>71.531999999999996</v>
      </c>
      <c r="M404" s="6">
        <v>71.531999999999996</v>
      </c>
      <c r="N404" s="6">
        <v>71.531999999999996</v>
      </c>
      <c r="O404" s="6">
        <v>71.531999999999996</v>
      </c>
      <c r="P404" s="6">
        <v>500</v>
      </c>
      <c r="Q404" s="4" t="s">
        <v>26</v>
      </c>
      <c r="R404" s="4">
        <v>0</v>
      </c>
      <c r="S404" s="6">
        <v>0</v>
      </c>
      <c r="T404" s="6">
        <v>12</v>
      </c>
      <c r="U404" s="6">
        <v>48</v>
      </c>
      <c r="V404" s="6">
        <f>IF(ISERROR(VLOOKUP($S$404,'TAR FIN'!$A$1:$O$86,15,0)),0,VLOOKUP($S$404,'TAR FIN'!$A$1:$O$86,15,0))</f>
        <v>0</v>
      </c>
      <c r="W404" s="6">
        <f>IF(ISERROR(VLOOKUP($T$404,'TAR FIN'!$A$1:$O$86,15,0)),0,VLOOKUP($T$404,'TAR FIN'!$A$1:$O$86,15,0))</f>
        <v>326.98</v>
      </c>
      <c r="X404" s="6">
        <f>IF(ISERROR(VLOOKUP($U$404,'TAR FIN'!$A$1:$O$86,15,0)),0,VLOOKUP($U$404,'TAR FIN'!$A$1:$O$86,15,0))</f>
        <v>314.52</v>
      </c>
      <c r="Y404" s="6"/>
      <c r="Z404" s="6">
        <f ca="1">('TUSD BE'!$AM$20+'TUSD BF'!$AM$20+'TUSD CVA'!$AM$20)*1</f>
        <v>313.91386533817797</v>
      </c>
      <c r="AA404" s="6">
        <f>('TE BE'!$AB$12+'TE BF'!$AB$12+'TE CVA'!$AB$12)*1</f>
        <v>248.89628694871266</v>
      </c>
      <c r="AB404" s="6">
        <f>$K$404*$V$404</f>
        <v>0</v>
      </c>
      <c r="AC404" s="6">
        <f>$M$404*$W$404</f>
        <v>23389.533360000001</v>
      </c>
      <c r="AD404" s="6">
        <f>$O$404*$X$404</f>
        <v>22498.244639999997</v>
      </c>
      <c r="AE404" s="6">
        <f>$K$404*$Y$404</f>
        <v>0</v>
      </c>
      <c r="AF404" s="6">
        <f ca="1">$M$404*$Z$404</f>
        <v>22454.886615370546</v>
      </c>
      <c r="AG404" s="6">
        <f>$O$404*$AA$404</f>
        <v>17804.049198015313</v>
      </c>
    </row>
    <row r="405" spans="1:33" ht="11.25" customHeight="1" x14ac:dyDescent="0.25">
      <c r="A405" s="4" t="s">
        <v>21</v>
      </c>
      <c r="B405" s="4" t="s">
        <v>22</v>
      </c>
      <c r="C405" s="4" t="s">
        <v>23</v>
      </c>
      <c r="D405" s="4" t="s">
        <v>24</v>
      </c>
      <c r="E405" s="4" t="s">
        <v>24</v>
      </c>
      <c r="F405" s="4" t="s">
        <v>25</v>
      </c>
      <c r="G405" s="4" t="s">
        <v>25</v>
      </c>
      <c r="H405" s="4" t="s">
        <v>25</v>
      </c>
      <c r="I405" s="5">
        <v>44593</v>
      </c>
      <c r="J405" s="6">
        <v>0</v>
      </c>
      <c r="K405" s="6">
        <v>0</v>
      </c>
      <c r="L405" s="6">
        <v>3373.0909999999999</v>
      </c>
      <c r="M405" s="6">
        <v>3373.0909999999999</v>
      </c>
      <c r="N405" s="6">
        <v>3373.0909999999999</v>
      </c>
      <c r="O405" s="6">
        <v>3373.0909999999999</v>
      </c>
      <c r="P405" s="6">
        <v>16224</v>
      </c>
      <c r="Q405" s="4" t="s">
        <v>26</v>
      </c>
      <c r="R405" s="4">
        <v>0</v>
      </c>
      <c r="S405" s="6">
        <v>0</v>
      </c>
      <c r="T405" s="6">
        <v>12</v>
      </c>
      <c r="U405" s="6">
        <v>48</v>
      </c>
      <c r="V405" s="6">
        <f>IF(ISERROR(VLOOKUP($S$405,'TAR FIN'!$A$1:$O$86,15,0)),0,VLOOKUP($S$405,'TAR FIN'!$A$1:$O$86,15,0))</f>
        <v>0</v>
      </c>
      <c r="W405" s="6">
        <f>IF(ISERROR(VLOOKUP($T$405,'TAR FIN'!$A$1:$O$86,15,0)),0,VLOOKUP($T$405,'TAR FIN'!$A$1:$O$86,15,0))</f>
        <v>326.98</v>
      </c>
      <c r="X405" s="6">
        <f>IF(ISERROR(VLOOKUP($U$405,'TAR FIN'!$A$1:$O$86,15,0)),0,VLOOKUP($U$405,'TAR FIN'!$A$1:$O$86,15,0))</f>
        <v>314.52</v>
      </c>
      <c r="Y405" s="6"/>
      <c r="Z405" s="6">
        <f ca="1">('TUSD BE'!$AM$20+'TUSD BF'!$AM$20+'TUSD CVA'!$AM$20)*1</f>
        <v>313.91386533817797</v>
      </c>
      <c r="AA405" s="6">
        <f>('TE BE'!$AB$12+'TE BF'!$AB$12+'TE CVA'!$AB$12)*1</f>
        <v>248.89628694871266</v>
      </c>
      <c r="AB405" s="6">
        <f>$K$405*$V$405</f>
        <v>0</v>
      </c>
      <c r="AC405" s="6">
        <f>$M$405*$W$405</f>
        <v>1102933.2951800001</v>
      </c>
      <c r="AD405" s="6">
        <f>$O$405*$X$405</f>
        <v>1060904.5813199999</v>
      </c>
      <c r="AE405" s="6">
        <f>$K$405*$Y$405</f>
        <v>0</v>
      </c>
      <c r="AF405" s="6">
        <f ca="1">$M$405*$Z$405</f>
        <v>1058860.0339474201</v>
      </c>
      <c r="AG405" s="6">
        <f>$O$405*$AA$405</f>
        <v>839549.82544012007</v>
      </c>
    </row>
    <row r="406" spans="1:33" ht="11.25" customHeight="1" x14ac:dyDescent="0.25">
      <c r="A406" s="4" t="s">
        <v>27</v>
      </c>
      <c r="B406" s="4" t="s">
        <v>22</v>
      </c>
      <c r="C406" s="4" t="s">
        <v>23</v>
      </c>
      <c r="D406" s="4" t="s">
        <v>24</v>
      </c>
      <c r="E406" s="4" t="s">
        <v>24</v>
      </c>
      <c r="F406" s="4" t="s">
        <v>25</v>
      </c>
      <c r="G406" s="4" t="s">
        <v>25</v>
      </c>
      <c r="H406" s="4" t="s">
        <v>25</v>
      </c>
      <c r="I406" s="5">
        <v>44593</v>
      </c>
      <c r="J406" s="6">
        <v>0</v>
      </c>
      <c r="K406" s="6">
        <v>0</v>
      </c>
      <c r="L406" s="6">
        <v>53.48</v>
      </c>
      <c r="M406" s="6">
        <v>53.48</v>
      </c>
      <c r="N406" s="6">
        <v>53.48</v>
      </c>
      <c r="O406" s="6">
        <v>53.48</v>
      </c>
      <c r="P406" s="6">
        <v>531</v>
      </c>
      <c r="Q406" s="4" t="s">
        <v>26</v>
      </c>
      <c r="R406" s="4">
        <v>0</v>
      </c>
      <c r="S406" s="6">
        <v>0</v>
      </c>
      <c r="T406" s="6">
        <v>12</v>
      </c>
      <c r="U406" s="6">
        <v>48</v>
      </c>
      <c r="V406" s="6">
        <f>IF(ISERROR(VLOOKUP($S$406,'TAR FIN'!$A$1:$O$86,15,0)),0,VLOOKUP($S$406,'TAR FIN'!$A$1:$O$86,15,0))</f>
        <v>0</v>
      </c>
      <c r="W406" s="6">
        <f>IF(ISERROR(VLOOKUP($T$406,'TAR FIN'!$A$1:$O$86,15,0)),0,VLOOKUP($T$406,'TAR FIN'!$A$1:$O$86,15,0))</f>
        <v>326.98</v>
      </c>
      <c r="X406" s="6">
        <f>IF(ISERROR(VLOOKUP($U$406,'TAR FIN'!$A$1:$O$86,15,0)),0,VLOOKUP($U$406,'TAR FIN'!$A$1:$O$86,15,0))</f>
        <v>314.52</v>
      </c>
      <c r="Y406" s="6"/>
      <c r="Z406" s="6">
        <f ca="1">('TUSD BE'!$AM$20+'TUSD BF'!$AM$20+'TUSD CVA'!$AM$20)*1</f>
        <v>313.91386533817797</v>
      </c>
      <c r="AA406" s="6">
        <f>('TE BE'!$AB$12+'TE BF'!$AB$12+'TE CVA'!$AB$12)*1</f>
        <v>248.89628694871266</v>
      </c>
      <c r="AB406" s="6">
        <f>$K$406*$V$406</f>
        <v>0</v>
      </c>
      <c r="AC406" s="6">
        <f>$M$406*$W$406</f>
        <v>17486.8904</v>
      </c>
      <c r="AD406" s="6">
        <f>$O$406*$X$406</f>
        <v>16820.529599999998</v>
      </c>
      <c r="AE406" s="6">
        <f>$K$406*$Y$406</f>
        <v>0</v>
      </c>
      <c r="AF406" s="6">
        <f ca="1">$M$406*$Z$406</f>
        <v>16788.113518285758</v>
      </c>
      <c r="AG406" s="6">
        <f>$O$406*$AA$406</f>
        <v>13310.973426017152</v>
      </c>
    </row>
    <row r="407" spans="1:33" ht="11.25" customHeight="1" x14ac:dyDescent="0.25">
      <c r="A407" s="4" t="s">
        <v>21</v>
      </c>
      <c r="B407" s="4" t="s">
        <v>22</v>
      </c>
      <c r="C407" s="4" t="s">
        <v>23</v>
      </c>
      <c r="D407" s="4" t="s">
        <v>24</v>
      </c>
      <c r="E407" s="4" t="s">
        <v>24</v>
      </c>
      <c r="F407" s="4" t="s">
        <v>25</v>
      </c>
      <c r="G407" s="4" t="s">
        <v>25</v>
      </c>
      <c r="H407" s="4" t="s">
        <v>25</v>
      </c>
      <c r="I407" s="5">
        <v>44621</v>
      </c>
      <c r="J407" s="6">
        <v>0</v>
      </c>
      <c r="K407" s="6">
        <v>0</v>
      </c>
      <c r="L407" s="6">
        <v>3530.7310000000002</v>
      </c>
      <c r="M407" s="6">
        <v>3530.7310000000002</v>
      </c>
      <c r="N407" s="6">
        <v>3530.7310000000002</v>
      </c>
      <c r="O407" s="6">
        <v>3530.7310000000002</v>
      </c>
      <c r="P407" s="6">
        <v>16199</v>
      </c>
      <c r="Q407" s="4" t="s">
        <v>26</v>
      </c>
      <c r="R407" s="4">
        <v>0</v>
      </c>
      <c r="S407" s="6">
        <v>0</v>
      </c>
      <c r="T407" s="6">
        <v>12</v>
      </c>
      <c r="U407" s="6">
        <v>48</v>
      </c>
      <c r="V407" s="6">
        <f>IF(ISERROR(VLOOKUP($S$407,'TAR FIN'!$A$1:$O$86,15,0)),0,VLOOKUP($S$407,'TAR FIN'!$A$1:$O$86,15,0))</f>
        <v>0</v>
      </c>
      <c r="W407" s="6">
        <f>IF(ISERROR(VLOOKUP($T$407,'TAR FIN'!$A$1:$O$86,15,0)),0,VLOOKUP($T$407,'TAR FIN'!$A$1:$O$86,15,0))</f>
        <v>326.98</v>
      </c>
      <c r="X407" s="6">
        <f>IF(ISERROR(VLOOKUP($U$407,'TAR FIN'!$A$1:$O$86,15,0)),0,VLOOKUP($U$407,'TAR FIN'!$A$1:$O$86,15,0))</f>
        <v>314.52</v>
      </c>
      <c r="Y407" s="6"/>
      <c r="Z407" s="6">
        <f ca="1">('TUSD BE'!$AM$20+'TUSD BF'!$AM$20+'TUSD CVA'!$AM$20)*1</f>
        <v>313.91386533817797</v>
      </c>
      <c r="AA407" s="6">
        <f>('TE BE'!$AB$12+'TE BF'!$AB$12+'TE CVA'!$AB$12)*1</f>
        <v>248.89628694871266</v>
      </c>
      <c r="AB407" s="6">
        <f>$K$407*$V$407</f>
        <v>0</v>
      </c>
      <c r="AC407" s="6">
        <f>$M$407*$W$407</f>
        <v>1154478.4223800001</v>
      </c>
      <c r="AD407" s="6">
        <f>$O$407*$X$407</f>
        <v>1110485.5141199999</v>
      </c>
      <c r="AE407" s="6">
        <f>$K$407*$Y$407</f>
        <v>0</v>
      </c>
      <c r="AF407" s="6">
        <f ca="1">$M$407*$Z$407</f>
        <v>1108345.4156793305</v>
      </c>
      <c r="AG407" s="6">
        <f>$O$407*$AA$407</f>
        <v>878785.8361147152</v>
      </c>
    </row>
    <row r="408" spans="1:33" ht="11.25" customHeight="1" x14ac:dyDescent="0.25">
      <c r="A408" s="4" t="s">
        <v>41</v>
      </c>
      <c r="B408" s="4" t="s">
        <v>22</v>
      </c>
      <c r="C408" s="4" t="s">
        <v>23</v>
      </c>
      <c r="D408" s="4" t="s">
        <v>24</v>
      </c>
      <c r="E408" s="4" t="s">
        <v>24</v>
      </c>
      <c r="F408" s="4" t="s">
        <v>25</v>
      </c>
      <c r="G408" s="4" t="s">
        <v>25</v>
      </c>
      <c r="H408" s="4" t="s">
        <v>25</v>
      </c>
      <c r="I408" s="5">
        <v>44621</v>
      </c>
      <c r="J408" s="6">
        <v>0</v>
      </c>
      <c r="K408" s="6">
        <v>0</v>
      </c>
      <c r="L408" s="6">
        <v>-2.8250000000000002</v>
      </c>
      <c r="M408" s="6">
        <v>-2.8250000000000002</v>
      </c>
      <c r="N408" s="6">
        <v>-2.8250000000000002</v>
      </c>
      <c r="O408" s="6">
        <v>-2.8250000000000002</v>
      </c>
      <c r="P408" s="6">
        <v>0</v>
      </c>
      <c r="Q408" s="4" t="s">
        <v>26</v>
      </c>
      <c r="R408" s="4">
        <v>0</v>
      </c>
      <c r="S408" s="6">
        <v>0</v>
      </c>
      <c r="T408" s="6">
        <v>12</v>
      </c>
      <c r="U408" s="6">
        <v>48</v>
      </c>
      <c r="V408" s="6">
        <f>IF(ISERROR(VLOOKUP($S$408,'TAR FIN'!$A$1:$O$86,15,0)),0,VLOOKUP($S$408,'TAR FIN'!$A$1:$O$86,15,0))</f>
        <v>0</v>
      </c>
      <c r="W408" s="6">
        <f>IF(ISERROR(VLOOKUP($T$408,'TAR FIN'!$A$1:$O$86,15,0)),0,VLOOKUP($T$408,'TAR FIN'!$A$1:$O$86,15,0))</f>
        <v>326.98</v>
      </c>
      <c r="X408" s="6">
        <f>IF(ISERROR(VLOOKUP($U$408,'TAR FIN'!$A$1:$O$86,15,0)),0,VLOOKUP($U$408,'TAR FIN'!$A$1:$O$86,15,0))</f>
        <v>314.52</v>
      </c>
      <c r="Y408" s="6"/>
      <c r="Z408" s="6">
        <f ca="1">('TUSD BE'!$AM$20+'TUSD BF'!$AM$20+'TUSD CVA'!$AM$20)*1</f>
        <v>313.91386533817797</v>
      </c>
      <c r="AA408" s="6">
        <f>('TE BE'!$AB$12+'TE BF'!$AB$12+'TE CVA'!$AB$12)*1</f>
        <v>248.89628694871266</v>
      </c>
      <c r="AB408" s="6">
        <f>$K$408*$V$408</f>
        <v>0</v>
      </c>
      <c r="AC408" s="6">
        <f>$M$408*$W$408</f>
        <v>-923.71850000000006</v>
      </c>
      <c r="AD408" s="6">
        <f>$O$408*$X$408</f>
        <v>-888.51900000000001</v>
      </c>
      <c r="AE408" s="6">
        <f>$K$408*$Y$408</f>
        <v>0</v>
      </c>
      <c r="AF408" s="6">
        <f ca="1">$M$408*$Z$408</f>
        <v>-886.80666958035283</v>
      </c>
      <c r="AG408" s="6">
        <f>$O$408*$AA$408</f>
        <v>-703.13201063011331</v>
      </c>
    </row>
    <row r="409" spans="1:33" ht="11.25" customHeight="1" x14ac:dyDescent="0.25">
      <c r="A409" s="4" t="s">
        <v>27</v>
      </c>
      <c r="B409" s="4" t="s">
        <v>22</v>
      </c>
      <c r="C409" s="4" t="s">
        <v>23</v>
      </c>
      <c r="D409" s="4" t="s">
        <v>24</v>
      </c>
      <c r="E409" s="4" t="s">
        <v>24</v>
      </c>
      <c r="F409" s="4" t="s">
        <v>25</v>
      </c>
      <c r="G409" s="4" t="s">
        <v>25</v>
      </c>
      <c r="H409" s="4" t="s">
        <v>25</v>
      </c>
      <c r="I409" s="5">
        <v>44621</v>
      </c>
      <c r="J409" s="6">
        <v>0</v>
      </c>
      <c r="K409" s="6">
        <v>0</v>
      </c>
      <c r="L409" s="6">
        <v>66.89</v>
      </c>
      <c r="M409" s="6">
        <v>66.89</v>
      </c>
      <c r="N409" s="6">
        <v>66.89</v>
      </c>
      <c r="O409" s="6">
        <v>66.89</v>
      </c>
      <c r="P409" s="6">
        <v>577</v>
      </c>
      <c r="Q409" s="4" t="s">
        <v>26</v>
      </c>
      <c r="R409" s="4">
        <v>0</v>
      </c>
      <c r="S409" s="6">
        <v>0</v>
      </c>
      <c r="T409" s="6">
        <v>12</v>
      </c>
      <c r="U409" s="6">
        <v>48</v>
      </c>
      <c r="V409" s="6">
        <f>IF(ISERROR(VLOOKUP($S$409,'TAR FIN'!$A$1:$O$86,15,0)),0,VLOOKUP($S$409,'TAR FIN'!$A$1:$O$86,15,0))</f>
        <v>0</v>
      </c>
      <c r="W409" s="6">
        <f>IF(ISERROR(VLOOKUP($T$409,'TAR FIN'!$A$1:$O$86,15,0)),0,VLOOKUP($T$409,'TAR FIN'!$A$1:$O$86,15,0))</f>
        <v>326.98</v>
      </c>
      <c r="X409" s="6">
        <f>IF(ISERROR(VLOOKUP($U$409,'TAR FIN'!$A$1:$O$86,15,0)),0,VLOOKUP($U$409,'TAR FIN'!$A$1:$O$86,15,0))</f>
        <v>314.52</v>
      </c>
      <c r="Y409" s="6"/>
      <c r="Z409" s="6">
        <f ca="1">('TUSD BE'!$AM$20+'TUSD BF'!$AM$20+'TUSD CVA'!$AM$20)*1</f>
        <v>313.91386533817797</v>
      </c>
      <c r="AA409" s="6">
        <f>('TE BE'!$AB$12+'TE BF'!$AB$12+'TE CVA'!$AB$12)*1</f>
        <v>248.89628694871266</v>
      </c>
      <c r="AB409" s="6">
        <f>$K$409*$V$409</f>
        <v>0</v>
      </c>
      <c r="AC409" s="6">
        <f>$M$409*$W$409</f>
        <v>21871.692200000001</v>
      </c>
      <c r="AD409" s="6">
        <f>$O$409*$X$409</f>
        <v>21038.2428</v>
      </c>
      <c r="AE409" s="6">
        <f>$K$409*$Y$409</f>
        <v>0</v>
      </c>
      <c r="AF409" s="6">
        <f ca="1">$M$409*$Z$409</f>
        <v>20997.698452470726</v>
      </c>
      <c r="AG409" s="6">
        <f>$O$409*$AA$409</f>
        <v>16648.672633999391</v>
      </c>
    </row>
    <row r="410" spans="1:33" ht="11.25" customHeight="1" x14ac:dyDescent="0.25">
      <c r="A410" s="4" t="s">
        <v>21</v>
      </c>
      <c r="B410" s="4" t="s">
        <v>22</v>
      </c>
      <c r="C410" s="4" t="s">
        <v>23</v>
      </c>
      <c r="D410" s="4" t="s">
        <v>24</v>
      </c>
      <c r="E410" s="4" t="s">
        <v>24</v>
      </c>
      <c r="F410" s="4" t="s">
        <v>25</v>
      </c>
      <c r="G410" s="4" t="s">
        <v>25</v>
      </c>
      <c r="H410" s="4" t="s">
        <v>25</v>
      </c>
      <c r="I410" s="5">
        <v>44652</v>
      </c>
      <c r="J410" s="6">
        <v>0</v>
      </c>
      <c r="K410" s="6">
        <v>0</v>
      </c>
      <c r="L410" s="6">
        <v>2645.02</v>
      </c>
      <c r="M410" s="6">
        <v>2645.02</v>
      </c>
      <c r="N410" s="6">
        <v>2645.02</v>
      </c>
      <c r="O410" s="6">
        <v>2645.02</v>
      </c>
      <c r="P410" s="6">
        <v>16160</v>
      </c>
      <c r="Q410" s="4" t="s">
        <v>26</v>
      </c>
      <c r="R410" s="4">
        <v>0</v>
      </c>
      <c r="S410" s="6">
        <v>0</v>
      </c>
      <c r="T410" s="6">
        <v>12</v>
      </c>
      <c r="U410" s="6">
        <v>48</v>
      </c>
      <c r="V410" s="6">
        <f>IF(ISERROR(VLOOKUP($S$410,'TAR FIN'!$A$1:$O$86,15,0)),0,VLOOKUP($S$410,'TAR FIN'!$A$1:$O$86,15,0))</f>
        <v>0</v>
      </c>
      <c r="W410" s="6">
        <f>IF(ISERROR(VLOOKUP($T$410,'TAR FIN'!$A$1:$O$86,15,0)),0,VLOOKUP($T$410,'TAR FIN'!$A$1:$O$86,15,0))</f>
        <v>326.98</v>
      </c>
      <c r="X410" s="6">
        <f>IF(ISERROR(VLOOKUP($U$410,'TAR FIN'!$A$1:$O$86,15,0)),0,VLOOKUP($U$410,'TAR FIN'!$A$1:$O$86,15,0))</f>
        <v>314.52</v>
      </c>
      <c r="Y410" s="6"/>
      <c r="Z410" s="6">
        <f ca="1">('TUSD BE'!$AM$20+'TUSD BF'!$AM$20+'TUSD CVA'!$AM$20)*1</f>
        <v>313.91386533817797</v>
      </c>
      <c r="AA410" s="6">
        <f>('TE BE'!$AB$12+'TE BF'!$AB$12+'TE CVA'!$AB$12)*1</f>
        <v>248.89628694871266</v>
      </c>
      <c r="AB410" s="6">
        <f>$K$410*$V$410</f>
        <v>0</v>
      </c>
      <c r="AC410" s="6">
        <f>$M$410*$W$410</f>
        <v>864868.63959999999</v>
      </c>
      <c r="AD410" s="6">
        <f>$O$410*$X$410</f>
        <v>831911.69039999996</v>
      </c>
      <c r="AE410" s="6">
        <f>$K$410*$Y$410</f>
        <v>0</v>
      </c>
      <c r="AF410" s="6">
        <f ca="1">$M$410*$Z$410</f>
        <v>830308.45209678751</v>
      </c>
      <c r="AG410" s="6">
        <f>$O$410*$AA$410</f>
        <v>658335.65690508392</v>
      </c>
    </row>
    <row r="411" spans="1:33" ht="11.25" customHeight="1" x14ac:dyDescent="0.25">
      <c r="A411" s="4" t="s">
        <v>41</v>
      </c>
      <c r="B411" s="4" t="s">
        <v>22</v>
      </c>
      <c r="C411" s="4" t="s">
        <v>23</v>
      </c>
      <c r="D411" s="4" t="s">
        <v>24</v>
      </c>
      <c r="E411" s="4" t="s">
        <v>24</v>
      </c>
      <c r="F411" s="4" t="s">
        <v>25</v>
      </c>
      <c r="G411" s="4" t="s">
        <v>25</v>
      </c>
      <c r="H411" s="4" t="s">
        <v>25</v>
      </c>
      <c r="I411" s="5">
        <v>44652</v>
      </c>
      <c r="J411" s="6">
        <v>0</v>
      </c>
      <c r="K411" s="6">
        <v>0</v>
      </c>
      <c r="L411" s="6">
        <v>-0.372</v>
      </c>
      <c r="M411" s="6">
        <v>-0.372</v>
      </c>
      <c r="N411" s="6">
        <v>-0.372</v>
      </c>
      <c r="O411" s="6">
        <v>-0.372</v>
      </c>
      <c r="P411" s="6">
        <v>0</v>
      </c>
      <c r="Q411" s="4" t="s">
        <v>26</v>
      </c>
      <c r="R411" s="4">
        <v>0</v>
      </c>
      <c r="S411" s="6">
        <v>0</v>
      </c>
      <c r="T411" s="6">
        <v>12</v>
      </c>
      <c r="U411" s="6">
        <v>48</v>
      </c>
      <c r="V411" s="6">
        <f>IF(ISERROR(VLOOKUP($S$411,'TAR FIN'!$A$1:$O$86,15,0)),0,VLOOKUP($S$411,'TAR FIN'!$A$1:$O$86,15,0))</f>
        <v>0</v>
      </c>
      <c r="W411" s="6">
        <f>IF(ISERROR(VLOOKUP($T$411,'TAR FIN'!$A$1:$O$86,15,0)),0,VLOOKUP($T$411,'TAR FIN'!$A$1:$O$86,15,0))</f>
        <v>326.98</v>
      </c>
      <c r="X411" s="6">
        <f>IF(ISERROR(VLOOKUP($U$411,'TAR FIN'!$A$1:$O$86,15,0)),0,VLOOKUP($U$411,'TAR FIN'!$A$1:$O$86,15,0))</f>
        <v>314.52</v>
      </c>
      <c r="Y411" s="6"/>
      <c r="Z411" s="6">
        <f ca="1">('TUSD BE'!$AM$20+'TUSD BF'!$AM$20+'TUSD CVA'!$AM$20)*1</f>
        <v>313.91386533817797</v>
      </c>
      <c r="AA411" s="6">
        <f>('TE BE'!$AB$12+'TE BF'!$AB$12+'TE CVA'!$AB$12)*1</f>
        <v>248.89628694871266</v>
      </c>
      <c r="AB411" s="6">
        <f>$K$411*$V$411</f>
        <v>0</v>
      </c>
      <c r="AC411" s="6">
        <f>$M$411*$W$411</f>
        <v>-121.63656</v>
      </c>
      <c r="AD411" s="6">
        <f>$O$411*$X$411</f>
        <v>-117.00143999999999</v>
      </c>
      <c r="AE411" s="6">
        <f>$K$411*$Y$411</f>
        <v>0</v>
      </c>
      <c r="AF411" s="6">
        <f ca="1">$M$411*$Z$411</f>
        <v>-116.7759579058022</v>
      </c>
      <c r="AG411" s="6">
        <f>$O$411*$AA$411</f>
        <v>-92.589418744921105</v>
      </c>
    </row>
    <row r="412" spans="1:33" ht="11.25" customHeight="1" x14ac:dyDescent="0.25">
      <c r="A412" s="4" t="s">
        <v>27</v>
      </c>
      <c r="B412" s="4" t="s">
        <v>22</v>
      </c>
      <c r="C412" s="4" t="s">
        <v>23</v>
      </c>
      <c r="D412" s="4" t="s">
        <v>24</v>
      </c>
      <c r="E412" s="4" t="s">
        <v>24</v>
      </c>
      <c r="F412" s="4" t="s">
        <v>25</v>
      </c>
      <c r="G412" s="4" t="s">
        <v>25</v>
      </c>
      <c r="H412" s="4" t="s">
        <v>25</v>
      </c>
      <c r="I412" s="5">
        <v>44652</v>
      </c>
      <c r="J412" s="6">
        <v>0</v>
      </c>
      <c r="K412" s="6">
        <v>0</v>
      </c>
      <c r="L412" s="6">
        <v>55.558</v>
      </c>
      <c r="M412" s="6">
        <v>55.558</v>
      </c>
      <c r="N412" s="6">
        <v>55.558</v>
      </c>
      <c r="O412" s="6">
        <v>55.558</v>
      </c>
      <c r="P412" s="6">
        <v>629</v>
      </c>
      <c r="Q412" s="4" t="s">
        <v>26</v>
      </c>
      <c r="R412" s="4">
        <v>0</v>
      </c>
      <c r="S412" s="6">
        <v>0</v>
      </c>
      <c r="T412" s="6">
        <v>12</v>
      </c>
      <c r="U412" s="6">
        <v>48</v>
      </c>
      <c r="V412" s="6">
        <f>IF(ISERROR(VLOOKUP($S$412,'TAR FIN'!$A$1:$O$86,15,0)),0,VLOOKUP($S$412,'TAR FIN'!$A$1:$O$86,15,0))</f>
        <v>0</v>
      </c>
      <c r="W412" s="6">
        <f>IF(ISERROR(VLOOKUP($T$412,'TAR FIN'!$A$1:$O$86,15,0)),0,VLOOKUP($T$412,'TAR FIN'!$A$1:$O$86,15,0))</f>
        <v>326.98</v>
      </c>
      <c r="X412" s="6">
        <f>IF(ISERROR(VLOOKUP($U$412,'TAR FIN'!$A$1:$O$86,15,0)),0,VLOOKUP($U$412,'TAR FIN'!$A$1:$O$86,15,0))</f>
        <v>314.52</v>
      </c>
      <c r="Y412" s="6"/>
      <c r="Z412" s="6">
        <f ca="1">('TUSD BE'!$AM$20+'TUSD BF'!$AM$20+'TUSD CVA'!$AM$20)*1</f>
        <v>313.91386533817797</v>
      </c>
      <c r="AA412" s="6">
        <f>('TE BE'!$AB$12+'TE BF'!$AB$12+'TE CVA'!$AB$12)*1</f>
        <v>248.89628694871266</v>
      </c>
      <c r="AB412" s="6">
        <f>$K$412*$V$412</f>
        <v>0</v>
      </c>
      <c r="AC412" s="6">
        <f>$M$412*$W$412</f>
        <v>18166.35484</v>
      </c>
      <c r="AD412" s="6">
        <f>$O$412*$X$412</f>
        <v>17474.102159999999</v>
      </c>
      <c r="AE412" s="6">
        <f>$K$412*$Y$412</f>
        <v>0</v>
      </c>
      <c r="AF412" s="6">
        <f ca="1">$M$412*$Z$412</f>
        <v>17440.426530458491</v>
      </c>
      <c r="AG412" s="6">
        <f>$O$412*$AA$412</f>
        <v>13828.179910296578</v>
      </c>
    </row>
    <row r="413" spans="1:33" ht="11.25" customHeight="1" x14ac:dyDescent="0.25">
      <c r="A413" s="4" t="s">
        <v>21</v>
      </c>
      <c r="B413" s="4" t="s">
        <v>22</v>
      </c>
      <c r="C413" s="4" t="s">
        <v>23</v>
      </c>
      <c r="D413" s="4" t="s">
        <v>24</v>
      </c>
      <c r="E413" s="4" t="s">
        <v>24</v>
      </c>
      <c r="F413" s="4" t="s">
        <v>25</v>
      </c>
      <c r="G413" s="4" t="s">
        <v>25</v>
      </c>
      <c r="H413" s="4" t="s">
        <v>25</v>
      </c>
      <c r="I413" s="5">
        <v>44682</v>
      </c>
      <c r="J413" s="6">
        <v>0</v>
      </c>
      <c r="K413" s="6">
        <v>0</v>
      </c>
      <c r="L413" s="6">
        <v>2859.8270000000002</v>
      </c>
      <c r="M413" s="6">
        <v>2859.8270000000002</v>
      </c>
      <c r="N413" s="6">
        <v>2859.8270000000002</v>
      </c>
      <c r="O413" s="6">
        <v>2859.8270000000002</v>
      </c>
      <c r="P413" s="6">
        <v>16126</v>
      </c>
      <c r="Q413" s="4" t="s">
        <v>26</v>
      </c>
      <c r="R413" s="4">
        <v>0</v>
      </c>
      <c r="S413" s="6">
        <v>0</v>
      </c>
      <c r="T413" s="6">
        <v>12</v>
      </c>
      <c r="U413" s="6">
        <v>48</v>
      </c>
      <c r="V413" s="6">
        <f>IF(ISERROR(VLOOKUP($S$413,'TAR FIN'!$A$1:$O$86,15,0)),0,VLOOKUP($S$413,'TAR FIN'!$A$1:$O$86,15,0))</f>
        <v>0</v>
      </c>
      <c r="W413" s="6">
        <f>IF(ISERROR(VLOOKUP($T$413,'TAR FIN'!$A$1:$O$86,15,0)),0,VLOOKUP($T$413,'TAR FIN'!$A$1:$O$86,15,0))</f>
        <v>326.98</v>
      </c>
      <c r="X413" s="6">
        <f>IF(ISERROR(VLOOKUP($U$413,'TAR FIN'!$A$1:$O$86,15,0)),0,VLOOKUP($U$413,'TAR FIN'!$A$1:$O$86,15,0))</f>
        <v>314.52</v>
      </c>
      <c r="Y413" s="6"/>
      <c r="Z413" s="6">
        <f ca="1">('TUSD BE'!$AM$20+'TUSD BF'!$AM$20+'TUSD CVA'!$AM$20)*1</f>
        <v>313.91386533817797</v>
      </c>
      <c r="AA413" s="6">
        <f>('TE BE'!$AB$12+'TE BF'!$AB$12+'TE CVA'!$AB$12)*1</f>
        <v>248.89628694871266</v>
      </c>
      <c r="AB413" s="6">
        <f>$K$413*$V$413</f>
        <v>0</v>
      </c>
      <c r="AC413" s="6">
        <f>$M$413*$W$413</f>
        <v>935106.23246000009</v>
      </c>
      <c r="AD413" s="6">
        <f>$O$413*$X$413</f>
        <v>899472.78804000001</v>
      </c>
      <c r="AE413" s="6">
        <f>$K$413*$Y$413</f>
        <v>0</v>
      </c>
      <c r="AF413" s="6">
        <f ca="1">$M$413*$Z$413</f>
        <v>897739.34776848555</v>
      </c>
      <c r="AG413" s="6">
        <f>$O$413*$AA$413</f>
        <v>711800.32161567616</v>
      </c>
    </row>
    <row r="414" spans="1:33" ht="11.25" customHeight="1" x14ac:dyDescent="0.25">
      <c r="A414" s="4" t="s">
        <v>41</v>
      </c>
      <c r="B414" s="4" t="s">
        <v>22</v>
      </c>
      <c r="C414" s="4" t="s">
        <v>23</v>
      </c>
      <c r="D414" s="4" t="s">
        <v>24</v>
      </c>
      <c r="E414" s="4" t="s">
        <v>24</v>
      </c>
      <c r="F414" s="4" t="s">
        <v>25</v>
      </c>
      <c r="G414" s="4" t="s">
        <v>25</v>
      </c>
      <c r="H414" s="4" t="s">
        <v>25</v>
      </c>
      <c r="I414" s="5">
        <v>44682</v>
      </c>
      <c r="J414" s="6">
        <v>0</v>
      </c>
      <c r="K414" s="6">
        <v>0</v>
      </c>
      <c r="L414" s="6">
        <v>-1.6659999999999999</v>
      </c>
      <c r="M414" s="6">
        <v>-1.6659999999999999</v>
      </c>
      <c r="N414" s="6">
        <v>-1.6659999999999999</v>
      </c>
      <c r="O414" s="6">
        <v>-1.6659999999999999</v>
      </c>
      <c r="P414" s="6">
        <v>0</v>
      </c>
      <c r="Q414" s="4" t="s">
        <v>26</v>
      </c>
      <c r="R414" s="4">
        <v>0</v>
      </c>
      <c r="S414" s="6">
        <v>0</v>
      </c>
      <c r="T414" s="6">
        <v>12</v>
      </c>
      <c r="U414" s="6">
        <v>48</v>
      </c>
      <c r="V414" s="6">
        <f>IF(ISERROR(VLOOKUP($S$414,'TAR FIN'!$A$1:$O$86,15,0)),0,VLOOKUP($S$414,'TAR FIN'!$A$1:$O$86,15,0))</f>
        <v>0</v>
      </c>
      <c r="W414" s="6">
        <f>IF(ISERROR(VLOOKUP($T$414,'TAR FIN'!$A$1:$O$86,15,0)),0,VLOOKUP($T$414,'TAR FIN'!$A$1:$O$86,15,0))</f>
        <v>326.98</v>
      </c>
      <c r="X414" s="6">
        <f>IF(ISERROR(VLOOKUP($U$414,'TAR FIN'!$A$1:$O$86,15,0)),0,VLOOKUP($U$414,'TAR FIN'!$A$1:$O$86,15,0))</f>
        <v>314.52</v>
      </c>
      <c r="Y414" s="6"/>
      <c r="Z414" s="6">
        <f ca="1">('TUSD BE'!$AM$20+'TUSD BF'!$AM$20+'TUSD CVA'!$AM$20)*1</f>
        <v>313.91386533817797</v>
      </c>
      <c r="AA414" s="6">
        <f>('TE BE'!$AB$12+'TE BF'!$AB$12+'TE CVA'!$AB$12)*1</f>
        <v>248.89628694871266</v>
      </c>
      <c r="AB414" s="6">
        <f>$K$414*$V$414</f>
        <v>0</v>
      </c>
      <c r="AC414" s="6">
        <f>$M$414*$W$414</f>
        <v>-544.74868000000004</v>
      </c>
      <c r="AD414" s="6">
        <f>$O$414*$X$414</f>
        <v>-523.99032</v>
      </c>
      <c r="AE414" s="6">
        <f>$K$414*$Y$414</f>
        <v>0</v>
      </c>
      <c r="AF414" s="6">
        <f ca="1">$M$414*$Z$414</f>
        <v>-522.98049965340442</v>
      </c>
      <c r="AG414" s="6">
        <f>$O$414*$AA$414</f>
        <v>-414.66121405655525</v>
      </c>
    </row>
    <row r="415" spans="1:33" ht="11.25" customHeight="1" x14ac:dyDescent="0.25">
      <c r="A415" s="4" t="s">
        <v>27</v>
      </c>
      <c r="B415" s="4" t="s">
        <v>22</v>
      </c>
      <c r="C415" s="4" t="s">
        <v>23</v>
      </c>
      <c r="D415" s="4" t="s">
        <v>24</v>
      </c>
      <c r="E415" s="4" t="s">
        <v>24</v>
      </c>
      <c r="F415" s="4" t="s">
        <v>25</v>
      </c>
      <c r="G415" s="4" t="s">
        <v>25</v>
      </c>
      <c r="H415" s="4" t="s">
        <v>25</v>
      </c>
      <c r="I415" s="5">
        <v>44682</v>
      </c>
      <c r="J415" s="6">
        <v>0</v>
      </c>
      <c r="K415" s="6">
        <v>0</v>
      </c>
      <c r="L415" s="6">
        <v>86.841999999999999</v>
      </c>
      <c r="M415" s="6">
        <v>86.841999999999999</v>
      </c>
      <c r="N415" s="6">
        <v>86.841999999999999</v>
      </c>
      <c r="O415" s="6">
        <v>86.841999999999999</v>
      </c>
      <c r="P415" s="6">
        <v>720</v>
      </c>
      <c r="Q415" s="4" t="s">
        <v>26</v>
      </c>
      <c r="R415" s="4">
        <v>0</v>
      </c>
      <c r="S415" s="6">
        <v>0</v>
      </c>
      <c r="T415" s="6">
        <v>12</v>
      </c>
      <c r="U415" s="6">
        <v>48</v>
      </c>
      <c r="V415" s="6">
        <f>IF(ISERROR(VLOOKUP($S$415,'TAR FIN'!$A$1:$O$86,15,0)),0,VLOOKUP($S$415,'TAR FIN'!$A$1:$O$86,15,0))</f>
        <v>0</v>
      </c>
      <c r="W415" s="6">
        <f>IF(ISERROR(VLOOKUP($T$415,'TAR FIN'!$A$1:$O$86,15,0)),0,VLOOKUP($T$415,'TAR FIN'!$A$1:$O$86,15,0))</f>
        <v>326.98</v>
      </c>
      <c r="X415" s="6">
        <f>IF(ISERROR(VLOOKUP($U$415,'TAR FIN'!$A$1:$O$86,15,0)),0,VLOOKUP($U$415,'TAR FIN'!$A$1:$O$86,15,0))</f>
        <v>314.52</v>
      </c>
      <c r="Y415" s="6"/>
      <c r="Z415" s="6">
        <f ca="1">('TUSD BE'!$AM$20+'TUSD BF'!$AM$20+'TUSD CVA'!$AM$20)*1</f>
        <v>313.91386533817797</v>
      </c>
      <c r="AA415" s="6">
        <f>('TE BE'!$AB$12+'TE BF'!$AB$12+'TE CVA'!$AB$12)*1</f>
        <v>248.89628694871266</v>
      </c>
      <c r="AB415" s="6">
        <f>$K$415*$V$415</f>
        <v>0</v>
      </c>
      <c r="AC415" s="6">
        <f>$M$415*$W$415</f>
        <v>28395.597160000001</v>
      </c>
      <c r="AD415" s="6">
        <f>$O$415*$X$415</f>
        <v>27313.545839999999</v>
      </c>
      <c r="AE415" s="6">
        <f>$K$415*$Y$415</f>
        <v>0</v>
      </c>
      <c r="AF415" s="6">
        <f ca="1">$M$415*$Z$415</f>
        <v>27260.907893698051</v>
      </c>
      <c r="AG415" s="6">
        <f>$O$415*$AA$415</f>
        <v>21614.651351200104</v>
      </c>
    </row>
    <row r="416" spans="1:33" ht="11.25" customHeight="1" x14ac:dyDescent="0.25">
      <c r="A416" s="4" t="s">
        <v>55</v>
      </c>
      <c r="B416" s="4" t="s">
        <v>22</v>
      </c>
      <c r="C416" s="4" t="s">
        <v>23</v>
      </c>
      <c r="D416" s="4" t="s">
        <v>24</v>
      </c>
      <c r="E416" s="4" t="s">
        <v>24</v>
      </c>
      <c r="F416" s="4" t="s">
        <v>25</v>
      </c>
      <c r="G416" s="4" t="s">
        <v>25</v>
      </c>
      <c r="H416" s="4" t="s">
        <v>25</v>
      </c>
      <c r="I416" s="5">
        <v>44713</v>
      </c>
      <c r="J416" s="6">
        <v>0</v>
      </c>
      <c r="K416" s="6">
        <v>0</v>
      </c>
      <c r="L416" s="6">
        <v>2859.8270000000002</v>
      </c>
      <c r="M416" s="6">
        <v>2859.8270000000002</v>
      </c>
      <c r="N416" s="6">
        <v>2859.8270000000002</v>
      </c>
      <c r="O416" s="6">
        <v>2859.8270000000002</v>
      </c>
      <c r="P416" s="6">
        <v>16126</v>
      </c>
      <c r="Q416" s="4" t="s">
        <v>26</v>
      </c>
      <c r="R416" s="4">
        <v>0</v>
      </c>
      <c r="S416" s="6">
        <v>0</v>
      </c>
      <c r="T416" s="6">
        <v>12</v>
      </c>
      <c r="U416" s="6">
        <v>48</v>
      </c>
      <c r="V416" s="6">
        <f>IF(ISERROR(VLOOKUP($S$416,'TAR FIN'!$A$1:$O$86,15,0)),0,VLOOKUP($S$416,'TAR FIN'!$A$1:$O$86,15,0))</f>
        <v>0</v>
      </c>
      <c r="W416" s="6">
        <f>IF(ISERROR(VLOOKUP($T$416,'TAR FIN'!$A$1:$O$86,15,0)),0,VLOOKUP($T$416,'TAR FIN'!$A$1:$O$86,15,0))</f>
        <v>326.98</v>
      </c>
      <c r="X416" s="6">
        <f>IF(ISERROR(VLOOKUP($U$416,'TAR FIN'!$A$1:$O$86,15,0)),0,VLOOKUP($U$416,'TAR FIN'!$A$1:$O$86,15,0))</f>
        <v>314.52</v>
      </c>
      <c r="Y416" s="6"/>
      <c r="Z416" s="6">
        <f ca="1">('TUSD BE'!$AM$20+'TUSD BF'!$AM$20+'TUSD CVA'!$AM$20)*1</f>
        <v>313.91386533817797</v>
      </c>
      <c r="AA416" s="6">
        <f>('TE BE'!$AB$12+'TE BF'!$AB$12+'TE CVA'!$AB$12)*1</f>
        <v>248.89628694871266</v>
      </c>
      <c r="AB416" s="6">
        <f>$K$416*$V$416</f>
        <v>0</v>
      </c>
      <c r="AC416" s="6">
        <f>$M$416*$W$416</f>
        <v>935106.23246000009</v>
      </c>
      <c r="AD416" s="6">
        <f>$O$416*$X$416</f>
        <v>899472.78804000001</v>
      </c>
      <c r="AE416" s="6">
        <f>$K$416*$Y$416</f>
        <v>0</v>
      </c>
      <c r="AF416" s="6">
        <f ca="1">$M$416*$Z$416</f>
        <v>897739.34776848555</v>
      </c>
      <c r="AG416" s="6">
        <f>$O$416*$AA$416</f>
        <v>711800.32161567616</v>
      </c>
    </row>
    <row r="417" spans="1:33" ht="11.25" customHeight="1" x14ac:dyDescent="0.25">
      <c r="A417" s="4" t="s">
        <v>55</v>
      </c>
      <c r="B417" s="4" t="s">
        <v>22</v>
      </c>
      <c r="C417" s="4" t="s">
        <v>23</v>
      </c>
      <c r="D417" s="4" t="s">
        <v>24</v>
      </c>
      <c r="E417" s="4" t="s">
        <v>24</v>
      </c>
      <c r="F417" s="4" t="s">
        <v>25</v>
      </c>
      <c r="G417" s="4" t="s">
        <v>25</v>
      </c>
      <c r="H417" s="4" t="s">
        <v>25</v>
      </c>
      <c r="I417" s="5">
        <v>44713</v>
      </c>
      <c r="J417" s="6">
        <v>0</v>
      </c>
      <c r="K417" s="6">
        <v>0</v>
      </c>
      <c r="L417" s="6">
        <v>-1.6659999999999999</v>
      </c>
      <c r="M417" s="6">
        <v>-1.6659999999999999</v>
      </c>
      <c r="N417" s="6">
        <v>-1.6659999999999999</v>
      </c>
      <c r="O417" s="6">
        <v>-1.6659999999999999</v>
      </c>
      <c r="P417" s="6">
        <v>0</v>
      </c>
      <c r="Q417" s="4" t="s">
        <v>26</v>
      </c>
      <c r="R417" s="4">
        <v>0</v>
      </c>
      <c r="S417" s="6">
        <v>0</v>
      </c>
      <c r="T417" s="6">
        <v>12</v>
      </c>
      <c r="U417" s="6">
        <v>48</v>
      </c>
      <c r="V417" s="6">
        <f>IF(ISERROR(VLOOKUP($S$417,'TAR FIN'!$A$1:$O$86,15,0)),0,VLOOKUP($S$417,'TAR FIN'!$A$1:$O$86,15,0))</f>
        <v>0</v>
      </c>
      <c r="W417" s="6">
        <f>IF(ISERROR(VLOOKUP($T$417,'TAR FIN'!$A$1:$O$86,15,0)),0,VLOOKUP($T$417,'TAR FIN'!$A$1:$O$86,15,0))</f>
        <v>326.98</v>
      </c>
      <c r="X417" s="6">
        <f>IF(ISERROR(VLOOKUP($U$417,'TAR FIN'!$A$1:$O$86,15,0)),0,VLOOKUP($U$417,'TAR FIN'!$A$1:$O$86,15,0))</f>
        <v>314.52</v>
      </c>
      <c r="Y417" s="6"/>
      <c r="Z417" s="6">
        <f ca="1">('TUSD BE'!$AM$20+'TUSD BF'!$AM$20+'TUSD CVA'!$AM$20)*1</f>
        <v>313.91386533817797</v>
      </c>
      <c r="AA417" s="6">
        <f>('TE BE'!$AB$12+'TE BF'!$AB$12+'TE CVA'!$AB$12)*1</f>
        <v>248.89628694871266</v>
      </c>
      <c r="AB417" s="6">
        <f>$K$417*$V$417</f>
        <v>0</v>
      </c>
      <c r="AC417" s="6">
        <f>$M$417*$W$417</f>
        <v>-544.74868000000004</v>
      </c>
      <c r="AD417" s="6">
        <f>$O$417*$X$417</f>
        <v>-523.99032</v>
      </c>
      <c r="AE417" s="6">
        <f>$K$417*$Y$417</f>
        <v>0</v>
      </c>
      <c r="AF417" s="6">
        <f ca="1">$M$417*$Z$417</f>
        <v>-522.98049965340442</v>
      </c>
      <c r="AG417" s="6">
        <f>$O$417*$AA$417</f>
        <v>-414.66121405655525</v>
      </c>
    </row>
    <row r="418" spans="1:33" ht="11.25" customHeight="1" x14ac:dyDescent="0.25">
      <c r="A418" s="4" t="s">
        <v>55</v>
      </c>
      <c r="B418" s="4" t="s">
        <v>22</v>
      </c>
      <c r="C418" s="4" t="s">
        <v>23</v>
      </c>
      <c r="D418" s="4" t="s">
        <v>24</v>
      </c>
      <c r="E418" s="4" t="s">
        <v>24</v>
      </c>
      <c r="F418" s="4" t="s">
        <v>25</v>
      </c>
      <c r="G418" s="4" t="s">
        <v>25</v>
      </c>
      <c r="H418" s="4" t="s">
        <v>25</v>
      </c>
      <c r="I418" s="5">
        <v>44713</v>
      </c>
      <c r="J418" s="6">
        <v>0</v>
      </c>
      <c r="K418" s="6">
        <v>0</v>
      </c>
      <c r="L418" s="6">
        <v>86.841999999999999</v>
      </c>
      <c r="M418" s="6">
        <v>86.841999999999999</v>
      </c>
      <c r="N418" s="6">
        <v>86.841999999999999</v>
      </c>
      <c r="O418" s="6">
        <v>86.841999999999999</v>
      </c>
      <c r="P418" s="6">
        <v>720</v>
      </c>
      <c r="Q418" s="4" t="s">
        <v>26</v>
      </c>
      <c r="R418" s="4">
        <v>0</v>
      </c>
      <c r="S418" s="6">
        <v>0</v>
      </c>
      <c r="T418" s="6">
        <v>12</v>
      </c>
      <c r="U418" s="6">
        <v>48</v>
      </c>
      <c r="V418" s="6">
        <f>IF(ISERROR(VLOOKUP($S$418,'TAR FIN'!$A$1:$O$86,15,0)),0,VLOOKUP($S$418,'TAR FIN'!$A$1:$O$86,15,0))</f>
        <v>0</v>
      </c>
      <c r="W418" s="6">
        <f>IF(ISERROR(VLOOKUP($T$418,'TAR FIN'!$A$1:$O$86,15,0)),0,VLOOKUP($T$418,'TAR FIN'!$A$1:$O$86,15,0))</f>
        <v>326.98</v>
      </c>
      <c r="X418" s="6">
        <f>IF(ISERROR(VLOOKUP($U$418,'TAR FIN'!$A$1:$O$86,15,0)),0,VLOOKUP($U$418,'TAR FIN'!$A$1:$O$86,15,0))</f>
        <v>314.52</v>
      </c>
      <c r="Y418" s="6"/>
      <c r="Z418" s="6">
        <f ca="1">('TUSD BE'!$AM$20+'TUSD BF'!$AM$20+'TUSD CVA'!$AM$20)*1</f>
        <v>313.91386533817797</v>
      </c>
      <c r="AA418" s="6">
        <f>('TE BE'!$AB$12+'TE BF'!$AB$12+'TE CVA'!$AB$12)*1</f>
        <v>248.89628694871266</v>
      </c>
      <c r="AB418" s="6">
        <f>$K$418*$V$418</f>
        <v>0</v>
      </c>
      <c r="AC418" s="6">
        <f>$M$418*$W$418</f>
        <v>28395.597160000001</v>
      </c>
      <c r="AD418" s="6">
        <f>$O$418*$X$418</f>
        <v>27313.545839999999</v>
      </c>
      <c r="AE418" s="6">
        <f>$K$418*$Y$418</f>
        <v>0</v>
      </c>
      <c r="AF418" s="6">
        <f ca="1">$M$418*$Z$418</f>
        <v>27260.907893698051</v>
      </c>
      <c r="AG418" s="6">
        <f>$O$418*$AA$418</f>
        <v>21614.651351200104</v>
      </c>
    </row>
    <row r="419" spans="1:33" ht="11.25" customHeight="1" x14ac:dyDescent="0.25">
      <c r="A419" s="4" t="s">
        <v>21</v>
      </c>
      <c r="B419" s="4" t="s">
        <v>22</v>
      </c>
      <c r="C419" s="4" t="s">
        <v>23</v>
      </c>
      <c r="D419" s="4" t="s">
        <v>24</v>
      </c>
      <c r="E419" s="4" t="s">
        <v>28</v>
      </c>
      <c r="F419" s="4" t="s">
        <v>25</v>
      </c>
      <c r="G419" s="4" t="s">
        <v>25</v>
      </c>
      <c r="H419" s="4" t="s">
        <v>25</v>
      </c>
      <c r="I419" s="5">
        <v>44378</v>
      </c>
      <c r="J419" s="6">
        <v>0</v>
      </c>
      <c r="K419" s="6">
        <v>0</v>
      </c>
      <c r="L419" s="6">
        <v>18.510000000000002</v>
      </c>
      <c r="M419" s="6">
        <v>18.510000000000002</v>
      </c>
      <c r="N419" s="6">
        <v>18.510000000000002</v>
      </c>
      <c r="O419" s="6">
        <v>18.510000000000002</v>
      </c>
      <c r="P419" s="6">
        <v>23</v>
      </c>
      <c r="Q419" s="4" t="s">
        <v>26</v>
      </c>
      <c r="R419" s="4">
        <v>0</v>
      </c>
      <c r="S419" s="6">
        <v>0</v>
      </c>
      <c r="T419" s="6">
        <v>14</v>
      </c>
      <c r="U419" s="6">
        <v>52</v>
      </c>
      <c r="V419" s="6">
        <f>IF(ISERROR(VLOOKUP($S$419,'TAR FIN'!$A$1:$O$86,15,0)),0,VLOOKUP($S$419,'TAR FIN'!$A$1:$O$86,15,0))</f>
        <v>0</v>
      </c>
      <c r="W419" s="6">
        <f>IF(ISERROR(VLOOKUP($T$419,'TAR FIN'!$A$1:$O$86,15,0)),0,VLOOKUP($T$419,'TAR FIN'!$A$1:$O$86,15,0))</f>
        <v>88.57</v>
      </c>
      <c r="X419" s="6">
        <f>IF(ISERROR(VLOOKUP($U$419,'TAR FIN'!$A$1:$O$86,15,0)),0,VLOOKUP($U$419,'TAR FIN'!$A$1:$O$86,15,0))</f>
        <v>110.08</v>
      </c>
      <c r="Y419" s="6"/>
      <c r="Z419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419" s="6">
        <f>('TE BE'!$AB$13+'TE BF'!$AB$13+'TE CVA'!$AB$13)*(1-CUSTOS!$M$34)</f>
        <v>87.113700432049427</v>
      </c>
      <c r="AB419" s="6">
        <f>$K$419*$V$419</f>
        <v>0</v>
      </c>
      <c r="AC419" s="6">
        <f>$M$419*$W$419</f>
        <v>1639.4307000000001</v>
      </c>
      <c r="AD419" s="6">
        <f>$O$419*$X$419</f>
        <v>2037.5808000000002</v>
      </c>
      <c r="AE419" s="6">
        <f>$K$419*$Y$419</f>
        <v>0</v>
      </c>
      <c r="AF419" s="6">
        <f ca="1">$M$419*$Z$419</f>
        <v>1359.2688405461486</v>
      </c>
      <c r="AG419" s="6">
        <f>$O$419*$AA$419</f>
        <v>1612.474594997235</v>
      </c>
    </row>
    <row r="420" spans="1:33" ht="11.25" customHeight="1" x14ac:dyDescent="0.25">
      <c r="A420" s="4" t="s">
        <v>21</v>
      </c>
      <c r="B420" s="4" t="s">
        <v>22</v>
      </c>
      <c r="C420" s="4" t="s">
        <v>23</v>
      </c>
      <c r="D420" s="4" t="s">
        <v>24</v>
      </c>
      <c r="E420" s="4" t="s">
        <v>28</v>
      </c>
      <c r="F420" s="4" t="s">
        <v>25</v>
      </c>
      <c r="G420" s="4" t="s">
        <v>25</v>
      </c>
      <c r="H420" s="4" t="s">
        <v>25</v>
      </c>
      <c r="I420" s="5">
        <v>44409</v>
      </c>
      <c r="J420" s="6">
        <v>0</v>
      </c>
      <c r="K420" s="6">
        <v>0</v>
      </c>
      <c r="L420" s="6">
        <v>18.72</v>
      </c>
      <c r="M420" s="6">
        <v>18.72</v>
      </c>
      <c r="N420" s="6">
        <v>18.72</v>
      </c>
      <c r="O420" s="6">
        <v>18.72</v>
      </c>
      <c r="P420" s="6">
        <v>18</v>
      </c>
      <c r="Q420" s="4" t="s">
        <v>26</v>
      </c>
      <c r="R420" s="4">
        <v>0</v>
      </c>
      <c r="S420" s="6">
        <v>0</v>
      </c>
      <c r="T420" s="6">
        <v>14</v>
      </c>
      <c r="U420" s="6">
        <v>52</v>
      </c>
      <c r="V420" s="6">
        <f>IF(ISERROR(VLOOKUP($S$420,'TAR FIN'!$A$1:$O$86,15,0)),0,VLOOKUP($S$420,'TAR FIN'!$A$1:$O$86,15,0))</f>
        <v>0</v>
      </c>
      <c r="W420" s="6">
        <f>IF(ISERROR(VLOOKUP($T$420,'TAR FIN'!$A$1:$O$86,15,0)),0,VLOOKUP($T$420,'TAR FIN'!$A$1:$O$86,15,0))</f>
        <v>88.57</v>
      </c>
      <c r="X420" s="6">
        <f>IF(ISERROR(VLOOKUP($U$420,'TAR FIN'!$A$1:$O$86,15,0)),0,VLOOKUP($U$420,'TAR FIN'!$A$1:$O$86,15,0))</f>
        <v>110.08</v>
      </c>
      <c r="Y420" s="6"/>
      <c r="Z420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420" s="6">
        <f>('TE BE'!$AB$13+'TE BF'!$AB$13+'TE CVA'!$AB$13)*(1-CUSTOS!$M$34)</f>
        <v>87.113700432049427</v>
      </c>
      <c r="AB420" s="6">
        <f>$K$420*$V$420</f>
        <v>0</v>
      </c>
      <c r="AC420" s="6">
        <f>$M$420*$W$420</f>
        <v>1658.0303999999999</v>
      </c>
      <c r="AD420" s="6">
        <f>$O$420*$X$420</f>
        <v>2060.6976</v>
      </c>
      <c r="AE420" s="6">
        <f>$K$420*$Y$420</f>
        <v>0</v>
      </c>
      <c r="AF420" s="6">
        <f ca="1">$M$420*$Z$420</f>
        <v>1374.6900429510479</v>
      </c>
      <c r="AG420" s="6">
        <f>$O$420*$AA$420</f>
        <v>1630.7684720879652</v>
      </c>
    </row>
    <row r="421" spans="1:33" ht="11.25" customHeight="1" x14ac:dyDescent="0.25">
      <c r="A421" s="4" t="s">
        <v>21</v>
      </c>
      <c r="B421" s="4" t="s">
        <v>22</v>
      </c>
      <c r="C421" s="4" t="s">
        <v>23</v>
      </c>
      <c r="D421" s="4" t="s">
        <v>24</v>
      </c>
      <c r="E421" s="4" t="s">
        <v>28</v>
      </c>
      <c r="F421" s="4" t="s">
        <v>25</v>
      </c>
      <c r="G421" s="4" t="s">
        <v>25</v>
      </c>
      <c r="H421" s="4" t="s">
        <v>25</v>
      </c>
      <c r="I421" s="5">
        <v>44440</v>
      </c>
      <c r="J421" s="6">
        <v>0</v>
      </c>
      <c r="K421" s="6">
        <v>0</v>
      </c>
      <c r="L421" s="6">
        <v>18.93</v>
      </c>
      <c r="M421" s="6">
        <v>18.93</v>
      </c>
      <c r="N421" s="6">
        <v>18.93</v>
      </c>
      <c r="O421" s="6">
        <v>18.93</v>
      </c>
      <c r="P421" s="6">
        <v>16</v>
      </c>
      <c r="Q421" s="4" t="s">
        <v>26</v>
      </c>
      <c r="R421" s="4">
        <v>0</v>
      </c>
      <c r="S421" s="6">
        <v>0</v>
      </c>
      <c r="T421" s="6">
        <v>14</v>
      </c>
      <c r="U421" s="6">
        <v>52</v>
      </c>
      <c r="V421" s="6">
        <f>IF(ISERROR(VLOOKUP($S$421,'TAR FIN'!$A$1:$O$86,15,0)),0,VLOOKUP($S$421,'TAR FIN'!$A$1:$O$86,15,0))</f>
        <v>0</v>
      </c>
      <c r="W421" s="6">
        <f>IF(ISERROR(VLOOKUP($T$421,'TAR FIN'!$A$1:$O$86,15,0)),0,VLOOKUP($T$421,'TAR FIN'!$A$1:$O$86,15,0))</f>
        <v>88.57</v>
      </c>
      <c r="X421" s="6">
        <f>IF(ISERROR(VLOOKUP($U$421,'TAR FIN'!$A$1:$O$86,15,0)),0,VLOOKUP($U$421,'TAR FIN'!$A$1:$O$86,15,0))</f>
        <v>110.08</v>
      </c>
      <c r="Y421" s="6"/>
      <c r="Z421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421" s="6">
        <f>('TE BE'!$AB$13+'TE BF'!$AB$13+'TE CVA'!$AB$13)*(1-CUSTOS!$M$34)</f>
        <v>87.113700432049427</v>
      </c>
      <c r="AB421" s="6">
        <f>$K$421*$V$421</f>
        <v>0</v>
      </c>
      <c r="AC421" s="6">
        <f>$M$421*$W$421</f>
        <v>1676.6300999999999</v>
      </c>
      <c r="AD421" s="6">
        <f>$O$421*$X$421</f>
        <v>2083.8143999999998</v>
      </c>
      <c r="AE421" s="6">
        <f>$K$421*$Y$421</f>
        <v>0</v>
      </c>
      <c r="AF421" s="6">
        <f ca="1">$M$421*$Z$421</f>
        <v>1390.1112453559474</v>
      </c>
      <c r="AG421" s="6">
        <f>$O$421*$AA$421</f>
        <v>1649.0623491786957</v>
      </c>
    </row>
    <row r="422" spans="1:33" ht="11.25" customHeight="1" x14ac:dyDescent="0.25">
      <c r="A422" s="4" t="s">
        <v>21</v>
      </c>
      <c r="B422" s="4" t="s">
        <v>22</v>
      </c>
      <c r="C422" s="4" t="s">
        <v>23</v>
      </c>
      <c r="D422" s="4" t="s">
        <v>24</v>
      </c>
      <c r="E422" s="4" t="s">
        <v>28</v>
      </c>
      <c r="F422" s="4" t="s">
        <v>25</v>
      </c>
      <c r="G422" s="4" t="s">
        <v>25</v>
      </c>
      <c r="H422" s="4" t="s">
        <v>25</v>
      </c>
      <c r="I422" s="5">
        <v>44470</v>
      </c>
      <c r="J422" s="6">
        <v>0</v>
      </c>
      <c r="K422" s="6">
        <v>0</v>
      </c>
      <c r="L422" s="6">
        <v>19.02</v>
      </c>
      <c r="M422" s="6">
        <v>19.02</v>
      </c>
      <c r="N422" s="6">
        <v>19.02</v>
      </c>
      <c r="O422" s="6">
        <v>19.02</v>
      </c>
      <c r="P422" s="6">
        <v>19</v>
      </c>
      <c r="Q422" s="4" t="s">
        <v>26</v>
      </c>
      <c r="R422" s="4">
        <v>0</v>
      </c>
      <c r="S422" s="6">
        <v>0</v>
      </c>
      <c r="T422" s="6">
        <v>14</v>
      </c>
      <c r="U422" s="6">
        <v>52</v>
      </c>
      <c r="V422" s="6">
        <f>IF(ISERROR(VLOOKUP($S$422,'TAR FIN'!$A$1:$O$86,15,0)),0,VLOOKUP($S$422,'TAR FIN'!$A$1:$O$86,15,0))</f>
        <v>0</v>
      </c>
      <c r="W422" s="6">
        <f>IF(ISERROR(VLOOKUP($T$422,'TAR FIN'!$A$1:$O$86,15,0)),0,VLOOKUP($T$422,'TAR FIN'!$A$1:$O$86,15,0))</f>
        <v>88.57</v>
      </c>
      <c r="X422" s="6">
        <f>IF(ISERROR(VLOOKUP($U$422,'TAR FIN'!$A$1:$O$86,15,0)),0,VLOOKUP($U$422,'TAR FIN'!$A$1:$O$86,15,0))</f>
        <v>110.08</v>
      </c>
      <c r="Y422" s="6"/>
      <c r="Z422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422" s="6">
        <f>('TE BE'!$AB$13+'TE BF'!$AB$13+'TE CVA'!$AB$13)*(1-CUSTOS!$M$34)</f>
        <v>87.113700432049427</v>
      </c>
      <c r="AB422" s="6">
        <f>$K$422*$V$422</f>
        <v>0</v>
      </c>
      <c r="AC422" s="6">
        <f>$M$422*$W$422</f>
        <v>1684.6013999999998</v>
      </c>
      <c r="AD422" s="6">
        <f>$O$422*$X$422</f>
        <v>2093.7215999999999</v>
      </c>
      <c r="AE422" s="6">
        <f>$K$422*$Y$422</f>
        <v>0</v>
      </c>
      <c r="AF422" s="6">
        <f ca="1">$M$422*$Z$422</f>
        <v>1396.7203321009044</v>
      </c>
      <c r="AG422" s="6">
        <f>$O$422*$AA$422</f>
        <v>1656.9025822175802</v>
      </c>
    </row>
    <row r="423" spans="1:33" ht="11.25" customHeight="1" x14ac:dyDescent="0.25">
      <c r="A423" s="4" t="s">
        <v>21</v>
      </c>
      <c r="B423" s="4" t="s">
        <v>22</v>
      </c>
      <c r="C423" s="4" t="s">
        <v>23</v>
      </c>
      <c r="D423" s="4" t="s">
        <v>24</v>
      </c>
      <c r="E423" s="4" t="s">
        <v>28</v>
      </c>
      <c r="F423" s="4" t="s">
        <v>25</v>
      </c>
      <c r="G423" s="4" t="s">
        <v>25</v>
      </c>
      <c r="H423" s="4" t="s">
        <v>25</v>
      </c>
      <c r="I423" s="5">
        <v>44501</v>
      </c>
      <c r="J423" s="6">
        <v>0</v>
      </c>
      <c r="K423" s="6">
        <v>0</v>
      </c>
      <c r="L423" s="6">
        <v>19.14</v>
      </c>
      <c r="M423" s="6">
        <v>19.14</v>
      </c>
      <c r="N423" s="6">
        <v>19.14</v>
      </c>
      <c r="O423" s="6">
        <v>19.14</v>
      </c>
      <c r="P423" s="6">
        <v>14</v>
      </c>
      <c r="Q423" s="4" t="s">
        <v>26</v>
      </c>
      <c r="R423" s="4">
        <v>0</v>
      </c>
      <c r="S423" s="6">
        <v>0</v>
      </c>
      <c r="T423" s="6">
        <v>14</v>
      </c>
      <c r="U423" s="6">
        <v>52</v>
      </c>
      <c r="V423" s="6">
        <f>IF(ISERROR(VLOOKUP($S$423,'TAR FIN'!$A$1:$O$86,15,0)),0,VLOOKUP($S$423,'TAR FIN'!$A$1:$O$86,15,0))</f>
        <v>0</v>
      </c>
      <c r="W423" s="6">
        <f>IF(ISERROR(VLOOKUP($T$423,'TAR FIN'!$A$1:$O$86,15,0)),0,VLOOKUP($T$423,'TAR FIN'!$A$1:$O$86,15,0))</f>
        <v>88.57</v>
      </c>
      <c r="X423" s="6">
        <f>IF(ISERROR(VLOOKUP($U$423,'TAR FIN'!$A$1:$O$86,15,0)),0,VLOOKUP($U$423,'TAR FIN'!$A$1:$O$86,15,0))</f>
        <v>110.08</v>
      </c>
      <c r="Y423" s="6"/>
      <c r="Z423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423" s="6">
        <f>('TE BE'!$AB$13+'TE BF'!$AB$13+'TE CVA'!$AB$13)*(1-CUSTOS!$M$34)</f>
        <v>87.113700432049427</v>
      </c>
      <c r="AB423" s="6">
        <f>$K$423*$V$423</f>
        <v>0</v>
      </c>
      <c r="AC423" s="6">
        <f>$M$423*$W$423</f>
        <v>1695.2297999999998</v>
      </c>
      <c r="AD423" s="6">
        <f>$O$423*$X$423</f>
        <v>2106.9312</v>
      </c>
      <c r="AE423" s="6">
        <f>$K$423*$Y$423</f>
        <v>0</v>
      </c>
      <c r="AF423" s="6">
        <f ca="1">$M$423*$Z$423</f>
        <v>1405.5324477608472</v>
      </c>
      <c r="AG423" s="6">
        <f>$O$423*$AA$423</f>
        <v>1667.3562262694261</v>
      </c>
    </row>
    <row r="424" spans="1:33" ht="11.25" customHeight="1" x14ac:dyDescent="0.25">
      <c r="A424" s="4" t="s">
        <v>21</v>
      </c>
      <c r="B424" s="4" t="s">
        <v>22</v>
      </c>
      <c r="C424" s="4" t="s">
        <v>23</v>
      </c>
      <c r="D424" s="4" t="s">
        <v>24</v>
      </c>
      <c r="E424" s="4" t="s">
        <v>28</v>
      </c>
      <c r="F424" s="4" t="s">
        <v>25</v>
      </c>
      <c r="G424" s="4" t="s">
        <v>25</v>
      </c>
      <c r="H424" s="4" t="s">
        <v>25</v>
      </c>
      <c r="I424" s="5">
        <v>44531</v>
      </c>
      <c r="J424" s="6">
        <v>0</v>
      </c>
      <c r="K424" s="6">
        <v>0</v>
      </c>
      <c r="L424" s="6">
        <v>19.260000000000002</v>
      </c>
      <c r="M424" s="6">
        <v>19.260000000000002</v>
      </c>
      <c r="N424" s="6">
        <v>19.260000000000002</v>
      </c>
      <c r="O424" s="6">
        <v>19.260000000000002</v>
      </c>
      <c r="P424" s="6">
        <v>14</v>
      </c>
      <c r="Q424" s="4" t="s">
        <v>26</v>
      </c>
      <c r="R424" s="4">
        <v>0</v>
      </c>
      <c r="S424" s="6">
        <v>0</v>
      </c>
      <c r="T424" s="6">
        <v>14</v>
      </c>
      <c r="U424" s="6">
        <v>52</v>
      </c>
      <c r="V424" s="6">
        <f>IF(ISERROR(VLOOKUP($S$424,'TAR FIN'!$A$1:$O$86,15,0)),0,VLOOKUP($S$424,'TAR FIN'!$A$1:$O$86,15,0))</f>
        <v>0</v>
      </c>
      <c r="W424" s="6">
        <f>IF(ISERROR(VLOOKUP($T$424,'TAR FIN'!$A$1:$O$86,15,0)),0,VLOOKUP($T$424,'TAR FIN'!$A$1:$O$86,15,0))</f>
        <v>88.57</v>
      </c>
      <c r="X424" s="6">
        <f>IF(ISERROR(VLOOKUP($U$424,'TAR FIN'!$A$1:$O$86,15,0)),0,VLOOKUP($U$424,'TAR FIN'!$A$1:$O$86,15,0))</f>
        <v>110.08</v>
      </c>
      <c r="Y424" s="6"/>
      <c r="Z424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424" s="6">
        <f>('TE BE'!$AB$13+'TE BF'!$AB$13+'TE CVA'!$AB$13)*(1-CUSTOS!$M$34)</f>
        <v>87.113700432049427</v>
      </c>
      <c r="AB424" s="6">
        <f>$K$424*$V$424</f>
        <v>0</v>
      </c>
      <c r="AC424" s="6">
        <f>$M$424*$W$424</f>
        <v>1705.8581999999999</v>
      </c>
      <c r="AD424" s="6">
        <f>$O$424*$X$424</f>
        <v>2120.1408000000001</v>
      </c>
      <c r="AE424" s="6">
        <f>$K$424*$Y$424</f>
        <v>0</v>
      </c>
      <c r="AF424" s="6">
        <f ca="1">$M$424*$Z$424</f>
        <v>1414.3445634207899</v>
      </c>
      <c r="AG424" s="6">
        <f>$O$424*$AA$424</f>
        <v>1677.809870321272</v>
      </c>
    </row>
    <row r="425" spans="1:33" ht="11.25" customHeight="1" x14ac:dyDescent="0.25">
      <c r="A425" s="4" t="s">
        <v>21</v>
      </c>
      <c r="B425" s="4" t="s">
        <v>22</v>
      </c>
      <c r="C425" s="4" t="s">
        <v>23</v>
      </c>
      <c r="D425" s="4" t="s">
        <v>24</v>
      </c>
      <c r="E425" s="4" t="s">
        <v>28</v>
      </c>
      <c r="F425" s="4" t="s">
        <v>25</v>
      </c>
      <c r="G425" s="4" t="s">
        <v>25</v>
      </c>
      <c r="H425" s="4" t="s">
        <v>25</v>
      </c>
      <c r="I425" s="5">
        <v>44562</v>
      </c>
      <c r="J425" s="6">
        <v>0</v>
      </c>
      <c r="K425" s="6">
        <v>0</v>
      </c>
      <c r="L425" s="6">
        <v>23.800999999999998</v>
      </c>
      <c r="M425" s="6">
        <v>23.800999999999998</v>
      </c>
      <c r="N425" s="6">
        <v>23.800999999999998</v>
      </c>
      <c r="O425" s="6">
        <v>23.800999999999998</v>
      </c>
      <c r="P425" s="6">
        <v>17</v>
      </c>
      <c r="Q425" s="4" t="s">
        <v>26</v>
      </c>
      <c r="R425" s="4">
        <v>0</v>
      </c>
      <c r="S425" s="6">
        <v>0</v>
      </c>
      <c r="T425" s="6">
        <v>14</v>
      </c>
      <c r="U425" s="6">
        <v>52</v>
      </c>
      <c r="V425" s="6">
        <f>IF(ISERROR(VLOOKUP($S$425,'TAR FIN'!$A$1:$O$86,15,0)),0,VLOOKUP($S$425,'TAR FIN'!$A$1:$O$86,15,0))</f>
        <v>0</v>
      </c>
      <c r="W425" s="6">
        <f>IF(ISERROR(VLOOKUP($T$425,'TAR FIN'!$A$1:$O$86,15,0)),0,VLOOKUP($T$425,'TAR FIN'!$A$1:$O$86,15,0))</f>
        <v>88.57</v>
      </c>
      <c r="X425" s="6">
        <f>IF(ISERROR(VLOOKUP($U$425,'TAR FIN'!$A$1:$O$86,15,0)),0,VLOOKUP($U$425,'TAR FIN'!$A$1:$O$86,15,0))</f>
        <v>110.08</v>
      </c>
      <c r="Y425" s="6"/>
      <c r="Z425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425" s="6">
        <f>('TE BE'!$AB$13+'TE BF'!$AB$13+'TE CVA'!$AB$13)*(1-CUSTOS!$M$34)</f>
        <v>87.113700432049427</v>
      </c>
      <c r="AB425" s="6">
        <f>$K$425*$V$425</f>
        <v>0</v>
      </c>
      <c r="AC425" s="6">
        <f>$M$425*$W$425</f>
        <v>2108.0545699999998</v>
      </c>
      <c r="AD425" s="6">
        <f>$O$425*$X$425</f>
        <v>2620.0140799999999</v>
      </c>
      <c r="AE425" s="6">
        <f>$K$425*$Y$425</f>
        <v>0</v>
      </c>
      <c r="AF425" s="6">
        <f ca="1">$M$425*$Z$425</f>
        <v>1747.8097068524514</v>
      </c>
      <c r="AG425" s="6">
        <f>$O$425*$AA$425</f>
        <v>2073.3931839832085</v>
      </c>
    </row>
    <row r="426" spans="1:33" ht="11.25" customHeight="1" x14ac:dyDescent="0.25">
      <c r="A426" s="4" t="s">
        <v>27</v>
      </c>
      <c r="B426" s="4" t="s">
        <v>22</v>
      </c>
      <c r="C426" s="4" t="s">
        <v>23</v>
      </c>
      <c r="D426" s="4" t="s">
        <v>24</v>
      </c>
      <c r="E426" s="4" t="s">
        <v>28</v>
      </c>
      <c r="F426" s="4" t="s">
        <v>25</v>
      </c>
      <c r="G426" s="4" t="s">
        <v>25</v>
      </c>
      <c r="H426" s="4" t="s">
        <v>25</v>
      </c>
      <c r="I426" s="5">
        <v>44562</v>
      </c>
      <c r="J426" s="6">
        <v>0</v>
      </c>
      <c r="K426" s="6">
        <v>0</v>
      </c>
      <c r="L426" s="6">
        <v>9.6000000000000002E-2</v>
      </c>
      <c r="M426" s="6">
        <v>9.6000000000000002E-2</v>
      </c>
      <c r="N426" s="6">
        <v>9.6000000000000002E-2</v>
      </c>
      <c r="O426" s="6">
        <v>9.6000000000000002E-2</v>
      </c>
      <c r="P426" s="6">
        <v>0</v>
      </c>
      <c r="Q426" s="4" t="s">
        <v>26</v>
      </c>
      <c r="R426" s="4">
        <v>0</v>
      </c>
      <c r="S426" s="6">
        <v>0</v>
      </c>
      <c r="T426" s="6">
        <v>14</v>
      </c>
      <c r="U426" s="6">
        <v>52</v>
      </c>
      <c r="V426" s="6">
        <f>IF(ISERROR(VLOOKUP($S$426,'TAR FIN'!$A$1:$O$86,15,0)),0,VLOOKUP($S$426,'TAR FIN'!$A$1:$O$86,15,0))</f>
        <v>0</v>
      </c>
      <c r="W426" s="6">
        <f>IF(ISERROR(VLOOKUP($T$426,'TAR FIN'!$A$1:$O$86,15,0)),0,VLOOKUP($T$426,'TAR FIN'!$A$1:$O$86,15,0))</f>
        <v>88.57</v>
      </c>
      <c r="X426" s="6">
        <f>IF(ISERROR(VLOOKUP($U$426,'TAR FIN'!$A$1:$O$86,15,0)),0,VLOOKUP($U$426,'TAR FIN'!$A$1:$O$86,15,0))</f>
        <v>110.08</v>
      </c>
      <c r="Y426" s="6"/>
      <c r="Z426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426" s="6">
        <f>('TE BE'!$AB$13+'TE BF'!$AB$13+'TE CVA'!$AB$13)*(1-CUSTOS!$M$34)</f>
        <v>87.113700432049427</v>
      </c>
      <c r="AB426" s="6">
        <f>$K$426*$V$426</f>
        <v>0</v>
      </c>
      <c r="AC426" s="6">
        <f>$M$426*$W$426</f>
        <v>8.5027200000000001</v>
      </c>
      <c r="AD426" s="6">
        <f>$O$426*$X$426</f>
        <v>10.567679999999999</v>
      </c>
      <c r="AE426" s="6">
        <f>$K$426*$Y$426</f>
        <v>0</v>
      </c>
      <c r="AF426" s="6">
        <f ca="1">$M$426*$Z$426</f>
        <v>7.0496925279540923</v>
      </c>
      <c r="AG426" s="6">
        <f>$O$426*$AA$426</f>
        <v>8.3629152414767454</v>
      </c>
    </row>
    <row r="427" spans="1:33" ht="11.25" customHeight="1" x14ac:dyDescent="0.25">
      <c r="A427" s="4" t="s">
        <v>21</v>
      </c>
      <c r="B427" s="4" t="s">
        <v>22</v>
      </c>
      <c r="C427" s="4" t="s">
        <v>23</v>
      </c>
      <c r="D427" s="4" t="s">
        <v>24</v>
      </c>
      <c r="E427" s="4" t="s">
        <v>28</v>
      </c>
      <c r="F427" s="4" t="s">
        <v>25</v>
      </c>
      <c r="G427" s="4" t="s">
        <v>25</v>
      </c>
      <c r="H427" s="4" t="s">
        <v>25</v>
      </c>
      <c r="I427" s="5">
        <v>44593</v>
      </c>
      <c r="J427" s="6">
        <v>0</v>
      </c>
      <c r="K427" s="6">
        <v>0</v>
      </c>
      <c r="L427" s="6">
        <v>24.66</v>
      </c>
      <c r="M427" s="6">
        <v>24.66</v>
      </c>
      <c r="N427" s="6">
        <v>24.66</v>
      </c>
      <c r="O427" s="6">
        <v>24.66</v>
      </c>
      <c r="P427" s="6">
        <v>19</v>
      </c>
      <c r="Q427" s="4" t="s">
        <v>26</v>
      </c>
      <c r="R427" s="4">
        <v>0</v>
      </c>
      <c r="S427" s="6">
        <v>0</v>
      </c>
      <c r="T427" s="6">
        <v>14</v>
      </c>
      <c r="U427" s="6">
        <v>52</v>
      </c>
      <c r="V427" s="6">
        <f>IF(ISERROR(VLOOKUP($S$427,'TAR FIN'!$A$1:$O$86,15,0)),0,VLOOKUP($S$427,'TAR FIN'!$A$1:$O$86,15,0))</f>
        <v>0</v>
      </c>
      <c r="W427" s="6">
        <f>IF(ISERROR(VLOOKUP($T$427,'TAR FIN'!$A$1:$O$86,15,0)),0,VLOOKUP($T$427,'TAR FIN'!$A$1:$O$86,15,0))</f>
        <v>88.57</v>
      </c>
      <c r="X427" s="6">
        <f>IF(ISERROR(VLOOKUP($U$427,'TAR FIN'!$A$1:$O$86,15,0)),0,VLOOKUP($U$427,'TAR FIN'!$A$1:$O$86,15,0))</f>
        <v>110.08</v>
      </c>
      <c r="Y427" s="6"/>
      <c r="Z427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427" s="6">
        <f>('TE BE'!$AB$13+'TE BF'!$AB$13+'TE CVA'!$AB$13)*(1-CUSTOS!$M$34)</f>
        <v>87.113700432049427</v>
      </c>
      <c r="AB427" s="6">
        <f>$K$427*$V$427</f>
        <v>0</v>
      </c>
      <c r="AC427" s="6">
        <f>$M$427*$W$427</f>
        <v>2184.1361999999999</v>
      </c>
      <c r="AD427" s="6">
        <f>$O$427*$X$427</f>
        <v>2714.5727999999999</v>
      </c>
      <c r="AE427" s="6">
        <f>$K$427*$Y$427</f>
        <v>0</v>
      </c>
      <c r="AF427" s="6">
        <f ca="1">$M$427*$Z$427</f>
        <v>1810.8897681182075</v>
      </c>
      <c r="AG427" s="6">
        <f>$O$427*$AA$427</f>
        <v>2148.2238526543388</v>
      </c>
    </row>
    <row r="428" spans="1:33" ht="11.25" customHeight="1" x14ac:dyDescent="0.25">
      <c r="A428" s="4" t="s">
        <v>21</v>
      </c>
      <c r="B428" s="4" t="s">
        <v>22</v>
      </c>
      <c r="C428" s="4" t="s">
        <v>23</v>
      </c>
      <c r="D428" s="4" t="s">
        <v>24</v>
      </c>
      <c r="E428" s="4" t="s">
        <v>28</v>
      </c>
      <c r="F428" s="4" t="s">
        <v>25</v>
      </c>
      <c r="G428" s="4" t="s">
        <v>25</v>
      </c>
      <c r="H428" s="4" t="s">
        <v>25</v>
      </c>
      <c r="I428" s="5">
        <v>44621</v>
      </c>
      <c r="J428" s="6">
        <v>0</v>
      </c>
      <c r="K428" s="6">
        <v>0</v>
      </c>
      <c r="L428" s="6">
        <v>25.83</v>
      </c>
      <c r="M428" s="6">
        <v>25.83</v>
      </c>
      <c r="N428" s="6">
        <v>25.83</v>
      </c>
      <c r="O428" s="6">
        <v>25.83</v>
      </c>
      <c r="P428" s="6">
        <v>18</v>
      </c>
      <c r="Q428" s="4" t="s">
        <v>26</v>
      </c>
      <c r="R428" s="4">
        <v>0</v>
      </c>
      <c r="S428" s="6">
        <v>0</v>
      </c>
      <c r="T428" s="6">
        <v>14</v>
      </c>
      <c r="U428" s="6">
        <v>52</v>
      </c>
      <c r="V428" s="6">
        <f>IF(ISERROR(VLOOKUP($S$428,'TAR FIN'!$A$1:$O$86,15,0)),0,VLOOKUP($S$428,'TAR FIN'!$A$1:$O$86,15,0))</f>
        <v>0</v>
      </c>
      <c r="W428" s="6">
        <f>IF(ISERROR(VLOOKUP($T$428,'TAR FIN'!$A$1:$O$86,15,0)),0,VLOOKUP($T$428,'TAR FIN'!$A$1:$O$86,15,0))</f>
        <v>88.57</v>
      </c>
      <c r="X428" s="6">
        <f>IF(ISERROR(VLOOKUP($U$428,'TAR FIN'!$A$1:$O$86,15,0)),0,VLOOKUP($U$428,'TAR FIN'!$A$1:$O$86,15,0))</f>
        <v>110.08</v>
      </c>
      <c r="Y428" s="6"/>
      <c r="Z428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428" s="6">
        <f>('TE BE'!$AB$13+'TE BF'!$AB$13+'TE CVA'!$AB$13)*(1-CUSTOS!$M$34)</f>
        <v>87.113700432049427</v>
      </c>
      <c r="AB428" s="6">
        <f>$K$428*$V$428</f>
        <v>0</v>
      </c>
      <c r="AC428" s="6">
        <f>$M$428*$W$428</f>
        <v>2287.7630999999997</v>
      </c>
      <c r="AD428" s="6">
        <f>$O$428*$X$428</f>
        <v>2843.3663999999999</v>
      </c>
      <c r="AE428" s="6">
        <f>$K$428*$Y$428</f>
        <v>0</v>
      </c>
      <c r="AF428" s="6">
        <f ca="1">$M$428*$Z$428</f>
        <v>1896.8078958026476</v>
      </c>
      <c r="AG428" s="6">
        <f>$O$428*$AA$428</f>
        <v>2250.1468821598364</v>
      </c>
    </row>
    <row r="429" spans="1:33" ht="11.25" customHeight="1" x14ac:dyDescent="0.25">
      <c r="A429" s="4" t="s">
        <v>21</v>
      </c>
      <c r="B429" s="4" t="s">
        <v>22</v>
      </c>
      <c r="C429" s="4" t="s">
        <v>23</v>
      </c>
      <c r="D429" s="4" t="s">
        <v>24</v>
      </c>
      <c r="E429" s="4" t="s">
        <v>28</v>
      </c>
      <c r="F429" s="4" t="s">
        <v>25</v>
      </c>
      <c r="G429" s="4" t="s">
        <v>25</v>
      </c>
      <c r="H429" s="4" t="s">
        <v>25</v>
      </c>
      <c r="I429" s="5">
        <v>44652</v>
      </c>
      <c r="J429" s="6">
        <v>0</v>
      </c>
      <c r="K429" s="6">
        <v>0</v>
      </c>
      <c r="L429" s="6">
        <v>26.37</v>
      </c>
      <c r="M429" s="6">
        <v>26.37</v>
      </c>
      <c r="N429" s="6">
        <v>26.37</v>
      </c>
      <c r="O429" s="6">
        <v>26.37</v>
      </c>
      <c r="P429" s="6">
        <v>25</v>
      </c>
      <c r="Q429" s="4" t="s">
        <v>26</v>
      </c>
      <c r="R429" s="4">
        <v>0</v>
      </c>
      <c r="S429" s="6">
        <v>0</v>
      </c>
      <c r="T429" s="6">
        <v>14</v>
      </c>
      <c r="U429" s="6">
        <v>52</v>
      </c>
      <c r="V429" s="6">
        <f>IF(ISERROR(VLOOKUP($S$429,'TAR FIN'!$A$1:$O$86,15,0)),0,VLOOKUP($S$429,'TAR FIN'!$A$1:$O$86,15,0))</f>
        <v>0</v>
      </c>
      <c r="W429" s="6">
        <f>IF(ISERROR(VLOOKUP($T$429,'TAR FIN'!$A$1:$O$86,15,0)),0,VLOOKUP($T$429,'TAR FIN'!$A$1:$O$86,15,0))</f>
        <v>88.57</v>
      </c>
      <c r="X429" s="6">
        <f>IF(ISERROR(VLOOKUP($U$429,'TAR FIN'!$A$1:$O$86,15,0)),0,VLOOKUP($U$429,'TAR FIN'!$A$1:$O$86,15,0))</f>
        <v>110.08</v>
      </c>
      <c r="Y429" s="6"/>
      <c r="Z429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429" s="6">
        <f>('TE BE'!$AB$13+'TE BF'!$AB$13+'TE CVA'!$AB$13)*(1-CUSTOS!$M$34)</f>
        <v>87.113700432049427</v>
      </c>
      <c r="AB429" s="6">
        <f>$K$429*$V$429</f>
        <v>0</v>
      </c>
      <c r="AC429" s="6">
        <f>$M$429*$W$429</f>
        <v>2335.5908999999997</v>
      </c>
      <c r="AD429" s="6">
        <f>$O$429*$X$429</f>
        <v>2902.8096</v>
      </c>
      <c r="AE429" s="6">
        <f>$K$429*$Y$429</f>
        <v>0</v>
      </c>
      <c r="AF429" s="6">
        <f ca="1">$M$429*$Z$429</f>
        <v>1936.4624162723896</v>
      </c>
      <c r="AG429" s="6">
        <f>$O$429*$AA$429</f>
        <v>2297.1882803931435</v>
      </c>
    </row>
    <row r="430" spans="1:33" ht="11.25" customHeight="1" x14ac:dyDescent="0.25">
      <c r="A430" s="4" t="s">
        <v>21</v>
      </c>
      <c r="B430" s="4" t="s">
        <v>22</v>
      </c>
      <c r="C430" s="4" t="s">
        <v>23</v>
      </c>
      <c r="D430" s="4" t="s">
        <v>24</v>
      </c>
      <c r="E430" s="4" t="s">
        <v>28</v>
      </c>
      <c r="F430" s="4" t="s">
        <v>25</v>
      </c>
      <c r="G430" s="4" t="s">
        <v>25</v>
      </c>
      <c r="H430" s="4" t="s">
        <v>25</v>
      </c>
      <c r="I430" s="5">
        <v>44682</v>
      </c>
      <c r="J430" s="6">
        <v>0</v>
      </c>
      <c r="K430" s="6">
        <v>0</v>
      </c>
      <c r="L430" s="6">
        <v>25.265999999999998</v>
      </c>
      <c r="M430" s="6">
        <v>25.265999999999998</v>
      </c>
      <c r="N430" s="6">
        <v>25.265999999999998</v>
      </c>
      <c r="O430" s="6">
        <v>25.265999999999998</v>
      </c>
      <c r="P430" s="6">
        <v>36</v>
      </c>
      <c r="Q430" s="4" t="s">
        <v>26</v>
      </c>
      <c r="R430" s="4">
        <v>0</v>
      </c>
      <c r="S430" s="6">
        <v>0</v>
      </c>
      <c r="T430" s="6">
        <v>14</v>
      </c>
      <c r="U430" s="6">
        <v>52</v>
      </c>
      <c r="V430" s="6">
        <f>IF(ISERROR(VLOOKUP($S$430,'TAR FIN'!$A$1:$O$86,15,0)),0,VLOOKUP($S$430,'TAR FIN'!$A$1:$O$86,15,0))</f>
        <v>0</v>
      </c>
      <c r="W430" s="6">
        <f>IF(ISERROR(VLOOKUP($T$430,'TAR FIN'!$A$1:$O$86,15,0)),0,VLOOKUP($T$430,'TAR FIN'!$A$1:$O$86,15,0))</f>
        <v>88.57</v>
      </c>
      <c r="X430" s="6">
        <f>IF(ISERROR(VLOOKUP($U$430,'TAR FIN'!$A$1:$O$86,15,0)),0,VLOOKUP($U$430,'TAR FIN'!$A$1:$O$86,15,0))</f>
        <v>110.08</v>
      </c>
      <c r="Y430" s="6"/>
      <c r="Z430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430" s="6">
        <f>('TE BE'!$AB$13+'TE BF'!$AB$13+'TE CVA'!$AB$13)*(1-CUSTOS!$M$34)</f>
        <v>87.113700432049427</v>
      </c>
      <c r="AB430" s="6">
        <f>$K$430*$V$430</f>
        <v>0</v>
      </c>
      <c r="AC430" s="6">
        <f>$M$430*$W$430</f>
        <v>2237.8096199999995</v>
      </c>
      <c r="AD430" s="6">
        <f>$O$430*$X$430</f>
        <v>2781.2812799999997</v>
      </c>
      <c r="AE430" s="6">
        <f>$K$430*$Y$430</f>
        <v>0</v>
      </c>
      <c r="AF430" s="6">
        <f ca="1">$M$430*$Z$430</f>
        <v>1855.3909522009174</v>
      </c>
      <c r="AG430" s="6">
        <f>$O$430*$AA$430</f>
        <v>2201.0147551161608</v>
      </c>
    </row>
    <row r="431" spans="1:33" ht="11.25" customHeight="1" x14ac:dyDescent="0.25">
      <c r="A431" s="4" t="s">
        <v>27</v>
      </c>
      <c r="B431" s="4" t="s">
        <v>22</v>
      </c>
      <c r="C431" s="4" t="s">
        <v>23</v>
      </c>
      <c r="D431" s="4" t="s">
        <v>24</v>
      </c>
      <c r="E431" s="4" t="s">
        <v>28</v>
      </c>
      <c r="F431" s="4" t="s">
        <v>25</v>
      </c>
      <c r="G431" s="4" t="s">
        <v>25</v>
      </c>
      <c r="H431" s="4" t="s">
        <v>25</v>
      </c>
      <c r="I431" s="5">
        <v>44682</v>
      </c>
      <c r="J431" s="6">
        <v>0</v>
      </c>
      <c r="K431" s="6">
        <v>0</v>
      </c>
      <c r="L431" s="6">
        <v>0.03</v>
      </c>
      <c r="M431" s="6">
        <v>0.03</v>
      </c>
      <c r="N431" s="6">
        <v>0.03</v>
      </c>
      <c r="O431" s="6">
        <v>0.03</v>
      </c>
      <c r="P431" s="6">
        <v>0</v>
      </c>
      <c r="Q431" s="4" t="s">
        <v>26</v>
      </c>
      <c r="R431" s="4">
        <v>0</v>
      </c>
      <c r="S431" s="6">
        <v>0</v>
      </c>
      <c r="T431" s="6">
        <v>14</v>
      </c>
      <c r="U431" s="6">
        <v>52</v>
      </c>
      <c r="V431" s="6">
        <f>IF(ISERROR(VLOOKUP($S$431,'TAR FIN'!$A$1:$O$86,15,0)),0,VLOOKUP($S$431,'TAR FIN'!$A$1:$O$86,15,0))</f>
        <v>0</v>
      </c>
      <c r="W431" s="6">
        <f>IF(ISERROR(VLOOKUP($T$431,'TAR FIN'!$A$1:$O$86,15,0)),0,VLOOKUP($T$431,'TAR FIN'!$A$1:$O$86,15,0))</f>
        <v>88.57</v>
      </c>
      <c r="X431" s="6">
        <f>IF(ISERROR(VLOOKUP($U$431,'TAR FIN'!$A$1:$O$86,15,0)),0,VLOOKUP($U$431,'TAR FIN'!$A$1:$O$86,15,0))</f>
        <v>110.08</v>
      </c>
      <c r="Y431" s="6"/>
      <c r="Z431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431" s="6">
        <f>('TE BE'!$AB$13+'TE BF'!$AB$13+'TE CVA'!$AB$13)*(1-CUSTOS!$M$34)</f>
        <v>87.113700432049427</v>
      </c>
      <c r="AB431" s="6">
        <f>$K$431*$V$431</f>
        <v>0</v>
      </c>
      <c r="AC431" s="6">
        <f>$M$431*$W$431</f>
        <v>2.6570999999999998</v>
      </c>
      <c r="AD431" s="6">
        <f>$O$431*$X$431</f>
        <v>3.3024</v>
      </c>
      <c r="AE431" s="6">
        <f>$K$431*$Y$431</f>
        <v>0</v>
      </c>
      <c r="AF431" s="6">
        <f ca="1">$M$431*$Z$431</f>
        <v>2.2030289149856537</v>
      </c>
      <c r="AG431" s="6">
        <f>$O$431*$AA$431</f>
        <v>2.6134110129614827</v>
      </c>
    </row>
    <row r="432" spans="1:33" ht="11.25" customHeight="1" x14ac:dyDescent="0.25">
      <c r="A432" s="4" t="s">
        <v>55</v>
      </c>
      <c r="B432" s="4" t="s">
        <v>22</v>
      </c>
      <c r="C432" s="4" t="s">
        <v>23</v>
      </c>
      <c r="D432" s="4" t="s">
        <v>24</v>
      </c>
      <c r="E432" s="4" t="s">
        <v>28</v>
      </c>
      <c r="F432" s="4" t="s">
        <v>25</v>
      </c>
      <c r="G432" s="4" t="s">
        <v>25</v>
      </c>
      <c r="H432" s="4" t="s">
        <v>25</v>
      </c>
      <c r="I432" s="5">
        <v>44713</v>
      </c>
      <c r="J432" s="6">
        <v>0</v>
      </c>
      <c r="K432" s="6">
        <v>0</v>
      </c>
      <c r="L432" s="6">
        <v>25.265999999999998</v>
      </c>
      <c r="M432" s="6">
        <v>25.265999999999998</v>
      </c>
      <c r="N432" s="6">
        <v>25.265999999999998</v>
      </c>
      <c r="O432" s="6">
        <v>25.265999999999998</v>
      </c>
      <c r="P432" s="6">
        <v>36</v>
      </c>
      <c r="Q432" s="4" t="s">
        <v>26</v>
      </c>
      <c r="R432" s="4">
        <v>0</v>
      </c>
      <c r="S432" s="6">
        <v>0</v>
      </c>
      <c r="T432" s="6">
        <v>14</v>
      </c>
      <c r="U432" s="6">
        <v>52</v>
      </c>
      <c r="V432" s="6">
        <f>IF(ISERROR(VLOOKUP($S$432,'TAR FIN'!$A$1:$O$86,15,0)),0,VLOOKUP($S$432,'TAR FIN'!$A$1:$O$86,15,0))</f>
        <v>0</v>
      </c>
      <c r="W432" s="6">
        <f>IF(ISERROR(VLOOKUP($T$432,'TAR FIN'!$A$1:$O$86,15,0)),0,VLOOKUP($T$432,'TAR FIN'!$A$1:$O$86,15,0))</f>
        <v>88.57</v>
      </c>
      <c r="X432" s="6">
        <f>IF(ISERROR(VLOOKUP($U$432,'TAR FIN'!$A$1:$O$86,15,0)),0,VLOOKUP($U$432,'TAR FIN'!$A$1:$O$86,15,0))</f>
        <v>110.08</v>
      </c>
      <c r="Y432" s="6"/>
      <c r="Z432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432" s="6">
        <f>('TE BE'!$AB$13+'TE BF'!$AB$13+'TE CVA'!$AB$13)*(1-CUSTOS!$M$34)</f>
        <v>87.113700432049427</v>
      </c>
      <c r="AB432" s="6">
        <f>$K$432*$V$432</f>
        <v>0</v>
      </c>
      <c r="AC432" s="6">
        <f>$M$432*$W$432</f>
        <v>2237.8096199999995</v>
      </c>
      <c r="AD432" s="6">
        <f>$O$432*$X$432</f>
        <v>2781.2812799999997</v>
      </c>
      <c r="AE432" s="6">
        <f>$K$432*$Y$432</f>
        <v>0</v>
      </c>
      <c r="AF432" s="6">
        <f ca="1">$M$432*$Z$432</f>
        <v>1855.3909522009174</v>
      </c>
      <c r="AG432" s="6">
        <f>$O$432*$AA$432</f>
        <v>2201.0147551161608</v>
      </c>
    </row>
    <row r="433" spans="1:33" ht="11.25" customHeight="1" x14ac:dyDescent="0.25">
      <c r="A433" s="4" t="s">
        <v>55</v>
      </c>
      <c r="B433" s="4" t="s">
        <v>22</v>
      </c>
      <c r="C433" s="4" t="s">
        <v>23</v>
      </c>
      <c r="D433" s="4" t="s">
        <v>24</v>
      </c>
      <c r="E433" s="4" t="s">
        <v>28</v>
      </c>
      <c r="F433" s="4" t="s">
        <v>25</v>
      </c>
      <c r="G433" s="4" t="s">
        <v>25</v>
      </c>
      <c r="H433" s="4" t="s">
        <v>25</v>
      </c>
      <c r="I433" s="5">
        <v>44713</v>
      </c>
      <c r="J433" s="6">
        <v>0</v>
      </c>
      <c r="K433" s="6">
        <v>0</v>
      </c>
      <c r="L433" s="6">
        <v>0.03</v>
      </c>
      <c r="M433" s="6">
        <v>0.03</v>
      </c>
      <c r="N433" s="6">
        <v>0.03</v>
      </c>
      <c r="O433" s="6">
        <v>0.03</v>
      </c>
      <c r="P433" s="6">
        <v>0</v>
      </c>
      <c r="Q433" s="4" t="s">
        <v>26</v>
      </c>
      <c r="R433" s="4">
        <v>0</v>
      </c>
      <c r="S433" s="6">
        <v>0</v>
      </c>
      <c r="T433" s="6">
        <v>14</v>
      </c>
      <c r="U433" s="6">
        <v>52</v>
      </c>
      <c r="V433" s="6">
        <f>IF(ISERROR(VLOOKUP($S$433,'TAR FIN'!$A$1:$O$86,15,0)),0,VLOOKUP($S$433,'TAR FIN'!$A$1:$O$86,15,0))</f>
        <v>0</v>
      </c>
      <c r="W433" s="6">
        <f>IF(ISERROR(VLOOKUP($T$433,'TAR FIN'!$A$1:$O$86,15,0)),0,VLOOKUP($T$433,'TAR FIN'!$A$1:$O$86,15,0))</f>
        <v>88.57</v>
      </c>
      <c r="X433" s="6">
        <f>IF(ISERROR(VLOOKUP($U$433,'TAR FIN'!$A$1:$O$86,15,0)),0,VLOOKUP($U$433,'TAR FIN'!$A$1:$O$86,15,0))</f>
        <v>110.08</v>
      </c>
      <c r="Y433" s="6"/>
      <c r="Z433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433" s="6">
        <f>('TE BE'!$AB$13+'TE BF'!$AB$13+'TE CVA'!$AB$13)*(1-CUSTOS!$M$34)</f>
        <v>87.113700432049427</v>
      </c>
      <c r="AB433" s="6">
        <f>$K$433*$V$433</f>
        <v>0</v>
      </c>
      <c r="AC433" s="6">
        <f>$M$433*$W$433</f>
        <v>2.6570999999999998</v>
      </c>
      <c r="AD433" s="6">
        <f>$O$433*$X$433</f>
        <v>3.3024</v>
      </c>
      <c r="AE433" s="6">
        <f>$K$433*$Y$433</f>
        <v>0</v>
      </c>
      <c r="AF433" s="6">
        <f ca="1">$M$433*$Z$433</f>
        <v>2.2030289149856537</v>
      </c>
      <c r="AG433" s="6">
        <f>$O$433*$AA$433</f>
        <v>2.6134110129614827</v>
      </c>
    </row>
    <row r="434" spans="1:33" ht="11.25" customHeight="1" x14ac:dyDescent="0.25">
      <c r="A434" s="4" t="s">
        <v>21</v>
      </c>
      <c r="B434" s="4" t="s">
        <v>22</v>
      </c>
      <c r="C434" s="4" t="s">
        <v>23</v>
      </c>
      <c r="D434" s="4" t="s">
        <v>24</v>
      </c>
      <c r="E434" s="4" t="s">
        <v>29</v>
      </c>
      <c r="F434" s="4" t="s">
        <v>25</v>
      </c>
      <c r="G434" s="4" t="s">
        <v>25</v>
      </c>
      <c r="H434" s="4" t="s">
        <v>25</v>
      </c>
      <c r="I434" s="5">
        <v>44378</v>
      </c>
      <c r="J434" s="6">
        <v>0</v>
      </c>
      <c r="K434" s="6">
        <v>0</v>
      </c>
      <c r="L434" s="6">
        <v>36.993000000000002</v>
      </c>
      <c r="M434" s="6">
        <v>36.993000000000002</v>
      </c>
      <c r="N434" s="6">
        <v>36.993000000000002</v>
      </c>
      <c r="O434" s="6">
        <v>36.993000000000002</v>
      </c>
      <c r="P434" s="6">
        <v>160</v>
      </c>
      <c r="Q434" s="4" t="s">
        <v>26</v>
      </c>
      <c r="R434" s="4">
        <v>0</v>
      </c>
      <c r="S434" s="6">
        <v>0</v>
      </c>
      <c r="T434" s="6">
        <v>6</v>
      </c>
      <c r="U434" s="6">
        <v>50</v>
      </c>
      <c r="V434" s="6">
        <f>IF(ISERROR(VLOOKUP($S$434,'TAR FIN'!$A$1:$O$86,15,0)),0,VLOOKUP($S$434,'TAR FIN'!$A$1:$O$86,15,0))</f>
        <v>0</v>
      </c>
      <c r="W434" s="6">
        <f>IF(ISERROR(VLOOKUP($T$434,'TAR FIN'!$A$1:$O$86,15,0)),0,VLOOKUP($T$434,'TAR FIN'!$A$1:$O$86,15,0))</f>
        <v>151.83000000000001</v>
      </c>
      <c r="X434" s="6">
        <f>IF(ISERROR(VLOOKUP($U$434,'TAR FIN'!$A$1:$O$86,15,0)),0,VLOOKUP($U$434,'TAR FIN'!$A$1:$O$86,15,0))</f>
        <v>188.71</v>
      </c>
      <c r="Y434" s="6"/>
      <c r="Z434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434" s="6">
        <f>('TE BE'!$AB$14+'TE BF'!$AB$14+'TE CVA'!$AB$14)*(1-CUSTOS!$M$35)</f>
        <v>149.33777216922758</v>
      </c>
      <c r="AB434" s="6">
        <f>$K$434*$V$434</f>
        <v>0</v>
      </c>
      <c r="AC434" s="6">
        <f>$M$434*$W$434</f>
        <v>5616.6471900000006</v>
      </c>
      <c r="AD434" s="6">
        <f>$O$434*$X$434</f>
        <v>6980.9490300000007</v>
      </c>
      <c r="AE434" s="6">
        <f>$K$434*$Y$434</f>
        <v>0</v>
      </c>
      <c r="AF434" s="6">
        <f ca="1">$M$434*$Z$434</f>
        <v>4656.9513515465305</v>
      </c>
      <c r="AG434" s="6">
        <f>$O$434*$AA$434</f>
        <v>5524.4522058562361</v>
      </c>
    </row>
    <row r="435" spans="1:33" ht="11.25" customHeight="1" x14ac:dyDescent="0.25">
      <c r="A435" s="4" t="s">
        <v>21</v>
      </c>
      <c r="B435" s="4" t="s">
        <v>22</v>
      </c>
      <c r="C435" s="4" t="s">
        <v>23</v>
      </c>
      <c r="D435" s="4" t="s">
        <v>24</v>
      </c>
      <c r="E435" s="4" t="s">
        <v>29</v>
      </c>
      <c r="F435" s="4" t="s">
        <v>25</v>
      </c>
      <c r="G435" s="4" t="s">
        <v>25</v>
      </c>
      <c r="H435" s="4" t="s">
        <v>25</v>
      </c>
      <c r="I435" s="5">
        <v>44409</v>
      </c>
      <c r="J435" s="6">
        <v>0</v>
      </c>
      <c r="K435" s="6">
        <v>0</v>
      </c>
      <c r="L435" s="6">
        <v>38.11</v>
      </c>
      <c r="M435" s="6">
        <v>38.11</v>
      </c>
      <c r="N435" s="6">
        <v>38.11</v>
      </c>
      <c r="O435" s="6">
        <v>38.11</v>
      </c>
      <c r="P435" s="6">
        <v>158</v>
      </c>
      <c r="Q435" s="4" t="s">
        <v>26</v>
      </c>
      <c r="R435" s="4">
        <v>0</v>
      </c>
      <c r="S435" s="6">
        <v>0</v>
      </c>
      <c r="T435" s="6">
        <v>6</v>
      </c>
      <c r="U435" s="6">
        <v>50</v>
      </c>
      <c r="V435" s="6">
        <f>IF(ISERROR(VLOOKUP($S$435,'TAR FIN'!$A$1:$O$86,15,0)),0,VLOOKUP($S$435,'TAR FIN'!$A$1:$O$86,15,0))</f>
        <v>0</v>
      </c>
      <c r="W435" s="6">
        <f>IF(ISERROR(VLOOKUP($T$435,'TAR FIN'!$A$1:$O$86,15,0)),0,VLOOKUP($T$435,'TAR FIN'!$A$1:$O$86,15,0))</f>
        <v>151.83000000000001</v>
      </c>
      <c r="X435" s="6">
        <f>IF(ISERROR(VLOOKUP($U$435,'TAR FIN'!$A$1:$O$86,15,0)),0,VLOOKUP($U$435,'TAR FIN'!$A$1:$O$86,15,0))</f>
        <v>188.71</v>
      </c>
      <c r="Y435" s="6"/>
      <c r="Z435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435" s="6">
        <f>('TE BE'!$AB$14+'TE BF'!$AB$14+'TE CVA'!$AB$14)*(1-CUSTOS!$M$35)</f>
        <v>149.33777216922758</v>
      </c>
      <c r="AB435" s="6">
        <f>$K$435*$V$435</f>
        <v>0</v>
      </c>
      <c r="AC435" s="6">
        <f>$M$435*$W$435</f>
        <v>5786.2413000000006</v>
      </c>
      <c r="AD435" s="6">
        <f>$O$435*$X$435</f>
        <v>7191.7381000000005</v>
      </c>
      <c r="AE435" s="6">
        <f>$K$435*$Y$435</f>
        <v>0</v>
      </c>
      <c r="AF435" s="6">
        <f ca="1">$M$435*$Z$435</f>
        <v>4797.5675400059008</v>
      </c>
      <c r="AG435" s="6">
        <f>$O$435*$AA$435</f>
        <v>5691.2624973692627</v>
      </c>
    </row>
    <row r="436" spans="1:33" ht="11.25" customHeight="1" x14ac:dyDescent="0.25">
      <c r="A436" s="4" t="s">
        <v>21</v>
      </c>
      <c r="B436" s="4" t="s">
        <v>22</v>
      </c>
      <c r="C436" s="4" t="s">
        <v>23</v>
      </c>
      <c r="D436" s="4" t="s">
        <v>24</v>
      </c>
      <c r="E436" s="4" t="s">
        <v>29</v>
      </c>
      <c r="F436" s="4" t="s">
        <v>25</v>
      </c>
      <c r="G436" s="4" t="s">
        <v>25</v>
      </c>
      <c r="H436" s="4" t="s">
        <v>25</v>
      </c>
      <c r="I436" s="5">
        <v>44440</v>
      </c>
      <c r="J436" s="6">
        <v>0</v>
      </c>
      <c r="K436" s="6">
        <v>0</v>
      </c>
      <c r="L436" s="6">
        <v>39.01</v>
      </c>
      <c r="M436" s="6">
        <v>39.01</v>
      </c>
      <c r="N436" s="6">
        <v>39.01</v>
      </c>
      <c r="O436" s="6">
        <v>39.01</v>
      </c>
      <c r="P436" s="6">
        <v>159</v>
      </c>
      <c r="Q436" s="4" t="s">
        <v>26</v>
      </c>
      <c r="R436" s="4">
        <v>0</v>
      </c>
      <c r="S436" s="6">
        <v>0</v>
      </c>
      <c r="T436" s="6">
        <v>6</v>
      </c>
      <c r="U436" s="6">
        <v>50</v>
      </c>
      <c r="V436" s="6">
        <f>IF(ISERROR(VLOOKUP($S$436,'TAR FIN'!$A$1:$O$86,15,0)),0,VLOOKUP($S$436,'TAR FIN'!$A$1:$O$86,15,0))</f>
        <v>0</v>
      </c>
      <c r="W436" s="6">
        <f>IF(ISERROR(VLOOKUP($T$436,'TAR FIN'!$A$1:$O$86,15,0)),0,VLOOKUP($T$436,'TAR FIN'!$A$1:$O$86,15,0))</f>
        <v>151.83000000000001</v>
      </c>
      <c r="X436" s="6">
        <f>IF(ISERROR(VLOOKUP($U$436,'TAR FIN'!$A$1:$O$86,15,0)),0,VLOOKUP($U$436,'TAR FIN'!$A$1:$O$86,15,0))</f>
        <v>188.71</v>
      </c>
      <c r="Y436" s="6"/>
      <c r="Z436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436" s="6">
        <f>('TE BE'!$AB$14+'TE BF'!$AB$14+'TE CVA'!$AB$14)*(1-CUSTOS!$M$35)</f>
        <v>149.33777216922758</v>
      </c>
      <c r="AB436" s="6">
        <f>$K$436*$V$436</f>
        <v>0</v>
      </c>
      <c r="AC436" s="6">
        <f>$M$436*$W$436</f>
        <v>5922.8883000000005</v>
      </c>
      <c r="AD436" s="6">
        <f>$O$436*$X$436</f>
        <v>7361.5770999999995</v>
      </c>
      <c r="AE436" s="6">
        <f>$K$436*$Y$436</f>
        <v>0</v>
      </c>
      <c r="AF436" s="6">
        <f ca="1">$M$436*$Z$436</f>
        <v>4910.8661699194481</v>
      </c>
      <c r="AG436" s="6">
        <f>$O$436*$AA$436</f>
        <v>5825.6664923215676</v>
      </c>
    </row>
    <row r="437" spans="1:33" ht="11.25" customHeight="1" x14ac:dyDescent="0.25">
      <c r="A437" s="4" t="s">
        <v>21</v>
      </c>
      <c r="B437" s="4" t="s">
        <v>22</v>
      </c>
      <c r="C437" s="4" t="s">
        <v>23</v>
      </c>
      <c r="D437" s="4" t="s">
        <v>24</v>
      </c>
      <c r="E437" s="4" t="s">
        <v>29</v>
      </c>
      <c r="F437" s="4" t="s">
        <v>25</v>
      </c>
      <c r="G437" s="4" t="s">
        <v>25</v>
      </c>
      <c r="H437" s="4" t="s">
        <v>25</v>
      </c>
      <c r="I437" s="5">
        <v>44470</v>
      </c>
      <c r="J437" s="6">
        <v>0</v>
      </c>
      <c r="K437" s="6">
        <v>0</v>
      </c>
      <c r="L437" s="6">
        <v>39.098999999999997</v>
      </c>
      <c r="M437" s="6">
        <v>39.098999999999997</v>
      </c>
      <c r="N437" s="6">
        <v>39.098999999999997</v>
      </c>
      <c r="O437" s="6">
        <v>39.098999999999997</v>
      </c>
      <c r="P437" s="6">
        <v>172</v>
      </c>
      <c r="Q437" s="4" t="s">
        <v>26</v>
      </c>
      <c r="R437" s="4">
        <v>0</v>
      </c>
      <c r="S437" s="6">
        <v>0</v>
      </c>
      <c r="T437" s="6">
        <v>6</v>
      </c>
      <c r="U437" s="6">
        <v>50</v>
      </c>
      <c r="V437" s="6">
        <f>IF(ISERROR(VLOOKUP($S$437,'TAR FIN'!$A$1:$O$86,15,0)),0,VLOOKUP($S$437,'TAR FIN'!$A$1:$O$86,15,0))</f>
        <v>0</v>
      </c>
      <c r="W437" s="6">
        <f>IF(ISERROR(VLOOKUP($T$437,'TAR FIN'!$A$1:$O$86,15,0)),0,VLOOKUP($T$437,'TAR FIN'!$A$1:$O$86,15,0))</f>
        <v>151.83000000000001</v>
      </c>
      <c r="X437" s="6">
        <f>IF(ISERROR(VLOOKUP($U$437,'TAR FIN'!$A$1:$O$86,15,0)),0,VLOOKUP($U$437,'TAR FIN'!$A$1:$O$86,15,0))</f>
        <v>188.71</v>
      </c>
      <c r="Y437" s="6"/>
      <c r="Z437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437" s="6">
        <f>('TE BE'!$AB$14+'TE BF'!$AB$14+'TE CVA'!$AB$14)*(1-CUSTOS!$M$35)</f>
        <v>149.33777216922758</v>
      </c>
      <c r="AB437" s="6">
        <f>$K$437*$V$437</f>
        <v>0</v>
      </c>
      <c r="AC437" s="6">
        <f>$M$437*$W$437</f>
        <v>5936.4011700000001</v>
      </c>
      <c r="AD437" s="6">
        <f>$O$437*$X$437</f>
        <v>7378.3722899999993</v>
      </c>
      <c r="AE437" s="6">
        <f>$K$437*$Y$437</f>
        <v>0</v>
      </c>
      <c r="AF437" s="6">
        <f ca="1">$M$437*$Z$437</f>
        <v>4922.0701455442322</v>
      </c>
      <c r="AG437" s="6">
        <f>$O$437*$AA$437</f>
        <v>5838.9575540446285</v>
      </c>
    </row>
    <row r="438" spans="1:33" ht="11.25" customHeight="1" x14ac:dyDescent="0.25">
      <c r="A438" s="4" t="s">
        <v>21</v>
      </c>
      <c r="B438" s="4" t="s">
        <v>22</v>
      </c>
      <c r="C438" s="4" t="s">
        <v>23</v>
      </c>
      <c r="D438" s="4" t="s">
        <v>24</v>
      </c>
      <c r="E438" s="4" t="s">
        <v>29</v>
      </c>
      <c r="F438" s="4" t="s">
        <v>25</v>
      </c>
      <c r="G438" s="4" t="s">
        <v>25</v>
      </c>
      <c r="H438" s="4" t="s">
        <v>25</v>
      </c>
      <c r="I438" s="5">
        <v>44501</v>
      </c>
      <c r="J438" s="6">
        <v>0</v>
      </c>
      <c r="K438" s="6">
        <v>0</v>
      </c>
      <c r="L438" s="6">
        <v>40.432000000000002</v>
      </c>
      <c r="M438" s="6">
        <v>40.432000000000002</v>
      </c>
      <c r="N438" s="6">
        <v>40.432000000000002</v>
      </c>
      <c r="O438" s="6">
        <v>40.432000000000002</v>
      </c>
      <c r="P438" s="6">
        <v>130</v>
      </c>
      <c r="Q438" s="4" t="s">
        <v>26</v>
      </c>
      <c r="R438" s="4">
        <v>0</v>
      </c>
      <c r="S438" s="6">
        <v>0</v>
      </c>
      <c r="T438" s="6">
        <v>6</v>
      </c>
      <c r="U438" s="6">
        <v>50</v>
      </c>
      <c r="V438" s="6">
        <f>IF(ISERROR(VLOOKUP($S$438,'TAR FIN'!$A$1:$O$86,15,0)),0,VLOOKUP($S$438,'TAR FIN'!$A$1:$O$86,15,0))</f>
        <v>0</v>
      </c>
      <c r="W438" s="6">
        <f>IF(ISERROR(VLOOKUP($T$438,'TAR FIN'!$A$1:$O$86,15,0)),0,VLOOKUP($T$438,'TAR FIN'!$A$1:$O$86,15,0))</f>
        <v>151.83000000000001</v>
      </c>
      <c r="X438" s="6">
        <f>IF(ISERROR(VLOOKUP($U$438,'TAR FIN'!$A$1:$O$86,15,0)),0,VLOOKUP($U$438,'TAR FIN'!$A$1:$O$86,15,0))</f>
        <v>188.71</v>
      </c>
      <c r="Y438" s="6"/>
      <c r="Z438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438" s="6">
        <f>('TE BE'!$AB$14+'TE BF'!$AB$14+'TE CVA'!$AB$14)*(1-CUSTOS!$M$35)</f>
        <v>149.33777216922758</v>
      </c>
      <c r="AB438" s="6">
        <f>$K$438*$V$438</f>
        <v>0</v>
      </c>
      <c r="AC438" s="6">
        <f>$M$438*$W$438</f>
        <v>6138.7905600000013</v>
      </c>
      <c r="AD438" s="6">
        <f>$O$438*$X$438</f>
        <v>7629.9227200000005</v>
      </c>
      <c r="AE438" s="6">
        <f>$K$438*$Y$438</f>
        <v>0</v>
      </c>
      <c r="AF438" s="6">
        <f ca="1">$M$438*$Z$438</f>
        <v>5089.8780051828544</v>
      </c>
      <c r="AG438" s="6">
        <f>$O$438*$AA$438</f>
        <v>6038.0248043462097</v>
      </c>
    </row>
    <row r="439" spans="1:33" ht="11.25" customHeight="1" x14ac:dyDescent="0.25">
      <c r="A439" s="4" t="s">
        <v>21</v>
      </c>
      <c r="B439" s="4" t="s">
        <v>22</v>
      </c>
      <c r="C439" s="4" t="s">
        <v>23</v>
      </c>
      <c r="D439" s="4" t="s">
        <v>24</v>
      </c>
      <c r="E439" s="4" t="s">
        <v>29</v>
      </c>
      <c r="F439" s="4" t="s">
        <v>25</v>
      </c>
      <c r="G439" s="4" t="s">
        <v>25</v>
      </c>
      <c r="H439" s="4" t="s">
        <v>25</v>
      </c>
      <c r="I439" s="5">
        <v>44531</v>
      </c>
      <c r="J439" s="6">
        <v>0</v>
      </c>
      <c r="K439" s="6">
        <v>0</v>
      </c>
      <c r="L439" s="6">
        <v>40.813000000000002</v>
      </c>
      <c r="M439" s="6">
        <v>40.813000000000002</v>
      </c>
      <c r="N439" s="6">
        <v>40.813000000000002</v>
      </c>
      <c r="O439" s="6">
        <v>40.813000000000002</v>
      </c>
      <c r="P439" s="6">
        <v>116</v>
      </c>
      <c r="Q439" s="4" t="s">
        <v>26</v>
      </c>
      <c r="R439" s="4">
        <v>0</v>
      </c>
      <c r="S439" s="6">
        <v>0</v>
      </c>
      <c r="T439" s="6">
        <v>6</v>
      </c>
      <c r="U439" s="6">
        <v>50</v>
      </c>
      <c r="V439" s="6">
        <f>IF(ISERROR(VLOOKUP($S$439,'TAR FIN'!$A$1:$O$86,15,0)),0,VLOOKUP($S$439,'TAR FIN'!$A$1:$O$86,15,0))</f>
        <v>0</v>
      </c>
      <c r="W439" s="6">
        <f>IF(ISERROR(VLOOKUP($T$439,'TAR FIN'!$A$1:$O$86,15,0)),0,VLOOKUP($T$439,'TAR FIN'!$A$1:$O$86,15,0))</f>
        <v>151.83000000000001</v>
      </c>
      <c r="X439" s="6">
        <f>IF(ISERROR(VLOOKUP($U$439,'TAR FIN'!$A$1:$O$86,15,0)),0,VLOOKUP($U$439,'TAR FIN'!$A$1:$O$86,15,0))</f>
        <v>188.71</v>
      </c>
      <c r="Y439" s="6"/>
      <c r="Z439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439" s="6">
        <f>('TE BE'!$AB$14+'TE BF'!$AB$14+'TE CVA'!$AB$14)*(1-CUSTOS!$M$35)</f>
        <v>149.33777216922758</v>
      </c>
      <c r="AB439" s="6">
        <f>$K$439*$V$439</f>
        <v>0</v>
      </c>
      <c r="AC439" s="6">
        <f>$M$439*$W$439</f>
        <v>6196.6377900000007</v>
      </c>
      <c r="AD439" s="6">
        <f>$O$439*$X$439</f>
        <v>7701.8212300000005</v>
      </c>
      <c r="AE439" s="6">
        <f>$K$439*$Y$439</f>
        <v>0</v>
      </c>
      <c r="AF439" s="6">
        <f ca="1">$M$439*$Z$439</f>
        <v>5137.8410918462559</v>
      </c>
      <c r="AG439" s="6">
        <f>$O$439*$AA$439</f>
        <v>6094.9224955426853</v>
      </c>
    </row>
    <row r="440" spans="1:33" ht="11.25" customHeight="1" x14ac:dyDescent="0.25">
      <c r="A440" s="4" t="s">
        <v>41</v>
      </c>
      <c r="B440" s="4" t="s">
        <v>22</v>
      </c>
      <c r="C440" s="4" t="s">
        <v>23</v>
      </c>
      <c r="D440" s="4" t="s">
        <v>24</v>
      </c>
      <c r="E440" s="4" t="s">
        <v>29</v>
      </c>
      <c r="F440" s="4" t="s">
        <v>25</v>
      </c>
      <c r="G440" s="4" t="s">
        <v>25</v>
      </c>
      <c r="H440" s="4" t="s">
        <v>25</v>
      </c>
      <c r="I440" s="5">
        <v>44531</v>
      </c>
      <c r="J440" s="6">
        <v>0</v>
      </c>
      <c r="K440" s="6">
        <v>0</v>
      </c>
      <c r="L440" s="6">
        <v>7.0000000000000007E-2</v>
      </c>
      <c r="M440" s="6">
        <v>7.0000000000000007E-2</v>
      </c>
      <c r="N440" s="6">
        <v>7.0000000000000007E-2</v>
      </c>
      <c r="O440" s="6">
        <v>7.0000000000000007E-2</v>
      </c>
      <c r="P440" s="6">
        <v>0</v>
      </c>
      <c r="Q440" s="4" t="s">
        <v>26</v>
      </c>
      <c r="R440" s="4">
        <v>0</v>
      </c>
      <c r="S440" s="6">
        <v>0</v>
      </c>
      <c r="T440" s="6">
        <v>6</v>
      </c>
      <c r="U440" s="6">
        <v>50</v>
      </c>
      <c r="V440" s="6">
        <f>IF(ISERROR(VLOOKUP($S$440,'TAR FIN'!$A$1:$O$86,15,0)),0,VLOOKUP($S$440,'TAR FIN'!$A$1:$O$86,15,0))</f>
        <v>0</v>
      </c>
      <c r="W440" s="6">
        <f>IF(ISERROR(VLOOKUP($T$440,'TAR FIN'!$A$1:$O$86,15,0)),0,VLOOKUP($T$440,'TAR FIN'!$A$1:$O$86,15,0))</f>
        <v>151.83000000000001</v>
      </c>
      <c r="X440" s="6">
        <f>IF(ISERROR(VLOOKUP($U$440,'TAR FIN'!$A$1:$O$86,15,0)),0,VLOOKUP($U$440,'TAR FIN'!$A$1:$O$86,15,0))</f>
        <v>188.71</v>
      </c>
      <c r="Y440" s="6"/>
      <c r="Z440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440" s="6">
        <f>('TE BE'!$AB$14+'TE BF'!$AB$14+'TE CVA'!$AB$14)*(1-CUSTOS!$M$35)</f>
        <v>149.33777216922758</v>
      </c>
      <c r="AB440" s="6">
        <f>$K$440*$V$440</f>
        <v>0</v>
      </c>
      <c r="AC440" s="6">
        <f>$M$440*$W$440</f>
        <v>10.628100000000002</v>
      </c>
      <c r="AD440" s="6">
        <f>$O$440*$X$440</f>
        <v>13.209700000000002</v>
      </c>
      <c r="AE440" s="6">
        <f>$K$440*$Y$440</f>
        <v>0</v>
      </c>
      <c r="AF440" s="6">
        <f ca="1">$M$440*$Z$440</f>
        <v>8.8121156599426147</v>
      </c>
      <c r="AG440" s="6">
        <f>$O$440*$AA$440</f>
        <v>10.453644051845931</v>
      </c>
    </row>
    <row r="441" spans="1:33" ht="11.25" customHeight="1" x14ac:dyDescent="0.25">
      <c r="A441" s="4" t="s">
        <v>21</v>
      </c>
      <c r="B441" s="4" t="s">
        <v>22</v>
      </c>
      <c r="C441" s="4" t="s">
        <v>23</v>
      </c>
      <c r="D441" s="4" t="s">
        <v>24</v>
      </c>
      <c r="E441" s="4" t="s">
        <v>29</v>
      </c>
      <c r="F441" s="4" t="s">
        <v>25</v>
      </c>
      <c r="G441" s="4" t="s">
        <v>25</v>
      </c>
      <c r="H441" s="4" t="s">
        <v>25</v>
      </c>
      <c r="I441" s="5">
        <v>44562</v>
      </c>
      <c r="J441" s="6">
        <v>0</v>
      </c>
      <c r="K441" s="6">
        <v>0</v>
      </c>
      <c r="L441" s="6">
        <v>51.213999999999999</v>
      </c>
      <c r="M441" s="6">
        <v>51.213999999999999</v>
      </c>
      <c r="N441" s="6">
        <v>51.213999999999999</v>
      </c>
      <c r="O441" s="6">
        <v>51.213999999999999</v>
      </c>
      <c r="P441" s="6">
        <v>112</v>
      </c>
      <c r="Q441" s="4" t="s">
        <v>26</v>
      </c>
      <c r="R441" s="4">
        <v>0</v>
      </c>
      <c r="S441" s="6">
        <v>0</v>
      </c>
      <c r="T441" s="6">
        <v>6</v>
      </c>
      <c r="U441" s="6">
        <v>50</v>
      </c>
      <c r="V441" s="6">
        <f>IF(ISERROR(VLOOKUP($S$441,'TAR FIN'!$A$1:$O$86,15,0)),0,VLOOKUP($S$441,'TAR FIN'!$A$1:$O$86,15,0))</f>
        <v>0</v>
      </c>
      <c r="W441" s="6">
        <f>IF(ISERROR(VLOOKUP($T$441,'TAR FIN'!$A$1:$O$86,15,0)),0,VLOOKUP($T$441,'TAR FIN'!$A$1:$O$86,15,0))</f>
        <v>151.83000000000001</v>
      </c>
      <c r="X441" s="6">
        <f>IF(ISERROR(VLOOKUP($U$441,'TAR FIN'!$A$1:$O$86,15,0)),0,VLOOKUP($U$441,'TAR FIN'!$A$1:$O$86,15,0))</f>
        <v>188.71</v>
      </c>
      <c r="Y441" s="6"/>
      <c r="Z441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441" s="6">
        <f>('TE BE'!$AB$14+'TE BF'!$AB$14+'TE CVA'!$AB$14)*(1-CUSTOS!$M$35)</f>
        <v>149.33777216922758</v>
      </c>
      <c r="AB441" s="6">
        <f>$K$441*$V$441</f>
        <v>0</v>
      </c>
      <c r="AC441" s="6">
        <f>$M$441*$W$441</f>
        <v>7775.8216200000006</v>
      </c>
      <c r="AD441" s="6">
        <f>$O$441*$X$441</f>
        <v>9664.5939400000007</v>
      </c>
      <c r="AE441" s="6">
        <f>$K$441*$Y$441</f>
        <v>0</v>
      </c>
      <c r="AF441" s="6">
        <f ca="1">$M$441*$Z$441</f>
        <v>6447.1955915471581</v>
      </c>
      <c r="AG441" s="6">
        <f>$O$441*$AA$441</f>
        <v>7648.1846638748211</v>
      </c>
    </row>
    <row r="442" spans="1:33" ht="11.25" customHeight="1" x14ac:dyDescent="0.25">
      <c r="A442" s="4" t="s">
        <v>27</v>
      </c>
      <c r="B442" s="4" t="s">
        <v>22</v>
      </c>
      <c r="C442" s="4" t="s">
        <v>23</v>
      </c>
      <c r="D442" s="4" t="s">
        <v>24</v>
      </c>
      <c r="E442" s="4" t="s">
        <v>29</v>
      </c>
      <c r="F442" s="4" t="s">
        <v>25</v>
      </c>
      <c r="G442" s="4" t="s">
        <v>25</v>
      </c>
      <c r="H442" s="4" t="s">
        <v>25</v>
      </c>
      <c r="I442" s="5">
        <v>44562</v>
      </c>
      <c r="J442" s="6">
        <v>0</v>
      </c>
      <c r="K442" s="6">
        <v>0</v>
      </c>
      <c r="L442" s="6">
        <v>7.0000000000000007E-2</v>
      </c>
      <c r="M442" s="6">
        <v>7.0000000000000007E-2</v>
      </c>
      <c r="N442" s="6">
        <v>7.0000000000000007E-2</v>
      </c>
      <c r="O442" s="6">
        <v>7.0000000000000007E-2</v>
      </c>
      <c r="P442" s="6">
        <v>0</v>
      </c>
      <c r="Q442" s="4" t="s">
        <v>26</v>
      </c>
      <c r="R442" s="4">
        <v>0</v>
      </c>
      <c r="S442" s="6">
        <v>0</v>
      </c>
      <c r="T442" s="6">
        <v>6</v>
      </c>
      <c r="U442" s="6">
        <v>50</v>
      </c>
      <c r="V442" s="6">
        <f>IF(ISERROR(VLOOKUP($S$442,'TAR FIN'!$A$1:$O$86,15,0)),0,VLOOKUP($S$442,'TAR FIN'!$A$1:$O$86,15,0))</f>
        <v>0</v>
      </c>
      <c r="W442" s="6">
        <f>IF(ISERROR(VLOOKUP($T$442,'TAR FIN'!$A$1:$O$86,15,0)),0,VLOOKUP($T$442,'TAR FIN'!$A$1:$O$86,15,0))</f>
        <v>151.83000000000001</v>
      </c>
      <c r="X442" s="6">
        <f>IF(ISERROR(VLOOKUP($U$442,'TAR FIN'!$A$1:$O$86,15,0)),0,VLOOKUP($U$442,'TAR FIN'!$A$1:$O$86,15,0))</f>
        <v>188.71</v>
      </c>
      <c r="Y442" s="6"/>
      <c r="Z442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442" s="6">
        <f>('TE BE'!$AB$14+'TE BF'!$AB$14+'TE CVA'!$AB$14)*(1-CUSTOS!$M$35)</f>
        <v>149.33777216922758</v>
      </c>
      <c r="AB442" s="6">
        <f>$K$442*$V$442</f>
        <v>0</v>
      </c>
      <c r="AC442" s="6">
        <f>$M$442*$W$442</f>
        <v>10.628100000000002</v>
      </c>
      <c r="AD442" s="6">
        <f>$O$442*$X$442</f>
        <v>13.209700000000002</v>
      </c>
      <c r="AE442" s="6">
        <f>$K$442*$Y$442</f>
        <v>0</v>
      </c>
      <c r="AF442" s="6">
        <f ca="1">$M$442*$Z$442</f>
        <v>8.8121156599426147</v>
      </c>
      <c r="AG442" s="6">
        <f>$O$442*$AA$442</f>
        <v>10.453644051845931</v>
      </c>
    </row>
    <row r="443" spans="1:33" ht="11.25" customHeight="1" x14ac:dyDescent="0.25">
      <c r="A443" s="4" t="s">
        <v>21</v>
      </c>
      <c r="B443" s="4" t="s">
        <v>22</v>
      </c>
      <c r="C443" s="4" t="s">
        <v>23</v>
      </c>
      <c r="D443" s="4" t="s">
        <v>24</v>
      </c>
      <c r="E443" s="4" t="s">
        <v>29</v>
      </c>
      <c r="F443" s="4" t="s">
        <v>25</v>
      </c>
      <c r="G443" s="4" t="s">
        <v>25</v>
      </c>
      <c r="H443" s="4" t="s">
        <v>25</v>
      </c>
      <c r="I443" s="5">
        <v>44593</v>
      </c>
      <c r="J443" s="6">
        <v>0</v>
      </c>
      <c r="K443" s="6">
        <v>0</v>
      </c>
      <c r="L443" s="6">
        <v>51.893999999999998</v>
      </c>
      <c r="M443" s="6">
        <v>51.893999999999998</v>
      </c>
      <c r="N443" s="6">
        <v>51.893999999999998</v>
      </c>
      <c r="O443" s="6">
        <v>51.893999999999998</v>
      </c>
      <c r="P443" s="6">
        <v>159</v>
      </c>
      <c r="Q443" s="4" t="s">
        <v>26</v>
      </c>
      <c r="R443" s="4">
        <v>0</v>
      </c>
      <c r="S443" s="6">
        <v>0</v>
      </c>
      <c r="T443" s="6">
        <v>6</v>
      </c>
      <c r="U443" s="6">
        <v>50</v>
      </c>
      <c r="V443" s="6">
        <f>IF(ISERROR(VLOOKUP($S$443,'TAR FIN'!$A$1:$O$86,15,0)),0,VLOOKUP($S$443,'TAR FIN'!$A$1:$O$86,15,0))</f>
        <v>0</v>
      </c>
      <c r="W443" s="6">
        <f>IF(ISERROR(VLOOKUP($T$443,'TAR FIN'!$A$1:$O$86,15,0)),0,VLOOKUP($T$443,'TAR FIN'!$A$1:$O$86,15,0))</f>
        <v>151.83000000000001</v>
      </c>
      <c r="X443" s="6">
        <f>IF(ISERROR(VLOOKUP($U$443,'TAR FIN'!$A$1:$O$86,15,0)),0,VLOOKUP($U$443,'TAR FIN'!$A$1:$O$86,15,0))</f>
        <v>188.71</v>
      </c>
      <c r="Y443" s="6"/>
      <c r="Z443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443" s="6">
        <f>('TE BE'!$AB$14+'TE BF'!$AB$14+'TE CVA'!$AB$14)*(1-CUSTOS!$M$35)</f>
        <v>149.33777216922758</v>
      </c>
      <c r="AB443" s="6">
        <f>$K$443*$V$443</f>
        <v>0</v>
      </c>
      <c r="AC443" s="6">
        <f>$M$443*$W$443</f>
        <v>7879.0660200000002</v>
      </c>
      <c r="AD443" s="6">
        <f>$O$443*$X$443</f>
        <v>9792.9167400000006</v>
      </c>
      <c r="AE443" s="6">
        <f>$K$443*$Y$443</f>
        <v>0</v>
      </c>
      <c r="AF443" s="6">
        <f ca="1">$M$443*$Z$443</f>
        <v>6532.7990008151719</v>
      </c>
      <c r="AG443" s="6">
        <f>$O$443*$AA$443</f>
        <v>7749.7343489498953</v>
      </c>
    </row>
    <row r="444" spans="1:33" ht="11.25" customHeight="1" x14ac:dyDescent="0.25">
      <c r="A444" s="4" t="s">
        <v>21</v>
      </c>
      <c r="B444" s="4" t="s">
        <v>22</v>
      </c>
      <c r="C444" s="4" t="s">
        <v>23</v>
      </c>
      <c r="D444" s="4" t="s">
        <v>24</v>
      </c>
      <c r="E444" s="4" t="s">
        <v>29</v>
      </c>
      <c r="F444" s="4" t="s">
        <v>25</v>
      </c>
      <c r="G444" s="4" t="s">
        <v>25</v>
      </c>
      <c r="H444" s="4" t="s">
        <v>25</v>
      </c>
      <c r="I444" s="5">
        <v>44621</v>
      </c>
      <c r="J444" s="6">
        <v>0</v>
      </c>
      <c r="K444" s="6">
        <v>0</v>
      </c>
      <c r="L444" s="6">
        <v>55.418999999999997</v>
      </c>
      <c r="M444" s="6">
        <v>55.418999999999997</v>
      </c>
      <c r="N444" s="6">
        <v>55.418999999999997</v>
      </c>
      <c r="O444" s="6">
        <v>55.418999999999997</v>
      </c>
      <c r="P444" s="6">
        <v>147</v>
      </c>
      <c r="Q444" s="4" t="s">
        <v>26</v>
      </c>
      <c r="R444" s="4">
        <v>0</v>
      </c>
      <c r="S444" s="6">
        <v>0</v>
      </c>
      <c r="T444" s="6">
        <v>6</v>
      </c>
      <c r="U444" s="6">
        <v>50</v>
      </c>
      <c r="V444" s="6">
        <f>IF(ISERROR(VLOOKUP($S$444,'TAR FIN'!$A$1:$O$86,15,0)),0,VLOOKUP($S$444,'TAR FIN'!$A$1:$O$86,15,0))</f>
        <v>0</v>
      </c>
      <c r="W444" s="6">
        <f>IF(ISERROR(VLOOKUP($T$444,'TAR FIN'!$A$1:$O$86,15,0)),0,VLOOKUP($T$444,'TAR FIN'!$A$1:$O$86,15,0))</f>
        <v>151.83000000000001</v>
      </c>
      <c r="X444" s="6">
        <f>IF(ISERROR(VLOOKUP($U$444,'TAR FIN'!$A$1:$O$86,15,0)),0,VLOOKUP($U$444,'TAR FIN'!$A$1:$O$86,15,0))</f>
        <v>188.71</v>
      </c>
      <c r="Y444" s="6"/>
      <c r="Z444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444" s="6">
        <f>('TE BE'!$AB$14+'TE BF'!$AB$14+'TE CVA'!$AB$14)*(1-CUSTOS!$M$35)</f>
        <v>149.33777216922758</v>
      </c>
      <c r="AB444" s="6">
        <f>$K$444*$V$444</f>
        <v>0</v>
      </c>
      <c r="AC444" s="6">
        <f>$M$444*$W$444</f>
        <v>8414.2667700000002</v>
      </c>
      <c r="AD444" s="6">
        <f>$O$444*$X$444</f>
        <v>10458.119489999999</v>
      </c>
      <c r="AE444" s="6">
        <f>$K$444*$Y$444</f>
        <v>0</v>
      </c>
      <c r="AF444" s="6">
        <f ca="1">$M$444*$Z$444</f>
        <v>6976.5519679765675</v>
      </c>
      <c r="AG444" s="6">
        <f>$O$444*$AA$444</f>
        <v>8276.1499958464228</v>
      </c>
    </row>
    <row r="445" spans="1:33" ht="11.25" customHeight="1" x14ac:dyDescent="0.25">
      <c r="A445" s="4" t="s">
        <v>21</v>
      </c>
      <c r="B445" s="4" t="s">
        <v>22</v>
      </c>
      <c r="C445" s="4" t="s">
        <v>23</v>
      </c>
      <c r="D445" s="4" t="s">
        <v>24</v>
      </c>
      <c r="E445" s="4" t="s">
        <v>29</v>
      </c>
      <c r="F445" s="4" t="s">
        <v>25</v>
      </c>
      <c r="G445" s="4" t="s">
        <v>25</v>
      </c>
      <c r="H445" s="4" t="s">
        <v>25</v>
      </c>
      <c r="I445" s="5">
        <v>44652</v>
      </c>
      <c r="J445" s="6">
        <v>0</v>
      </c>
      <c r="K445" s="6">
        <v>0</v>
      </c>
      <c r="L445" s="6">
        <v>53.268999999999998</v>
      </c>
      <c r="M445" s="6">
        <v>53.268999999999998</v>
      </c>
      <c r="N445" s="6">
        <v>53.268999999999998</v>
      </c>
      <c r="O445" s="6">
        <v>53.268999999999998</v>
      </c>
      <c r="P445" s="6">
        <v>244</v>
      </c>
      <c r="Q445" s="4" t="s">
        <v>26</v>
      </c>
      <c r="R445" s="4">
        <v>0</v>
      </c>
      <c r="S445" s="6">
        <v>0</v>
      </c>
      <c r="T445" s="6">
        <v>6</v>
      </c>
      <c r="U445" s="6">
        <v>50</v>
      </c>
      <c r="V445" s="6">
        <f>IF(ISERROR(VLOOKUP($S$445,'TAR FIN'!$A$1:$O$86,15,0)),0,VLOOKUP($S$445,'TAR FIN'!$A$1:$O$86,15,0))</f>
        <v>0</v>
      </c>
      <c r="W445" s="6">
        <f>IF(ISERROR(VLOOKUP($T$445,'TAR FIN'!$A$1:$O$86,15,0)),0,VLOOKUP($T$445,'TAR FIN'!$A$1:$O$86,15,0))</f>
        <v>151.83000000000001</v>
      </c>
      <c r="X445" s="6">
        <f>IF(ISERROR(VLOOKUP($U$445,'TAR FIN'!$A$1:$O$86,15,0)),0,VLOOKUP($U$445,'TAR FIN'!$A$1:$O$86,15,0))</f>
        <v>188.71</v>
      </c>
      <c r="Y445" s="6"/>
      <c r="Z445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445" s="6">
        <f>('TE BE'!$AB$14+'TE BF'!$AB$14+'TE CVA'!$AB$14)*(1-CUSTOS!$M$35)</f>
        <v>149.33777216922758</v>
      </c>
      <c r="AB445" s="6">
        <f>$K$445*$V$445</f>
        <v>0</v>
      </c>
      <c r="AC445" s="6">
        <f>$M$445*$W$445</f>
        <v>8087.8322700000008</v>
      </c>
      <c r="AD445" s="6">
        <f>$O$445*$X$445</f>
        <v>10052.39299</v>
      </c>
      <c r="AE445" s="6">
        <f>$K$445*$Y$445</f>
        <v>0</v>
      </c>
      <c r="AF445" s="6">
        <f ca="1">$M$445*$Z$445</f>
        <v>6705.8941298497584</v>
      </c>
      <c r="AG445" s="6">
        <f>$O$445*$AA$445</f>
        <v>7955.0737856825835</v>
      </c>
    </row>
    <row r="446" spans="1:33" ht="11.25" customHeight="1" x14ac:dyDescent="0.25">
      <c r="A446" s="4" t="s">
        <v>21</v>
      </c>
      <c r="B446" s="4" t="s">
        <v>22</v>
      </c>
      <c r="C446" s="4" t="s">
        <v>23</v>
      </c>
      <c r="D446" s="4" t="s">
        <v>24</v>
      </c>
      <c r="E446" s="4" t="s">
        <v>29</v>
      </c>
      <c r="F446" s="4" t="s">
        <v>25</v>
      </c>
      <c r="G446" s="4" t="s">
        <v>25</v>
      </c>
      <c r="H446" s="4" t="s">
        <v>25</v>
      </c>
      <c r="I446" s="5">
        <v>44682</v>
      </c>
      <c r="J446" s="6">
        <v>0</v>
      </c>
      <c r="K446" s="6">
        <v>0</v>
      </c>
      <c r="L446" s="6">
        <v>50.225000000000001</v>
      </c>
      <c r="M446" s="6">
        <v>50.225000000000001</v>
      </c>
      <c r="N446" s="6">
        <v>50.225000000000001</v>
      </c>
      <c r="O446" s="6">
        <v>50.225000000000001</v>
      </c>
      <c r="P446" s="6">
        <v>211</v>
      </c>
      <c r="Q446" s="4" t="s">
        <v>26</v>
      </c>
      <c r="R446" s="4">
        <v>0</v>
      </c>
      <c r="S446" s="6">
        <v>0</v>
      </c>
      <c r="T446" s="6">
        <v>6</v>
      </c>
      <c r="U446" s="6">
        <v>50</v>
      </c>
      <c r="V446" s="6">
        <f>IF(ISERROR(VLOOKUP($S$446,'TAR FIN'!$A$1:$O$86,15,0)),0,VLOOKUP($S$446,'TAR FIN'!$A$1:$O$86,15,0))</f>
        <v>0</v>
      </c>
      <c r="W446" s="6">
        <f>IF(ISERROR(VLOOKUP($T$446,'TAR FIN'!$A$1:$O$86,15,0)),0,VLOOKUP($T$446,'TAR FIN'!$A$1:$O$86,15,0))</f>
        <v>151.83000000000001</v>
      </c>
      <c r="X446" s="6">
        <f>IF(ISERROR(VLOOKUP($U$446,'TAR FIN'!$A$1:$O$86,15,0)),0,VLOOKUP($U$446,'TAR FIN'!$A$1:$O$86,15,0))</f>
        <v>188.71</v>
      </c>
      <c r="Y446" s="6"/>
      <c r="Z446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446" s="6">
        <f>('TE BE'!$AB$14+'TE BF'!$AB$14+'TE CVA'!$AB$14)*(1-CUSTOS!$M$35)</f>
        <v>149.33777216922758</v>
      </c>
      <c r="AB446" s="6">
        <f>$K$446*$V$446</f>
        <v>0</v>
      </c>
      <c r="AC446" s="6">
        <f>$M$446*$W$446</f>
        <v>7625.6617500000011</v>
      </c>
      <c r="AD446" s="6">
        <f>$O$446*$X$446</f>
        <v>9477.95975</v>
      </c>
      <c r="AE446" s="6">
        <f>$K$446*$Y$446</f>
        <v>0</v>
      </c>
      <c r="AF446" s="6">
        <f ca="1">$M$446*$Z$446</f>
        <v>6322.6929860088258</v>
      </c>
      <c r="AG446" s="6">
        <f>$O$446*$AA$446</f>
        <v>7500.4896071994553</v>
      </c>
    </row>
    <row r="447" spans="1:33" ht="11.25" customHeight="1" x14ac:dyDescent="0.25">
      <c r="A447" s="4" t="s">
        <v>27</v>
      </c>
      <c r="B447" s="4" t="s">
        <v>22</v>
      </c>
      <c r="C447" s="4" t="s">
        <v>23</v>
      </c>
      <c r="D447" s="4" t="s">
        <v>24</v>
      </c>
      <c r="E447" s="4" t="s">
        <v>29</v>
      </c>
      <c r="F447" s="4" t="s">
        <v>25</v>
      </c>
      <c r="G447" s="4" t="s">
        <v>25</v>
      </c>
      <c r="H447" s="4" t="s">
        <v>25</v>
      </c>
      <c r="I447" s="5">
        <v>44682</v>
      </c>
      <c r="J447" s="6">
        <v>0</v>
      </c>
      <c r="K447" s="6">
        <v>0</v>
      </c>
      <c r="L447" s="6">
        <v>7.0000000000000007E-2</v>
      </c>
      <c r="M447" s="6">
        <v>7.0000000000000007E-2</v>
      </c>
      <c r="N447" s="6">
        <v>7.0000000000000007E-2</v>
      </c>
      <c r="O447" s="6">
        <v>7.0000000000000007E-2</v>
      </c>
      <c r="P447" s="6">
        <v>0</v>
      </c>
      <c r="Q447" s="4" t="s">
        <v>26</v>
      </c>
      <c r="R447" s="4">
        <v>0</v>
      </c>
      <c r="S447" s="6">
        <v>0</v>
      </c>
      <c r="T447" s="6">
        <v>6</v>
      </c>
      <c r="U447" s="6">
        <v>50</v>
      </c>
      <c r="V447" s="6">
        <f>IF(ISERROR(VLOOKUP($S$447,'TAR FIN'!$A$1:$O$86,15,0)),0,VLOOKUP($S$447,'TAR FIN'!$A$1:$O$86,15,0))</f>
        <v>0</v>
      </c>
      <c r="W447" s="6">
        <f>IF(ISERROR(VLOOKUP($T$447,'TAR FIN'!$A$1:$O$86,15,0)),0,VLOOKUP($T$447,'TAR FIN'!$A$1:$O$86,15,0))</f>
        <v>151.83000000000001</v>
      </c>
      <c r="X447" s="6">
        <f>IF(ISERROR(VLOOKUP($U$447,'TAR FIN'!$A$1:$O$86,15,0)),0,VLOOKUP($U$447,'TAR FIN'!$A$1:$O$86,15,0))</f>
        <v>188.71</v>
      </c>
      <c r="Y447" s="6"/>
      <c r="Z447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447" s="6">
        <f>('TE BE'!$AB$14+'TE BF'!$AB$14+'TE CVA'!$AB$14)*(1-CUSTOS!$M$35)</f>
        <v>149.33777216922758</v>
      </c>
      <c r="AB447" s="6">
        <f>$K$447*$V$447</f>
        <v>0</v>
      </c>
      <c r="AC447" s="6">
        <f>$M$447*$W$447</f>
        <v>10.628100000000002</v>
      </c>
      <c r="AD447" s="6">
        <f>$O$447*$X$447</f>
        <v>13.209700000000002</v>
      </c>
      <c r="AE447" s="6">
        <f>$K$447*$Y$447</f>
        <v>0</v>
      </c>
      <c r="AF447" s="6">
        <f ca="1">$M$447*$Z$447</f>
        <v>8.8121156599426147</v>
      </c>
      <c r="AG447" s="6">
        <f>$O$447*$AA$447</f>
        <v>10.453644051845931</v>
      </c>
    </row>
    <row r="448" spans="1:33" ht="11.25" customHeight="1" x14ac:dyDescent="0.25">
      <c r="A448" s="4" t="s">
        <v>55</v>
      </c>
      <c r="B448" s="4" t="s">
        <v>22</v>
      </c>
      <c r="C448" s="4" t="s">
        <v>23</v>
      </c>
      <c r="D448" s="4" t="s">
        <v>24</v>
      </c>
      <c r="E448" s="4" t="s">
        <v>29</v>
      </c>
      <c r="F448" s="4" t="s">
        <v>25</v>
      </c>
      <c r="G448" s="4" t="s">
        <v>25</v>
      </c>
      <c r="H448" s="4" t="s">
        <v>25</v>
      </c>
      <c r="I448" s="5">
        <v>44713</v>
      </c>
      <c r="J448" s="6">
        <v>0</v>
      </c>
      <c r="K448" s="6">
        <v>0</v>
      </c>
      <c r="L448" s="6">
        <v>50.225000000000001</v>
      </c>
      <c r="M448" s="6">
        <v>50.225000000000001</v>
      </c>
      <c r="N448" s="6">
        <v>50.225000000000001</v>
      </c>
      <c r="O448" s="6">
        <v>50.225000000000001</v>
      </c>
      <c r="P448" s="6">
        <v>211</v>
      </c>
      <c r="Q448" s="4" t="s">
        <v>26</v>
      </c>
      <c r="R448" s="4">
        <v>0</v>
      </c>
      <c r="S448" s="6">
        <v>0</v>
      </c>
      <c r="T448" s="6">
        <v>6</v>
      </c>
      <c r="U448" s="6">
        <v>50</v>
      </c>
      <c r="V448" s="6">
        <f>IF(ISERROR(VLOOKUP($S$448,'TAR FIN'!$A$1:$O$86,15,0)),0,VLOOKUP($S$448,'TAR FIN'!$A$1:$O$86,15,0))</f>
        <v>0</v>
      </c>
      <c r="W448" s="6">
        <f>IF(ISERROR(VLOOKUP($T$448,'TAR FIN'!$A$1:$O$86,15,0)),0,VLOOKUP($T$448,'TAR FIN'!$A$1:$O$86,15,0))</f>
        <v>151.83000000000001</v>
      </c>
      <c r="X448" s="6">
        <f>IF(ISERROR(VLOOKUP($U$448,'TAR FIN'!$A$1:$O$86,15,0)),0,VLOOKUP($U$448,'TAR FIN'!$A$1:$O$86,15,0))</f>
        <v>188.71</v>
      </c>
      <c r="Y448" s="6"/>
      <c r="Z448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448" s="6">
        <f>('TE BE'!$AB$14+'TE BF'!$AB$14+'TE CVA'!$AB$14)*(1-CUSTOS!$M$35)</f>
        <v>149.33777216922758</v>
      </c>
      <c r="AB448" s="6">
        <f>$K$448*$V$448</f>
        <v>0</v>
      </c>
      <c r="AC448" s="6">
        <f>$M$448*$W$448</f>
        <v>7625.6617500000011</v>
      </c>
      <c r="AD448" s="6">
        <f>$O$448*$X$448</f>
        <v>9477.95975</v>
      </c>
      <c r="AE448" s="6">
        <f>$K$448*$Y$448</f>
        <v>0</v>
      </c>
      <c r="AF448" s="6">
        <f ca="1">$M$448*$Z$448</f>
        <v>6322.6929860088258</v>
      </c>
      <c r="AG448" s="6">
        <f>$O$448*$AA$448</f>
        <v>7500.4896071994553</v>
      </c>
    </row>
    <row r="449" spans="1:33" ht="11.25" customHeight="1" x14ac:dyDescent="0.25">
      <c r="A449" s="4" t="s">
        <v>55</v>
      </c>
      <c r="B449" s="4" t="s">
        <v>22</v>
      </c>
      <c r="C449" s="4" t="s">
        <v>23</v>
      </c>
      <c r="D449" s="4" t="s">
        <v>24</v>
      </c>
      <c r="E449" s="4" t="s">
        <v>29</v>
      </c>
      <c r="F449" s="4" t="s">
        <v>25</v>
      </c>
      <c r="G449" s="4" t="s">
        <v>25</v>
      </c>
      <c r="H449" s="4" t="s">
        <v>25</v>
      </c>
      <c r="I449" s="5">
        <v>44713</v>
      </c>
      <c r="J449" s="6">
        <v>0</v>
      </c>
      <c r="K449" s="6">
        <v>0</v>
      </c>
      <c r="L449" s="6">
        <v>7.0000000000000007E-2</v>
      </c>
      <c r="M449" s="6">
        <v>7.0000000000000007E-2</v>
      </c>
      <c r="N449" s="6">
        <v>7.0000000000000007E-2</v>
      </c>
      <c r="O449" s="6">
        <v>7.0000000000000007E-2</v>
      </c>
      <c r="P449" s="6">
        <v>0</v>
      </c>
      <c r="Q449" s="4" t="s">
        <v>26</v>
      </c>
      <c r="R449" s="4">
        <v>0</v>
      </c>
      <c r="S449" s="6">
        <v>0</v>
      </c>
      <c r="T449" s="6">
        <v>6</v>
      </c>
      <c r="U449" s="6">
        <v>50</v>
      </c>
      <c r="V449" s="6">
        <f>IF(ISERROR(VLOOKUP($S$449,'TAR FIN'!$A$1:$O$86,15,0)),0,VLOOKUP($S$449,'TAR FIN'!$A$1:$O$86,15,0))</f>
        <v>0</v>
      </c>
      <c r="W449" s="6">
        <f>IF(ISERROR(VLOOKUP($T$449,'TAR FIN'!$A$1:$O$86,15,0)),0,VLOOKUP($T$449,'TAR FIN'!$A$1:$O$86,15,0))</f>
        <v>151.83000000000001</v>
      </c>
      <c r="X449" s="6">
        <f>IF(ISERROR(VLOOKUP($U$449,'TAR FIN'!$A$1:$O$86,15,0)),0,VLOOKUP($U$449,'TAR FIN'!$A$1:$O$86,15,0))</f>
        <v>188.71</v>
      </c>
      <c r="Y449" s="6"/>
      <c r="Z449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449" s="6">
        <f>('TE BE'!$AB$14+'TE BF'!$AB$14+'TE CVA'!$AB$14)*(1-CUSTOS!$M$35)</f>
        <v>149.33777216922758</v>
      </c>
      <c r="AB449" s="6">
        <f>$K$449*$V$449</f>
        <v>0</v>
      </c>
      <c r="AC449" s="6">
        <f>$M$449*$W$449</f>
        <v>10.628100000000002</v>
      </c>
      <c r="AD449" s="6">
        <f>$O$449*$X$449</f>
        <v>13.209700000000002</v>
      </c>
      <c r="AE449" s="6">
        <f>$K$449*$Y$449</f>
        <v>0</v>
      </c>
      <c r="AF449" s="6">
        <f ca="1">$M$449*$Z$449</f>
        <v>8.8121156599426147</v>
      </c>
      <c r="AG449" s="6">
        <f>$O$449*$AA$449</f>
        <v>10.453644051845931</v>
      </c>
    </row>
    <row r="450" spans="1:33" ht="11.25" customHeight="1" x14ac:dyDescent="0.25">
      <c r="A450" s="4" t="s">
        <v>21</v>
      </c>
      <c r="B450" s="4" t="s">
        <v>22</v>
      </c>
      <c r="C450" s="4" t="s">
        <v>23</v>
      </c>
      <c r="D450" s="4" t="s">
        <v>24</v>
      </c>
      <c r="E450" s="4" t="s">
        <v>30</v>
      </c>
      <c r="F450" s="4" t="s">
        <v>25</v>
      </c>
      <c r="G450" s="4" t="s">
        <v>25</v>
      </c>
      <c r="H450" s="4" t="s">
        <v>25</v>
      </c>
      <c r="I450" s="5">
        <v>44378</v>
      </c>
      <c r="J450" s="6">
        <v>0</v>
      </c>
      <c r="K450" s="6">
        <v>0</v>
      </c>
      <c r="L450" s="6">
        <v>30.233000000000001</v>
      </c>
      <c r="M450" s="6">
        <v>30.233000000000001</v>
      </c>
      <c r="N450" s="6">
        <v>30.233000000000001</v>
      </c>
      <c r="O450" s="6">
        <v>30.233000000000001</v>
      </c>
      <c r="P450" s="6">
        <v>328</v>
      </c>
      <c r="Q450" s="4" t="s">
        <v>26</v>
      </c>
      <c r="R450" s="4">
        <v>0</v>
      </c>
      <c r="S450" s="6">
        <v>0</v>
      </c>
      <c r="T450" s="6">
        <v>10</v>
      </c>
      <c r="U450" s="6">
        <v>55</v>
      </c>
      <c r="V450" s="6">
        <f>IF(ISERROR(VLOOKUP($S$450,'TAR FIN'!$A$1:$O$86,15,0)),0,VLOOKUP($S$450,'TAR FIN'!$A$1:$O$86,15,0))</f>
        <v>0</v>
      </c>
      <c r="W450" s="6">
        <f>IF(ISERROR(VLOOKUP($T$450,'TAR FIN'!$A$1:$O$86,15,0)),0,VLOOKUP($T$450,'TAR FIN'!$A$1:$O$86,15,0))</f>
        <v>227.74</v>
      </c>
      <c r="X450" s="6">
        <f>IF(ISERROR(VLOOKUP($U$450,'TAR FIN'!$A$1:$O$86,15,0)),0,VLOOKUP($U$450,'TAR FIN'!$A$1:$O$86,15,0))</f>
        <v>283.07</v>
      </c>
      <c r="Y450" s="6"/>
      <c r="Z450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450" s="6">
        <f>('TE BE'!$AB$15+'TE BF'!$AB$15+'TE CVA'!$AB$15)*(1-CUSTOS!$M$36)</f>
        <v>224.00665825384141</v>
      </c>
      <c r="AB450" s="6">
        <f>$K$450*$V$450</f>
        <v>0</v>
      </c>
      <c r="AC450" s="6">
        <f>$M$450*$W$450</f>
        <v>6885.2634200000002</v>
      </c>
      <c r="AD450" s="6">
        <f>$O$450*$X$450</f>
        <v>8558.0553099999997</v>
      </c>
      <c r="AE450" s="6">
        <f>$K$450*$Y$450</f>
        <v>0</v>
      </c>
      <c r="AF450" s="6">
        <f ca="1">$M$450*$Z$450</f>
        <v>5708.9291302938227</v>
      </c>
      <c r="AG450" s="6">
        <f>$O$450*$AA$450</f>
        <v>6772.393298988387</v>
      </c>
    </row>
    <row r="451" spans="1:33" ht="11.25" customHeight="1" x14ac:dyDescent="0.25">
      <c r="A451" s="4" t="s">
        <v>21</v>
      </c>
      <c r="B451" s="4" t="s">
        <v>22</v>
      </c>
      <c r="C451" s="4" t="s">
        <v>23</v>
      </c>
      <c r="D451" s="4" t="s">
        <v>24</v>
      </c>
      <c r="E451" s="4" t="s">
        <v>30</v>
      </c>
      <c r="F451" s="4" t="s">
        <v>25</v>
      </c>
      <c r="G451" s="4" t="s">
        <v>25</v>
      </c>
      <c r="H451" s="4" t="s">
        <v>25</v>
      </c>
      <c r="I451" s="5">
        <v>44409</v>
      </c>
      <c r="J451" s="6">
        <v>0</v>
      </c>
      <c r="K451" s="6">
        <v>0</v>
      </c>
      <c r="L451" s="6">
        <v>32.238</v>
      </c>
      <c r="M451" s="6">
        <v>32.238</v>
      </c>
      <c r="N451" s="6">
        <v>32.238</v>
      </c>
      <c r="O451" s="6">
        <v>32.238</v>
      </c>
      <c r="P451" s="6">
        <v>335</v>
      </c>
      <c r="Q451" s="4" t="s">
        <v>26</v>
      </c>
      <c r="R451" s="4">
        <v>0</v>
      </c>
      <c r="S451" s="6">
        <v>0</v>
      </c>
      <c r="T451" s="6">
        <v>10</v>
      </c>
      <c r="U451" s="6">
        <v>55</v>
      </c>
      <c r="V451" s="6">
        <f>IF(ISERROR(VLOOKUP($S$451,'TAR FIN'!$A$1:$O$86,15,0)),0,VLOOKUP($S$451,'TAR FIN'!$A$1:$O$86,15,0))</f>
        <v>0</v>
      </c>
      <c r="W451" s="6">
        <f>IF(ISERROR(VLOOKUP($T$451,'TAR FIN'!$A$1:$O$86,15,0)),0,VLOOKUP($T$451,'TAR FIN'!$A$1:$O$86,15,0))</f>
        <v>227.74</v>
      </c>
      <c r="X451" s="6">
        <f>IF(ISERROR(VLOOKUP($U$451,'TAR FIN'!$A$1:$O$86,15,0)),0,VLOOKUP($U$451,'TAR FIN'!$A$1:$O$86,15,0))</f>
        <v>283.07</v>
      </c>
      <c r="Y451" s="6"/>
      <c r="Z451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451" s="6">
        <f>('TE BE'!$AB$15+'TE BF'!$AB$15+'TE CVA'!$AB$15)*(1-CUSTOS!$M$36)</f>
        <v>224.00665825384141</v>
      </c>
      <c r="AB451" s="6">
        <f>$K$451*$V$451</f>
        <v>0</v>
      </c>
      <c r="AC451" s="6">
        <f>$M$451*$W$451</f>
        <v>7341.8821200000002</v>
      </c>
      <c r="AD451" s="6">
        <f>$O$451*$X$451</f>
        <v>9125.6106600000003</v>
      </c>
      <c r="AE451" s="6">
        <f>$K$451*$Y$451</f>
        <v>0</v>
      </c>
      <c r="AF451" s="6">
        <f ca="1">$M$451*$Z$451</f>
        <v>6087.5353852549288</v>
      </c>
      <c r="AG451" s="6">
        <f>$O$451*$AA$451</f>
        <v>7221.5266487873396</v>
      </c>
    </row>
    <row r="452" spans="1:33" ht="11.25" customHeight="1" x14ac:dyDescent="0.25">
      <c r="A452" s="4" t="s">
        <v>21</v>
      </c>
      <c r="B452" s="4" t="s">
        <v>22</v>
      </c>
      <c r="C452" s="4" t="s">
        <v>23</v>
      </c>
      <c r="D452" s="4" t="s">
        <v>24</v>
      </c>
      <c r="E452" s="4" t="s">
        <v>30</v>
      </c>
      <c r="F452" s="4" t="s">
        <v>25</v>
      </c>
      <c r="G452" s="4" t="s">
        <v>25</v>
      </c>
      <c r="H452" s="4" t="s">
        <v>25</v>
      </c>
      <c r="I452" s="5">
        <v>44440</v>
      </c>
      <c r="J452" s="6">
        <v>0</v>
      </c>
      <c r="K452" s="6">
        <v>0</v>
      </c>
      <c r="L452" s="6">
        <v>31.712</v>
      </c>
      <c r="M452" s="6">
        <v>31.712</v>
      </c>
      <c r="N452" s="6">
        <v>31.712</v>
      </c>
      <c r="O452" s="6">
        <v>31.712</v>
      </c>
      <c r="P452" s="6">
        <v>351</v>
      </c>
      <c r="Q452" s="4" t="s">
        <v>26</v>
      </c>
      <c r="R452" s="4">
        <v>0</v>
      </c>
      <c r="S452" s="6">
        <v>0</v>
      </c>
      <c r="T452" s="6">
        <v>10</v>
      </c>
      <c r="U452" s="6">
        <v>55</v>
      </c>
      <c r="V452" s="6">
        <f>IF(ISERROR(VLOOKUP($S$452,'TAR FIN'!$A$1:$O$86,15,0)),0,VLOOKUP($S$452,'TAR FIN'!$A$1:$O$86,15,0))</f>
        <v>0</v>
      </c>
      <c r="W452" s="6">
        <f>IF(ISERROR(VLOOKUP($T$452,'TAR FIN'!$A$1:$O$86,15,0)),0,VLOOKUP($T$452,'TAR FIN'!$A$1:$O$86,15,0))</f>
        <v>227.74</v>
      </c>
      <c r="X452" s="6">
        <f>IF(ISERROR(VLOOKUP($U$452,'TAR FIN'!$A$1:$O$86,15,0)),0,VLOOKUP($U$452,'TAR FIN'!$A$1:$O$86,15,0))</f>
        <v>283.07</v>
      </c>
      <c r="Y452" s="6"/>
      <c r="Z452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452" s="6">
        <f>('TE BE'!$AB$15+'TE BF'!$AB$15+'TE CVA'!$AB$15)*(1-CUSTOS!$M$36)</f>
        <v>224.00665825384141</v>
      </c>
      <c r="AB452" s="6">
        <f>$K$452*$V$452</f>
        <v>0</v>
      </c>
      <c r="AC452" s="6">
        <f>$M$452*$W$452</f>
        <v>7222.0908800000007</v>
      </c>
      <c r="AD452" s="6">
        <f>$O$452*$X$452</f>
        <v>8976.7158399999989</v>
      </c>
      <c r="AE452" s="6">
        <f>$K$452*$Y$452</f>
        <v>0</v>
      </c>
      <c r="AF452" s="6">
        <f ca="1">$M$452*$Z$452</f>
        <v>5988.2102530307184</v>
      </c>
      <c r="AG452" s="6">
        <f>$O$452*$AA$452</f>
        <v>7103.6991465458186</v>
      </c>
    </row>
    <row r="453" spans="1:33" ht="11.25" customHeight="1" x14ac:dyDescent="0.25">
      <c r="A453" s="4" t="s">
        <v>21</v>
      </c>
      <c r="B453" s="4" t="s">
        <v>22</v>
      </c>
      <c r="C453" s="4" t="s">
        <v>23</v>
      </c>
      <c r="D453" s="4" t="s">
        <v>24</v>
      </c>
      <c r="E453" s="4" t="s">
        <v>30</v>
      </c>
      <c r="F453" s="4" t="s">
        <v>25</v>
      </c>
      <c r="G453" s="4" t="s">
        <v>25</v>
      </c>
      <c r="H453" s="4" t="s">
        <v>25</v>
      </c>
      <c r="I453" s="5">
        <v>44470</v>
      </c>
      <c r="J453" s="6">
        <v>0</v>
      </c>
      <c r="K453" s="6">
        <v>0</v>
      </c>
      <c r="L453" s="6">
        <v>29.334</v>
      </c>
      <c r="M453" s="6">
        <v>29.334</v>
      </c>
      <c r="N453" s="6">
        <v>29.334</v>
      </c>
      <c r="O453" s="6">
        <v>29.334</v>
      </c>
      <c r="P453" s="6">
        <v>354</v>
      </c>
      <c r="Q453" s="4" t="s">
        <v>26</v>
      </c>
      <c r="R453" s="4">
        <v>0</v>
      </c>
      <c r="S453" s="6">
        <v>0</v>
      </c>
      <c r="T453" s="6">
        <v>10</v>
      </c>
      <c r="U453" s="6">
        <v>55</v>
      </c>
      <c r="V453" s="6">
        <f>IF(ISERROR(VLOOKUP($S$453,'TAR FIN'!$A$1:$O$86,15,0)),0,VLOOKUP($S$453,'TAR FIN'!$A$1:$O$86,15,0))</f>
        <v>0</v>
      </c>
      <c r="W453" s="6">
        <f>IF(ISERROR(VLOOKUP($T$453,'TAR FIN'!$A$1:$O$86,15,0)),0,VLOOKUP($T$453,'TAR FIN'!$A$1:$O$86,15,0))</f>
        <v>227.74</v>
      </c>
      <c r="X453" s="6">
        <f>IF(ISERROR(VLOOKUP($U$453,'TAR FIN'!$A$1:$O$86,15,0)),0,VLOOKUP($U$453,'TAR FIN'!$A$1:$O$86,15,0))</f>
        <v>283.07</v>
      </c>
      <c r="Y453" s="6"/>
      <c r="Z453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453" s="6">
        <f>('TE BE'!$AB$15+'TE BF'!$AB$15+'TE CVA'!$AB$15)*(1-CUSTOS!$M$36)</f>
        <v>224.00665825384141</v>
      </c>
      <c r="AB453" s="6">
        <f>$K$453*$V$453</f>
        <v>0</v>
      </c>
      <c r="AC453" s="6">
        <f>$M$453*$W$453</f>
        <v>6680.5251600000001</v>
      </c>
      <c r="AD453" s="6">
        <f>$O$453*$X$453</f>
        <v>8303.5753800000002</v>
      </c>
      <c r="AE453" s="6">
        <f>$K$453*$Y$453</f>
        <v>0</v>
      </c>
      <c r="AF453" s="6">
        <f ca="1">$M$453*$Z$453</f>
        <v>5539.1700164733566</v>
      </c>
      <c r="AG453" s="6">
        <f>$O$453*$AA$453</f>
        <v>6571.0113132181841</v>
      </c>
    </row>
    <row r="454" spans="1:33" ht="11.25" customHeight="1" x14ac:dyDescent="0.25">
      <c r="A454" s="4" t="s">
        <v>21</v>
      </c>
      <c r="B454" s="4" t="s">
        <v>22</v>
      </c>
      <c r="C454" s="4" t="s">
        <v>23</v>
      </c>
      <c r="D454" s="4" t="s">
        <v>24</v>
      </c>
      <c r="E454" s="4" t="s">
        <v>30</v>
      </c>
      <c r="F454" s="4" t="s">
        <v>25</v>
      </c>
      <c r="G454" s="4" t="s">
        <v>25</v>
      </c>
      <c r="H454" s="4" t="s">
        <v>25</v>
      </c>
      <c r="I454" s="5">
        <v>44501</v>
      </c>
      <c r="J454" s="6">
        <v>0</v>
      </c>
      <c r="K454" s="6">
        <v>0</v>
      </c>
      <c r="L454" s="6">
        <v>36.238999999999997</v>
      </c>
      <c r="M454" s="6">
        <v>36.238999999999997</v>
      </c>
      <c r="N454" s="6">
        <v>36.238999999999997</v>
      </c>
      <c r="O454" s="6">
        <v>36.238999999999997</v>
      </c>
      <c r="P454" s="6">
        <v>366</v>
      </c>
      <c r="Q454" s="4" t="s">
        <v>26</v>
      </c>
      <c r="R454" s="4">
        <v>0</v>
      </c>
      <c r="S454" s="6">
        <v>0</v>
      </c>
      <c r="T454" s="6">
        <v>10</v>
      </c>
      <c r="U454" s="6">
        <v>55</v>
      </c>
      <c r="V454" s="6">
        <f>IF(ISERROR(VLOOKUP($S$454,'TAR FIN'!$A$1:$O$86,15,0)),0,VLOOKUP($S$454,'TAR FIN'!$A$1:$O$86,15,0))</f>
        <v>0</v>
      </c>
      <c r="W454" s="6">
        <f>IF(ISERROR(VLOOKUP($T$454,'TAR FIN'!$A$1:$O$86,15,0)),0,VLOOKUP($T$454,'TAR FIN'!$A$1:$O$86,15,0))</f>
        <v>227.74</v>
      </c>
      <c r="X454" s="6">
        <f>IF(ISERROR(VLOOKUP($U$454,'TAR FIN'!$A$1:$O$86,15,0)),0,VLOOKUP($U$454,'TAR FIN'!$A$1:$O$86,15,0))</f>
        <v>283.07</v>
      </c>
      <c r="Y454" s="6"/>
      <c r="Z454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454" s="6">
        <f>('TE BE'!$AB$15+'TE BF'!$AB$15+'TE CVA'!$AB$15)*(1-CUSTOS!$M$36)</f>
        <v>224.00665825384141</v>
      </c>
      <c r="AB454" s="6">
        <f>$K$454*$V$454</f>
        <v>0</v>
      </c>
      <c r="AC454" s="6">
        <f>$M$454*$W$454</f>
        <v>8253.0698599999996</v>
      </c>
      <c r="AD454" s="6">
        <f>$O$454*$X$454</f>
        <v>10258.173729999999</v>
      </c>
      <c r="AE454" s="6">
        <f>$K$454*$Y$454</f>
        <v>0</v>
      </c>
      <c r="AF454" s="6">
        <f ca="1">$M$454*$Z$454</f>
        <v>6843.0484157284363</v>
      </c>
      <c r="AG454" s="6">
        <f>$O$454*$AA$454</f>
        <v>8117.7772884609585</v>
      </c>
    </row>
    <row r="455" spans="1:33" ht="11.25" customHeight="1" x14ac:dyDescent="0.25">
      <c r="A455" s="4" t="s">
        <v>21</v>
      </c>
      <c r="B455" s="4" t="s">
        <v>22</v>
      </c>
      <c r="C455" s="4" t="s">
        <v>23</v>
      </c>
      <c r="D455" s="4" t="s">
        <v>24</v>
      </c>
      <c r="E455" s="4" t="s">
        <v>30</v>
      </c>
      <c r="F455" s="4" t="s">
        <v>25</v>
      </c>
      <c r="G455" s="4" t="s">
        <v>25</v>
      </c>
      <c r="H455" s="4" t="s">
        <v>25</v>
      </c>
      <c r="I455" s="5">
        <v>44531</v>
      </c>
      <c r="J455" s="6">
        <v>0</v>
      </c>
      <c r="K455" s="6">
        <v>0</v>
      </c>
      <c r="L455" s="6">
        <v>38.335999999999999</v>
      </c>
      <c r="M455" s="6">
        <v>38.335999999999999</v>
      </c>
      <c r="N455" s="6">
        <v>38.335999999999999</v>
      </c>
      <c r="O455" s="6">
        <v>38.335999999999999</v>
      </c>
      <c r="P455" s="6">
        <v>358</v>
      </c>
      <c r="Q455" s="4" t="s">
        <v>26</v>
      </c>
      <c r="R455" s="4">
        <v>0</v>
      </c>
      <c r="S455" s="6">
        <v>0</v>
      </c>
      <c r="T455" s="6">
        <v>10</v>
      </c>
      <c r="U455" s="6">
        <v>55</v>
      </c>
      <c r="V455" s="6">
        <f>IF(ISERROR(VLOOKUP($S$455,'TAR FIN'!$A$1:$O$86,15,0)),0,VLOOKUP($S$455,'TAR FIN'!$A$1:$O$86,15,0))</f>
        <v>0</v>
      </c>
      <c r="W455" s="6">
        <f>IF(ISERROR(VLOOKUP($T$455,'TAR FIN'!$A$1:$O$86,15,0)),0,VLOOKUP($T$455,'TAR FIN'!$A$1:$O$86,15,0))</f>
        <v>227.74</v>
      </c>
      <c r="X455" s="6">
        <f>IF(ISERROR(VLOOKUP($U$455,'TAR FIN'!$A$1:$O$86,15,0)),0,VLOOKUP($U$455,'TAR FIN'!$A$1:$O$86,15,0))</f>
        <v>283.07</v>
      </c>
      <c r="Y455" s="6"/>
      <c r="Z455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455" s="6">
        <f>('TE BE'!$AB$15+'TE BF'!$AB$15+'TE CVA'!$AB$15)*(1-CUSTOS!$M$36)</f>
        <v>224.00665825384141</v>
      </c>
      <c r="AB455" s="6">
        <f>$K$455*$V$455</f>
        <v>0</v>
      </c>
      <c r="AC455" s="6">
        <f>$M$455*$W$455</f>
        <v>8730.6406399999996</v>
      </c>
      <c r="AD455" s="6">
        <f>$O$455*$X$455</f>
        <v>10851.771519999998</v>
      </c>
      <c r="AE455" s="6">
        <f>$K$455*$Y$455</f>
        <v>0</v>
      </c>
      <c r="AF455" s="6">
        <f ca="1">$M$455*$Z$455</f>
        <v>7239.0271272762866</v>
      </c>
      <c r="AG455" s="6">
        <f>$O$455*$AA$455</f>
        <v>8587.5192508192631</v>
      </c>
    </row>
    <row r="456" spans="1:33" ht="11.25" customHeight="1" x14ac:dyDescent="0.25">
      <c r="A456" s="4" t="s">
        <v>41</v>
      </c>
      <c r="B456" s="4" t="s">
        <v>22</v>
      </c>
      <c r="C456" s="4" t="s">
        <v>23</v>
      </c>
      <c r="D456" s="4" t="s">
        <v>24</v>
      </c>
      <c r="E456" s="4" t="s">
        <v>30</v>
      </c>
      <c r="F456" s="4" t="s">
        <v>25</v>
      </c>
      <c r="G456" s="4" t="s">
        <v>25</v>
      </c>
      <c r="H456" s="4" t="s">
        <v>25</v>
      </c>
      <c r="I456" s="5">
        <v>44531</v>
      </c>
      <c r="J456" s="6">
        <v>0</v>
      </c>
      <c r="K456" s="6">
        <v>0</v>
      </c>
      <c r="L456" s="6">
        <v>0.08</v>
      </c>
      <c r="M456" s="6">
        <v>0.08</v>
      </c>
      <c r="N456" s="6">
        <v>0.08</v>
      </c>
      <c r="O456" s="6">
        <v>0.08</v>
      </c>
      <c r="P456" s="6">
        <v>0</v>
      </c>
      <c r="Q456" s="4" t="s">
        <v>26</v>
      </c>
      <c r="R456" s="4">
        <v>0</v>
      </c>
      <c r="S456" s="6">
        <v>0</v>
      </c>
      <c r="T456" s="6">
        <v>10</v>
      </c>
      <c r="U456" s="6">
        <v>55</v>
      </c>
      <c r="V456" s="6">
        <f>IF(ISERROR(VLOOKUP($S$456,'TAR FIN'!$A$1:$O$86,15,0)),0,VLOOKUP($S$456,'TAR FIN'!$A$1:$O$86,15,0))</f>
        <v>0</v>
      </c>
      <c r="W456" s="6">
        <f>IF(ISERROR(VLOOKUP($T$456,'TAR FIN'!$A$1:$O$86,15,0)),0,VLOOKUP($T$456,'TAR FIN'!$A$1:$O$86,15,0))</f>
        <v>227.74</v>
      </c>
      <c r="X456" s="6">
        <f>IF(ISERROR(VLOOKUP($U$456,'TAR FIN'!$A$1:$O$86,15,0)),0,VLOOKUP($U$456,'TAR FIN'!$A$1:$O$86,15,0))</f>
        <v>283.07</v>
      </c>
      <c r="Y456" s="6"/>
      <c r="Z456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456" s="6">
        <f>('TE BE'!$AB$15+'TE BF'!$AB$15+'TE CVA'!$AB$15)*(1-CUSTOS!$M$36)</f>
        <v>224.00665825384141</v>
      </c>
      <c r="AB456" s="6">
        <f>$K$456*$V$456</f>
        <v>0</v>
      </c>
      <c r="AC456" s="6">
        <f>$M$456*$W$456</f>
        <v>18.219200000000001</v>
      </c>
      <c r="AD456" s="6">
        <f>$O$456*$X$456</f>
        <v>22.645599999999998</v>
      </c>
      <c r="AE456" s="6">
        <f>$K$456*$Y$456</f>
        <v>0</v>
      </c>
      <c r="AF456" s="6">
        <f ca="1">$M$456*$Z$456</f>
        <v>15.106483988473054</v>
      </c>
      <c r="AG456" s="6">
        <f>$O$456*$AA$456</f>
        <v>17.920532660307313</v>
      </c>
    </row>
    <row r="457" spans="1:33" ht="11.25" customHeight="1" x14ac:dyDescent="0.25">
      <c r="A457" s="4" t="s">
        <v>21</v>
      </c>
      <c r="B457" s="4" t="s">
        <v>22</v>
      </c>
      <c r="C457" s="4" t="s">
        <v>23</v>
      </c>
      <c r="D457" s="4" t="s">
        <v>24</v>
      </c>
      <c r="E457" s="4" t="s">
        <v>30</v>
      </c>
      <c r="F457" s="4" t="s">
        <v>25</v>
      </c>
      <c r="G457" s="4" t="s">
        <v>25</v>
      </c>
      <c r="H457" s="4" t="s">
        <v>25</v>
      </c>
      <c r="I457" s="5">
        <v>44562</v>
      </c>
      <c r="J457" s="6">
        <v>0</v>
      </c>
      <c r="K457" s="6">
        <v>0</v>
      </c>
      <c r="L457" s="6">
        <v>52.743000000000002</v>
      </c>
      <c r="M457" s="6">
        <v>52.743000000000002</v>
      </c>
      <c r="N457" s="6">
        <v>52.743000000000002</v>
      </c>
      <c r="O457" s="6">
        <v>52.743000000000002</v>
      </c>
      <c r="P457" s="6">
        <v>437</v>
      </c>
      <c r="Q457" s="4" t="s">
        <v>26</v>
      </c>
      <c r="R457" s="4">
        <v>0</v>
      </c>
      <c r="S457" s="6">
        <v>0</v>
      </c>
      <c r="T457" s="6">
        <v>10</v>
      </c>
      <c r="U457" s="6">
        <v>55</v>
      </c>
      <c r="V457" s="6">
        <f>IF(ISERROR(VLOOKUP($S$457,'TAR FIN'!$A$1:$O$86,15,0)),0,VLOOKUP($S$457,'TAR FIN'!$A$1:$O$86,15,0))</f>
        <v>0</v>
      </c>
      <c r="W457" s="6">
        <f>IF(ISERROR(VLOOKUP($T$457,'TAR FIN'!$A$1:$O$86,15,0)),0,VLOOKUP($T$457,'TAR FIN'!$A$1:$O$86,15,0))</f>
        <v>227.74</v>
      </c>
      <c r="X457" s="6">
        <f>IF(ISERROR(VLOOKUP($U$457,'TAR FIN'!$A$1:$O$86,15,0)),0,VLOOKUP($U$457,'TAR FIN'!$A$1:$O$86,15,0))</f>
        <v>283.07</v>
      </c>
      <c r="Y457" s="6"/>
      <c r="Z457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457" s="6">
        <f>('TE BE'!$AB$15+'TE BF'!$AB$15+'TE CVA'!$AB$15)*(1-CUSTOS!$M$36)</f>
        <v>224.00665825384141</v>
      </c>
      <c r="AB457" s="6">
        <f>$K$457*$V$457</f>
        <v>0</v>
      </c>
      <c r="AC457" s="6">
        <f>$M$457*$W$457</f>
        <v>12011.690820000002</v>
      </c>
      <c r="AD457" s="6">
        <f>$O$457*$X$457</f>
        <v>14929.961010000001</v>
      </c>
      <c r="AE457" s="6">
        <f>$K$457*$Y$457</f>
        <v>0</v>
      </c>
      <c r="AF457" s="6">
        <f ca="1">$M$457*$Z$457</f>
        <v>9959.5160625504286</v>
      </c>
      <c r="AG457" s="6">
        <f>$O$457*$AA$457</f>
        <v>11814.783176282357</v>
      </c>
    </row>
    <row r="458" spans="1:33" ht="11.25" customHeight="1" x14ac:dyDescent="0.25">
      <c r="A458" s="4" t="s">
        <v>27</v>
      </c>
      <c r="B458" s="4" t="s">
        <v>22</v>
      </c>
      <c r="C458" s="4" t="s">
        <v>23</v>
      </c>
      <c r="D458" s="4" t="s">
        <v>24</v>
      </c>
      <c r="E458" s="4" t="s">
        <v>30</v>
      </c>
      <c r="F458" s="4" t="s">
        <v>25</v>
      </c>
      <c r="G458" s="4" t="s">
        <v>25</v>
      </c>
      <c r="H458" s="4" t="s">
        <v>25</v>
      </c>
      <c r="I458" s="5">
        <v>44562</v>
      </c>
      <c r="J458" s="6">
        <v>0</v>
      </c>
      <c r="K458" s="6">
        <v>0</v>
      </c>
      <c r="L458" s="6">
        <v>0.12</v>
      </c>
      <c r="M458" s="6">
        <v>0.12</v>
      </c>
      <c r="N458" s="6">
        <v>0.12</v>
      </c>
      <c r="O458" s="6">
        <v>0.12</v>
      </c>
      <c r="P458" s="6">
        <v>0</v>
      </c>
      <c r="Q458" s="4" t="s">
        <v>26</v>
      </c>
      <c r="R458" s="4">
        <v>0</v>
      </c>
      <c r="S458" s="6">
        <v>0</v>
      </c>
      <c r="T458" s="6">
        <v>10</v>
      </c>
      <c r="U458" s="6">
        <v>55</v>
      </c>
      <c r="V458" s="6">
        <f>IF(ISERROR(VLOOKUP($S$458,'TAR FIN'!$A$1:$O$86,15,0)),0,VLOOKUP($S$458,'TAR FIN'!$A$1:$O$86,15,0))</f>
        <v>0</v>
      </c>
      <c r="W458" s="6">
        <f>IF(ISERROR(VLOOKUP($T$458,'TAR FIN'!$A$1:$O$86,15,0)),0,VLOOKUP($T$458,'TAR FIN'!$A$1:$O$86,15,0))</f>
        <v>227.74</v>
      </c>
      <c r="X458" s="6">
        <f>IF(ISERROR(VLOOKUP($U$458,'TAR FIN'!$A$1:$O$86,15,0)),0,VLOOKUP($U$458,'TAR FIN'!$A$1:$O$86,15,0))</f>
        <v>283.07</v>
      </c>
      <c r="Y458" s="6"/>
      <c r="Z458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458" s="6">
        <f>('TE BE'!$AB$15+'TE BF'!$AB$15+'TE CVA'!$AB$15)*(1-CUSTOS!$M$36)</f>
        <v>224.00665825384141</v>
      </c>
      <c r="AB458" s="6">
        <f>$K$458*$V$458</f>
        <v>0</v>
      </c>
      <c r="AC458" s="6">
        <f>$M$458*$W$458</f>
        <v>27.328800000000001</v>
      </c>
      <c r="AD458" s="6">
        <f>$O$458*$X$458</f>
        <v>33.968399999999995</v>
      </c>
      <c r="AE458" s="6">
        <f>$K$458*$Y$458</f>
        <v>0</v>
      </c>
      <c r="AF458" s="6">
        <f ca="1">$M$458*$Z$458</f>
        <v>22.659725982709578</v>
      </c>
      <c r="AG458" s="6">
        <f>$O$458*$AA$458</f>
        <v>26.880798990460967</v>
      </c>
    </row>
    <row r="459" spans="1:33" ht="11.25" customHeight="1" x14ac:dyDescent="0.25">
      <c r="A459" s="4" t="s">
        <v>21</v>
      </c>
      <c r="B459" s="4" t="s">
        <v>22</v>
      </c>
      <c r="C459" s="4" t="s">
        <v>23</v>
      </c>
      <c r="D459" s="4" t="s">
        <v>24</v>
      </c>
      <c r="E459" s="4" t="s">
        <v>30</v>
      </c>
      <c r="F459" s="4" t="s">
        <v>25</v>
      </c>
      <c r="G459" s="4" t="s">
        <v>25</v>
      </c>
      <c r="H459" s="4" t="s">
        <v>25</v>
      </c>
      <c r="I459" s="5">
        <v>44593</v>
      </c>
      <c r="J459" s="6">
        <v>0</v>
      </c>
      <c r="K459" s="6">
        <v>0</v>
      </c>
      <c r="L459" s="6">
        <v>46.892000000000003</v>
      </c>
      <c r="M459" s="6">
        <v>46.892000000000003</v>
      </c>
      <c r="N459" s="6">
        <v>46.892000000000003</v>
      </c>
      <c r="O459" s="6">
        <v>46.892000000000003</v>
      </c>
      <c r="P459" s="6">
        <v>460</v>
      </c>
      <c r="Q459" s="4" t="s">
        <v>26</v>
      </c>
      <c r="R459" s="4">
        <v>0</v>
      </c>
      <c r="S459" s="6">
        <v>0</v>
      </c>
      <c r="T459" s="6">
        <v>10</v>
      </c>
      <c r="U459" s="6">
        <v>55</v>
      </c>
      <c r="V459" s="6">
        <f>IF(ISERROR(VLOOKUP($S$459,'TAR FIN'!$A$1:$O$86,15,0)),0,VLOOKUP($S$459,'TAR FIN'!$A$1:$O$86,15,0))</f>
        <v>0</v>
      </c>
      <c r="W459" s="6">
        <f>IF(ISERROR(VLOOKUP($T$459,'TAR FIN'!$A$1:$O$86,15,0)),0,VLOOKUP($T$459,'TAR FIN'!$A$1:$O$86,15,0))</f>
        <v>227.74</v>
      </c>
      <c r="X459" s="6">
        <f>IF(ISERROR(VLOOKUP($U$459,'TAR FIN'!$A$1:$O$86,15,0)),0,VLOOKUP($U$459,'TAR FIN'!$A$1:$O$86,15,0))</f>
        <v>283.07</v>
      </c>
      <c r="Y459" s="6"/>
      <c r="Z459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459" s="6">
        <f>('TE BE'!$AB$15+'TE BF'!$AB$15+'TE CVA'!$AB$15)*(1-CUSTOS!$M$36)</f>
        <v>224.00665825384141</v>
      </c>
      <c r="AB459" s="6">
        <f>$K$459*$V$459</f>
        <v>0</v>
      </c>
      <c r="AC459" s="6">
        <f>$M$459*$W$459</f>
        <v>10679.184080000001</v>
      </c>
      <c r="AD459" s="6">
        <f>$O$459*$X$459</f>
        <v>13273.718440000001</v>
      </c>
      <c r="AE459" s="6">
        <f>$K$459*$Y$459</f>
        <v>0</v>
      </c>
      <c r="AF459" s="6">
        <f ca="1">$M$459*$Z$459</f>
        <v>8854.6655898434801</v>
      </c>
      <c r="AG459" s="6">
        <f>$O$459*$AA$459</f>
        <v>10504.120218839133</v>
      </c>
    </row>
    <row r="460" spans="1:33" ht="11.25" customHeight="1" x14ac:dyDescent="0.25">
      <c r="A460" s="4" t="s">
        <v>21</v>
      </c>
      <c r="B460" s="4" t="s">
        <v>22</v>
      </c>
      <c r="C460" s="4" t="s">
        <v>23</v>
      </c>
      <c r="D460" s="4" t="s">
        <v>24</v>
      </c>
      <c r="E460" s="4" t="s">
        <v>30</v>
      </c>
      <c r="F460" s="4" t="s">
        <v>25</v>
      </c>
      <c r="G460" s="4" t="s">
        <v>25</v>
      </c>
      <c r="H460" s="4" t="s">
        <v>25</v>
      </c>
      <c r="I460" s="5">
        <v>44621</v>
      </c>
      <c r="J460" s="6">
        <v>0</v>
      </c>
      <c r="K460" s="6">
        <v>0</v>
      </c>
      <c r="L460" s="6">
        <v>57.16</v>
      </c>
      <c r="M460" s="6">
        <v>57.16</v>
      </c>
      <c r="N460" s="6">
        <v>57.16</v>
      </c>
      <c r="O460" s="6">
        <v>57.16</v>
      </c>
      <c r="P460" s="6">
        <v>441</v>
      </c>
      <c r="Q460" s="4" t="s">
        <v>26</v>
      </c>
      <c r="R460" s="4">
        <v>0</v>
      </c>
      <c r="S460" s="6">
        <v>0</v>
      </c>
      <c r="T460" s="6">
        <v>10</v>
      </c>
      <c r="U460" s="6">
        <v>55</v>
      </c>
      <c r="V460" s="6">
        <f>IF(ISERROR(VLOOKUP($S$460,'TAR FIN'!$A$1:$O$86,15,0)),0,VLOOKUP($S$460,'TAR FIN'!$A$1:$O$86,15,0))</f>
        <v>0</v>
      </c>
      <c r="W460" s="6">
        <f>IF(ISERROR(VLOOKUP($T$460,'TAR FIN'!$A$1:$O$86,15,0)),0,VLOOKUP($T$460,'TAR FIN'!$A$1:$O$86,15,0))</f>
        <v>227.74</v>
      </c>
      <c r="X460" s="6">
        <f>IF(ISERROR(VLOOKUP($U$460,'TAR FIN'!$A$1:$O$86,15,0)),0,VLOOKUP($U$460,'TAR FIN'!$A$1:$O$86,15,0))</f>
        <v>283.07</v>
      </c>
      <c r="Y460" s="6"/>
      <c r="Z460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460" s="6">
        <f>('TE BE'!$AB$15+'TE BF'!$AB$15+'TE CVA'!$AB$15)*(1-CUSTOS!$M$36)</f>
        <v>224.00665825384141</v>
      </c>
      <c r="AB460" s="6">
        <f>$K$460*$V$460</f>
        <v>0</v>
      </c>
      <c r="AC460" s="6">
        <f>$M$460*$W$460</f>
        <v>13017.618399999999</v>
      </c>
      <c r="AD460" s="6">
        <f>$O$460*$X$460</f>
        <v>16180.281199999999</v>
      </c>
      <c r="AE460" s="6">
        <f>$K$460*$Y$460</f>
        <v>0</v>
      </c>
      <c r="AF460" s="6">
        <f ca="1">$M$460*$Z$460</f>
        <v>10793.582809763995</v>
      </c>
      <c r="AG460" s="6">
        <f>$O$460*$AA$460</f>
        <v>12804.220585789573</v>
      </c>
    </row>
    <row r="461" spans="1:33" ht="11.25" customHeight="1" x14ac:dyDescent="0.25">
      <c r="A461" s="4" t="s">
        <v>21</v>
      </c>
      <c r="B461" s="4" t="s">
        <v>22</v>
      </c>
      <c r="C461" s="4" t="s">
        <v>23</v>
      </c>
      <c r="D461" s="4" t="s">
        <v>24</v>
      </c>
      <c r="E461" s="4" t="s">
        <v>30</v>
      </c>
      <c r="F461" s="4" t="s">
        <v>25</v>
      </c>
      <c r="G461" s="4" t="s">
        <v>25</v>
      </c>
      <c r="H461" s="4" t="s">
        <v>25</v>
      </c>
      <c r="I461" s="5">
        <v>44652</v>
      </c>
      <c r="J461" s="6">
        <v>0</v>
      </c>
      <c r="K461" s="6">
        <v>0</v>
      </c>
      <c r="L461" s="6">
        <v>41.701999999999998</v>
      </c>
      <c r="M461" s="6">
        <v>41.701999999999998</v>
      </c>
      <c r="N461" s="6">
        <v>41.701999999999998</v>
      </c>
      <c r="O461" s="6">
        <v>41.701999999999998</v>
      </c>
      <c r="P461" s="6">
        <v>478</v>
      </c>
      <c r="Q461" s="4" t="s">
        <v>26</v>
      </c>
      <c r="R461" s="4">
        <v>0</v>
      </c>
      <c r="S461" s="6">
        <v>0</v>
      </c>
      <c r="T461" s="6">
        <v>10</v>
      </c>
      <c r="U461" s="6">
        <v>55</v>
      </c>
      <c r="V461" s="6">
        <f>IF(ISERROR(VLOOKUP($S$461,'TAR FIN'!$A$1:$O$86,15,0)),0,VLOOKUP($S$461,'TAR FIN'!$A$1:$O$86,15,0))</f>
        <v>0</v>
      </c>
      <c r="W461" s="6">
        <f>IF(ISERROR(VLOOKUP($T$461,'TAR FIN'!$A$1:$O$86,15,0)),0,VLOOKUP($T$461,'TAR FIN'!$A$1:$O$86,15,0))</f>
        <v>227.74</v>
      </c>
      <c r="X461" s="6">
        <f>IF(ISERROR(VLOOKUP($U$461,'TAR FIN'!$A$1:$O$86,15,0)),0,VLOOKUP($U$461,'TAR FIN'!$A$1:$O$86,15,0))</f>
        <v>283.07</v>
      </c>
      <c r="Y461" s="6"/>
      <c r="Z461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461" s="6">
        <f>('TE BE'!$AB$15+'TE BF'!$AB$15+'TE CVA'!$AB$15)*(1-CUSTOS!$M$36)</f>
        <v>224.00665825384141</v>
      </c>
      <c r="AB461" s="6">
        <f>$K$461*$V$461</f>
        <v>0</v>
      </c>
      <c r="AC461" s="6">
        <f>$M$461*$W$461</f>
        <v>9497.2134800000003</v>
      </c>
      <c r="AD461" s="6">
        <f>$O$461*$X$461</f>
        <v>11804.585139999999</v>
      </c>
      <c r="AE461" s="6">
        <f>$K$461*$Y$461</f>
        <v>0</v>
      </c>
      <c r="AF461" s="6">
        <f ca="1">$M$461*$Z$461</f>
        <v>7874.6324410912903</v>
      </c>
      <c r="AG461" s="6">
        <f>$O$461*$AA$461</f>
        <v>9341.5256625016937</v>
      </c>
    </row>
    <row r="462" spans="1:33" ht="11.25" customHeight="1" x14ac:dyDescent="0.25">
      <c r="A462" s="4" t="s">
        <v>21</v>
      </c>
      <c r="B462" s="4" t="s">
        <v>22</v>
      </c>
      <c r="C462" s="4" t="s">
        <v>23</v>
      </c>
      <c r="D462" s="4" t="s">
        <v>24</v>
      </c>
      <c r="E462" s="4" t="s">
        <v>30</v>
      </c>
      <c r="F462" s="4" t="s">
        <v>25</v>
      </c>
      <c r="G462" s="4" t="s">
        <v>25</v>
      </c>
      <c r="H462" s="4" t="s">
        <v>25</v>
      </c>
      <c r="I462" s="5">
        <v>44682</v>
      </c>
      <c r="J462" s="6">
        <v>0</v>
      </c>
      <c r="K462" s="6">
        <v>0</v>
      </c>
      <c r="L462" s="6">
        <v>41.686999999999998</v>
      </c>
      <c r="M462" s="6">
        <v>41.686999999999998</v>
      </c>
      <c r="N462" s="6">
        <v>41.686999999999998</v>
      </c>
      <c r="O462" s="6">
        <v>41.686999999999998</v>
      </c>
      <c r="P462" s="6">
        <v>437</v>
      </c>
      <c r="Q462" s="4" t="s">
        <v>26</v>
      </c>
      <c r="R462" s="4">
        <v>0</v>
      </c>
      <c r="S462" s="6">
        <v>0</v>
      </c>
      <c r="T462" s="6">
        <v>10</v>
      </c>
      <c r="U462" s="6">
        <v>55</v>
      </c>
      <c r="V462" s="6">
        <f>IF(ISERROR(VLOOKUP($S$462,'TAR FIN'!$A$1:$O$86,15,0)),0,VLOOKUP($S$462,'TAR FIN'!$A$1:$O$86,15,0))</f>
        <v>0</v>
      </c>
      <c r="W462" s="6">
        <f>IF(ISERROR(VLOOKUP($T$462,'TAR FIN'!$A$1:$O$86,15,0)),0,VLOOKUP($T$462,'TAR FIN'!$A$1:$O$86,15,0))</f>
        <v>227.74</v>
      </c>
      <c r="X462" s="6">
        <f>IF(ISERROR(VLOOKUP($U$462,'TAR FIN'!$A$1:$O$86,15,0)),0,VLOOKUP($U$462,'TAR FIN'!$A$1:$O$86,15,0))</f>
        <v>283.07</v>
      </c>
      <c r="Y462" s="6"/>
      <c r="Z462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462" s="6">
        <f>('TE BE'!$AB$15+'TE BF'!$AB$15+'TE CVA'!$AB$15)*(1-CUSTOS!$M$36)</f>
        <v>224.00665825384141</v>
      </c>
      <c r="AB462" s="6">
        <f>$K$462*$V$462</f>
        <v>0</v>
      </c>
      <c r="AC462" s="6">
        <f>$M$462*$W$462</f>
        <v>9493.79738</v>
      </c>
      <c r="AD462" s="6">
        <f>$O$462*$X$462</f>
        <v>11800.339089999999</v>
      </c>
      <c r="AE462" s="6">
        <f>$K$462*$Y$462</f>
        <v>0</v>
      </c>
      <c r="AF462" s="6">
        <f ca="1">$M$462*$Z$462</f>
        <v>7871.7999753434515</v>
      </c>
      <c r="AG462" s="6">
        <f>$O$462*$AA$462</f>
        <v>9338.1655626278862</v>
      </c>
    </row>
    <row r="463" spans="1:33" ht="11.25" customHeight="1" x14ac:dyDescent="0.25">
      <c r="A463" s="4" t="s">
        <v>27</v>
      </c>
      <c r="B463" s="4" t="s">
        <v>22</v>
      </c>
      <c r="C463" s="4" t="s">
        <v>23</v>
      </c>
      <c r="D463" s="4" t="s">
        <v>24</v>
      </c>
      <c r="E463" s="4" t="s">
        <v>30</v>
      </c>
      <c r="F463" s="4" t="s">
        <v>25</v>
      </c>
      <c r="G463" s="4" t="s">
        <v>25</v>
      </c>
      <c r="H463" s="4" t="s">
        <v>25</v>
      </c>
      <c r="I463" s="5">
        <v>44682</v>
      </c>
      <c r="J463" s="6">
        <v>0</v>
      </c>
      <c r="K463" s="6">
        <v>0</v>
      </c>
      <c r="L463" s="6">
        <v>0.01</v>
      </c>
      <c r="M463" s="6">
        <v>0.01</v>
      </c>
      <c r="N463" s="6">
        <v>0.01</v>
      </c>
      <c r="O463" s="6">
        <v>0.01</v>
      </c>
      <c r="P463" s="6">
        <v>1</v>
      </c>
      <c r="Q463" s="4" t="s">
        <v>26</v>
      </c>
      <c r="R463" s="4">
        <v>0</v>
      </c>
      <c r="S463" s="6">
        <v>0</v>
      </c>
      <c r="T463" s="6">
        <v>10</v>
      </c>
      <c r="U463" s="6">
        <v>55</v>
      </c>
      <c r="V463" s="6">
        <f>IF(ISERROR(VLOOKUP($S$463,'TAR FIN'!$A$1:$O$86,15,0)),0,VLOOKUP($S$463,'TAR FIN'!$A$1:$O$86,15,0))</f>
        <v>0</v>
      </c>
      <c r="W463" s="6">
        <f>IF(ISERROR(VLOOKUP($T$463,'TAR FIN'!$A$1:$O$86,15,0)),0,VLOOKUP($T$463,'TAR FIN'!$A$1:$O$86,15,0))</f>
        <v>227.74</v>
      </c>
      <c r="X463" s="6">
        <f>IF(ISERROR(VLOOKUP($U$463,'TAR FIN'!$A$1:$O$86,15,0)),0,VLOOKUP($U$463,'TAR FIN'!$A$1:$O$86,15,0))</f>
        <v>283.07</v>
      </c>
      <c r="Y463" s="6"/>
      <c r="Z463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463" s="6">
        <f>('TE BE'!$AB$15+'TE BF'!$AB$15+'TE CVA'!$AB$15)*(1-CUSTOS!$M$36)</f>
        <v>224.00665825384141</v>
      </c>
      <c r="AB463" s="6">
        <f>$K$463*$V$463</f>
        <v>0</v>
      </c>
      <c r="AC463" s="6">
        <f>$M$463*$W$463</f>
        <v>2.2774000000000001</v>
      </c>
      <c r="AD463" s="6">
        <f>$O$463*$X$463</f>
        <v>2.8306999999999998</v>
      </c>
      <c r="AE463" s="6">
        <f>$K$463*$Y$463</f>
        <v>0</v>
      </c>
      <c r="AF463" s="6">
        <f ca="1">$M$463*$Z$463</f>
        <v>1.8883104985591317</v>
      </c>
      <c r="AG463" s="6">
        <f>$O$463*$AA$463</f>
        <v>2.2400665825384141</v>
      </c>
    </row>
    <row r="464" spans="1:33" ht="11.25" customHeight="1" x14ac:dyDescent="0.25">
      <c r="A464" s="4" t="s">
        <v>55</v>
      </c>
      <c r="B464" s="4" t="s">
        <v>22</v>
      </c>
      <c r="C464" s="4" t="s">
        <v>23</v>
      </c>
      <c r="D464" s="4" t="s">
        <v>24</v>
      </c>
      <c r="E464" s="4" t="s">
        <v>30</v>
      </c>
      <c r="F464" s="4" t="s">
        <v>25</v>
      </c>
      <c r="G464" s="4" t="s">
        <v>25</v>
      </c>
      <c r="H464" s="4" t="s">
        <v>25</v>
      </c>
      <c r="I464" s="5">
        <v>44713</v>
      </c>
      <c r="J464" s="6">
        <v>0</v>
      </c>
      <c r="K464" s="6">
        <v>0</v>
      </c>
      <c r="L464" s="6">
        <v>41.686999999999998</v>
      </c>
      <c r="M464" s="6">
        <v>41.686999999999998</v>
      </c>
      <c r="N464" s="6">
        <v>41.686999999999998</v>
      </c>
      <c r="O464" s="6">
        <v>41.686999999999998</v>
      </c>
      <c r="P464" s="6">
        <v>437</v>
      </c>
      <c r="Q464" s="4" t="s">
        <v>26</v>
      </c>
      <c r="R464" s="4">
        <v>0</v>
      </c>
      <c r="S464" s="6">
        <v>0</v>
      </c>
      <c r="T464" s="6">
        <v>10</v>
      </c>
      <c r="U464" s="6">
        <v>55</v>
      </c>
      <c r="V464" s="6">
        <f>IF(ISERROR(VLOOKUP($S$464,'TAR FIN'!$A$1:$O$86,15,0)),0,VLOOKUP($S$464,'TAR FIN'!$A$1:$O$86,15,0))</f>
        <v>0</v>
      </c>
      <c r="W464" s="6">
        <f>IF(ISERROR(VLOOKUP($T$464,'TAR FIN'!$A$1:$O$86,15,0)),0,VLOOKUP($T$464,'TAR FIN'!$A$1:$O$86,15,0))</f>
        <v>227.74</v>
      </c>
      <c r="X464" s="6">
        <f>IF(ISERROR(VLOOKUP($U$464,'TAR FIN'!$A$1:$O$86,15,0)),0,VLOOKUP($U$464,'TAR FIN'!$A$1:$O$86,15,0))</f>
        <v>283.07</v>
      </c>
      <c r="Y464" s="6"/>
      <c r="Z464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464" s="6">
        <f>('TE BE'!$AB$15+'TE BF'!$AB$15+'TE CVA'!$AB$15)*(1-CUSTOS!$M$36)</f>
        <v>224.00665825384141</v>
      </c>
      <c r="AB464" s="6">
        <f>$K$464*$V$464</f>
        <v>0</v>
      </c>
      <c r="AC464" s="6">
        <f>$M$464*$W$464</f>
        <v>9493.79738</v>
      </c>
      <c r="AD464" s="6">
        <f>$O$464*$X$464</f>
        <v>11800.339089999999</v>
      </c>
      <c r="AE464" s="6">
        <f>$K$464*$Y$464</f>
        <v>0</v>
      </c>
      <c r="AF464" s="6">
        <f ca="1">$M$464*$Z$464</f>
        <v>7871.7999753434515</v>
      </c>
      <c r="AG464" s="6">
        <f>$O$464*$AA$464</f>
        <v>9338.1655626278862</v>
      </c>
    </row>
    <row r="465" spans="1:33" ht="11.25" customHeight="1" x14ac:dyDescent="0.25">
      <c r="A465" s="4" t="s">
        <v>55</v>
      </c>
      <c r="B465" s="4" t="s">
        <v>22</v>
      </c>
      <c r="C465" s="4" t="s">
        <v>23</v>
      </c>
      <c r="D465" s="4" t="s">
        <v>24</v>
      </c>
      <c r="E465" s="4" t="s">
        <v>30</v>
      </c>
      <c r="F465" s="4" t="s">
        <v>25</v>
      </c>
      <c r="G465" s="4" t="s">
        <v>25</v>
      </c>
      <c r="H465" s="4" t="s">
        <v>25</v>
      </c>
      <c r="I465" s="5">
        <v>44713</v>
      </c>
      <c r="J465" s="6">
        <v>0</v>
      </c>
      <c r="K465" s="6">
        <v>0</v>
      </c>
      <c r="L465" s="6">
        <v>0.01</v>
      </c>
      <c r="M465" s="6">
        <v>0.01</v>
      </c>
      <c r="N465" s="6">
        <v>0.01</v>
      </c>
      <c r="O465" s="6">
        <v>0.01</v>
      </c>
      <c r="P465" s="6">
        <v>1</v>
      </c>
      <c r="Q465" s="4" t="s">
        <v>26</v>
      </c>
      <c r="R465" s="4">
        <v>0</v>
      </c>
      <c r="S465" s="6">
        <v>0</v>
      </c>
      <c r="T465" s="6">
        <v>10</v>
      </c>
      <c r="U465" s="6">
        <v>55</v>
      </c>
      <c r="V465" s="6">
        <f>IF(ISERROR(VLOOKUP($S$465,'TAR FIN'!$A$1:$O$86,15,0)),0,VLOOKUP($S$465,'TAR FIN'!$A$1:$O$86,15,0))</f>
        <v>0</v>
      </c>
      <c r="W465" s="6">
        <f>IF(ISERROR(VLOOKUP($T$465,'TAR FIN'!$A$1:$O$86,15,0)),0,VLOOKUP($T$465,'TAR FIN'!$A$1:$O$86,15,0))</f>
        <v>227.74</v>
      </c>
      <c r="X465" s="6">
        <f>IF(ISERROR(VLOOKUP($U$465,'TAR FIN'!$A$1:$O$86,15,0)),0,VLOOKUP($U$465,'TAR FIN'!$A$1:$O$86,15,0))</f>
        <v>283.07</v>
      </c>
      <c r="Y465" s="6"/>
      <c r="Z465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465" s="6">
        <f>('TE BE'!$AB$15+'TE BF'!$AB$15+'TE CVA'!$AB$15)*(1-CUSTOS!$M$36)</f>
        <v>224.00665825384141</v>
      </c>
      <c r="AB465" s="6">
        <f>$K$465*$V$465</f>
        <v>0</v>
      </c>
      <c r="AC465" s="6">
        <f>$M$465*$W$465</f>
        <v>2.2774000000000001</v>
      </c>
      <c r="AD465" s="6">
        <f>$O$465*$X$465</f>
        <v>2.8306999999999998</v>
      </c>
      <c r="AE465" s="6">
        <f>$K$465*$Y$465</f>
        <v>0</v>
      </c>
      <c r="AF465" s="6">
        <f ca="1">$M$465*$Z$465</f>
        <v>1.8883104985591317</v>
      </c>
      <c r="AG465" s="6">
        <f>$O$465*$AA$465</f>
        <v>2.2400665825384141</v>
      </c>
    </row>
    <row r="466" spans="1:33" ht="11.25" customHeight="1" x14ac:dyDescent="0.25">
      <c r="A466" s="4" t="s">
        <v>21</v>
      </c>
      <c r="B466" s="4" t="s">
        <v>22</v>
      </c>
      <c r="C466" s="4" t="s">
        <v>23</v>
      </c>
      <c r="D466" s="4" t="s">
        <v>24</v>
      </c>
      <c r="E466" s="4" t="s">
        <v>31</v>
      </c>
      <c r="F466" s="4" t="s">
        <v>25</v>
      </c>
      <c r="G466" s="4" t="s">
        <v>25</v>
      </c>
      <c r="H466" s="4" t="s">
        <v>25</v>
      </c>
      <c r="I466" s="5">
        <v>44378</v>
      </c>
      <c r="J466" s="6">
        <v>0</v>
      </c>
      <c r="K466" s="6">
        <v>0</v>
      </c>
      <c r="L466" s="6">
        <v>7.76</v>
      </c>
      <c r="M466" s="6">
        <v>7.76</v>
      </c>
      <c r="N466" s="6">
        <v>7.76</v>
      </c>
      <c r="O466" s="6">
        <v>7.76</v>
      </c>
      <c r="P466" s="6">
        <v>106</v>
      </c>
      <c r="Q466" s="4" t="s">
        <v>26</v>
      </c>
      <c r="R466" s="4">
        <v>0</v>
      </c>
      <c r="S466" s="6">
        <v>0</v>
      </c>
      <c r="T466" s="6">
        <v>20</v>
      </c>
      <c r="U466" s="6">
        <v>39</v>
      </c>
      <c r="V466" s="6">
        <f>IF(ISERROR(VLOOKUP($S$466,'TAR FIN'!$A$1:$O$86,15,0)),0,VLOOKUP($S$466,'TAR FIN'!$A$1:$O$86,15,0))</f>
        <v>0</v>
      </c>
      <c r="W466" s="6">
        <f>IF(ISERROR(VLOOKUP($T$466,'TAR FIN'!$A$1:$O$86,15,0)),0,VLOOKUP($T$466,'TAR FIN'!$A$1:$O$86,15,0))</f>
        <v>253.04</v>
      </c>
      <c r="X466" s="6">
        <f>IF(ISERROR(VLOOKUP($U$466,'TAR FIN'!$A$1:$O$86,15,0)),0,VLOOKUP($U$466,'TAR FIN'!$A$1:$O$86,15,0))</f>
        <v>314.52</v>
      </c>
      <c r="Y466" s="6"/>
      <c r="Z466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466" s="6">
        <f>('TE BE'!$AB$16+'TE BF'!$AB$16+'TE CVA'!$AB$16)*(1-CUSTOS!$M$37)</f>
        <v>248.89628694871266</v>
      </c>
      <c r="AB466" s="6">
        <f>$K$466*$V$466</f>
        <v>0</v>
      </c>
      <c r="AC466" s="6">
        <f>$M$466*$W$466</f>
        <v>1963.5903999999998</v>
      </c>
      <c r="AD466" s="6">
        <f>$O$466*$X$466</f>
        <v>2440.6751999999997</v>
      </c>
      <c r="AE466" s="6">
        <f>$K$466*$Y$466</f>
        <v>0</v>
      </c>
      <c r="AF466" s="6">
        <f ca="1">$M$466*$Z$466</f>
        <v>1628.1432743132068</v>
      </c>
      <c r="AG466" s="6">
        <f>$O$466*$AA$466</f>
        <v>1931.4351867220103</v>
      </c>
    </row>
    <row r="467" spans="1:33" ht="11.25" customHeight="1" x14ac:dyDescent="0.25">
      <c r="A467" s="4" t="s">
        <v>21</v>
      </c>
      <c r="B467" s="4" t="s">
        <v>22</v>
      </c>
      <c r="C467" s="4" t="s">
        <v>23</v>
      </c>
      <c r="D467" s="4" t="s">
        <v>24</v>
      </c>
      <c r="E467" s="4" t="s">
        <v>31</v>
      </c>
      <c r="F467" s="4" t="s">
        <v>25</v>
      </c>
      <c r="G467" s="4" t="s">
        <v>25</v>
      </c>
      <c r="H467" s="4" t="s">
        <v>25</v>
      </c>
      <c r="I467" s="5">
        <v>44409</v>
      </c>
      <c r="J467" s="6">
        <v>0</v>
      </c>
      <c r="K467" s="6">
        <v>0</v>
      </c>
      <c r="L467" s="6">
        <v>7.2859999999999996</v>
      </c>
      <c r="M467" s="6">
        <v>7.2859999999999996</v>
      </c>
      <c r="N467" s="6">
        <v>7.2859999999999996</v>
      </c>
      <c r="O467" s="6">
        <v>7.2859999999999996</v>
      </c>
      <c r="P467" s="6">
        <v>113</v>
      </c>
      <c r="Q467" s="4" t="s">
        <v>26</v>
      </c>
      <c r="R467" s="4">
        <v>0</v>
      </c>
      <c r="S467" s="6">
        <v>0</v>
      </c>
      <c r="T467" s="6">
        <v>20</v>
      </c>
      <c r="U467" s="6">
        <v>39</v>
      </c>
      <c r="V467" s="6">
        <f>IF(ISERROR(VLOOKUP($S$467,'TAR FIN'!$A$1:$O$86,15,0)),0,VLOOKUP($S$467,'TAR FIN'!$A$1:$O$86,15,0))</f>
        <v>0</v>
      </c>
      <c r="W467" s="6">
        <f>IF(ISERROR(VLOOKUP($T$467,'TAR FIN'!$A$1:$O$86,15,0)),0,VLOOKUP($T$467,'TAR FIN'!$A$1:$O$86,15,0))</f>
        <v>253.04</v>
      </c>
      <c r="X467" s="6">
        <f>IF(ISERROR(VLOOKUP($U$467,'TAR FIN'!$A$1:$O$86,15,0)),0,VLOOKUP($U$467,'TAR FIN'!$A$1:$O$86,15,0))</f>
        <v>314.52</v>
      </c>
      <c r="Y467" s="6"/>
      <c r="Z467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467" s="6">
        <f>('TE BE'!$AB$16+'TE BF'!$AB$16+'TE CVA'!$AB$16)*(1-CUSTOS!$M$37)</f>
        <v>248.89628694871266</v>
      </c>
      <c r="AB467" s="6">
        <f>$K$467*$V$467</f>
        <v>0</v>
      </c>
      <c r="AC467" s="6">
        <f>$M$467*$W$467</f>
        <v>1843.6494399999999</v>
      </c>
      <c r="AD467" s="6">
        <f>$O$467*$X$467</f>
        <v>2291.5927199999996</v>
      </c>
      <c r="AE467" s="6">
        <f>$K$467*$Y$467</f>
        <v>0</v>
      </c>
      <c r="AF467" s="6">
        <f ca="1">$M$467*$Z$467</f>
        <v>1528.6922547224258</v>
      </c>
      <c r="AG467" s="6">
        <f>$O$467*$AA$467</f>
        <v>1813.4583467083203</v>
      </c>
    </row>
    <row r="468" spans="1:33" ht="11.25" customHeight="1" x14ac:dyDescent="0.25">
      <c r="A468" s="4" t="s">
        <v>21</v>
      </c>
      <c r="B468" s="4" t="s">
        <v>22</v>
      </c>
      <c r="C468" s="4" t="s">
        <v>23</v>
      </c>
      <c r="D468" s="4" t="s">
        <v>24</v>
      </c>
      <c r="E468" s="4" t="s">
        <v>31</v>
      </c>
      <c r="F468" s="4" t="s">
        <v>25</v>
      </c>
      <c r="G468" s="4" t="s">
        <v>25</v>
      </c>
      <c r="H468" s="4" t="s">
        <v>25</v>
      </c>
      <c r="I468" s="5">
        <v>44440</v>
      </c>
      <c r="J468" s="6">
        <v>0</v>
      </c>
      <c r="K468" s="6">
        <v>0</v>
      </c>
      <c r="L468" s="6">
        <v>6.76</v>
      </c>
      <c r="M468" s="6">
        <v>6.76</v>
      </c>
      <c r="N468" s="6">
        <v>6.76</v>
      </c>
      <c r="O468" s="6">
        <v>6.76</v>
      </c>
      <c r="P468" s="6">
        <v>105</v>
      </c>
      <c r="Q468" s="4" t="s">
        <v>26</v>
      </c>
      <c r="R468" s="4">
        <v>0</v>
      </c>
      <c r="S468" s="6">
        <v>0</v>
      </c>
      <c r="T468" s="6">
        <v>20</v>
      </c>
      <c r="U468" s="6">
        <v>39</v>
      </c>
      <c r="V468" s="6">
        <f>IF(ISERROR(VLOOKUP($S$468,'TAR FIN'!$A$1:$O$86,15,0)),0,VLOOKUP($S$468,'TAR FIN'!$A$1:$O$86,15,0))</f>
        <v>0</v>
      </c>
      <c r="W468" s="6">
        <f>IF(ISERROR(VLOOKUP($T$468,'TAR FIN'!$A$1:$O$86,15,0)),0,VLOOKUP($T$468,'TAR FIN'!$A$1:$O$86,15,0))</f>
        <v>253.04</v>
      </c>
      <c r="X468" s="6">
        <f>IF(ISERROR(VLOOKUP($U$468,'TAR FIN'!$A$1:$O$86,15,0)),0,VLOOKUP($U$468,'TAR FIN'!$A$1:$O$86,15,0))</f>
        <v>314.52</v>
      </c>
      <c r="Y468" s="6"/>
      <c r="Z468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468" s="6">
        <f>('TE BE'!$AB$16+'TE BF'!$AB$16+'TE CVA'!$AB$16)*(1-CUSTOS!$M$37)</f>
        <v>248.89628694871266</v>
      </c>
      <c r="AB468" s="6">
        <f>$K$468*$V$468</f>
        <v>0</v>
      </c>
      <c r="AC468" s="6">
        <f>$M$468*$W$468</f>
        <v>1710.5503999999999</v>
      </c>
      <c r="AD468" s="6">
        <f>$O$468*$X$468</f>
        <v>2126.1551999999997</v>
      </c>
      <c r="AE468" s="6">
        <f>$K$468*$Y$468</f>
        <v>0</v>
      </c>
      <c r="AF468" s="6">
        <f ca="1">$M$468*$Z$468</f>
        <v>1418.3309966955255</v>
      </c>
      <c r="AG468" s="6">
        <f>$O$468*$AA$468</f>
        <v>1682.5388997732975</v>
      </c>
    </row>
    <row r="469" spans="1:33" ht="11.25" customHeight="1" x14ac:dyDescent="0.25">
      <c r="A469" s="4" t="s">
        <v>21</v>
      </c>
      <c r="B469" s="4" t="s">
        <v>22</v>
      </c>
      <c r="C469" s="4" t="s">
        <v>23</v>
      </c>
      <c r="D469" s="4" t="s">
        <v>24</v>
      </c>
      <c r="E469" s="4" t="s">
        <v>31</v>
      </c>
      <c r="F469" s="4" t="s">
        <v>25</v>
      </c>
      <c r="G469" s="4" t="s">
        <v>25</v>
      </c>
      <c r="H469" s="4" t="s">
        <v>25</v>
      </c>
      <c r="I469" s="5">
        <v>44470</v>
      </c>
      <c r="J469" s="6">
        <v>0</v>
      </c>
      <c r="K469" s="6">
        <v>0</v>
      </c>
      <c r="L469" s="6">
        <v>5.4669999999999996</v>
      </c>
      <c r="M469" s="6">
        <v>5.4669999999999996</v>
      </c>
      <c r="N469" s="6">
        <v>5.4669999999999996</v>
      </c>
      <c r="O469" s="6">
        <v>5.4669999999999996</v>
      </c>
      <c r="P469" s="6">
        <v>89</v>
      </c>
      <c r="Q469" s="4" t="s">
        <v>26</v>
      </c>
      <c r="R469" s="4">
        <v>0</v>
      </c>
      <c r="S469" s="6">
        <v>0</v>
      </c>
      <c r="T469" s="6">
        <v>20</v>
      </c>
      <c r="U469" s="6">
        <v>39</v>
      </c>
      <c r="V469" s="6">
        <f>IF(ISERROR(VLOOKUP($S$469,'TAR FIN'!$A$1:$O$86,15,0)),0,VLOOKUP($S$469,'TAR FIN'!$A$1:$O$86,15,0))</f>
        <v>0</v>
      </c>
      <c r="W469" s="6">
        <f>IF(ISERROR(VLOOKUP($T$469,'TAR FIN'!$A$1:$O$86,15,0)),0,VLOOKUP($T$469,'TAR FIN'!$A$1:$O$86,15,0))</f>
        <v>253.04</v>
      </c>
      <c r="X469" s="6">
        <f>IF(ISERROR(VLOOKUP($U$469,'TAR FIN'!$A$1:$O$86,15,0)),0,VLOOKUP($U$469,'TAR FIN'!$A$1:$O$86,15,0))</f>
        <v>314.52</v>
      </c>
      <c r="Y469" s="6"/>
      <c r="Z469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469" s="6">
        <f>('TE BE'!$AB$16+'TE BF'!$AB$16+'TE CVA'!$AB$16)*(1-CUSTOS!$M$37)</f>
        <v>248.89628694871266</v>
      </c>
      <c r="AB469" s="6">
        <f>$K$469*$V$469</f>
        <v>0</v>
      </c>
      <c r="AC469" s="6">
        <f>$M$469*$W$469</f>
        <v>1383.3696799999998</v>
      </c>
      <c r="AD469" s="6">
        <f>$O$469*$X$469</f>
        <v>1719.4808399999997</v>
      </c>
      <c r="AE469" s="6">
        <f>$K$469*$Y$469</f>
        <v>0</v>
      </c>
      <c r="AF469" s="6">
        <f ca="1">$M$469*$Z$469</f>
        <v>1147.0437217358635</v>
      </c>
      <c r="AG469" s="6">
        <f>$O$469*$AA$469</f>
        <v>1360.716000748612</v>
      </c>
    </row>
    <row r="470" spans="1:33" ht="11.25" customHeight="1" x14ac:dyDescent="0.25">
      <c r="A470" s="4" t="s">
        <v>21</v>
      </c>
      <c r="B470" s="4" t="s">
        <v>22</v>
      </c>
      <c r="C470" s="4" t="s">
        <v>23</v>
      </c>
      <c r="D470" s="4" t="s">
        <v>24</v>
      </c>
      <c r="E470" s="4" t="s">
        <v>31</v>
      </c>
      <c r="F470" s="4" t="s">
        <v>25</v>
      </c>
      <c r="G470" s="4" t="s">
        <v>25</v>
      </c>
      <c r="H470" s="4" t="s">
        <v>25</v>
      </c>
      <c r="I470" s="5">
        <v>44501</v>
      </c>
      <c r="J470" s="6">
        <v>0</v>
      </c>
      <c r="K470" s="6">
        <v>0</v>
      </c>
      <c r="L470" s="6">
        <v>9.23</v>
      </c>
      <c r="M470" s="6">
        <v>9.23</v>
      </c>
      <c r="N470" s="6">
        <v>9.23</v>
      </c>
      <c r="O470" s="6">
        <v>9.23</v>
      </c>
      <c r="P470" s="6">
        <v>128</v>
      </c>
      <c r="Q470" s="4" t="s">
        <v>26</v>
      </c>
      <c r="R470" s="4">
        <v>0</v>
      </c>
      <c r="S470" s="6">
        <v>0</v>
      </c>
      <c r="T470" s="6">
        <v>20</v>
      </c>
      <c r="U470" s="6">
        <v>39</v>
      </c>
      <c r="V470" s="6">
        <f>IF(ISERROR(VLOOKUP($S$470,'TAR FIN'!$A$1:$O$86,15,0)),0,VLOOKUP($S$470,'TAR FIN'!$A$1:$O$86,15,0))</f>
        <v>0</v>
      </c>
      <c r="W470" s="6">
        <f>IF(ISERROR(VLOOKUP($T$470,'TAR FIN'!$A$1:$O$86,15,0)),0,VLOOKUP($T$470,'TAR FIN'!$A$1:$O$86,15,0))</f>
        <v>253.04</v>
      </c>
      <c r="X470" s="6">
        <f>IF(ISERROR(VLOOKUP($U$470,'TAR FIN'!$A$1:$O$86,15,0)),0,VLOOKUP($U$470,'TAR FIN'!$A$1:$O$86,15,0))</f>
        <v>314.52</v>
      </c>
      <c r="Y470" s="6"/>
      <c r="Z470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470" s="6">
        <f>('TE BE'!$AB$16+'TE BF'!$AB$16+'TE CVA'!$AB$16)*(1-CUSTOS!$M$37)</f>
        <v>248.89628694871266</v>
      </c>
      <c r="AB470" s="6">
        <f>$K$470*$V$470</f>
        <v>0</v>
      </c>
      <c r="AC470" s="6">
        <f>$M$470*$W$470</f>
        <v>2335.5592000000001</v>
      </c>
      <c r="AD470" s="6">
        <f>$O$470*$X$470</f>
        <v>2903.0196000000001</v>
      </c>
      <c r="AE470" s="6">
        <f>$K$470*$Y$470</f>
        <v>0</v>
      </c>
      <c r="AF470" s="6">
        <f ca="1">$M$470*$Z$470</f>
        <v>1936.5673224111986</v>
      </c>
      <c r="AG470" s="6">
        <f>$O$470*$AA$470</f>
        <v>2297.3127285366181</v>
      </c>
    </row>
    <row r="471" spans="1:33" ht="11.25" customHeight="1" x14ac:dyDescent="0.25">
      <c r="A471" s="4" t="s">
        <v>21</v>
      </c>
      <c r="B471" s="4" t="s">
        <v>22</v>
      </c>
      <c r="C471" s="4" t="s">
        <v>23</v>
      </c>
      <c r="D471" s="4" t="s">
        <v>24</v>
      </c>
      <c r="E471" s="4" t="s">
        <v>31</v>
      </c>
      <c r="F471" s="4" t="s">
        <v>25</v>
      </c>
      <c r="G471" s="4" t="s">
        <v>25</v>
      </c>
      <c r="H471" s="4" t="s">
        <v>25</v>
      </c>
      <c r="I471" s="5">
        <v>44531</v>
      </c>
      <c r="J471" s="6">
        <v>0</v>
      </c>
      <c r="K471" s="6">
        <v>0</v>
      </c>
      <c r="L471" s="6">
        <v>12.256</v>
      </c>
      <c r="M471" s="6">
        <v>12.256</v>
      </c>
      <c r="N471" s="6">
        <v>12.256</v>
      </c>
      <c r="O471" s="6">
        <v>12.256</v>
      </c>
      <c r="P471" s="6">
        <v>154</v>
      </c>
      <c r="Q471" s="4" t="s">
        <v>26</v>
      </c>
      <c r="R471" s="4">
        <v>0</v>
      </c>
      <c r="S471" s="6">
        <v>0</v>
      </c>
      <c r="T471" s="6">
        <v>20</v>
      </c>
      <c r="U471" s="6">
        <v>39</v>
      </c>
      <c r="V471" s="6">
        <f>IF(ISERROR(VLOOKUP($S$471,'TAR FIN'!$A$1:$O$86,15,0)),0,VLOOKUP($S$471,'TAR FIN'!$A$1:$O$86,15,0))</f>
        <v>0</v>
      </c>
      <c r="W471" s="6">
        <f>IF(ISERROR(VLOOKUP($T$471,'TAR FIN'!$A$1:$O$86,15,0)),0,VLOOKUP($T$471,'TAR FIN'!$A$1:$O$86,15,0))</f>
        <v>253.04</v>
      </c>
      <c r="X471" s="6">
        <f>IF(ISERROR(VLOOKUP($U$471,'TAR FIN'!$A$1:$O$86,15,0)),0,VLOOKUP($U$471,'TAR FIN'!$A$1:$O$86,15,0))</f>
        <v>314.52</v>
      </c>
      <c r="Y471" s="6"/>
      <c r="Z471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471" s="6">
        <f>('TE BE'!$AB$16+'TE BF'!$AB$16+'TE CVA'!$AB$16)*(1-CUSTOS!$M$37)</f>
        <v>248.89628694871266</v>
      </c>
      <c r="AB471" s="6">
        <f>$K$471*$V$471</f>
        <v>0</v>
      </c>
      <c r="AC471" s="6">
        <f>$M$471*$W$471</f>
        <v>3101.2582400000001</v>
      </c>
      <c r="AD471" s="6">
        <f>$O$471*$X$471</f>
        <v>3854.7571199999998</v>
      </c>
      <c r="AE471" s="6">
        <f>$K$471*$Y$471</f>
        <v>0</v>
      </c>
      <c r="AF471" s="6">
        <f ca="1">$M$471*$Z$471</f>
        <v>2571.4592744823021</v>
      </c>
      <c r="AG471" s="6">
        <f>$O$471*$AA$471</f>
        <v>3050.4728928434224</v>
      </c>
    </row>
    <row r="472" spans="1:33" ht="11.25" customHeight="1" x14ac:dyDescent="0.25">
      <c r="A472" s="4" t="s">
        <v>21</v>
      </c>
      <c r="B472" s="4" t="s">
        <v>22</v>
      </c>
      <c r="C472" s="4" t="s">
        <v>23</v>
      </c>
      <c r="D472" s="4" t="s">
        <v>24</v>
      </c>
      <c r="E472" s="4" t="s">
        <v>31</v>
      </c>
      <c r="F472" s="4" t="s">
        <v>25</v>
      </c>
      <c r="G472" s="4" t="s">
        <v>25</v>
      </c>
      <c r="H472" s="4" t="s">
        <v>25</v>
      </c>
      <c r="I472" s="5">
        <v>44562</v>
      </c>
      <c r="J472" s="6">
        <v>0</v>
      </c>
      <c r="K472" s="6">
        <v>0</v>
      </c>
      <c r="L472" s="6">
        <v>22.824999999999999</v>
      </c>
      <c r="M472" s="6">
        <v>22.824999999999999</v>
      </c>
      <c r="N472" s="6">
        <v>22.824999999999999</v>
      </c>
      <c r="O472" s="6">
        <v>22.824999999999999</v>
      </c>
      <c r="P472" s="6">
        <v>226</v>
      </c>
      <c r="Q472" s="4" t="s">
        <v>26</v>
      </c>
      <c r="R472" s="4">
        <v>0</v>
      </c>
      <c r="S472" s="6">
        <v>0</v>
      </c>
      <c r="T472" s="6">
        <v>20</v>
      </c>
      <c r="U472" s="6">
        <v>39</v>
      </c>
      <c r="V472" s="6">
        <f>IF(ISERROR(VLOOKUP($S$472,'TAR FIN'!$A$1:$O$86,15,0)),0,VLOOKUP($S$472,'TAR FIN'!$A$1:$O$86,15,0))</f>
        <v>0</v>
      </c>
      <c r="W472" s="6">
        <f>IF(ISERROR(VLOOKUP($T$472,'TAR FIN'!$A$1:$O$86,15,0)),0,VLOOKUP($T$472,'TAR FIN'!$A$1:$O$86,15,0))</f>
        <v>253.04</v>
      </c>
      <c r="X472" s="6">
        <f>IF(ISERROR(VLOOKUP($U$472,'TAR FIN'!$A$1:$O$86,15,0)),0,VLOOKUP($U$472,'TAR FIN'!$A$1:$O$86,15,0))</f>
        <v>314.52</v>
      </c>
      <c r="Y472" s="6"/>
      <c r="Z472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472" s="6">
        <f>('TE BE'!$AB$16+'TE BF'!$AB$16+'TE CVA'!$AB$16)*(1-CUSTOS!$M$37)</f>
        <v>248.89628694871266</v>
      </c>
      <c r="AB472" s="6">
        <f>$K$472*$V$472</f>
        <v>0</v>
      </c>
      <c r="AC472" s="6">
        <f>$M$472*$W$472</f>
        <v>5775.6379999999999</v>
      </c>
      <c r="AD472" s="6">
        <f>$O$472*$X$472</f>
        <v>7178.918999999999</v>
      </c>
      <c r="AE472" s="6">
        <f>$K$472*$Y$472</f>
        <v>0</v>
      </c>
      <c r="AF472" s="6">
        <f ca="1">$M$472*$Z$472</f>
        <v>4788.9652366235759</v>
      </c>
      <c r="AG472" s="6">
        <f>$O$472*$AA$472</f>
        <v>5681.0577496043661</v>
      </c>
    </row>
    <row r="473" spans="1:33" ht="11.25" customHeight="1" x14ac:dyDescent="0.25">
      <c r="A473" s="4" t="s">
        <v>27</v>
      </c>
      <c r="B473" s="4" t="s">
        <v>22</v>
      </c>
      <c r="C473" s="4" t="s">
        <v>23</v>
      </c>
      <c r="D473" s="4" t="s">
        <v>24</v>
      </c>
      <c r="E473" s="4" t="s">
        <v>31</v>
      </c>
      <c r="F473" s="4" t="s">
        <v>25</v>
      </c>
      <c r="G473" s="4" t="s">
        <v>25</v>
      </c>
      <c r="H473" s="4" t="s">
        <v>25</v>
      </c>
      <c r="I473" s="5">
        <v>44562</v>
      </c>
      <c r="J473" s="6">
        <v>0</v>
      </c>
      <c r="K473" s="6">
        <v>0</v>
      </c>
      <c r="L473" s="6">
        <v>0.10299999999999999</v>
      </c>
      <c r="M473" s="6">
        <v>0.10299999999999999</v>
      </c>
      <c r="N473" s="6">
        <v>0.10299999999999999</v>
      </c>
      <c r="O473" s="6">
        <v>0.10299999999999999</v>
      </c>
      <c r="P473" s="6">
        <v>4</v>
      </c>
      <c r="Q473" s="4" t="s">
        <v>26</v>
      </c>
      <c r="R473" s="4">
        <v>0</v>
      </c>
      <c r="S473" s="6">
        <v>0</v>
      </c>
      <c r="T473" s="6">
        <v>20</v>
      </c>
      <c r="U473" s="6">
        <v>39</v>
      </c>
      <c r="V473" s="6">
        <f>IF(ISERROR(VLOOKUP($S$473,'TAR FIN'!$A$1:$O$86,15,0)),0,VLOOKUP($S$473,'TAR FIN'!$A$1:$O$86,15,0))</f>
        <v>0</v>
      </c>
      <c r="W473" s="6">
        <f>IF(ISERROR(VLOOKUP($T$473,'TAR FIN'!$A$1:$O$86,15,0)),0,VLOOKUP($T$473,'TAR FIN'!$A$1:$O$86,15,0))</f>
        <v>253.04</v>
      </c>
      <c r="X473" s="6">
        <f>IF(ISERROR(VLOOKUP($U$473,'TAR FIN'!$A$1:$O$86,15,0)),0,VLOOKUP($U$473,'TAR FIN'!$A$1:$O$86,15,0))</f>
        <v>314.52</v>
      </c>
      <c r="Y473" s="6"/>
      <c r="Z473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473" s="6">
        <f>('TE BE'!$AB$16+'TE BF'!$AB$16+'TE CVA'!$AB$16)*(1-CUSTOS!$M$37)</f>
        <v>248.89628694871266</v>
      </c>
      <c r="AB473" s="6">
        <f>$K$473*$V$473</f>
        <v>0</v>
      </c>
      <c r="AC473" s="6">
        <f>$M$473*$W$473</f>
        <v>26.063119999999998</v>
      </c>
      <c r="AD473" s="6">
        <f>$O$473*$X$473</f>
        <v>32.395559999999996</v>
      </c>
      <c r="AE473" s="6">
        <f>$K$473*$Y$473</f>
        <v>0</v>
      </c>
      <c r="AF473" s="6">
        <f ca="1">$M$473*$Z$473</f>
        <v>21.610664594621174</v>
      </c>
      <c r="AG473" s="6">
        <f>$O$473*$AA$473</f>
        <v>25.636317555717401</v>
      </c>
    </row>
    <row r="474" spans="1:33" ht="11.25" customHeight="1" x14ac:dyDescent="0.25">
      <c r="A474" s="4" t="s">
        <v>21</v>
      </c>
      <c r="B474" s="4" t="s">
        <v>22</v>
      </c>
      <c r="C474" s="4" t="s">
        <v>23</v>
      </c>
      <c r="D474" s="4" t="s">
        <v>24</v>
      </c>
      <c r="E474" s="4" t="s">
        <v>31</v>
      </c>
      <c r="F474" s="4" t="s">
        <v>25</v>
      </c>
      <c r="G474" s="4" t="s">
        <v>25</v>
      </c>
      <c r="H474" s="4" t="s">
        <v>25</v>
      </c>
      <c r="I474" s="5">
        <v>44593</v>
      </c>
      <c r="J474" s="6">
        <v>0</v>
      </c>
      <c r="K474" s="6">
        <v>0</v>
      </c>
      <c r="L474" s="6">
        <v>16.157</v>
      </c>
      <c r="M474" s="6">
        <v>16.157</v>
      </c>
      <c r="N474" s="6">
        <v>16.157</v>
      </c>
      <c r="O474" s="6">
        <v>16.157</v>
      </c>
      <c r="P474" s="6">
        <v>184</v>
      </c>
      <c r="Q474" s="4" t="s">
        <v>26</v>
      </c>
      <c r="R474" s="4">
        <v>0</v>
      </c>
      <c r="S474" s="6">
        <v>0</v>
      </c>
      <c r="T474" s="6">
        <v>20</v>
      </c>
      <c r="U474" s="6">
        <v>39</v>
      </c>
      <c r="V474" s="6">
        <f>IF(ISERROR(VLOOKUP($S$474,'TAR FIN'!$A$1:$O$86,15,0)),0,VLOOKUP($S$474,'TAR FIN'!$A$1:$O$86,15,0))</f>
        <v>0</v>
      </c>
      <c r="W474" s="6">
        <f>IF(ISERROR(VLOOKUP($T$474,'TAR FIN'!$A$1:$O$86,15,0)),0,VLOOKUP($T$474,'TAR FIN'!$A$1:$O$86,15,0))</f>
        <v>253.04</v>
      </c>
      <c r="X474" s="6">
        <f>IF(ISERROR(VLOOKUP($U$474,'TAR FIN'!$A$1:$O$86,15,0)),0,VLOOKUP($U$474,'TAR FIN'!$A$1:$O$86,15,0))</f>
        <v>314.52</v>
      </c>
      <c r="Y474" s="6"/>
      <c r="Z474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474" s="6">
        <f>('TE BE'!$AB$16+'TE BF'!$AB$16+'TE CVA'!$AB$16)*(1-CUSTOS!$M$37)</f>
        <v>248.89628694871266</v>
      </c>
      <c r="AB474" s="6">
        <f>$K$474*$V$474</f>
        <v>0</v>
      </c>
      <c r="AC474" s="6">
        <f>$M$474*$W$474</f>
        <v>4088.3672799999999</v>
      </c>
      <c r="AD474" s="6">
        <f>$O$474*$X$474</f>
        <v>5081.6996399999998</v>
      </c>
      <c r="AE474" s="6">
        <f>$K$474*$Y$474</f>
        <v>0</v>
      </c>
      <c r="AF474" s="6">
        <f ca="1">$M$474*$Z$474</f>
        <v>3389.9369694688767</v>
      </c>
      <c r="AG474" s="6">
        <f>$O$474*$AA$474</f>
        <v>4021.4173082303505</v>
      </c>
    </row>
    <row r="475" spans="1:33" ht="11.25" customHeight="1" x14ac:dyDescent="0.25">
      <c r="A475" s="4" t="s">
        <v>21</v>
      </c>
      <c r="B475" s="4" t="s">
        <v>22</v>
      </c>
      <c r="C475" s="4" t="s">
        <v>23</v>
      </c>
      <c r="D475" s="4" t="s">
        <v>24</v>
      </c>
      <c r="E475" s="4" t="s">
        <v>31</v>
      </c>
      <c r="F475" s="4" t="s">
        <v>25</v>
      </c>
      <c r="G475" s="4" t="s">
        <v>25</v>
      </c>
      <c r="H475" s="4" t="s">
        <v>25</v>
      </c>
      <c r="I475" s="5">
        <v>44621</v>
      </c>
      <c r="J475" s="6">
        <v>0</v>
      </c>
      <c r="K475" s="6">
        <v>0</v>
      </c>
      <c r="L475" s="6">
        <v>24.401</v>
      </c>
      <c r="M475" s="6">
        <v>24.401</v>
      </c>
      <c r="N475" s="6">
        <v>24.401</v>
      </c>
      <c r="O475" s="6">
        <v>24.401</v>
      </c>
      <c r="P475" s="6">
        <v>255</v>
      </c>
      <c r="Q475" s="4" t="s">
        <v>26</v>
      </c>
      <c r="R475" s="4">
        <v>0</v>
      </c>
      <c r="S475" s="6">
        <v>0</v>
      </c>
      <c r="T475" s="6">
        <v>20</v>
      </c>
      <c r="U475" s="6">
        <v>39</v>
      </c>
      <c r="V475" s="6">
        <f>IF(ISERROR(VLOOKUP($S$475,'TAR FIN'!$A$1:$O$86,15,0)),0,VLOOKUP($S$475,'TAR FIN'!$A$1:$O$86,15,0))</f>
        <v>0</v>
      </c>
      <c r="W475" s="6">
        <f>IF(ISERROR(VLOOKUP($T$475,'TAR FIN'!$A$1:$O$86,15,0)),0,VLOOKUP($T$475,'TAR FIN'!$A$1:$O$86,15,0))</f>
        <v>253.04</v>
      </c>
      <c r="X475" s="6">
        <f>IF(ISERROR(VLOOKUP($U$475,'TAR FIN'!$A$1:$O$86,15,0)),0,VLOOKUP($U$475,'TAR FIN'!$A$1:$O$86,15,0))</f>
        <v>314.52</v>
      </c>
      <c r="Y475" s="6"/>
      <c r="Z475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475" s="6">
        <f>('TE BE'!$AB$16+'TE BF'!$AB$16+'TE CVA'!$AB$16)*(1-CUSTOS!$M$37)</f>
        <v>248.89628694871266</v>
      </c>
      <c r="AB475" s="6">
        <f>$K$475*$V$475</f>
        <v>0</v>
      </c>
      <c r="AC475" s="6">
        <f>$M$475*$W$475</f>
        <v>6174.42904</v>
      </c>
      <c r="AD475" s="6">
        <f>$O$475*$X$475</f>
        <v>7674.6025199999995</v>
      </c>
      <c r="AE475" s="6">
        <f>$K$475*$Y$475</f>
        <v>0</v>
      </c>
      <c r="AF475" s="6">
        <f ca="1">$M$475*$Z$475</f>
        <v>5119.6293861490412</v>
      </c>
      <c r="AG475" s="6">
        <f>$O$475*$AA$475</f>
        <v>6073.3182978355371</v>
      </c>
    </row>
    <row r="476" spans="1:33" ht="11.25" customHeight="1" x14ac:dyDescent="0.25">
      <c r="A476" s="4" t="s">
        <v>21</v>
      </c>
      <c r="B476" s="4" t="s">
        <v>22</v>
      </c>
      <c r="C476" s="4" t="s">
        <v>23</v>
      </c>
      <c r="D476" s="4" t="s">
        <v>24</v>
      </c>
      <c r="E476" s="4" t="s">
        <v>31</v>
      </c>
      <c r="F476" s="4" t="s">
        <v>25</v>
      </c>
      <c r="G476" s="4" t="s">
        <v>25</v>
      </c>
      <c r="H476" s="4" t="s">
        <v>25</v>
      </c>
      <c r="I476" s="5">
        <v>44652</v>
      </c>
      <c r="J476" s="6">
        <v>0</v>
      </c>
      <c r="K476" s="6">
        <v>0</v>
      </c>
      <c r="L476" s="6">
        <v>10.157999999999999</v>
      </c>
      <c r="M476" s="6">
        <v>10.157999999999999</v>
      </c>
      <c r="N476" s="6">
        <v>10.157999999999999</v>
      </c>
      <c r="O476" s="6">
        <v>10.157999999999999</v>
      </c>
      <c r="P476" s="6">
        <v>132</v>
      </c>
      <c r="Q476" s="4" t="s">
        <v>26</v>
      </c>
      <c r="R476" s="4">
        <v>0</v>
      </c>
      <c r="S476" s="6">
        <v>0</v>
      </c>
      <c r="T476" s="6">
        <v>20</v>
      </c>
      <c r="U476" s="6">
        <v>39</v>
      </c>
      <c r="V476" s="6">
        <f>IF(ISERROR(VLOOKUP($S$476,'TAR FIN'!$A$1:$O$86,15,0)),0,VLOOKUP($S$476,'TAR FIN'!$A$1:$O$86,15,0))</f>
        <v>0</v>
      </c>
      <c r="W476" s="6">
        <f>IF(ISERROR(VLOOKUP($T$476,'TAR FIN'!$A$1:$O$86,15,0)),0,VLOOKUP($T$476,'TAR FIN'!$A$1:$O$86,15,0))</f>
        <v>253.04</v>
      </c>
      <c r="X476" s="6">
        <f>IF(ISERROR(VLOOKUP($U$476,'TAR FIN'!$A$1:$O$86,15,0)),0,VLOOKUP($U$476,'TAR FIN'!$A$1:$O$86,15,0))</f>
        <v>314.52</v>
      </c>
      <c r="Y476" s="6"/>
      <c r="Z476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476" s="6">
        <f>('TE BE'!$AB$16+'TE BF'!$AB$16+'TE CVA'!$AB$16)*(1-CUSTOS!$M$37)</f>
        <v>248.89628694871266</v>
      </c>
      <c r="AB476" s="6">
        <f>$K$476*$V$476</f>
        <v>0</v>
      </c>
      <c r="AC476" s="6">
        <f>$M$476*$W$476</f>
        <v>2570.3803199999998</v>
      </c>
      <c r="AD476" s="6">
        <f>$O$476*$X$476</f>
        <v>3194.8941599999998</v>
      </c>
      <c r="AE476" s="6">
        <f>$K$476*$Y$476</f>
        <v>0</v>
      </c>
      <c r="AF476" s="6">
        <f ca="1">$M$476*$Z$476</f>
        <v>2131.2731160404064</v>
      </c>
      <c r="AG476" s="6">
        <f>$O$476*$AA$476</f>
        <v>2528.288482825023</v>
      </c>
    </row>
    <row r="477" spans="1:33" ht="11.25" customHeight="1" x14ac:dyDescent="0.25">
      <c r="A477" s="4" t="s">
        <v>21</v>
      </c>
      <c r="B477" s="4" t="s">
        <v>22</v>
      </c>
      <c r="C477" s="4" t="s">
        <v>23</v>
      </c>
      <c r="D477" s="4" t="s">
        <v>24</v>
      </c>
      <c r="E477" s="4" t="s">
        <v>31</v>
      </c>
      <c r="F477" s="4" t="s">
        <v>25</v>
      </c>
      <c r="G477" s="4" t="s">
        <v>25</v>
      </c>
      <c r="H477" s="4" t="s">
        <v>25</v>
      </c>
      <c r="I477" s="5">
        <v>44682</v>
      </c>
      <c r="J477" s="6">
        <v>0</v>
      </c>
      <c r="K477" s="6">
        <v>0</v>
      </c>
      <c r="L477" s="6">
        <v>11.754</v>
      </c>
      <c r="M477" s="6">
        <v>11.754</v>
      </c>
      <c r="N477" s="6">
        <v>11.754</v>
      </c>
      <c r="O477" s="6">
        <v>11.754</v>
      </c>
      <c r="P477" s="6">
        <v>152</v>
      </c>
      <c r="Q477" s="4" t="s">
        <v>26</v>
      </c>
      <c r="R477" s="4">
        <v>0</v>
      </c>
      <c r="S477" s="6">
        <v>0</v>
      </c>
      <c r="T477" s="6">
        <v>20</v>
      </c>
      <c r="U477" s="6">
        <v>39</v>
      </c>
      <c r="V477" s="6">
        <f>IF(ISERROR(VLOOKUP($S$477,'TAR FIN'!$A$1:$O$86,15,0)),0,VLOOKUP($S$477,'TAR FIN'!$A$1:$O$86,15,0))</f>
        <v>0</v>
      </c>
      <c r="W477" s="6">
        <f>IF(ISERROR(VLOOKUP($T$477,'TAR FIN'!$A$1:$O$86,15,0)),0,VLOOKUP($T$477,'TAR FIN'!$A$1:$O$86,15,0))</f>
        <v>253.04</v>
      </c>
      <c r="X477" s="6">
        <f>IF(ISERROR(VLOOKUP($U$477,'TAR FIN'!$A$1:$O$86,15,0)),0,VLOOKUP($U$477,'TAR FIN'!$A$1:$O$86,15,0))</f>
        <v>314.52</v>
      </c>
      <c r="Y477" s="6"/>
      <c r="Z477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477" s="6">
        <f>('TE BE'!$AB$16+'TE BF'!$AB$16+'TE CVA'!$AB$16)*(1-CUSTOS!$M$37)</f>
        <v>248.89628694871266</v>
      </c>
      <c r="AB477" s="6">
        <f>$K$477*$V$477</f>
        <v>0</v>
      </c>
      <c r="AC477" s="6">
        <f>$M$477*$W$477</f>
        <v>2974.23216</v>
      </c>
      <c r="AD477" s="6">
        <f>$O$477*$X$477</f>
        <v>3696.8680799999997</v>
      </c>
      <c r="AE477" s="6">
        <f>$K$477*$Y$477</f>
        <v>0</v>
      </c>
      <c r="AF477" s="6">
        <f ca="1">$M$477*$Z$477</f>
        <v>2466.1335111182261</v>
      </c>
      <c r="AG477" s="6">
        <f>$O$477*$AA$477</f>
        <v>2925.5269567951686</v>
      </c>
    </row>
    <row r="478" spans="1:33" ht="11.25" customHeight="1" x14ac:dyDescent="0.25">
      <c r="A478" s="4" t="s">
        <v>55</v>
      </c>
      <c r="B478" s="4" t="s">
        <v>22</v>
      </c>
      <c r="C478" s="4" t="s">
        <v>23</v>
      </c>
      <c r="D478" s="4" t="s">
        <v>24</v>
      </c>
      <c r="E478" s="4" t="s">
        <v>31</v>
      </c>
      <c r="F478" s="4" t="s">
        <v>25</v>
      </c>
      <c r="G478" s="4" t="s">
        <v>25</v>
      </c>
      <c r="H478" s="4" t="s">
        <v>25</v>
      </c>
      <c r="I478" s="5">
        <v>44713</v>
      </c>
      <c r="J478" s="6">
        <v>0</v>
      </c>
      <c r="K478" s="6">
        <v>0</v>
      </c>
      <c r="L478" s="6">
        <v>11.754</v>
      </c>
      <c r="M478" s="6">
        <v>11.754</v>
      </c>
      <c r="N478" s="6">
        <v>11.754</v>
      </c>
      <c r="O478" s="6">
        <v>11.754</v>
      </c>
      <c r="P478" s="6">
        <v>152</v>
      </c>
      <c r="Q478" s="4" t="s">
        <v>26</v>
      </c>
      <c r="R478" s="4">
        <v>0</v>
      </c>
      <c r="S478" s="6">
        <v>0</v>
      </c>
      <c r="T478" s="6">
        <v>20</v>
      </c>
      <c r="U478" s="6">
        <v>39</v>
      </c>
      <c r="V478" s="6">
        <f>IF(ISERROR(VLOOKUP($S$478,'TAR FIN'!$A$1:$O$86,15,0)),0,VLOOKUP($S$478,'TAR FIN'!$A$1:$O$86,15,0))</f>
        <v>0</v>
      </c>
      <c r="W478" s="6">
        <f>IF(ISERROR(VLOOKUP($T$478,'TAR FIN'!$A$1:$O$86,15,0)),0,VLOOKUP($T$478,'TAR FIN'!$A$1:$O$86,15,0))</f>
        <v>253.04</v>
      </c>
      <c r="X478" s="6">
        <f>IF(ISERROR(VLOOKUP($U$478,'TAR FIN'!$A$1:$O$86,15,0)),0,VLOOKUP($U$478,'TAR FIN'!$A$1:$O$86,15,0))</f>
        <v>314.52</v>
      </c>
      <c r="Y478" s="6"/>
      <c r="Z478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478" s="6">
        <f>('TE BE'!$AB$16+'TE BF'!$AB$16+'TE CVA'!$AB$16)*(1-CUSTOS!$M$37)</f>
        <v>248.89628694871266</v>
      </c>
      <c r="AB478" s="6">
        <f>$K$478*$V$478</f>
        <v>0</v>
      </c>
      <c r="AC478" s="6">
        <f>$M$478*$W$478</f>
        <v>2974.23216</v>
      </c>
      <c r="AD478" s="6">
        <f>$O$478*$X$478</f>
        <v>3696.8680799999997</v>
      </c>
      <c r="AE478" s="6">
        <f>$K$478*$Y$478</f>
        <v>0</v>
      </c>
      <c r="AF478" s="6">
        <f ca="1">$M$478*$Z$478</f>
        <v>2466.1335111182261</v>
      </c>
      <c r="AG478" s="6">
        <f>$O$478*$AA$478</f>
        <v>2925.5269567951686</v>
      </c>
    </row>
    <row r="479" spans="1:33" ht="11.25" customHeight="1" x14ac:dyDescent="0.25">
      <c r="A479" s="4" t="s">
        <v>21</v>
      </c>
      <c r="B479" s="4" t="s">
        <v>42</v>
      </c>
      <c r="C479" s="4" t="s">
        <v>23</v>
      </c>
      <c r="D479" s="4" t="s">
        <v>43</v>
      </c>
      <c r="E479" s="4" t="s">
        <v>52</v>
      </c>
      <c r="F479" s="4" t="s">
        <v>53</v>
      </c>
      <c r="G479" s="4" t="s">
        <v>25</v>
      </c>
      <c r="H479" s="4" t="s">
        <v>25</v>
      </c>
      <c r="I479" s="5">
        <v>44378</v>
      </c>
      <c r="J479" s="6">
        <v>0</v>
      </c>
      <c r="K479" s="6">
        <v>0</v>
      </c>
      <c r="L479" s="6">
        <v>0.1</v>
      </c>
      <c r="M479" s="6">
        <v>0.1</v>
      </c>
      <c r="N479" s="6">
        <v>0.1</v>
      </c>
      <c r="O479" s="6">
        <v>0.1</v>
      </c>
      <c r="P479" s="6">
        <v>0</v>
      </c>
      <c r="Q479" s="4" t="s">
        <v>26</v>
      </c>
      <c r="R479" s="4">
        <v>0</v>
      </c>
      <c r="S479" s="6">
        <v>0</v>
      </c>
      <c r="T479" s="6">
        <v>32</v>
      </c>
      <c r="U479" s="6">
        <v>56</v>
      </c>
      <c r="V479" s="6">
        <f>IF(ISERROR(VLOOKUP($S$479,'TAR FIN'!$A$1:$O$86,15,0)),0,VLOOKUP($S$479,'TAR FIN'!$A$1:$O$86,15,0))</f>
        <v>0</v>
      </c>
      <c r="W479" s="6">
        <f>IF(ISERROR(VLOOKUP($T$479,'TAR FIN'!$A$1:$O$86,15,0)),0,VLOOKUP($T$479,'TAR FIN'!$A$1:$O$86,15,0))</f>
        <v>287.75</v>
      </c>
      <c r="X479" s="6">
        <f>IF(ISERROR(VLOOKUP($U$479,'TAR FIN'!$A$1:$O$86,15,0)),0,VLOOKUP($U$479,'TAR FIN'!$A$1:$O$86,15,0))</f>
        <v>276.77999999999997</v>
      </c>
      <c r="Y479" s="6"/>
      <c r="Z479" s="6">
        <f ca="1">('TUSD BE'!$AM$33+'TUSD BF'!$AM$33+'TUSD CVA'!$AM$33)*(1-CUSTOS!$M$38)</f>
        <v>295.07903341788727</v>
      </c>
      <c r="AA479" s="6">
        <f>('TE BE'!$AB$25+'TE BF'!$AB$25+'TE CVA'!$AB$25)*(1-CUSTOS!$M$38)</f>
        <v>233.96250973178988</v>
      </c>
      <c r="AB479" s="6">
        <f>$K$479*$V$479</f>
        <v>0</v>
      </c>
      <c r="AC479" s="6">
        <f>$M$479*$W$479</f>
        <v>28.775000000000002</v>
      </c>
      <c r="AD479" s="6">
        <f>$O$479*$X$479</f>
        <v>27.677999999999997</v>
      </c>
      <c r="AE479" s="6">
        <f>$K$479*$Y$479</f>
        <v>0</v>
      </c>
      <c r="AF479" s="6">
        <f ca="1">$M$479*$Z$479</f>
        <v>29.50790334178873</v>
      </c>
      <c r="AG479" s="6">
        <f>$O$479*$AA$479</f>
        <v>23.39625097317899</v>
      </c>
    </row>
    <row r="480" spans="1:33" ht="11.25" customHeight="1" x14ac:dyDescent="0.25">
      <c r="A480" s="4" t="s">
        <v>21</v>
      </c>
      <c r="B480" s="4" t="s">
        <v>42</v>
      </c>
      <c r="C480" s="4" t="s">
        <v>23</v>
      </c>
      <c r="D480" s="4" t="s">
        <v>43</v>
      </c>
      <c r="E480" s="4" t="s">
        <v>52</v>
      </c>
      <c r="F480" s="4" t="s">
        <v>53</v>
      </c>
      <c r="G480" s="4" t="s">
        <v>25</v>
      </c>
      <c r="H480" s="4" t="s">
        <v>25</v>
      </c>
      <c r="I480" s="5">
        <v>44409</v>
      </c>
      <c r="J480" s="6">
        <v>0</v>
      </c>
      <c r="K480" s="6">
        <v>0</v>
      </c>
      <c r="L480" s="6">
        <v>0.1</v>
      </c>
      <c r="M480" s="6">
        <v>0.1</v>
      </c>
      <c r="N480" s="6">
        <v>0.1</v>
      </c>
      <c r="O480" s="6">
        <v>0.1</v>
      </c>
      <c r="P480" s="6">
        <v>0</v>
      </c>
      <c r="Q480" s="4" t="s">
        <v>26</v>
      </c>
      <c r="R480" s="4">
        <v>0</v>
      </c>
      <c r="S480" s="6">
        <v>0</v>
      </c>
      <c r="T480" s="6">
        <v>32</v>
      </c>
      <c r="U480" s="6">
        <v>56</v>
      </c>
      <c r="V480" s="6">
        <f>IF(ISERROR(VLOOKUP($S$480,'TAR FIN'!$A$1:$O$86,15,0)),0,VLOOKUP($S$480,'TAR FIN'!$A$1:$O$86,15,0))</f>
        <v>0</v>
      </c>
      <c r="W480" s="6">
        <f>IF(ISERROR(VLOOKUP($T$480,'TAR FIN'!$A$1:$O$86,15,0)),0,VLOOKUP($T$480,'TAR FIN'!$A$1:$O$86,15,0))</f>
        <v>287.75</v>
      </c>
      <c r="X480" s="6">
        <f>IF(ISERROR(VLOOKUP($U$480,'TAR FIN'!$A$1:$O$86,15,0)),0,VLOOKUP($U$480,'TAR FIN'!$A$1:$O$86,15,0))</f>
        <v>276.77999999999997</v>
      </c>
      <c r="Y480" s="6"/>
      <c r="Z480" s="6">
        <f ca="1">('TUSD BE'!$AM$33+'TUSD BF'!$AM$33+'TUSD CVA'!$AM$33)*(1-CUSTOS!$M$38)</f>
        <v>295.07903341788727</v>
      </c>
      <c r="AA480" s="6">
        <f>('TE BE'!$AB$25+'TE BF'!$AB$25+'TE CVA'!$AB$25)*(1-CUSTOS!$M$38)</f>
        <v>233.96250973178988</v>
      </c>
      <c r="AB480" s="6">
        <f>$K$480*$V$480</f>
        <v>0</v>
      </c>
      <c r="AC480" s="6">
        <f>$M$480*$W$480</f>
        <v>28.775000000000002</v>
      </c>
      <c r="AD480" s="6">
        <f>$O$480*$X$480</f>
        <v>27.677999999999997</v>
      </c>
      <c r="AE480" s="6">
        <f>$K$480*$Y$480</f>
        <v>0</v>
      </c>
      <c r="AF480" s="6">
        <f ca="1">$M$480*$Z$480</f>
        <v>29.50790334178873</v>
      </c>
      <c r="AG480" s="6">
        <f>$O$480*$AA$480</f>
        <v>23.39625097317899</v>
      </c>
    </row>
    <row r="481" spans="1:33" ht="11.25" customHeight="1" x14ac:dyDescent="0.25">
      <c r="A481" s="4" t="s">
        <v>21</v>
      </c>
      <c r="B481" s="4" t="s">
        <v>42</v>
      </c>
      <c r="C481" s="4" t="s">
        <v>23</v>
      </c>
      <c r="D481" s="4" t="s">
        <v>43</v>
      </c>
      <c r="E481" s="4" t="s">
        <v>52</v>
      </c>
      <c r="F481" s="4" t="s">
        <v>53</v>
      </c>
      <c r="G481" s="4" t="s">
        <v>25</v>
      </c>
      <c r="H481" s="4" t="s">
        <v>25</v>
      </c>
      <c r="I481" s="5">
        <v>44440</v>
      </c>
      <c r="J481" s="6">
        <v>0</v>
      </c>
      <c r="K481" s="6">
        <v>0</v>
      </c>
      <c r="L481" s="6">
        <v>5.8999999999999997E-2</v>
      </c>
      <c r="M481" s="6">
        <v>5.8999999999999997E-2</v>
      </c>
      <c r="N481" s="6">
        <v>5.8999999999999997E-2</v>
      </c>
      <c r="O481" s="6">
        <v>5.8999999999999997E-2</v>
      </c>
      <c r="P481" s="6">
        <v>0</v>
      </c>
      <c r="Q481" s="4" t="s">
        <v>26</v>
      </c>
      <c r="R481" s="4">
        <v>0</v>
      </c>
      <c r="S481" s="6">
        <v>0</v>
      </c>
      <c r="T481" s="6">
        <v>32</v>
      </c>
      <c r="U481" s="6">
        <v>56</v>
      </c>
      <c r="V481" s="6">
        <f>IF(ISERROR(VLOOKUP($S$481,'TAR FIN'!$A$1:$O$86,15,0)),0,VLOOKUP($S$481,'TAR FIN'!$A$1:$O$86,15,0))</f>
        <v>0</v>
      </c>
      <c r="W481" s="6">
        <f>IF(ISERROR(VLOOKUP($T$481,'TAR FIN'!$A$1:$O$86,15,0)),0,VLOOKUP($T$481,'TAR FIN'!$A$1:$O$86,15,0))</f>
        <v>287.75</v>
      </c>
      <c r="X481" s="6">
        <f>IF(ISERROR(VLOOKUP($U$481,'TAR FIN'!$A$1:$O$86,15,0)),0,VLOOKUP($U$481,'TAR FIN'!$A$1:$O$86,15,0))</f>
        <v>276.77999999999997</v>
      </c>
      <c r="Y481" s="6"/>
      <c r="Z481" s="6">
        <f ca="1">('TUSD BE'!$AM$33+'TUSD BF'!$AM$33+'TUSD CVA'!$AM$33)*(1-CUSTOS!$M$38)</f>
        <v>295.07903341788727</v>
      </c>
      <c r="AA481" s="6">
        <f>('TE BE'!$AB$25+'TE BF'!$AB$25+'TE CVA'!$AB$25)*(1-CUSTOS!$M$38)</f>
        <v>233.96250973178988</v>
      </c>
      <c r="AB481" s="6">
        <f>$K$481*$V$481</f>
        <v>0</v>
      </c>
      <c r="AC481" s="6">
        <f>$M$481*$W$481</f>
        <v>16.977249999999998</v>
      </c>
      <c r="AD481" s="6">
        <f>$O$481*$X$481</f>
        <v>16.330019999999998</v>
      </c>
      <c r="AE481" s="6">
        <f>$K$481*$Y$481</f>
        <v>0</v>
      </c>
      <c r="AF481" s="6">
        <f ca="1">$M$481*$Z$481</f>
        <v>17.409662971655347</v>
      </c>
      <c r="AG481" s="6">
        <f>$O$481*$AA$481</f>
        <v>13.803788074175602</v>
      </c>
    </row>
    <row r="482" spans="1:33" ht="11.25" customHeight="1" x14ac:dyDescent="0.25">
      <c r="A482" s="4" t="s">
        <v>21</v>
      </c>
      <c r="B482" s="4" t="s">
        <v>42</v>
      </c>
      <c r="C482" s="4" t="s">
        <v>23</v>
      </c>
      <c r="D482" s="4" t="s">
        <v>43</v>
      </c>
      <c r="E482" s="4" t="s">
        <v>52</v>
      </c>
      <c r="F482" s="4" t="s">
        <v>53</v>
      </c>
      <c r="G482" s="4" t="s">
        <v>25</v>
      </c>
      <c r="H482" s="4" t="s">
        <v>25</v>
      </c>
      <c r="I482" s="5">
        <v>44470</v>
      </c>
      <c r="J482" s="6">
        <v>0</v>
      </c>
      <c r="K482" s="6">
        <v>0</v>
      </c>
      <c r="L482" s="6">
        <v>5.8999999999999997E-2</v>
      </c>
      <c r="M482" s="6">
        <v>5.8999999999999997E-2</v>
      </c>
      <c r="N482" s="6">
        <v>5.8999999999999997E-2</v>
      </c>
      <c r="O482" s="6">
        <v>5.8999999999999997E-2</v>
      </c>
      <c r="P482" s="6">
        <v>0</v>
      </c>
      <c r="Q482" s="4" t="s">
        <v>26</v>
      </c>
      <c r="R482" s="4">
        <v>0</v>
      </c>
      <c r="S482" s="6">
        <v>0</v>
      </c>
      <c r="T482" s="6">
        <v>32</v>
      </c>
      <c r="U482" s="6">
        <v>56</v>
      </c>
      <c r="V482" s="6">
        <f>IF(ISERROR(VLOOKUP($S$482,'TAR FIN'!$A$1:$O$86,15,0)),0,VLOOKUP($S$482,'TAR FIN'!$A$1:$O$86,15,0))</f>
        <v>0</v>
      </c>
      <c r="W482" s="6">
        <f>IF(ISERROR(VLOOKUP($T$482,'TAR FIN'!$A$1:$O$86,15,0)),0,VLOOKUP($T$482,'TAR FIN'!$A$1:$O$86,15,0))</f>
        <v>287.75</v>
      </c>
      <c r="X482" s="6">
        <f>IF(ISERROR(VLOOKUP($U$482,'TAR FIN'!$A$1:$O$86,15,0)),0,VLOOKUP($U$482,'TAR FIN'!$A$1:$O$86,15,0))</f>
        <v>276.77999999999997</v>
      </c>
      <c r="Y482" s="6"/>
      <c r="Z482" s="6">
        <f ca="1">('TUSD BE'!$AM$33+'TUSD BF'!$AM$33+'TUSD CVA'!$AM$33)*(1-CUSTOS!$M$38)</f>
        <v>295.07903341788727</v>
      </c>
      <c r="AA482" s="6">
        <f>('TE BE'!$AB$25+'TE BF'!$AB$25+'TE CVA'!$AB$25)*(1-CUSTOS!$M$38)</f>
        <v>233.96250973178988</v>
      </c>
      <c r="AB482" s="6">
        <f>$K$482*$V$482</f>
        <v>0</v>
      </c>
      <c r="AC482" s="6">
        <f>$M$482*$W$482</f>
        <v>16.977249999999998</v>
      </c>
      <c r="AD482" s="6">
        <f>$O$482*$X$482</f>
        <v>16.330019999999998</v>
      </c>
      <c r="AE482" s="6">
        <f>$K$482*$Y$482</f>
        <v>0</v>
      </c>
      <c r="AF482" s="6">
        <f ca="1">$M$482*$Z$482</f>
        <v>17.409662971655347</v>
      </c>
      <c r="AG482" s="6">
        <f>$O$482*$AA$482</f>
        <v>13.803788074175602</v>
      </c>
    </row>
    <row r="483" spans="1:33" ht="11.25" customHeight="1" x14ac:dyDescent="0.25">
      <c r="A483" s="4" t="s">
        <v>21</v>
      </c>
      <c r="B483" s="4" t="s">
        <v>42</v>
      </c>
      <c r="C483" s="4" t="s">
        <v>23</v>
      </c>
      <c r="D483" s="4" t="s">
        <v>43</v>
      </c>
      <c r="E483" s="4" t="s">
        <v>52</v>
      </c>
      <c r="F483" s="4" t="s">
        <v>53</v>
      </c>
      <c r="G483" s="4" t="s">
        <v>25</v>
      </c>
      <c r="H483" s="4" t="s">
        <v>25</v>
      </c>
      <c r="I483" s="5">
        <v>44501</v>
      </c>
      <c r="J483" s="6">
        <v>0</v>
      </c>
      <c r="K483" s="6">
        <v>0</v>
      </c>
      <c r="L483" s="6">
        <v>1.649</v>
      </c>
      <c r="M483" s="6">
        <v>1.649</v>
      </c>
      <c r="N483" s="6">
        <v>1.649</v>
      </c>
      <c r="O483" s="6">
        <v>1.649</v>
      </c>
      <c r="P483" s="6">
        <v>0</v>
      </c>
      <c r="Q483" s="4" t="s">
        <v>26</v>
      </c>
      <c r="R483" s="4">
        <v>0</v>
      </c>
      <c r="S483" s="6">
        <v>0</v>
      </c>
      <c r="T483" s="6">
        <v>32</v>
      </c>
      <c r="U483" s="6">
        <v>56</v>
      </c>
      <c r="V483" s="6">
        <f>IF(ISERROR(VLOOKUP($S$483,'TAR FIN'!$A$1:$O$86,15,0)),0,VLOOKUP($S$483,'TAR FIN'!$A$1:$O$86,15,0))</f>
        <v>0</v>
      </c>
      <c r="W483" s="6">
        <f>IF(ISERROR(VLOOKUP($T$483,'TAR FIN'!$A$1:$O$86,15,0)),0,VLOOKUP($T$483,'TAR FIN'!$A$1:$O$86,15,0))</f>
        <v>287.75</v>
      </c>
      <c r="X483" s="6">
        <f>IF(ISERROR(VLOOKUP($U$483,'TAR FIN'!$A$1:$O$86,15,0)),0,VLOOKUP($U$483,'TAR FIN'!$A$1:$O$86,15,0))</f>
        <v>276.77999999999997</v>
      </c>
      <c r="Y483" s="6"/>
      <c r="Z483" s="6">
        <f ca="1">('TUSD BE'!$AM$33+'TUSD BF'!$AM$33+'TUSD CVA'!$AM$33)*(1-CUSTOS!$M$38)</f>
        <v>295.07903341788727</v>
      </c>
      <c r="AA483" s="6">
        <f>('TE BE'!$AB$25+'TE BF'!$AB$25+'TE CVA'!$AB$25)*(1-CUSTOS!$M$38)</f>
        <v>233.96250973178988</v>
      </c>
      <c r="AB483" s="6">
        <f>$K$483*$V$483</f>
        <v>0</v>
      </c>
      <c r="AC483" s="6">
        <f>$M$483*$W$483</f>
        <v>474.49975000000001</v>
      </c>
      <c r="AD483" s="6">
        <f>$O$483*$X$483</f>
        <v>456.41021999999998</v>
      </c>
      <c r="AE483" s="6">
        <f>$K$483*$Y$483</f>
        <v>0</v>
      </c>
      <c r="AF483" s="6">
        <f ca="1">$M$483*$Z$483</f>
        <v>486.58532610609615</v>
      </c>
      <c r="AG483" s="6">
        <f>$O$483*$AA$483</f>
        <v>385.80417854772151</v>
      </c>
    </row>
    <row r="484" spans="1:33" ht="11.25" customHeight="1" x14ac:dyDescent="0.25">
      <c r="A484" s="4" t="s">
        <v>21</v>
      </c>
      <c r="B484" s="4" t="s">
        <v>42</v>
      </c>
      <c r="C484" s="4" t="s">
        <v>23</v>
      </c>
      <c r="D484" s="4" t="s">
        <v>43</v>
      </c>
      <c r="E484" s="4" t="s">
        <v>52</v>
      </c>
      <c r="F484" s="4" t="s">
        <v>53</v>
      </c>
      <c r="G484" s="4" t="s">
        <v>25</v>
      </c>
      <c r="H484" s="4" t="s">
        <v>25</v>
      </c>
      <c r="I484" s="5">
        <v>44531</v>
      </c>
      <c r="J484" s="6">
        <v>0</v>
      </c>
      <c r="K484" s="6">
        <v>0</v>
      </c>
      <c r="L484" s="6">
        <v>1.54</v>
      </c>
      <c r="M484" s="6">
        <v>1.54</v>
      </c>
      <c r="N484" s="6">
        <v>1.54</v>
      </c>
      <c r="O484" s="6">
        <v>1.54</v>
      </c>
      <c r="P484" s="6">
        <v>0</v>
      </c>
      <c r="Q484" s="4" t="s">
        <v>26</v>
      </c>
      <c r="R484" s="4">
        <v>0</v>
      </c>
      <c r="S484" s="6">
        <v>0</v>
      </c>
      <c r="T484" s="6">
        <v>32</v>
      </c>
      <c r="U484" s="6">
        <v>56</v>
      </c>
      <c r="V484" s="6">
        <f>IF(ISERROR(VLOOKUP($S$484,'TAR FIN'!$A$1:$O$86,15,0)),0,VLOOKUP($S$484,'TAR FIN'!$A$1:$O$86,15,0))</f>
        <v>0</v>
      </c>
      <c r="W484" s="6">
        <f>IF(ISERROR(VLOOKUP($T$484,'TAR FIN'!$A$1:$O$86,15,0)),0,VLOOKUP($T$484,'TAR FIN'!$A$1:$O$86,15,0))</f>
        <v>287.75</v>
      </c>
      <c r="X484" s="6">
        <f>IF(ISERROR(VLOOKUP($U$484,'TAR FIN'!$A$1:$O$86,15,0)),0,VLOOKUP($U$484,'TAR FIN'!$A$1:$O$86,15,0))</f>
        <v>276.77999999999997</v>
      </c>
      <c r="Y484" s="6"/>
      <c r="Z484" s="6">
        <f ca="1">('TUSD BE'!$AM$33+'TUSD BF'!$AM$33+'TUSD CVA'!$AM$33)*(1-CUSTOS!$M$38)</f>
        <v>295.07903341788727</v>
      </c>
      <c r="AA484" s="6">
        <f>('TE BE'!$AB$25+'TE BF'!$AB$25+'TE CVA'!$AB$25)*(1-CUSTOS!$M$38)</f>
        <v>233.96250973178988</v>
      </c>
      <c r="AB484" s="6">
        <f>$K$484*$V$484</f>
        <v>0</v>
      </c>
      <c r="AC484" s="6">
        <f>$M$484*$W$484</f>
        <v>443.13499999999999</v>
      </c>
      <c r="AD484" s="6">
        <f>$O$484*$X$484</f>
        <v>426.24119999999999</v>
      </c>
      <c r="AE484" s="6">
        <f>$K$484*$Y$484</f>
        <v>0</v>
      </c>
      <c r="AF484" s="6">
        <f ca="1">$M$484*$Z$484</f>
        <v>454.42171146354639</v>
      </c>
      <c r="AG484" s="6">
        <f>$O$484*$AA$484</f>
        <v>360.3022649869564</v>
      </c>
    </row>
    <row r="485" spans="1:33" ht="11.25" customHeight="1" x14ac:dyDescent="0.25">
      <c r="A485" s="4" t="s">
        <v>21</v>
      </c>
      <c r="B485" s="4" t="s">
        <v>42</v>
      </c>
      <c r="C485" s="4" t="s">
        <v>23</v>
      </c>
      <c r="D485" s="4" t="s">
        <v>43</v>
      </c>
      <c r="E485" s="4" t="s">
        <v>52</v>
      </c>
      <c r="F485" s="4" t="s">
        <v>53</v>
      </c>
      <c r="G485" s="4" t="s">
        <v>25</v>
      </c>
      <c r="H485" s="4" t="s">
        <v>25</v>
      </c>
      <c r="I485" s="5">
        <v>44562</v>
      </c>
      <c r="J485" s="6">
        <v>0</v>
      </c>
      <c r="K485" s="6">
        <v>0</v>
      </c>
      <c r="L485" s="6">
        <v>2.0259999999999998</v>
      </c>
      <c r="M485" s="6">
        <v>2.0259999999999998</v>
      </c>
      <c r="N485" s="6">
        <v>2.0259999999999998</v>
      </c>
      <c r="O485" s="6">
        <v>2.0259999999999998</v>
      </c>
      <c r="P485" s="6">
        <v>0</v>
      </c>
      <c r="Q485" s="4" t="s">
        <v>26</v>
      </c>
      <c r="R485" s="4">
        <v>0</v>
      </c>
      <c r="S485" s="6">
        <v>0</v>
      </c>
      <c r="T485" s="6">
        <v>32</v>
      </c>
      <c r="U485" s="6">
        <v>56</v>
      </c>
      <c r="V485" s="6">
        <f>IF(ISERROR(VLOOKUP($S$485,'TAR FIN'!$A$1:$O$86,15,0)),0,VLOOKUP($S$485,'TAR FIN'!$A$1:$O$86,15,0))</f>
        <v>0</v>
      </c>
      <c r="W485" s="6">
        <f>IF(ISERROR(VLOOKUP($T$485,'TAR FIN'!$A$1:$O$86,15,0)),0,VLOOKUP($T$485,'TAR FIN'!$A$1:$O$86,15,0))</f>
        <v>287.75</v>
      </c>
      <c r="X485" s="6">
        <f>IF(ISERROR(VLOOKUP($U$485,'TAR FIN'!$A$1:$O$86,15,0)),0,VLOOKUP($U$485,'TAR FIN'!$A$1:$O$86,15,0))</f>
        <v>276.77999999999997</v>
      </c>
      <c r="Y485" s="6"/>
      <c r="Z485" s="6">
        <f ca="1">('TUSD BE'!$AM$33+'TUSD BF'!$AM$33+'TUSD CVA'!$AM$33)*(1-CUSTOS!$M$38)</f>
        <v>295.07903341788727</v>
      </c>
      <c r="AA485" s="6">
        <f>('TE BE'!$AB$25+'TE BF'!$AB$25+'TE CVA'!$AB$25)*(1-CUSTOS!$M$38)</f>
        <v>233.96250973178988</v>
      </c>
      <c r="AB485" s="6">
        <f>$K$485*$V$485</f>
        <v>0</v>
      </c>
      <c r="AC485" s="6">
        <f>$M$485*$W$485</f>
        <v>582.98149999999998</v>
      </c>
      <c r="AD485" s="6">
        <f>$O$485*$X$485</f>
        <v>560.75627999999983</v>
      </c>
      <c r="AE485" s="6">
        <f>$K$485*$Y$485</f>
        <v>0</v>
      </c>
      <c r="AF485" s="6">
        <f ca="1">$M$485*$Z$485</f>
        <v>597.83012170463951</v>
      </c>
      <c r="AG485" s="6">
        <f>$O$485*$AA$485</f>
        <v>474.00804471660626</v>
      </c>
    </row>
    <row r="486" spans="1:33" ht="11.25" customHeight="1" x14ac:dyDescent="0.25">
      <c r="A486" s="4" t="s">
        <v>21</v>
      </c>
      <c r="B486" s="4" t="s">
        <v>42</v>
      </c>
      <c r="C486" s="4" t="s">
        <v>23</v>
      </c>
      <c r="D486" s="4" t="s">
        <v>43</v>
      </c>
      <c r="E486" s="4" t="s">
        <v>52</v>
      </c>
      <c r="F486" s="4" t="s">
        <v>53</v>
      </c>
      <c r="G486" s="4" t="s">
        <v>25</v>
      </c>
      <c r="H486" s="4" t="s">
        <v>25</v>
      </c>
      <c r="I486" s="5">
        <v>44593</v>
      </c>
      <c r="J486" s="6">
        <v>0</v>
      </c>
      <c r="K486" s="6">
        <v>0</v>
      </c>
      <c r="L486" s="6">
        <v>0.251</v>
      </c>
      <c r="M486" s="6">
        <v>0.251</v>
      </c>
      <c r="N486" s="6">
        <v>0.251</v>
      </c>
      <c r="O486" s="6">
        <v>0.251</v>
      </c>
      <c r="P486" s="6">
        <v>0</v>
      </c>
      <c r="Q486" s="4" t="s">
        <v>26</v>
      </c>
      <c r="R486" s="4">
        <v>0</v>
      </c>
      <c r="S486" s="6">
        <v>0</v>
      </c>
      <c r="T486" s="6">
        <v>32</v>
      </c>
      <c r="U486" s="6">
        <v>56</v>
      </c>
      <c r="V486" s="6">
        <f>IF(ISERROR(VLOOKUP($S$486,'TAR FIN'!$A$1:$O$86,15,0)),0,VLOOKUP($S$486,'TAR FIN'!$A$1:$O$86,15,0))</f>
        <v>0</v>
      </c>
      <c r="W486" s="6">
        <f>IF(ISERROR(VLOOKUP($T$486,'TAR FIN'!$A$1:$O$86,15,0)),0,VLOOKUP($T$486,'TAR FIN'!$A$1:$O$86,15,0))</f>
        <v>287.75</v>
      </c>
      <c r="X486" s="6">
        <f>IF(ISERROR(VLOOKUP($U$486,'TAR FIN'!$A$1:$O$86,15,0)),0,VLOOKUP($U$486,'TAR FIN'!$A$1:$O$86,15,0))</f>
        <v>276.77999999999997</v>
      </c>
      <c r="Y486" s="6"/>
      <c r="Z486" s="6">
        <f ca="1">('TUSD BE'!$AM$33+'TUSD BF'!$AM$33+'TUSD CVA'!$AM$33)*(1-CUSTOS!$M$38)</f>
        <v>295.07903341788727</v>
      </c>
      <c r="AA486" s="6">
        <f>('TE BE'!$AB$25+'TE BF'!$AB$25+'TE CVA'!$AB$25)*(1-CUSTOS!$M$38)</f>
        <v>233.96250973178988</v>
      </c>
      <c r="AB486" s="6">
        <f>$K$486*$V$486</f>
        <v>0</v>
      </c>
      <c r="AC486" s="6">
        <f>$M$486*$W$486</f>
        <v>72.225250000000003</v>
      </c>
      <c r="AD486" s="6">
        <f>$O$486*$X$486</f>
        <v>69.471779999999995</v>
      </c>
      <c r="AE486" s="6">
        <f>$K$486*$Y$486</f>
        <v>0</v>
      </c>
      <c r="AF486" s="6">
        <f ca="1">$M$486*$Z$486</f>
        <v>74.06483738788971</v>
      </c>
      <c r="AG486" s="6">
        <f>$O$486*$AA$486</f>
        <v>58.724589942679259</v>
      </c>
    </row>
    <row r="487" spans="1:33" ht="11.25" customHeight="1" x14ac:dyDescent="0.25">
      <c r="A487" s="4" t="s">
        <v>21</v>
      </c>
      <c r="B487" s="4" t="s">
        <v>42</v>
      </c>
      <c r="C487" s="4" t="s">
        <v>23</v>
      </c>
      <c r="D487" s="4" t="s">
        <v>43</v>
      </c>
      <c r="E487" s="4" t="s">
        <v>52</v>
      </c>
      <c r="F487" s="4" t="s">
        <v>53</v>
      </c>
      <c r="G487" s="4" t="s">
        <v>25</v>
      </c>
      <c r="H487" s="4" t="s">
        <v>25</v>
      </c>
      <c r="I487" s="5">
        <v>44621</v>
      </c>
      <c r="J487" s="6">
        <v>0</v>
      </c>
      <c r="K487" s="6">
        <v>0</v>
      </c>
      <c r="L487" s="6">
        <v>0.1</v>
      </c>
      <c r="M487" s="6">
        <v>0.1</v>
      </c>
      <c r="N487" s="6">
        <v>0.1</v>
      </c>
      <c r="O487" s="6">
        <v>0.1</v>
      </c>
      <c r="P487" s="6">
        <v>0</v>
      </c>
      <c r="Q487" s="4" t="s">
        <v>26</v>
      </c>
      <c r="R487" s="4">
        <v>0</v>
      </c>
      <c r="S487" s="6">
        <v>0</v>
      </c>
      <c r="T487" s="6">
        <v>32</v>
      </c>
      <c r="U487" s="6">
        <v>56</v>
      </c>
      <c r="V487" s="6">
        <f>IF(ISERROR(VLOOKUP($S$487,'TAR FIN'!$A$1:$O$86,15,0)),0,VLOOKUP($S$487,'TAR FIN'!$A$1:$O$86,15,0))</f>
        <v>0</v>
      </c>
      <c r="W487" s="6">
        <f>IF(ISERROR(VLOOKUP($T$487,'TAR FIN'!$A$1:$O$86,15,0)),0,VLOOKUP($T$487,'TAR FIN'!$A$1:$O$86,15,0))</f>
        <v>287.75</v>
      </c>
      <c r="X487" s="6">
        <f>IF(ISERROR(VLOOKUP($U$487,'TAR FIN'!$A$1:$O$86,15,0)),0,VLOOKUP($U$487,'TAR FIN'!$A$1:$O$86,15,0))</f>
        <v>276.77999999999997</v>
      </c>
      <c r="Y487" s="6"/>
      <c r="Z487" s="6">
        <f ca="1">('TUSD BE'!$AM$33+'TUSD BF'!$AM$33+'TUSD CVA'!$AM$33)*(1-CUSTOS!$M$38)</f>
        <v>295.07903341788727</v>
      </c>
      <c r="AA487" s="6">
        <f>('TE BE'!$AB$25+'TE BF'!$AB$25+'TE CVA'!$AB$25)*(1-CUSTOS!$M$38)</f>
        <v>233.96250973178988</v>
      </c>
      <c r="AB487" s="6">
        <f>$K$487*$V$487</f>
        <v>0</v>
      </c>
      <c r="AC487" s="6">
        <f>$M$487*$W$487</f>
        <v>28.775000000000002</v>
      </c>
      <c r="AD487" s="6">
        <f>$O$487*$X$487</f>
        <v>27.677999999999997</v>
      </c>
      <c r="AE487" s="6">
        <f>$K$487*$Y$487</f>
        <v>0</v>
      </c>
      <c r="AF487" s="6">
        <f ca="1">$M$487*$Z$487</f>
        <v>29.50790334178873</v>
      </c>
      <c r="AG487" s="6">
        <f>$O$487*$AA$487</f>
        <v>23.39625097317899</v>
      </c>
    </row>
    <row r="488" spans="1:33" ht="11.25" customHeight="1" x14ac:dyDescent="0.25">
      <c r="A488" s="4" t="s">
        <v>21</v>
      </c>
      <c r="B488" s="4" t="s">
        <v>42</v>
      </c>
      <c r="C488" s="4" t="s">
        <v>23</v>
      </c>
      <c r="D488" s="4" t="s">
        <v>43</v>
      </c>
      <c r="E488" s="4" t="s">
        <v>52</v>
      </c>
      <c r="F488" s="4" t="s">
        <v>53</v>
      </c>
      <c r="G488" s="4" t="s">
        <v>25</v>
      </c>
      <c r="H488" s="4" t="s">
        <v>25</v>
      </c>
      <c r="I488" s="5">
        <v>44652</v>
      </c>
      <c r="J488" s="6">
        <v>0</v>
      </c>
      <c r="K488" s="6">
        <v>0</v>
      </c>
      <c r="L488" s="6">
        <v>0.1</v>
      </c>
      <c r="M488" s="6">
        <v>0.1</v>
      </c>
      <c r="N488" s="6">
        <v>0.1</v>
      </c>
      <c r="O488" s="6">
        <v>0.1</v>
      </c>
      <c r="P488" s="6">
        <v>0</v>
      </c>
      <c r="Q488" s="4" t="s">
        <v>26</v>
      </c>
      <c r="R488" s="4">
        <v>0</v>
      </c>
      <c r="S488" s="6">
        <v>0</v>
      </c>
      <c r="T488" s="6">
        <v>32</v>
      </c>
      <c r="U488" s="6">
        <v>56</v>
      </c>
      <c r="V488" s="6">
        <f>IF(ISERROR(VLOOKUP($S$488,'TAR FIN'!$A$1:$O$86,15,0)),0,VLOOKUP($S$488,'TAR FIN'!$A$1:$O$86,15,0))</f>
        <v>0</v>
      </c>
      <c r="W488" s="6">
        <f>IF(ISERROR(VLOOKUP($T$488,'TAR FIN'!$A$1:$O$86,15,0)),0,VLOOKUP($T$488,'TAR FIN'!$A$1:$O$86,15,0))</f>
        <v>287.75</v>
      </c>
      <c r="X488" s="6">
        <f>IF(ISERROR(VLOOKUP($U$488,'TAR FIN'!$A$1:$O$86,15,0)),0,VLOOKUP($U$488,'TAR FIN'!$A$1:$O$86,15,0))</f>
        <v>276.77999999999997</v>
      </c>
      <c r="Y488" s="6"/>
      <c r="Z488" s="6">
        <f ca="1">('TUSD BE'!$AM$33+'TUSD BF'!$AM$33+'TUSD CVA'!$AM$33)*(1-CUSTOS!$M$38)</f>
        <v>295.07903341788727</v>
      </c>
      <c r="AA488" s="6">
        <f>('TE BE'!$AB$25+'TE BF'!$AB$25+'TE CVA'!$AB$25)*(1-CUSTOS!$M$38)</f>
        <v>233.96250973178988</v>
      </c>
      <c r="AB488" s="6">
        <f>$K$488*$V$488</f>
        <v>0</v>
      </c>
      <c r="AC488" s="6">
        <f>$M$488*$W$488</f>
        <v>28.775000000000002</v>
      </c>
      <c r="AD488" s="6">
        <f>$O$488*$X$488</f>
        <v>27.677999999999997</v>
      </c>
      <c r="AE488" s="6">
        <f>$K$488*$Y$488</f>
        <v>0</v>
      </c>
      <c r="AF488" s="6">
        <f ca="1">$M$488*$Z$488</f>
        <v>29.50790334178873</v>
      </c>
      <c r="AG488" s="6">
        <f>$O$488*$AA$488</f>
        <v>23.39625097317899</v>
      </c>
    </row>
    <row r="489" spans="1:33" ht="11.25" customHeight="1" x14ac:dyDescent="0.25">
      <c r="A489" s="4" t="s">
        <v>21</v>
      </c>
      <c r="B489" s="4" t="s">
        <v>42</v>
      </c>
      <c r="C489" s="4" t="s">
        <v>23</v>
      </c>
      <c r="D489" s="4" t="s">
        <v>43</v>
      </c>
      <c r="E489" s="4" t="s">
        <v>52</v>
      </c>
      <c r="F489" s="4" t="s">
        <v>53</v>
      </c>
      <c r="G489" s="4" t="s">
        <v>25</v>
      </c>
      <c r="H489" s="4" t="s">
        <v>25</v>
      </c>
      <c r="I489" s="5">
        <v>44682</v>
      </c>
      <c r="J489" s="6">
        <v>0</v>
      </c>
      <c r="K489" s="6">
        <v>0</v>
      </c>
      <c r="L489" s="6">
        <v>5.8999999999999997E-2</v>
      </c>
      <c r="M489" s="6">
        <v>5.8999999999999997E-2</v>
      </c>
      <c r="N489" s="6">
        <v>5.8999999999999997E-2</v>
      </c>
      <c r="O489" s="6">
        <v>5.8999999999999997E-2</v>
      </c>
      <c r="P489" s="6">
        <v>0</v>
      </c>
      <c r="Q489" s="4" t="s">
        <v>26</v>
      </c>
      <c r="R489" s="4">
        <v>0</v>
      </c>
      <c r="S489" s="6">
        <v>0</v>
      </c>
      <c r="T489" s="6">
        <v>32</v>
      </c>
      <c r="U489" s="6">
        <v>56</v>
      </c>
      <c r="V489" s="6">
        <f>IF(ISERROR(VLOOKUP($S$489,'TAR FIN'!$A$1:$O$86,15,0)),0,VLOOKUP($S$489,'TAR FIN'!$A$1:$O$86,15,0))</f>
        <v>0</v>
      </c>
      <c r="W489" s="6">
        <f>IF(ISERROR(VLOOKUP($T$489,'TAR FIN'!$A$1:$O$86,15,0)),0,VLOOKUP($T$489,'TAR FIN'!$A$1:$O$86,15,0))</f>
        <v>287.75</v>
      </c>
      <c r="X489" s="6">
        <f>IF(ISERROR(VLOOKUP($U$489,'TAR FIN'!$A$1:$O$86,15,0)),0,VLOOKUP($U$489,'TAR FIN'!$A$1:$O$86,15,0))</f>
        <v>276.77999999999997</v>
      </c>
      <c r="Y489" s="6"/>
      <c r="Z489" s="6">
        <f ca="1">('TUSD BE'!$AM$33+'TUSD BF'!$AM$33+'TUSD CVA'!$AM$33)*(1-CUSTOS!$M$38)</f>
        <v>295.07903341788727</v>
      </c>
      <c r="AA489" s="6">
        <f>('TE BE'!$AB$25+'TE BF'!$AB$25+'TE CVA'!$AB$25)*(1-CUSTOS!$M$38)</f>
        <v>233.96250973178988</v>
      </c>
      <c r="AB489" s="6">
        <f>$K$489*$V$489</f>
        <v>0</v>
      </c>
      <c r="AC489" s="6">
        <f>$M$489*$W$489</f>
        <v>16.977249999999998</v>
      </c>
      <c r="AD489" s="6">
        <f>$O$489*$X$489</f>
        <v>16.330019999999998</v>
      </c>
      <c r="AE489" s="6">
        <f>$K$489*$Y$489</f>
        <v>0</v>
      </c>
      <c r="AF489" s="6">
        <f ca="1">$M$489*$Z$489</f>
        <v>17.409662971655347</v>
      </c>
      <c r="AG489" s="6">
        <f>$O$489*$AA$489</f>
        <v>13.803788074175602</v>
      </c>
    </row>
    <row r="490" spans="1:33" ht="11.25" customHeight="1" x14ac:dyDescent="0.25">
      <c r="A490" s="4" t="s">
        <v>55</v>
      </c>
      <c r="B490" s="4" t="s">
        <v>42</v>
      </c>
      <c r="C490" s="4" t="s">
        <v>23</v>
      </c>
      <c r="D490" s="4" t="s">
        <v>43</v>
      </c>
      <c r="E490" s="4" t="s">
        <v>52</v>
      </c>
      <c r="F490" s="4" t="s">
        <v>53</v>
      </c>
      <c r="G490" s="4" t="s">
        <v>25</v>
      </c>
      <c r="H490" s="4" t="s">
        <v>25</v>
      </c>
      <c r="I490" s="5">
        <v>44713</v>
      </c>
      <c r="J490" s="6">
        <v>0</v>
      </c>
      <c r="K490" s="6">
        <v>0</v>
      </c>
      <c r="L490" s="6">
        <v>5.8999999999999997E-2</v>
      </c>
      <c r="M490" s="6">
        <v>5.8999999999999997E-2</v>
      </c>
      <c r="N490" s="6">
        <v>5.8999999999999997E-2</v>
      </c>
      <c r="O490" s="6">
        <v>5.8999999999999997E-2</v>
      </c>
      <c r="P490" s="6">
        <v>0</v>
      </c>
      <c r="Q490" s="4" t="s">
        <v>26</v>
      </c>
      <c r="R490" s="4">
        <v>0</v>
      </c>
      <c r="S490" s="6">
        <v>0</v>
      </c>
      <c r="T490" s="6">
        <v>32</v>
      </c>
      <c r="U490" s="6">
        <v>56</v>
      </c>
      <c r="V490" s="6">
        <f>IF(ISERROR(VLOOKUP($S$490,'TAR FIN'!$A$1:$O$86,15,0)),0,VLOOKUP($S$490,'TAR FIN'!$A$1:$O$86,15,0))</f>
        <v>0</v>
      </c>
      <c r="W490" s="6">
        <f>IF(ISERROR(VLOOKUP($T$490,'TAR FIN'!$A$1:$O$86,15,0)),0,VLOOKUP($T$490,'TAR FIN'!$A$1:$O$86,15,0))</f>
        <v>287.75</v>
      </c>
      <c r="X490" s="6">
        <f>IF(ISERROR(VLOOKUP($U$490,'TAR FIN'!$A$1:$O$86,15,0)),0,VLOOKUP($U$490,'TAR FIN'!$A$1:$O$86,15,0))</f>
        <v>276.77999999999997</v>
      </c>
      <c r="Y490" s="6"/>
      <c r="Z490" s="6">
        <f ca="1">('TUSD BE'!$AM$33+'TUSD BF'!$AM$33+'TUSD CVA'!$AM$33)*(1-CUSTOS!$M$38)</f>
        <v>295.07903341788727</v>
      </c>
      <c r="AA490" s="6">
        <f>('TE BE'!$AB$25+'TE BF'!$AB$25+'TE CVA'!$AB$25)*(1-CUSTOS!$M$38)</f>
        <v>233.96250973178988</v>
      </c>
      <c r="AB490" s="6">
        <f>$K$490*$V$490</f>
        <v>0</v>
      </c>
      <c r="AC490" s="6">
        <f>$M$490*$W$490</f>
        <v>16.977249999999998</v>
      </c>
      <c r="AD490" s="6">
        <f>$O$490*$X$490</f>
        <v>16.330019999999998</v>
      </c>
      <c r="AE490" s="6">
        <f>$K$490*$Y$490</f>
        <v>0</v>
      </c>
      <c r="AF490" s="6">
        <f ca="1">$M$490*$Z$490</f>
        <v>17.409662971655347</v>
      </c>
      <c r="AG490" s="6">
        <f>$O$490*$AA$490</f>
        <v>13.803788074175602</v>
      </c>
    </row>
    <row r="491" spans="1:33" ht="11.25" customHeight="1" x14ac:dyDescent="0.25">
      <c r="A491" s="4" t="s">
        <v>21</v>
      </c>
      <c r="B491" s="4" t="s">
        <v>42</v>
      </c>
      <c r="C491" s="4" t="s">
        <v>23</v>
      </c>
      <c r="D491" s="4" t="s">
        <v>43</v>
      </c>
      <c r="E491" s="4" t="s">
        <v>52</v>
      </c>
      <c r="F491" s="4" t="s">
        <v>54</v>
      </c>
      <c r="G491" s="4" t="s">
        <v>25</v>
      </c>
      <c r="H491" s="4" t="s">
        <v>25</v>
      </c>
      <c r="I491" s="5">
        <v>44440</v>
      </c>
      <c r="J491" s="6">
        <v>0</v>
      </c>
      <c r="K491" s="6">
        <v>0</v>
      </c>
      <c r="L491" s="6">
        <v>4.1000000000000002E-2</v>
      </c>
      <c r="M491" s="6">
        <v>1.6400000000000001E-2</v>
      </c>
      <c r="N491" s="6">
        <v>4.1000000000000002E-2</v>
      </c>
      <c r="O491" s="6">
        <v>1.6400000000000001E-2</v>
      </c>
      <c r="P491" s="6">
        <v>0</v>
      </c>
      <c r="Q491" s="4" t="s">
        <v>26</v>
      </c>
      <c r="R491" s="4">
        <v>0</v>
      </c>
      <c r="S491" s="6">
        <v>0</v>
      </c>
      <c r="T491" s="6">
        <v>32</v>
      </c>
      <c r="U491" s="6">
        <v>56</v>
      </c>
      <c r="V491" s="6">
        <f>IF(ISERROR(VLOOKUP($S$491,'TAR FIN'!$A$1:$O$86,15,0)),0,VLOOKUP($S$491,'TAR FIN'!$A$1:$O$86,15,0))</f>
        <v>0</v>
      </c>
      <c r="W491" s="6">
        <f>IF(ISERROR(VLOOKUP($T$491,'TAR FIN'!$A$1:$O$86,15,0)),0,VLOOKUP($T$491,'TAR FIN'!$A$1:$O$86,15,0))</f>
        <v>287.75</v>
      </c>
      <c r="X491" s="6">
        <f>IF(ISERROR(VLOOKUP($U$491,'TAR FIN'!$A$1:$O$86,15,0)),0,VLOOKUP($U$491,'TAR FIN'!$A$1:$O$86,15,0))</f>
        <v>276.77999999999997</v>
      </c>
      <c r="Y491" s="6"/>
      <c r="Z491" s="6">
        <f ca="1">('TUSD BE'!$AM$33+'TUSD BF'!$AM$33+'TUSD CVA'!$AM$33)*(1-CUSTOS!$M$38)</f>
        <v>295.07903341788727</v>
      </c>
      <c r="AA491" s="6">
        <f>('TE BE'!$AB$25+'TE BF'!$AB$25+'TE CVA'!$AB$25)*(1-CUSTOS!$M$38)</f>
        <v>233.96250973178988</v>
      </c>
      <c r="AB491" s="6">
        <f>$K$491*$V$491</f>
        <v>0</v>
      </c>
      <c r="AC491" s="6">
        <f>$M$491*$W$491</f>
        <v>4.7191000000000001</v>
      </c>
      <c r="AD491" s="6">
        <f>$O$491*$X$491</f>
        <v>4.5391919999999999</v>
      </c>
      <c r="AE491" s="6">
        <f>$K$491*$Y$491</f>
        <v>0</v>
      </c>
      <c r="AF491" s="6">
        <f ca="1">$M$491*$Z$491</f>
        <v>4.8392961480533518</v>
      </c>
      <c r="AG491" s="6">
        <f>$O$491*$AA$491</f>
        <v>3.8369851596013542</v>
      </c>
    </row>
    <row r="492" spans="1:33" ht="11.25" customHeight="1" x14ac:dyDescent="0.25">
      <c r="A492" s="4" t="s">
        <v>21</v>
      </c>
      <c r="B492" s="4" t="s">
        <v>42</v>
      </c>
      <c r="C492" s="4" t="s">
        <v>23</v>
      </c>
      <c r="D492" s="4" t="s">
        <v>43</v>
      </c>
      <c r="E492" s="4" t="s">
        <v>52</v>
      </c>
      <c r="F492" s="4" t="s">
        <v>54</v>
      </c>
      <c r="G492" s="4" t="s">
        <v>25</v>
      </c>
      <c r="H492" s="4" t="s">
        <v>25</v>
      </c>
      <c r="I492" s="5">
        <v>44470</v>
      </c>
      <c r="J492" s="6">
        <v>0</v>
      </c>
      <c r="K492" s="6">
        <v>0</v>
      </c>
      <c r="L492" s="6">
        <v>4.1000000000000002E-2</v>
      </c>
      <c r="M492" s="6">
        <v>1.6400000000000001E-2</v>
      </c>
      <c r="N492" s="6">
        <v>4.1000000000000002E-2</v>
      </c>
      <c r="O492" s="6">
        <v>1.6400000000000001E-2</v>
      </c>
      <c r="P492" s="6">
        <v>0</v>
      </c>
      <c r="Q492" s="4" t="s">
        <v>26</v>
      </c>
      <c r="R492" s="4">
        <v>0</v>
      </c>
      <c r="S492" s="6">
        <v>0</v>
      </c>
      <c r="T492" s="6">
        <v>32</v>
      </c>
      <c r="U492" s="6">
        <v>56</v>
      </c>
      <c r="V492" s="6">
        <f>IF(ISERROR(VLOOKUP($S$492,'TAR FIN'!$A$1:$O$86,15,0)),0,VLOOKUP($S$492,'TAR FIN'!$A$1:$O$86,15,0))</f>
        <v>0</v>
      </c>
      <c r="W492" s="6">
        <f>IF(ISERROR(VLOOKUP($T$492,'TAR FIN'!$A$1:$O$86,15,0)),0,VLOOKUP($T$492,'TAR FIN'!$A$1:$O$86,15,0))</f>
        <v>287.75</v>
      </c>
      <c r="X492" s="6">
        <f>IF(ISERROR(VLOOKUP($U$492,'TAR FIN'!$A$1:$O$86,15,0)),0,VLOOKUP($U$492,'TAR FIN'!$A$1:$O$86,15,0))</f>
        <v>276.77999999999997</v>
      </c>
      <c r="Y492" s="6"/>
      <c r="Z492" s="6">
        <f ca="1">('TUSD BE'!$AM$33+'TUSD BF'!$AM$33+'TUSD CVA'!$AM$33)*(1-CUSTOS!$M$38)</f>
        <v>295.07903341788727</v>
      </c>
      <c r="AA492" s="6">
        <f>('TE BE'!$AB$25+'TE BF'!$AB$25+'TE CVA'!$AB$25)*(1-CUSTOS!$M$38)</f>
        <v>233.96250973178988</v>
      </c>
      <c r="AB492" s="6">
        <f>$K$492*$V$492</f>
        <v>0</v>
      </c>
      <c r="AC492" s="6">
        <f>$M$492*$W$492</f>
        <v>4.7191000000000001</v>
      </c>
      <c r="AD492" s="6">
        <f>$O$492*$X$492</f>
        <v>4.5391919999999999</v>
      </c>
      <c r="AE492" s="6">
        <f>$K$492*$Y$492</f>
        <v>0</v>
      </c>
      <c r="AF492" s="6">
        <f ca="1">$M$492*$Z$492</f>
        <v>4.8392961480533518</v>
      </c>
      <c r="AG492" s="6">
        <f>$O$492*$AA$492</f>
        <v>3.8369851596013542</v>
      </c>
    </row>
    <row r="493" spans="1:33" ht="11.25" customHeight="1" x14ac:dyDescent="0.25">
      <c r="A493" s="4" t="s">
        <v>21</v>
      </c>
      <c r="B493" s="4" t="s">
        <v>42</v>
      </c>
      <c r="C493" s="4" t="s">
        <v>23</v>
      </c>
      <c r="D493" s="4" t="s">
        <v>43</v>
      </c>
      <c r="E493" s="4" t="s">
        <v>52</v>
      </c>
      <c r="F493" s="4" t="s">
        <v>54</v>
      </c>
      <c r="G493" s="4" t="s">
        <v>25</v>
      </c>
      <c r="H493" s="4" t="s">
        <v>25</v>
      </c>
      <c r="I493" s="5">
        <v>44501</v>
      </c>
      <c r="J493" s="6">
        <v>0</v>
      </c>
      <c r="K493" s="6">
        <v>0</v>
      </c>
      <c r="L493" s="6">
        <v>1.1890000000000001</v>
      </c>
      <c r="M493" s="6">
        <v>0.47560000000000002</v>
      </c>
      <c r="N493" s="6">
        <v>1.1890000000000001</v>
      </c>
      <c r="O493" s="6">
        <v>0.47560000000000002</v>
      </c>
      <c r="P493" s="6">
        <v>0</v>
      </c>
      <c r="Q493" s="4" t="s">
        <v>26</v>
      </c>
      <c r="R493" s="4">
        <v>0</v>
      </c>
      <c r="S493" s="6">
        <v>0</v>
      </c>
      <c r="T493" s="6">
        <v>32</v>
      </c>
      <c r="U493" s="6">
        <v>56</v>
      </c>
      <c r="V493" s="6">
        <f>IF(ISERROR(VLOOKUP($S$493,'TAR FIN'!$A$1:$O$86,15,0)),0,VLOOKUP($S$493,'TAR FIN'!$A$1:$O$86,15,0))</f>
        <v>0</v>
      </c>
      <c r="W493" s="6">
        <f>IF(ISERROR(VLOOKUP($T$493,'TAR FIN'!$A$1:$O$86,15,0)),0,VLOOKUP($T$493,'TAR FIN'!$A$1:$O$86,15,0))</f>
        <v>287.75</v>
      </c>
      <c r="X493" s="6">
        <f>IF(ISERROR(VLOOKUP($U$493,'TAR FIN'!$A$1:$O$86,15,0)),0,VLOOKUP($U$493,'TAR FIN'!$A$1:$O$86,15,0))</f>
        <v>276.77999999999997</v>
      </c>
      <c r="Y493" s="6"/>
      <c r="Z493" s="6">
        <f ca="1">('TUSD BE'!$AM$33+'TUSD BF'!$AM$33+'TUSD CVA'!$AM$33)*(1-CUSTOS!$M$38)</f>
        <v>295.07903341788727</v>
      </c>
      <c r="AA493" s="6">
        <f>('TE BE'!$AB$25+'TE BF'!$AB$25+'TE CVA'!$AB$25)*(1-CUSTOS!$M$38)</f>
        <v>233.96250973178988</v>
      </c>
      <c r="AB493" s="6">
        <f>$K$493*$V$493</f>
        <v>0</v>
      </c>
      <c r="AC493" s="6">
        <f>$M$493*$W$493</f>
        <v>136.85390000000001</v>
      </c>
      <c r="AD493" s="6">
        <f>$O$493*$X$493</f>
        <v>131.63656799999998</v>
      </c>
      <c r="AE493" s="6">
        <f>$K$493*$Y$493</f>
        <v>0</v>
      </c>
      <c r="AF493" s="6">
        <f ca="1">$M$493*$Z$493</f>
        <v>140.33958829354719</v>
      </c>
      <c r="AG493" s="6">
        <f>$O$493*$AA$493</f>
        <v>111.27256962843927</v>
      </c>
    </row>
    <row r="494" spans="1:33" ht="11.25" customHeight="1" x14ac:dyDescent="0.25">
      <c r="A494" s="4" t="s">
        <v>21</v>
      </c>
      <c r="B494" s="4" t="s">
        <v>42</v>
      </c>
      <c r="C494" s="4" t="s">
        <v>23</v>
      </c>
      <c r="D494" s="4" t="s">
        <v>43</v>
      </c>
      <c r="E494" s="4" t="s">
        <v>52</v>
      </c>
      <c r="F494" s="4" t="s">
        <v>54</v>
      </c>
      <c r="G494" s="4" t="s">
        <v>25</v>
      </c>
      <c r="H494" s="4" t="s">
        <v>25</v>
      </c>
      <c r="I494" s="5">
        <v>44531</v>
      </c>
      <c r="J494" s="6">
        <v>0</v>
      </c>
      <c r="K494" s="6">
        <v>0</v>
      </c>
      <c r="L494" s="6">
        <v>1.8859999999999999</v>
      </c>
      <c r="M494" s="6">
        <v>0.75439999999999996</v>
      </c>
      <c r="N494" s="6">
        <v>1.8859999999999999</v>
      </c>
      <c r="O494" s="6">
        <v>0.75439999999999996</v>
      </c>
      <c r="P494" s="6">
        <v>0</v>
      </c>
      <c r="Q494" s="4" t="s">
        <v>26</v>
      </c>
      <c r="R494" s="4">
        <v>0</v>
      </c>
      <c r="S494" s="6">
        <v>0</v>
      </c>
      <c r="T494" s="6">
        <v>32</v>
      </c>
      <c r="U494" s="6">
        <v>56</v>
      </c>
      <c r="V494" s="6">
        <f>IF(ISERROR(VLOOKUP($S$494,'TAR FIN'!$A$1:$O$86,15,0)),0,VLOOKUP($S$494,'TAR FIN'!$A$1:$O$86,15,0))</f>
        <v>0</v>
      </c>
      <c r="W494" s="6">
        <f>IF(ISERROR(VLOOKUP($T$494,'TAR FIN'!$A$1:$O$86,15,0)),0,VLOOKUP($T$494,'TAR FIN'!$A$1:$O$86,15,0))</f>
        <v>287.75</v>
      </c>
      <c r="X494" s="6">
        <f>IF(ISERROR(VLOOKUP($U$494,'TAR FIN'!$A$1:$O$86,15,0)),0,VLOOKUP($U$494,'TAR FIN'!$A$1:$O$86,15,0))</f>
        <v>276.77999999999997</v>
      </c>
      <c r="Y494" s="6"/>
      <c r="Z494" s="6">
        <f ca="1">('TUSD BE'!$AM$33+'TUSD BF'!$AM$33+'TUSD CVA'!$AM$33)*(1-CUSTOS!$M$38)</f>
        <v>295.07903341788727</v>
      </c>
      <c r="AA494" s="6">
        <f>('TE BE'!$AB$25+'TE BF'!$AB$25+'TE CVA'!$AB$25)*(1-CUSTOS!$M$38)</f>
        <v>233.96250973178988</v>
      </c>
      <c r="AB494" s="6">
        <f>$K$494*$V$494</f>
        <v>0</v>
      </c>
      <c r="AC494" s="6">
        <f>$M$494*$W$494</f>
        <v>217.07859999999999</v>
      </c>
      <c r="AD494" s="6">
        <f>$O$494*$X$494</f>
        <v>208.80283199999997</v>
      </c>
      <c r="AE494" s="6">
        <f>$K$494*$Y$494</f>
        <v>0</v>
      </c>
      <c r="AF494" s="6">
        <f ca="1">$M$494*$Z$494</f>
        <v>222.60762281045416</v>
      </c>
      <c r="AG494" s="6">
        <f>$O$494*$AA$494</f>
        <v>176.50131734166229</v>
      </c>
    </row>
    <row r="495" spans="1:33" ht="11.25" customHeight="1" x14ac:dyDescent="0.25">
      <c r="A495" s="4" t="s">
        <v>21</v>
      </c>
      <c r="B495" s="4" t="s">
        <v>42</v>
      </c>
      <c r="C495" s="4" t="s">
        <v>23</v>
      </c>
      <c r="D495" s="4" t="s">
        <v>43</v>
      </c>
      <c r="E495" s="4" t="s">
        <v>52</v>
      </c>
      <c r="F495" s="4" t="s">
        <v>54</v>
      </c>
      <c r="G495" s="4" t="s">
        <v>25</v>
      </c>
      <c r="H495" s="4" t="s">
        <v>25</v>
      </c>
      <c r="I495" s="5">
        <v>44562</v>
      </c>
      <c r="J495" s="6">
        <v>0</v>
      </c>
      <c r="K495" s="6">
        <v>0</v>
      </c>
      <c r="L495" s="6">
        <v>1.927</v>
      </c>
      <c r="M495" s="6">
        <v>0.77080000000000004</v>
      </c>
      <c r="N495" s="6">
        <v>1.927</v>
      </c>
      <c r="O495" s="6">
        <v>0.77080000000000004</v>
      </c>
      <c r="P495" s="6">
        <v>0</v>
      </c>
      <c r="Q495" s="4" t="s">
        <v>26</v>
      </c>
      <c r="R495" s="4">
        <v>0</v>
      </c>
      <c r="S495" s="6">
        <v>0</v>
      </c>
      <c r="T495" s="6">
        <v>32</v>
      </c>
      <c r="U495" s="6">
        <v>56</v>
      </c>
      <c r="V495" s="6">
        <f>IF(ISERROR(VLOOKUP($S$495,'TAR FIN'!$A$1:$O$86,15,0)),0,VLOOKUP($S$495,'TAR FIN'!$A$1:$O$86,15,0))</f>
        <v>0</v>
      </c>
      <c r="W495" s="6">
        <f>IF(ISERROR(VLOOKUP($T$495,'TAR FIN'!$A$1:$O$86,15,0)),0,VLOOKUP($T$495,'TAR FIN'!$A$1:$O$86,15,0))</f>
        <v>287.75</v>
      </c>
      <c r="X495" s="6">
        <f>IF(ISERROR(VLOOKUP($U$495,'TAR FIN'!$A$1:$O$86,15,0)),0,VLOOKUP($U$495,'TAR FIN'!$A$1:$O$86,15,0))</f>
        <v>276.77999999999997</v>
      </c>
      <c r="Y495" s="6"/>
      <c r="Z495" s="6">
        <f ca="1">('TUSD BE'!$AM$33+'TUSD BF'!$AM$33+'TUSD CVA'!$AM$33)*(1-CUSTOS!$M$38)</f>
        <v>295.07903341788727</v>
      </c>
      <c r="AA495" s="6">
        <f>('TE BE'!$AB$25+'TE BF'!$AB$25+'TE CVA'!$AB$25)*(1-CUSTOS!$M$38)</f>
        <v>233.96250973178988</v>
      </c>
      <c r="AB495" s="6">
        <f>$K$495*$V$495</f>
        <v>0</v>
      </c>
      <c r="AC495" s="6">
        <f>$M$495*$W$495</f>
        <v>221.79770000000002</v>
      </c>
      <c r="AD495" s="6">
        <f>$O$495*$X$495</f>
        <v>213.34202399999998</v>
      </c>
      <c r="AE495" s="6">
        <f>$K$495*$Y$495</f>
        <v>0</v>
      </c>
      <c r="AF495" s="6">
        <f ca="1">$M$495*$Z$495</f>
        <v>227.44691895850752</v>
      </c>
      <c r="AG495" s="6">
        <f>$O$495*$AA$495</f>
        <v>180.33830250126366</v>
      </c>
    </row>
    <row r="496" spans="1:33" ht="11.25" customHeight="1" x14ac:dyDescent="0.25">
      <c r="A496" s="4" t="s">
        <v>21</v>
      </c>
      <c r="B496" s="4" t="s">
        <v>42</v>
      </c>
      <c r="C496" s="4" t="s">
        <v>23</v>
      </c>
      <c r="D496" s="4" t="s">
        <v>43</v>
      </c>
      <c r="E496" s="4" t="s">
        <v>52</v>
      </c>
      <c r="F496" s="4" t="s">
        <v>54</v>
      </c>
      <c r="G496" s="4" t="s">
        <v>25</v>
      </c>
      <c r="H496" s="4" t="s">
        <v>25</v>
      </c>
      <c r="I496" s="5">
        <v>44682</v>
      </c>
      <c r="J496" s="6">
        <v>0</v>
      </c>
      <c r="K496" s="6">
        <v>0</v>
      </c>
      <c r="L496" s="6">
        <v>4.1000000000000002E-2</v>
      </c>
      <c r="M496" s="6">
        <v>1.6400000000000001E-2</v>
      </c>
      <c r="N496" s="6">
        <v>4.1000000000000002E-2</v>
      </c>
      <c r="O496" s="6">
        <v>1.6400000000000001E-2</v>
      </c>
      <c r="P496" s="6">
        <v>0</v>
      </c>
      <c r="Q496" s="4" t="s">
        <v>26</v>
      </c>
      <c r="R496" s="4">
        <v>0</v>
      </c>
      <c r="S496" s="6">
        <v>0</v>
      </c>
      <c r="T496" s="6">
        <v>32</v>
      </c>
      <c r="U496" s="6">
        <v>56</v>
      </c>
      <c r="V496" s="6">
        <f>IF(ISERROR(VLOOKUP($S$496,'TAR FIN'!$A$1:$O$86,15,0)),0,VLOOKUP($S$496,'TAR FIN'!$A$1:$O$86,15,0))</f>
        <v>0</v>
      </c>
      <c r="W496" s="6">
        <f>IF(ISERROR(VLOOKUP($T$496,'TAR FIN'!$A$1:$O$86,15,0)),0,VLOOKUP($T$496,'TAR FIN'!$A$1:$O$86,15,0))</f>
        <v>287.75</v>
      </c>
      <c r="X496" s="6">
        <f>IF(ISERROR(VLOOKUP($U$496,'TAR FIN'!$A$1:$O$86,15,0)),0,VLOOKUP($U$496,'TAR FIN'!$A$1:$O$86,15,0))</f>
        <v>276.77999999999997</v>
      </c>
      <c r="Y496" s="6"/>
      <c r="Z496" s="6">
        <f ca="1">('TUSD BE'!$AM$33+'TUSD BF'!$AM$33+'TUSD CVA'!$AM$33)*(1-CUSTOS!$M$38)</f>
        <v>295.07903341788727</v>
      </c>
      <c r="AA496" s="6">
        <f>('TE BE'!$AB$25+'TE BF'!$AB$25+'TE CVA'!$AB$25)*(1-CUSTOS!$M$38)</f>
        <v>233.96250973178988</v>
      </c>
      <c r="AB496" s="6">
        <f>$K$496*$V$496</f>
        <v>0</v>
      </c>
      <c r="AC496" s="6">
        <f>$M$496*$W$496</f>
        <v>4.7191000000000001</v>
      </c>
      <c r="AD496" s="6">
        <f>$O$496*$X$496</f>
        <v>4.5391919999999999</v>
      </c>
      <c r="AE496" s="6">
        <f>$K$496*$Y$496</f>
        <v>0</v>
      </c>
      <c r="AF496" s="6">
        <f ca="1">$M$496*$Z$496</f>
        <v>4.8392961480533518</v>
      </c>
      <c r="AG496" s="6">
        <f>$O$496*$AA$496</f>
        <v>3.8369851596013542</v>
      </c>
    </row>
    <row r="497" spans="1:33" ht="11.25" customHeight="1" x14ac:dyDescent="0.25">
      <c r="A497" s="4" t="s">
        <v>55</v>
      </c>
      <c r="B497" s="4" t="s">
        <v>42</v>
      </c>
      <c r="C497" s="4" t="s">
        <v>23</v>
      </c>
      <c r="D497" s="4" t="s">
        <v>43</v>
      </c>
      <c r="E497" s="4" t="s">
        <v>52</v>
      </c>
      <c r="F497" s="4" t="s">
        <v>54</v>
      </c>
      <c r="G497" s="4" t="s">
        <v>25</v>
      </c>
      <c r="H497" s="4" t="s">
        <v>25</v>
      </c>
      <c r="I497" s="5">
        <v>44713</v>
      </c>
      <c r="J497" s="6">
        <v>0</v>
      </c>
      <c r="K497" s="6">
        <v>0</v>
      </c>
      <c r="L497" s="6">
        <v>4.1000000000000002E-2</v>
      </c>
      <c r="M497" s="6">
        <v>1.6400000000000001E-2</v>
      </c>
      <c r="N497" s="6">
        <v>4.1000000000000002E-2</v>
      </c>
      <c r="O497" s="6">
        <v>1.6400000000000001E-2</v>
      </c>
      <c r="P497" s="6">
        <v>0</v>
      </c>
      <c r="Q497" s="4" t="s">
        <v>26</v>
      </c>
      <c r="R497" s="4">
        <v>0</v>
      </c>
      <c r="S497" s="6">
        <v>0</v>
      </c>
      <c r="T497" s="6">
        <v>32</v>
      </c>
      <c r="U497" s="6">
        <v>56</v>
      </c>
      <c r="V497" s="6">
        <f>IF(ISERROR(VLOOKUP($S$497,'TAR FIN'!$A$1:$O$86,15,0)),0,VLOOKUP($S$497,'TAR FIN'!$A$1:$O$86,15,0))</f>
        <v>0</v>
      </c>
      <c r="W497" s="6">
        <f>IF(ISERROR(VLOOKUP($T$497,'TAR FIN'!$A$1:$O$86,15,0)),0,VLOOKUP($T$497,'TAR FIN'!$A$1:$O$86,15,0))</f>
        <v>287.75</v>
      </c>
      <c r="X497" s="6">
        <f>IF(ISERROR(VLOOKUP($U$497,'TAR FIN'!$A$1:$O$86,15,0)),0,VLOOKUP($U$497,'TAR FIN'!$A$1:$O$86,15,0))</f>
        <v>276.77999999999997</v>
      </c>
      <c r="Y497" s="6"/>
      <c r="Z497" s="6">
        <f ca="1">('TUSD BE'!$AM$33+'TUSD BF'!$AM$33+'TUSD CVA'!$AM$33)*(1-CUSTOS!$M$38)</f>
        <v>295.07903341788727</v>
      </c>
      <c r="AA497" s="6">
        <f>('TE BE'!$AB$25+'TE BF'!$AB$25+'TE CVA'!$AB$25)*(1-CUSTOS!$M$38)</f>
        <v>233.96250973178988</v>
      </c>
      <c r="AB497" s="6">
        <f>$K$497*$V$497</f>
        <v>0</v>
      </c>
      <c r="AC497" s="6">
        <f>$M$497*$W$497</f>
        <v>4.7191000000000001</v>
      </c>
      <c r="AD497" s="6">
        <f>$O$497*$X$497</f>
        <v>4.5391919999999999</v>
      </c>
      <c r="AE497" s="6">
        <f>$K$497*$Y$497</f>
        <v>0</v>
      </c>
      <c r="AF497" s="6">
        <f ca="1">$M$497*$Z$497</f>
        <v>4.8392961480533518</v>
      </c>
      <c r="AG497" s="6">
        <f>$O$497*$AA$497</f>
        <v>3.8369851596013542</v>
      </c>
    </row>
    <row r="498" spans="1:33" ht="11.25" customHeight="1" x14ac:dyDescent="0.25">
      <c r="A498" s="4" t="s">
        <v>21</v>
      </c>
      <c r="B498" s="4" t="s">
        <v>42</v>
      </c>
      <c r="C498" s="4" t="s">
        <v>23</v>
      </c>
      <c r="D498" s="4" t="s">
        <v>43</v>
      </c>
      <c r="E498" s="4" t="s">
        <v>25</v>
      </c>
      <c r="F498" s="4" t="s">
        <v>25</v>
      </c>
      <c r="G498" s="4" t="s">
        <v>25</v>
      </c>
      <c r="H498" s="4" t="s">
        <v>25</v>
      </c>
      <c r="I498" s="5">
        <v>44378</v>
      </c>
      <c r="J498" s="6">
        <v>0</v>
      </c>
      <c r="K498" s="6">
        <v>0</v>
      </c>
      <c r="L498" s="6">
        <v>131.71799999999999</v>
      </c>
      <c r="M498" s="6">
        <v>131.71799999999999</v>
      </c>
      <c r="N498" s="6">
        <v>131.71799999999999</v>
      </c>
      <c r="O498" s="6">
        <v>131.71799999999999</v>
      </c>
      <c r="P498" s="6">
        <v>208</v>
      </c>
      <c r="Q498" s="4" t="s">
        <v>26</v>
      </c>
      <c r="R498" s="4">
        <v>0</v>
      </c>
      <c r="S498" s="6">
        <v>0</v>
      </c>
      <c r="T498" s="6">
        <v>32</v>
      </c>
      <c r="U498" s="6">
        <v>56</v>
      </c>
      <c r="V498" s="6">
        <f>IF(ISERROR(VLOOKUP($S$498,'TAR FIN'!$A$1:$O$86,15,0)),0,VLOOKUP($S$498,'TAR FIN'!$A$1:$O$86,15,0))</f>
        <v>0</v>
      </c>
      <c r="W498" s="6">
        <f>IF(ISERROR(VLOOKUP($T$498,'TAR FIN'!$A$1:$O$86,15,0)),0,VLOOKUP($T$498,'TAR FIN'!$A$1:$O$86,15,0))</f>
        <v>287.75</v>
      </c>
      <c r="X498" s="6">
        <f>IF(ISERROR(VLOOKUP($U$498,'TAR FIN'!$A$1:$O$86,15,0)),0,VLOOKUP($U$498,'TAR FIN'!$A$1:$O$86,15,0))</f>
        <v>276.77999999999997</v>
      </c>
      <c r="Y498" s="6"/>
      <c r="Z498" s="6">
        <f ca="1">('TUSD BE'!$AM$33+'TUSD BF'!$AM$33+'TUSD CVA'!$AM$33)*(1-CUSTOS!$M$38)</f>
        <v>295.07903341788727</v>
      </c>
      <c r="AA498" s="6">
        <f>('TE BE'!$AB$25+'TE BF'!$AB$25+'TE CVA'!$AB$25)*(1-CUSTOS!$M$38)</f>
        <v>233.96250973178988</v>
      </c>
      <c r="AB498" s="6">
        <f>$K$498*$V$498</f>
        <v>0</v>
      </c>
      <c r="AC498" s="6">
        <f>$M$498*$W$498</f>
        <v>37901.854499999994</v>
      </c>
      <c r="AD498" s="6">
        <f>$O$498*$X$498</f>
        <v>36456.908039999995</v>
      </c>
      <c r="AE498" s="6">
        <f>$K$498*$Y$498</f>
        <v>0</v>
      </c>
      <c r="AF498" s="6">
        <f ca="1">$M$498*$Z$498</f>
        <v>38867.220123737272</v>
      </c>
      <c r="AG498" s="6">
        <f>$O$498*$AA$498</f>
        <v>30817.073856851897</v>
      </c>
    </row>
    <row r="499" spans="1:33" ht="11.25" customHeight="1" x14ac:dyDescent="0.25">
      <c r="A499" s="4" t="s">
        <v>21</v>
      </c>
      <c r="B499" s="4" t="s">
        <v>42</v>
      </c>
      <c r="C499" s="4" t="s">
        <v>23</v>
      </c>
      <c r="D499" s="4" t="s">
        <v>43</v>
      </c>
      <c r="E499" s="4" t="s">
        <v>25</v>
      </c>
      <c r="F499" s="4" t="s">
        <v>25</v>
      </c>
      <c r="G499" s="4" t="s">
        <v>25</v>
      </c>
      <c r="H499" s="4" t="s">
        <v>25</v>
      </c>
      <c r="I499" s="5">
        <v>44409</v>
      </c>
      <c r="J499" s="6">
        <v>0</v>
      </c>
      <c r="K499" s="6">
        <v>0</v>
      </c>
      <c r="L499" s="6">
        <v>123.667</v>
      </c>
      <c r="M499" s="6">
        <v>123.667</v>
      </c>
      <c r="N499" s="6">
        <v>123.667</v>
      </c>
      <c r="O499" s="6">
        <v>123.667</v>
      </c>
      <c r="P499" s="6">
        <v>207</v>
      </c>
      <c r="Q499" s="4" t="s">
        <v>26</v>
      </c>
      <c r="R499" s="4">
        <v>0</v>
      </c>
      <c r="S499" s="6">
        <v>0</v>
      </c>
      <c r="T499" s="6">
        <v>32</v>
      </c>
      <c r="U499" s="6">
        <v>56</v>
      </c>
      <c r="V499" s="6">
        <f>IF(ISERROR(VLOOKUP($S$499,'TAR FIN'!$A$1:$O$86,15,0)),0,VLOOKUP($S$499,'TAR FIN'!$A$1:$O$86,15,0))</f>
        <v>0</v>
      </c>
      <c r="W499" s="6">
        <f>IF(ISERROR(VLOOKUP($T$499,'TAR FIN'!$A$1:$O$86,15,0)),0,VLOOKUP($T$499,'TAR FIN'!$A$1:$O$86,15,0))</f>
        <v>287.75</v>
      </c>
      <c r="X499" s="6">
        <f>IF(ISERROR(VLOOKUP($U$499,'TAR FIN'!$A$1:$O$86,15,0)),0,VLOOKUP($U$499,'TAR FIN'!$A$1:$O$86,15,0))</f>
        <v>276.77999999999997</v>
      </c>
      <c r="Y499" s="6"/>
      <c r="Z499" s="6">
        <f ca="1">('TUSD BE'!$AM$33+'TUSD BF'!$AM$33+'TUSD CVA'!$AM$33)*(1-CUSTOS!$M$38)</f>
        <v>295.07903341788727</v>
      </c>
      <c r="AA499" s="6">
        <f>('TE BE'!$AB$25+'TE BF'!$AB$25+'TE CVA'!$AB$25)*(1-CUSTOS!$M$38)</f>
        <v>233.96250973178988</v>
      </c>
      <c r="AB499" s="6">
        <f>$K$499*$V$499</f>
        <v>0</v>
      </c>
      <c r="AC499" s="6">
        <f>$M$499*$W$499</f>
        <v>35585.179250000001</v>
      </c>
      <c r="AD499" s="6">
        <f>$O$499*$X$499</f>
        <v>34228.552259999997</v>
      </c>
      <c r="AE499" s="6">
        <f>$K$499*$Y$499</f>
        <v>0</v>
      </c>
      <c r="AF499" s="6">
        <f ca="1">$M$499*$Z$499</f>
        <v>36491.538825689866</v>
      </c>
      <c r="AG499" s="6">
        <f>$O$499*$AA$499</f>
        <v>28933.441691001259</v>
      </c>
    </row>
    <row r="500" spans="1:33" ht="11.25" customHeight="1" x14ac:dyDescent="0.25">
      <c r="A500" s="4" t="s">
        <v>21</v>
      </c>
      <c r="B500" s="4" t="s">
        <v>42</v>
      </c>
      <c r="C500" s="4" t="s">
        <v>23</v>
      </c>
      <c r="D500" s="4" t="s">
        <v>43</v>
      </c>
      <c r="E500" s="4" t="s">
        <v>25</v>
      </c>
      <c r="F500" s="4" t="s">
        <v>25</v>
      </c>
      <c r="G500" s="4" t="s">
        <v>25</v>
      </c>
      <c r="H500" s="4" t="s">
        <v>25</v>
      </c>
      <c r="I500" s="5">
        <v>44440</v>
      </c>
      <c r="J500" s="6">
        <v>0</v>
      </c>
      <c r="K500" s="6">
        <v>0</v>
      </c>
      <c r="L500" s="6">
        <v>134.45599999999999</v>
      </c>
      <c r="M500" s="6">
        <v>134.45599999999999</v>
      </c>
      <c r="N500" s="6">
        <v>134.45599999999999</v>
      </c>
      <c r="O500" s="6">
        <v>134.45599999999999</v>
      </c>
      <c r="P500" s="6">
        <v>207</v>
      </c>
      <c r="Q500" s="4" t="s">
        <v>26</v>
      </c>
      <c r="R500" s="4">
        <v>0</v>
      </c>
      <c r="S500" s="6">
        <v>0</v>
      </c>
      <c r="T500" s="6">
        <v>32</v>
      </c>
      <c r="U500" s="6">
        <v>56</v>
      </c>
      <c r="V500" s="6">
        <f>IF(ISERROR(VLOOKUP($S$500,'TAR FIN'!$A$1:$O$86,15,0)),0,VLOOKUP($S$500,'TAR FIN'!$A$1:$O$86,15,0))</f>
        <v>0</v>
      </c>
      <c r="W500" s="6">
        <f>IF(ISERROR(VLOOKUP($T$500,'TAR FIN'!$A$1:$O$86,15,0)),0,VLOOKUP($T$500,'TAR FIN'!$A$1:$O$86,15,0))</f>
        <v>287.75</v>
      </c>
      <c r="X500" s="6">
        <f>IF(ISERROR(VLOOKUP($U$500,'TAR FIN'!$A$1:$O$86,15,0)),0,VLOOKUP($U$500,'TAR FIN'!$A$1:$O$86,15,0))</f>
        <v>276.77999999999997</v>
      </c>
      <c r="Y500" s="6"/>
      <c r="Z500" s="6">
        <f ca="1">('TUSD BE'!$AM$33+'TUSD BF'!$AM$33+'TUSD CVA'!$AM$33)*(1-CUSTOS!$M$38)</f>
        <v>295.07903341788727</v>
      </c>
      <c r="AA500" s="6">
        <f>('TE BE'!$AB$25+'TE BF'!$AB$25+'TE CVA'!$AB$25)*(1-CUSTOS!$M$38)</f>
        <v>233.96250973178988</v>
      </c>
      <c r="AB500" s="6">
        <f>$K$500*$V$500</f>
        <v>0</v>
      </c>
      <c r="AC500" s="6">
        <f>$M$500*$W$500</f>
        <v>38689.714</v>
      </c>
      <c r="AD500" s="6">
        <f>$O$500*$X$500</f>
        <v>37214.73167999999</v>
      </c>
      <c r="AE500" s="6">
        <f>$K$500*$Y$500</f>
        <v>0</v>
      </c>
      <c r="AF500" s="6">
        <f ca="1">$M$500*$Z$500</f>
        <v>39675.146517235451</v>
      </c>
      <c r="AG500" s="6">
        <f>$O$500*$AA$500</f>
        <v>31457.663208497539</v>
      </c>
    </row>
    <row r="501" spans="1:33" ht="11.25" customHeight="1" x14ac:dyDescent="0.25">
      <c r="A501" s="4" t="s">
        <v>21</v>
      </c>
      <c r="B501" s="4" t="s">
        <v>42</v>
      </c>
      <c r="C501" s="4" t="s">
        <v>23</v>
      </c>
      <c r="D501" s="4" t="s">
        <v>43</v>
      </c>
      <c r="E501" s="4" t="s">
        <v>25</v>
      </c>
      <c r="F501" s="4" t="s">
        <v>25</v>
      </c>
      <c r="G501" s="4" t="s">
        <v>25</v>
      </c>
      <c r="H501" s="4" t="s">
        <v>25</v>
      </c>
      <c r="I501" s="5">
        <v>44470</v>
      </c>
      <c r="J501" s="6">
        <v>0</v>
      </c>
      <c r="K501" s="6">
        <v>0</v>
      </c>
      <c r="L501" s="6">
        <v>126.17400000000001</v>
      </c>
      <c r="M501" s="6">
        <v>126.17400000000001</v>
      </c>
      <c r="N501" s="6">
        <v>126.17400000000001</v>
      </c>
      <c r="O501" s="6">
        <v>126.17400000000001</v>
      </c>
      <c r="P501" s="6">
        <v>207</v>
      </c>
      <c r="Q501" s="4" t="s">
        <v>26</v>
      </c>
      <c r="R501" s="4">
        <v>0</v>
      </c>
      <c r="S501" s="6">
        <v>0</v>
      </c>
      <c r="T501" s="6">
        <v>32</v>
      </c>
      <c r="U501" s="6">
        <v>56</v>
      </c>
      <c r="V501" s="6">
        <f>IF(ISERROR(VLOOKUP($S$501,'TAR FIN'!$A$1:$O$86,15,0)),0,VLOOKUP($S$501,'TAR FIN'!$A$1:$O$86,15,0))</f>
        <v>0</v>
      </c>
      <c r="W501" s="6">
        <f>IF(ISERROR(VLOOKUP($T$501,'TAR FIN'!$A$1:$O$86,15,0)),0,VLOOKUP($T$501,'TAR FIN'!$A$1:$O$86,15,0))</f>
        <v>287.75</v>
      </c>
      <c r="X501" s="6">
        <f>IF(ISERROR(VLOOKUP($U$501,'TAR FIN'!$A$1:$O$86,15,0)),0,VLOOKUP($U$501,'TAR FIN'!$A$1:$O$86,15,0))</f>
        <v>276.77999999999997</v>
      </c>
      <c r="Y501" s="6"/>
      <c r="Z501" s="6">
        <f ca="1">('TUSD BE'!$AM$33+'TUSD BF'!$AM$33+'TUSD CVA'!$AM$33)*(1-CUSTOS!$M$38)</f>
        <v>295.07903341788727</v>
      </c>
      <c r="AA501" s="6">
        <f>('TE BE'!$AB$25+'TE BF'!$AB$25+'TE CVA'!$AB$25)*(1-CUSTOS!$M$38)</f>
        <v>233.96250973178988</v>
      </c>
      <c r="AB501" s="6">
        <f>$K$501*$V$501</f>
        <v>0</v>
      </c>
      <c r="AC501" s="6">
        <f>$M$501*$W$501</f>
        <v>36306.568500000001</v>
      </c>
      <c r="AD501" s="6">
        <f>$O$501*$X$501</f>
        <v>34922.439719999995</v>
      </c>
      <c r="AE501" s="6">
        <f>$K$501*$Y$501</f>
        <v>0</v>
      </c>
      <c r="AF501" s="6">
        <f ca="1">$M$501*$Z$501</f>
        <v>37231.301962468511</v>
      </c>
      <c r="AG501" s="6">
        <f>$O$501*$AA$501</f>
        <v>29519.985702898859</v>
      </c>
    </row>
    <row r="502" spans="1:33" ht="11.25" customHeight="1" x14ac:dyDescent="0.25">
      <c r="A502" s="4" t="s">
        <v>27</v>
      </c>
      <c r="B502" s="4" t="s">
        <v>42</v>
      </c>
      <c r="C502" s="4" t="s">
        <v>23</v>
      </c>
      <c r="D502" s="4" t="s">
        <v>43</v>
      </c>
      <c r="E502" s="4" t="s">
        <v>25</v>
      </c>
      <c r="F502" s="4" t="s">
        <v>25</v>
      </c>
      <c r="G502" s="4" t="s">
        <v>25</v>
      </c>
      <c r="H502" s="4" t="s">
        <v>25</v>
      </c>
      <c r="I502" s="5">
        <v>44470</v>
      </c>
      <c r="J502" s="6">
        <v>0</v>
      </c>
      <c r="K502" s="6">
        <v>0</v>
      </c>
      <c r="L502" s="6">
        <v>0.05</v>
      </c>
      <c r="M502" s="6">
        <v>0.05</v>
      </c>
      <c r="N502" s="6">
        <v>0.05</v>
      </c>
      <c r="O502" s="6">
        <v>0.05</v>
      </c>
      <c r="P502" s="6">
        <v>1</v>
      </c>
      <c r="Q502" s="4" t="s">
        <v>26</v>
      </c>
      <c r="R502" s="4">
        <v>0</v>
      </c>
      <c r="S502" s="6">
        <v>0</v>
      </c>
      <c r="T502" s="6">
        <v>32</v>
      </c>
      <c r="U502" s="6">
        <v>56</v>
      </c>
      <c r="V502" s="6">
        <f>IF(ISERROR(VLOOKUP($S$502,'TAR FIN'!$A$1:$O$86,15,0)),0,VLOOKUP($S$502,'TAR FIN'!$A$1:$O$86,15,0))</f>
        <v>0</v>
      </c>
      <c r="W502" s="6">
        <f>IF(ISERROR(VLOOKUP($T$502,'TAR FIN'!$A$1:$O$86,15,0)),0,VLOOKUP($T$502,'TAR FIN'!$A$1:$O$86,15,0))</f>
        <v>287.75</v>
      </c>
      <c r="X502" s="6">
        <f>IF(ISERROR(VLOOKUP($U$502,'TAR FIN'!$A$1:$O$86,15,0)),0,VLOOKUP($U$502,'TAR FIN'!$A$1:$O$86,15,0))</f>
        <v>276.77999999999997</v>
      </c>
      <c r="Y502" s="6"/>
      <c r="Z502" s="6">
        <f ca="1">('TUSD BE'!$AM$33+'TUSD BF'!$AM$33+'TUSD CVA'!$AM$33)*(1-CUSTOS!$M$38)</f>
        <v>295.07903341788727</v>
      </c>
      <c r="AA502" s="6">
        <f>('TE BE'!$AB$25+'TE BF'!$AB$25+'TE CVA'!$AB$25)*(1-CUSTOS!$M$38)</f>
        <v>233.96250973178988</v>
      </c>
      <c r="AB502" s="6">
        <f>$K$502*$V$502</f>
        <v>0</v>
      </c>
      <c r="AC502" s="6">
        <f>$M$502*$W$502</f>
        <v>14.387500000000001</v>
      </c>
      <c r="AD502" s="6">
        <f>$O$502*$X$502</f>
        <v>13.838999999999999</v>
      </c>
      <c r="AE502" s="6">
        <f>$K$502*$Y$502</f>
        <v>0</v>
      </c>
      <c r="AF502" s="6">
        <f ca="1">$M$502*$Z$502</f>
        <v>14.753951670894365</v>
      </c>
      <c r="AG502" s="6">
        <f>$O$502*$AA$502</f>
        <v>11.698125486589495</v>
      </c>
    </row>
    <row r="503" spans="1:33" ht="11.25" customHeight="1" x14ac:dyDescent="0.25">
      <c r="A503" s="4" t="s">
        <v>21</v>
      </c>
      <c r="B503" s="4" t="s">
        <v>42</v>
      </c>
      <c r="C503" s="4" t="s">
        <v>23</v>
      </c>
      <c r="D503" s="4" t="s">
        <v>43</v>
      </c>
      <c r="E503" s="4" t="s">
        <v>25</v>
      </c>
      <c r="F503" s="4" t="s">
        <v>25</v>
      </c>
      <c r="G503" s="4" t="s">
        <v>25</v>
      </c>
      <c r="H503" s="4" t="s">
        <v>25</v>
      </c>
      <c r="I503" s="5">
        <v>44501</v>
      </c>
      <c r="J503" s="6">
        <v>0</v>
      </c>
      <c r="K503" s="6">
        <v>0</v>
      </c>
      <c r="L503" s="6">
        <v>154.369</v>
      </c>
      <c r="M503" s="6">
        <v>154.369</v>
      </c>
      <c r="N503" s="6">
        <v>154.369</v>
      </c>
      <c r="O503" s="6">
        <v>154.369</v>
      </c>
      <c r="P503" s="6">
        <v>205</v>
      </c>
      <c r="Q503" s="4" t="s">
        <v>26</v>
      </c>
      <c r="R503" s="4">
        <v>0</v>
      </c>
      <c r="S503" s="6">
        <v>0</v>
      </c>
      <c r="T503" s="6">
        <v>32</v>
      </c>
      <c r="U503" s="6">
        <v>56</v>
      </c>
      <c r="V503" s="6">
        <f>IF(ISERROR(VLOOKUP($S$503,'TAR FIN'!$A$1:$O$86,15,0)),0,VLOOKUP($S$503,'TAR FIN'!$A$1:$O$86,15,0))</f>
        <v>0</v>
      </c>
      <c r="W503" s="6">
        <f>IF(ISERROR(VLOOKUP($T$503,'TAR FIN'!$A$1:$O$86,15,0)),0,VLOOKUP($T$503,'TAR FIN'!$A$1:$O$86,15,0))</f>
        <v>287.75</v>
      </c>
      <c r="X503" s="6">
        <f>IF(ISERROR(VLOOKUP($U$503,'TAR FIN'!$A$1:$O$86,15,0)),0,VLOOKUP($U$503,'TAR FIN'!$A$1:$O$86,15,0))</f>
        <v>276.77999999999997</v>
      </c>
      <c r="Y503" s="6"/>
      <c r="Z503" s="6">
        <f ca="1">('TUSD BE'!$AM$33+'TUSD BF'!$AM$33+'TUSD CVA'!$AM$33)*(1-CUSTOS!$M$38)</f>
        <v>295.07903341788727</v>
      </c>
      <c r="AA503" s="6">
        <f>('TE BE'!$AB$25+'TE BF'!$AB$25+'TE CVA'!$AB$25)*(1-CUSTOS!$M$38)</f>
        <v>233.96250973178988</v>
      </c>
      <c r="AB503" s="6">
        <f>$K$503*$V$503</f>
        <v>0</v>
      </c>
      <c r="AC503" s="6">
        <f>$M$503*$W$503</f>
        <v>44419.679750000003</v>
      </c>
      <c r="AD503" s="6">
        <f>$O$503*$X$503</f>
        <v>42726.251819999998</v>
      </c>
      <c r="AE503" s="6">
        <f>$K$503*$Y$503</f>
        <v>0</v>
      </c>
      <c r="AF503" s="6">
        <f ca="1">$M$503*$Z$503</f>
        <v>45551.055309685842</v>
      </c>
      <c r="AG503" s="6">
        <f>$O$503*$AA$503</f>
        <v>36116.558664786673</v>
      </c>
    </row>
    <row r="504" spans="1:33" ht="11.25" customHeight="1" x14ac:dyDescent="0.25">
      <c r="A504" s="4" t="s">
        <v>27</v>
      </c>
      <c r="B504" s="4" t="s">
        <v>42</v>
      </c>
      <c r="C504" s="4" t="s">
        <v>23</v>
      </c>
      <c r="D504" s="4" t="s">
        <v>43</v>
      </c>
      <c r="E504" s="4" t="s">
        <v>25</v>
      </c>
      <c r="F504" s="4" t="s">
        <v>25</v>
      </c>
      <c r="G504" s="4" t="s">
        <v>25</v>
      </c>
      <c r="H504" s="4" t="s">
        <v>25</v>
      </c>
      <c r="I504" s="5">
        <v>44501</v>
      </c>
      <c r="J504" s="6">
        <v>0</v>
      </c>
      <c r="K504" s="6">
        <v>0</v>
      </c>
      <c r="L504" s="6">
        <v>0.21</v>
      </c>
      <c r="M504" s="6">
        <v>0.21</v>
      </c>
      <c r="N504" s="6">
        <v>0.21</v>
      </c>
      <c r="O504" s="6">
        <v>0.21</v>
      </c>
      <c r="P504" s="6">
        <v>2</v>
      </c>
      <c r="Q504" s="4" t="s">
        <v>26</v>
      </c>
      <c r="R504" s="4">
        <v>0</v>
      </c>
      <c r="S504" s="6">
        <v>0</v>
      </c>
      <c r="T504" s="6">
        <v>32</v>
      </c>
      <c r="U504" s="6">
        <v>56</v>
      </c>
      <c r="V504" s="6">
        <f>IF(ISERROR(VLOOKUP($S$504,'TAR FIN'!$A$1:$O$86,15,0)),0,VLOOKUP($S$504,'TAR FIN'!$A$1:$O$86,15,0))</f>
        <v>0</v>
      </c>
      <c r="W504" s="6">
        <f>IF(ISERROR(VLOOKUP($T$504,'TAR FIN'!$A$1:$O$86,15,0)),0,VLOOKUP($T$504,'TAR FIN'!$A$1:$O$86,15,0))</f>
        <v>287.75</v>
      </c>
      <c r="X504" s="6">
        <f>IF(ISERROR(VLOOKUP($U$504,'TAR FIN'!$A$1:$O$86,15,0)),0,VLOOKUP($U$504,'TAR FIN'!$A$1:$O$86,15,0))</f>
        <v>276.77999999999997</v>
      </c>
      <c r="Y504" s="6"/>
      <c r="Z504" s="6">
        <f ca="1">('TUSD BE'!$AM$33+'TUSD BF'!$AM$33+'TUSD CVA'!$AM$33)*(1-CUSTOS!$M$38)</f>
        <v>295.07903341788727</v>
      </c>
      <c r="AA504" s="6">
        <f>('TE BE'!$AB$25+'TE BF'!$AB$25+'TE CVA'!$AB$25)*(1-CUSTOS!$M$38)</f>
        <v>233.96250973178988</v>
      </c>
      <c r="AB504" s="6">
        <f>$K$504*$V$504</f>
        <v>0</v>
      </c>
      <c r="AC504" s="6">
        <f>$M$504*$W$504</f>
        <v>60.427499999999995</v>
      </c>
      <c r="AD504" s="6">
        <f>$O$504*$X$504</f>
        <v>58.123799999999989</v>
      </c>
      <c r="AE504" s="6">
        <f>$K$504*$Y$504</f>
        <v>0</v>
      </c>
      <c r="AF504" s="6">
        <f ca="1">$M$504*$Z$504</f>
        <v>61.966597017756328</v>
      </c>
      <c r="AG504" s="6">
        <f>$O$504*$AA$504</f>
        <v>49.132127043675872</v>
      </c>
    </row>
    <row r="505" spans="1:33" ht="11.25" customHeight="1" x14ac:dyDescent="0.25">
      <c r="A505" s="4" t="s">
        <v>21</v>
      </c>
      <c r="B505" s="4" t="s">
        <v>42</v>
      </c>
      <c r="C505" s="4" t="s">
        <v>23</v>
      </c>
      <c r="D505" s="4" t="s">
        <v>43</v>
      </c>
      <c r="E505" s="4" t="s">
        <v>25</v>
      </c>
      <c r="F505" s="4" t="s">
        <v>25</v>
      </c>
      <c r="G505" s="4" t="s">
        <v>25</v>
      </c>
      <c r="H505" s="4" t="s">
        <v>25</v>
      </c>
      <c r="I505" s="5">
        <v>44531</v>
      </c>
      <c r="J505" s="6">
        <v>0</v>
      </c>
      <c r="K505" s="6">
        <v>0</v>
      </c>
      <c r="L505" s="6">
        <v>143.977</v>
      </c>
      <c r="M505" s="6">
        <v>143.977</v>
      </c>
      <c r="N505" s="6">
        <v>143.977</v>
      </c>
      <c r="O505" s="6">
        <v>143.977</v>
      </c>
      <c r="P505" s="6">
        <v>203</v>
      </c>
      <c r="Q505" s="4" t="s">
        <v>26</v>
      </c>
      <c r="R505" s="4">
        <v>0</v>
      </c>
      <c r="S505" s="6">
        <v>0</v>
      </c>
      <c r="T505" s="6">
        <v>32</v>
      </c>
      <c r="U505" s="6">
        <v>56</v>
      </c>
      <c r="V505" s="6">
        <f>IF(ISERROR(VLOOKUP($S$505,'TAR FIN'!$A$1:$O$86,15,0)),0,VLOOKUP($S$505,'TAR FIN'!$A$1:$O$86,15,0))</f>
        <v>0</v>
      </c>
      <c r="W505" s="6">
        <f>IF(ISERROR(VLOOKUP($T$505,'TAR FIN'!$A$1:$O$86,15,0)),0,VLOOKUP($T$505,'TAR FIN'!$A$1:$O$86,15,0))</f>
        <v>287.75</v>
      </c>
      <c r="X505" s="6">
        <f>IF(ISERROR(VLOOKUP($U$505,'TAR FIN'!$A$1:$O$86,15,0)),0,VLOOKUP($U$505,'TAR FIN'!$A$1:$O$86,15,0))</f>
        <v>276.77999999999997</v>
      </c>
      <c r="Y505" s="6"/>
      <c r="Z505" s="6">
        <f ca="1">('TUSD BE'!$AM$33+'TUSD BF'!$AM$33+'TUSD CVA'!$AM$33)*(1-CUSTOS!$M$38)</f>
        <v>295.07903341788727</v>
      </c>
      <c r="AA505" s="6">
        <f>('TE BE'!$AB$25+'TE BF'!$AB$25+'TE CVA'!$AB$25)*(1-CUSTOS!$M$38)</f>
        <v>233.96250973178988</v>
      </c>
      <c r="AB505" s="6">
        <f>$K$505*$V$505</f>
        <v>0</v>
      </c>
      <c r="AC505" s="6">
        <f>$M$505*$W$505</f>
        <v>41429.38175</v>
      </c>
      <c r="AD505" s="6">
        <f>$O$505*$X$505</f>
        <v>39849.954059999996</v>
      </c>
      <c r="AE505" s="6">
        <f>$K$505*$Y$505</f>
        <v>0</v>
      </c>
      <c r="AF505" s="6">
        <f ca="1">$M$505*$Z$505</f>
        <v>42484.593994407158</v>
      </c>
      <c r="AG505" s="6">
        <f>$O$505*$AA$505</f>
        <v>33685.220263653915</v>
      </c>
    </row>
    <row r="506" spans="1:33" ht="11.25" customHeight="1" x14ac:dyDescent="0.25">
      <c r="A506" s="4" t="s">
        <v>41</v>
      </c>
      <c r="B506" s="4" t="s">
        <v>42</v>
      </c>
      <c r="C506" s="4" t="s">
        <v>23</v>
      </c>
      <c r="D506" s="4" t="s">
        <v>43</v>
      </c>
      <c r="E506" s="4" t="s">
        <v>25</v>
      </c>
      <c r="F506" s="4" t="s">
        <v>25</v>
      </c>
      <c r="G506" s="4" t="s">
        <v>25</v>
      </c>
      <c r="H506" s="4" t="s">
        <v>25</v>
      </c>
      <c r="I506" s="5">
        <v>44531</v>
      </c>
      <c r="J506" s="6">
        <v>0</v>
      </c>
      <c r="K506" s="6">
        <v>0</v>
      </c>
      <c r="L506" s="6">
        <v>-1.627</v>
      </c>
      <c r="M506" s="6">
        <v>-1.627</v>
      </c>
      <c r="N506" s="6">
        <v>-1.627</v>
      </c>
      <c r="O506" s="6">
        <v>-1.627</v>
      </c>
      <c r="P506" s="6">
        <v>0</v>
      </c>
      <c r="Q506" s="4" t="s">
        <v>26</v>
      </c>
      <c r="R506" s="4">
        <v>0</v>
      </c>
      <c r="S506" s="6">
        <v>0</v>
      </c>
      <c r="T506" s="6">
        <v>32</v>
      </c>
      <c r="U506" s="6">
        <v>56</v>
      </c>
      <c r="V506" s="6">
        <f>IF(ISERROR(VLOOKUP($S$506,'TAR FIN'!$A$1:$O$86,15,0)),0,VLOOKUP($S$506,'TAR FIN'!$A$1:$O$86,15,0))</f>
        <v>0</v>
      </c>
      <c r="W506" s="6">
        <f>IF(ISERROR(VLOOKUP($T$506,'TAR FIN'!$A$1:$O$86,15,0)),0,VLOOKUP($T$506,'TAR FIN'!$A$1:$O$86,15,0))</f>
        <v>287.75</v>
      </c>
      <c r="X506" s="6">
        <f>IF(ISERROR(VLOOKUP($U$506,'TAR FIN'!$A$1:$O$86,15,0)),0,VLOOKUP($U$506,'TAR FIN'!$A$1:$O$86,15,0))</f>
        <v>276.77999999999997</v>
      </c>
      <c r="Y506" s="6"/>
      <c r="Z506" s="6">
        <f ca="1">('TUSD BE'!$AM$33+'TUSD BF'!$AM$33+'TUSD CVA'!$AM$33)*(1-CUSTOS!$M$38)</f>
        <v>295.07903341788727</v>
      </c>
      <c r="AA506" s="6">
        <f>('TE BE'!$AB$25+'TE BF'!$AB$25+'TE CVA'!$AB$25)*(1-CUSTOS!$M$38)</f>
        <v>233.96250973178988</v>
      </c>
      <c r="AB506" s="6">
        <f>$K$506*$V$506</f>
        <v>0</v>
      </c>
      <c r="AC506" s="6">
        <f>$M$506*$W$506</f>
        <v>-468.16924999999998</v>
      </c>
      <c r="AD506" s="6">
        <f>$O$506*$X$506</f>
        <v>-450.32105999999993</v>
      </c>
      <c r="AE506" s="6">
        <f>$K$506*$Y$506</f>
        <v>0</v>
      </c>
      <c r="AF506" s="6">
        <f ca="1">$M$506*$Z$506</f>
        <v>-480.09358737090258</v>
      </c>
      <c r="AG506" s="6">
        <f>$O$506*$AA$506</f>
        <v>-380.65700333362213</v>
      </c>
    </row>
    <row r="507" spans="1:33" ht="11.25" customHeight="1" x14ac:dyDescent="0.25">
      <c r="A507" s="4" t="s">
        <v>27</v>
      </c>
      <c r="B507" s="4" t="s">
        <v>42</v>
      </c>
      <c r="C507" s="4" t="s">
        <v>23</v>
      </c>
      <c r="D507" s="4" t="s">
        <v>43</v>
      </c>
      <c r="E507" s="4" t="s">
        <v>25</v>
      </c>
      <c r="F507" s="4" t="s">
        <v>25</v>
      </c>
      <c r="G507" s="4" t="s">
        <v>25</v>
      </c>
      <c r="H507" s="4" t="s">
        <v>25</v>
      </c>
      <c r="I507" s="5">
        <v>44531</v>
      </c>
      <c r="J507" s="6">
        <v>0</v>
      </c>
      <c r="K507" s="6">
        <v>0</v>
      </c>
      <c r="L507" s="6">
        <v>0.41699999999999998</v>
      </c>
      <c r="M507" s="6">
        <v>0.41699999999999998</v>
      </c>
      <c r="N507" s="6">
        <v>0.41699999999999998</v>
      </c>
      <c r="O507" s="6">
        <v>0.41699999999999998</v>
      </c>
      <c r="P507" s="6">
        <v>4</v>
      </c>
      <c r="Q507" s="4" t="s">
        <v>26</v>
      </c>
      <c r="R507" s="4">
        <v>0</v>
      </c>
      <c r="S507" s="6">
        <v>0</v>
      </c>
      <c r="T507" s="6">
        <v>32</v>
      </c>
      <c r="U507" s="6">
        <v>56</v>
      </c>
      <c r="V507" s="6">
        <f>IF(ISERROR(VLOOKUP($S$507,'TAR FIN'!$A$1:$O$86,15,0)),0,VLOOKUP($S$507,'TAR FIN'!$A$1:$O$86,15,0))</f>
        <v>0</v>
      </c>
      <c r="W507" s="6">
        <f>IF(ISERROR(VLOOKUP($T$507,'TAR FIN'!$A$1:$O$86,15,0)),0,VLOOKUP($T$507,'TAR FIN'!$A$1:$O$86,15,0))</f>
        <v>287.75</v>
      </c>
      <c r="X507" s="6">
        <f>IF(ISERROR(VLOOKUP($U$507,'TAR FIN'!$A$1:$O$86,15,0)),0,VLOOKUP($U$507,'TAR FIN'!$A$1:$O$86,15,0))</f>
        <v>276.77999999999997</v>
      </c>
      <c r="Y507" s="6"/>
      <c r="Z507" s="6">
        <f ca="1">('TUSD BE'!$AM$33+'TUSD BF'!$AM$33+'TUSD CVA'!$AM$33)*(1-CUSTOS!$M$38)</f>
        <v>295.07903341788727</v>
      </c>
      <c r="AA507" s="6">
        <f>('TE BE'!$AB$25+'TE BF'!$AB$25+'TE CVA'!$AB$25)*(1-CUSTOS!$M$38)</f>
        <v>233.96250973178988</v>
      </c>
      <c r="AB507" s="6">
        <f>$K$507*$V$507</f>
        <v>0</v>
      </c>
      <c r="AC507" s="6">
        <f>$M$507*$W$507</f>
        <v>119.99175</v>
      </c>
      <c r="AD507" s="6">
        <f>$O$507*$X$507</f>
        <v>115.41725999999998</v>
      </c>
      <c r="AE507" s="6">
        <f>$K$507*$Y$507</f>
        <v>0</v>
      </c>
      <c r="AF507" s="6">
        <f ca="1">$M$507*$Z$507</f>
        <v>123.04795693525899</v>
      </c>
      <c r="AG507" s="6">
        <f>$O$507*$AA$507</f>
        <v>97.56236655815637</v>
      </c>
    </row>
    <row r="508" spans="1:33" ht="11.25" customHeight="1" x14ac:dyDescent="0.25">
      <c r="A508" s="4" t="s">
        <v>21</v>
      </c>
      <c r="B508" s="4" t="s">
        <v>42</v>
      </c>
      <c r="C508" s="4" t="s">
        <v>23</v>
      </c>
      <c r="D508" s="4" t="s">
        <v>43</v>
      </c>
      <c r="E508" s="4" t="s">
        <v>25</v>
      </c>
      <c r="F508" s="4" t="s">
        <v>25</v>
      </c>
      <c r="G508" s="4" t="s">
        <v>25</v>
      </c>
      <c r="H508" s="4" t="s">
        <v>25</v>
      </c>
      <c r="I508" s="5">
        <v>44562</v>
      </c>
      <c r="J508" s="6">
        <v>0</v>
      </c>
      <c r="K508" s="6">
        <v>0</v>
      </c>
      <c r="L508" s="6">
        <v>155.065</v>
      </c>
      <c r="M508" s="6">
        <v>155.065</v>
      </c>
      <c r="N508" s="6">
        <v>155.065</v>
      </c>
      <c r="O508" s="6">
        <v>155.065</v>
      </c>
      <c r="P508" s="6">
        <v>202</v>
      </c>
      <c r="Q508" s="4" t="s">
        <v>26</v>
      </c>
      <c r="R508" s="4">
        <v>0</v>
      </c>
      <c r="S508" s="6">
        <v>0</v>
      </c>
      <c r="T508" s="6">
        <v>32</v>
      </c>
      <c r="U508" s="6">
        <v>56</v>
      </c>
      <c r="V508" s="6">
        <f>IF(ISERROR(VLOOKUP($S$508,'TAR FIN'!$A$1:$O$86,15,0)),0,VLOOKUP($S$508,'TAR FIN'!$A$1:$O$86,15,0))</f>
        <v>0</v>
      </c>
      <c r="W508" s="6">
        <f>IF(ISERROR(VLOOKUP($T$508,'TAR FIN'!$A$1:$O$86,15,0)),0,VLOOKUP($T$508,'TAR FIN'!$A$1:$O$86,15,0))</f>
        <v>287.75</v>
      </c>
      <c r="X508" s="6">
        <f>IF(ISERROR(VLOOKUP($U$508,'TAR FIN'!$A$1:$O$86,15,0)),0,VLOOKUP($U$508,'TAR FIN'!$A$1:$O$86,15,0))</f>
        <v>276.77999999999997</v>
      </c>
      <c r="Y508" s="6"/>
      <c r="Z508" s="6">
        <f ca="1">('TUSD BE'!$AM$33+'TUSD BF'!$AM$33+'TUSD CVA'!$AM$33)*(1-CUSTOS!$M$38)</f>
        <v>295.07903341788727</v>
      </c>
      <c r="AA508" s="6">
        <f>('TE BE'!$AB$25+'TE BF'!$AB$25+'TE CVA'!$AB$25)*(1-CUSTOS!$M$38)</f>
        <v>233.96250973178988</v>
      </c>
      <c r="AB508" s="6">
        <f>$K$508*$V$508</f>
        <v>0</v>
      </c>
      <c r="AC508" s="6">
        <f>$M$508*$W$508</f>
        <v>44619.953750000001</v>
      </c>
      <c r="AD508" s="6">
        <f>$O$508*$X$508</f>
        <v>42918.890699999996</v>
      </c>
      <c r="AE508" s="6">
        <f>$K$508*$Y$508</f>
        <v>0</v>
      </c>
      <c r="AF508" s="6">
        <f ca="1">$M$508*$Z$508</f>
        <v>45756.430316944687</v>
      </c>
      <c r="AG508" s="6">
        <f>$O$508*$AA$508</f>
        <v>36279.396571559999</v>
      </c>
    </row>
    <row r="509" spans="1:33" ht="11.25" customHeight="1" x14ac:dyDescent="0.25">
      <c r="A509" s="4" t="s">
        <v>27</v>
      </c>
      <c r="B509" s="4" t="s">
        <v>42</v>
      </c>
      <c r="C509" s="4" t="s">
        <v>23</v>
      </c>
      <c r="D509" s="4" t="s">
        <v>43</v>
      </c>
      <c r="E509" s="4" t="s">
        <v>25</v>
      </c>
      <c r="F509" s="4" t="s">
        <v>25</v>
      </c>
      <c r="G509" s="4" t="s">
        <v>25</v>
      </c>
      <c r="H509" s="4" t="s">
        <v>25</v>
      </c>
      <c r="I509" s="5">
        <v>44562</v>
      </c>
      <c r="J509" s="6">
        <v>0</v>
      </c>
      <c r="K509" s="6">
        <v>0</v>
      </c>
      <c r="L509" s="6">
        <v>0.52400000000000002</v>
      </c>
      <c r="M509" s="6">
        <v>0.52400000000000002</v>
      </c>
      <c r="N509" s="6">
        <v>0.52400000000000002</v>
      </c>
      <c r="O509" s="6">
        <v>0.52400000000000002</v>
      </c>
      <c r="P509" s="6">
        <v>5</v>
      </c>
      <c r="Q509" s="4" t="s">
        <v>26</v>
      </c>
      <c r="R509" s="4">
        <v>0</v>
      </c>
      <c r="S509" s="6">
        <v>0</v>
      </c>
      <c r="T509" s="6">
        <v>32</v>
      </c>
      <c r="U509" s="6">
        <v>56</v>
      </c>
      <c r="V509" s="6">
        <f>IF(ISERROR(VLOOKUP($S$509,'TAR FIN'!$A$1:$O$86,15,0)),0,VLOOKUP($S$509,'TAR FIN'!$A$1:$O$86,15,0))</f>
        <v>0</v>
      </c>
      <c r="W509" s="6">
        <f>IF(ISERROR(VLOOKUP($T$509,'TAR FIN'!$A$1:$O$86,15,0)),0,VLOOKUP($T$509,'TAR FIN'!$A$1:$O$86,15,0))</f>
        <v>287.75</v>
      </c>
      <c r="X509" s="6">
        <f>IF(ISERROR(VLOOKUP($U$509,'TAR FIN'!$A$1:$O$86,15,0)),0,VLOOKUP($U$509,'TAR FIN'!$A$1:$O$86,15,0))</f>
        <v>276.77999999999997</v>
      </c>
      <c r="Y509" s="6"/>
      <c r="Z509" s="6">
        <f ca="1">('TUSD BE'!$AM$33+'TUSD BF'!$AM$33+'TUSD CVA'!$AM$33)*(1-CUSTOS!$M$38)</f>
        <v>295.07903341788727</v>
      </c>
      <c r="AA509" s="6">
        <f>('TE BE'!$AB$25+'TE BF'!$AB$25+'TE CVA'!$AB$25)*(1-CUSTOS!$M$38)</f>
        <v>233.96250973178988</v>
      </c>
      <c r="AB509" s="6">
        <f>$K$509*$V$509</f>
        <v>0</v>
      </c>
      <c r="AC509" s="6">
        <f>$M$509*$W$509</f>
        <v>150.78100000000001</v>
      </c>
      <c r="AD509" s="6">
        <f>$O$509*$X$509</f>
        <v>145.03271999999998</v>
      </c>
      <c r="AE509" s="6">
        <f>$K$509*$Y$509</f>
        <v>0</v>
      </c>
      <c r="AF509" s="6">
        <f ca="1">$M$509*$Z$509</f>
        <v>154.62141351097293</v>
      </c>
      <c r="AG509" s="6">
        <f>$O$509*$AA$509</f>
        <v>122.5963550994579</v>
      </c>
    </row>
    <row r="510" spans="1:33" ht="11.25" customHeight="1" x14ac:dyDescent="0.25">
      <c r="A510" s="4" t="s">
        <v>21</v>
      </c>
      <c r="B510" s="4" t="s">
        <v>42</v>
      </c>
      <c r="C510" s="4" t="s">
        <v>23</v>
      </c>
      <c r="D510" s="4" t="s">
        <v>43</v>
      </c>
      <c r="E510" s="4" t="s">
        <v>25</v>
      </c>
      <c r="F510" s="4" t="s">
        <v>25</v>
      </c>
      <c r="G510" s="4" t="s">
        <v>25</v>
      </c>
      <c r="H510" s="4" t="s">
        <v>25</v>
      </c>
      <c r="I510" s="5">
        <v>44593</v>
      </c>
      <c r="J510" s="6">
        <v>0</v>
      </c>
      <c r="K510" s="6">
        <v>0</v>
      </c>
      <c r="L510" s="6">
        <v>154.22800000000001</v>
      </c>
      <c r="M510" s="6">
        <v>154.22800000000001</v>
      </c>
      <c r="N510" s="6">
        <v>154.22800000000001</v>
      </c>
      <c r="O510" s="6">
        <v>154.22800000000001</v>
      </c>
      <c r="P510" s="6">
        <v>203</v>
      </c>
      <c r="Q510" s="4" t="s">
        <v>26</v>
      </c>
      <c r="R510" s="4">
        <v>0</v>
      </c>
      <c r="S510" s="6">
        <v>0</v>
      </c>
      <c r="T510" s="6">
        <v>32</v>
      </c>
      <c r="U510" s="6">
        <v>56</v>
      </c>
      <c r="V510" s="6">
        <f>IF(ISERROR(VLOOKUP($S$510,'TAR FIN'!$A$1:$O$86,15,0)),0,VLOOKUP($S$510,'TAR FIN'!$A$1:$O$86,15,0))</f>
        <v>0</v>
      </c>
      <c r="W510" s="6">
        <f>IF(ISERROR(VLOOKUP($T$510,'TAR FIN'!$A$1:$O$86,15,0)),0,VLOOKUP($T$510,'TAR FIN'!$A$1:$O$86,15,0))</f>
        <v>287.75</v>
      </c>
      <c r="X510" s="6">
        <f>IF(ISERROR(VLOOKUP($U$510,'TAR FIN'!$A$1:$O$86,15,0)),0,VLOOKUP($U$510,'TAR FIN'!$A$1:$O$86,15,0))</f>
        <v>276.77999999999997</v>
      </c>
      <c r="Y510" s="6"/>
      <c r="Z510" s="6">
        <f ca="1">('TUSD BE'!$AM$33+'TUSD BF'!$AM$33+'TUSD CVA'!$AM$33)*(1-CUSTOS!$M$38)</f>
        <v>295.07903341788727</v>
      </c>
      <c r="AA510" s="6">
        <f>('TE BE'!$AB$25+'TE BF'!$AB$25+'TE CVA'!$AB$25)*(1-CUSTOS!$M$38)</f>
        <v>233.96250973178988</v>
      </c>
      <c r="AB510" s="6">
        <f>$K$510*$V$510</f>
        <v>0</v>
      </c>
      <c r="AC510" s="6">
        <f>$M$510*$W$510</f>
        <v>44379.107000000004</v>
      </c>
      <c r="AD510" s="6">
        <f>$O$510*$X$510</f>
        <v>42687.225839999999</v>
      </c>
      <c r="AE510" s="6">
        <f>$K$510*$Y$510</f>
        <v>0</v>
      </c>
      <c r="AF510" s="6">
        <f ca="1">$M$510*$Z$510</f>
        <v>45509.449165973921</v>
      </c>
      <c r="AG510" s="6">
        <f>$O$510*$AA$510</f>
        <v>36083.569950914491</v>
      </c>
    </row>
    <row r="511" spans="1:33" ht="11.25" customHeight="1" x14ac:dyDescent="0.25">
      <c r="A511" s="4" t="s">
        <v>27</v>
      </c>
      <c r="B511" s="4" t="s">
        <v>42</v>
      </c>
      <c r="C511" s="4" t="s">
        <v>23</v>
      </c>
      <c r="D511" s="4" t="s">
        <v>43</v>
      </c>
      <c r="E511" s="4" t="s">
        <v>25</v>
      </c>
      <c r="F511" s="4" t="s">
        <v>25</v>
      </c>
      <c r="G511" s="4" t="s">
        <v>25</v>
      </c>
      <c r="H511" s="4" t="s">
        <v>25</v>
      </c>
      <c r="I511" s="5">
        <v>44593</v>
      </c>
      <c r="J511" s="6">
        <v>0</v>
      </c>
      <c r="K511" s="6">
        <v>0</v>
      </c>
      <c r="L511" s="6">
        <v>0.70199999999999996</v>
      </c>
      <c r="M511" s="6">
        <v>0.70199999999999996</v>
      </c>
      <c r="N511" s="6">
        <v>0.70199999999999996</v>
      </c>
      <c r="O511" s="6">
        <v>0.70199999999999996</v>
      </c>
      <c r="P511" s="6">
        <v>5</v>
      </c>
      <c r="Q511" s="4" t="s">
        <v>26</v>
      </c>
      <c r="R511" s="4">
        <v>0</v>
      </c>
      <c r="S511" s="6">
        <v>0</v>
      </c>
      <c r="T511" s="6">
        <v>32</v>
      </c>
      <c r="U511" s="6">
        <v>56</v>
      </c>
      <c r="V511" s="6">
        <f>IF(ISERROR(VLOOKUP($S$511,'TAR FIN'!$A$1:$O$86,15,0)),0,VLOOKUP($S$511,'TAR FIN'!$A$1:$O$86,15,0))</f>
        <v>0</v>
      </c>
      <c r="W511" s="6">
        <f>IF(ISERROR(VLOOKUP($T$511,'TAR FIN'!$A$1:$O$86,15,0)),0,VLOOKUP($T$511,'TAR FIN'!$A$1:$O$86,15,0))</f>
        <v>287.75</v>
      </c>
      <c r="X511" s="6">
        <f>IF(ISERROR(VLOOKUP($U$511,'TAR FIN'!$A$1:$O$86,15,0)),0,VLOOKUP($U$511,'TAR FIN'!$A$1:$O$86,15,0))</f>
        <v>276.77999999999997</v>
      </c>
      <c r="Y511" s="6"/>
      <c r="Z511" s="6">
        <f ca="1">('TUSD BE'!$AM$33+'TUSD BF'!$AM$33+'TUSD CVA'!$AM$33)*(1-CUSTOS!$M$38)</f>
        <v>295.07903341788727</v>
      </c>
      <c r="AA511" s="6">
        <f>('TE BE'!$AB$25+'TE BF'!$AB$25+'TE CVA'!$AB$25)*(1-CUSTOS!$M$38)</f>
        <v>233.96250973178988</v>
      </c>
      <c r="AB511" s="6">
        <f>$K$511*$V$511</f>
        <v>0</v>
      </c>
      <c r="AC511" s="6">
        <f>$M$511*$W$511</f>
        <v>202.00049999999999</v>
      </c>
      <c r="AD511" s="6">
        <f>$O$511*$X$511</f>
        <v>194.29955999999996</v>
      </c>
      <c r="AE511" s="6">
        <f>$K$511*$Y$511</f>
        <v>0</v>
      </c>
      <c r="AF511" s="6">
        <f ca="1">$M$511*$Z$511</f>
        <v>207.14548145935686</v>
      </c>
      <c r="AG511" s="6">
        <f>$O$511*$AA$511</f>
        <v>164.24168183171648</v>
      </c>
    </row>
    <row r="512" spans="1:33" ht="11.25" customHeight="1" x14ac:dyDescent="0.25">
      <c r="A512" s="4" t="s">
        <v>21</v>
      </c>
      <c r="B512" s="4" t="s">
        <v>42</v>
      </c>
      <c r="C512" s="4" t="s">
        <v>23</v>
      </c>
      <c r="D512" s="4" t="s">
        <v>43</v>
      </c>
      <c r="E512" s="4" t="s">
        <v>25</v>
      </c>
      <c r="F512" s="4" t="s">
        <v>25</v>
      </c>
      <c r="G512" s="4" t="s">
        <v>25</v>
      </c>
      <c r="H512" s="4" t="s">
        <v>25</v>
      </c>
      <c r="I512" s="5">
        <v>44621</v>
      </c>
      <c r="J512" s="6">
        <v>0</v>
      </c>
      <c r="K512" s="6">
        <v>0</v>
      </c>
      <c r="L512" s="6">
        <v>136.06200000000001</v>
      </c>
      <c r="M512" s="6">
        <v>136.06200000000001</v>
      </c>
      <c r="N512" s="6">
        <v>136.06200000000001</v>
      </c>
      <c r="O512" s="6">
        <v>136.06200000000001</v>
      </c>
      <c r="P512" s="6">
        <v>203</v>
      </c>
      <c r="Q512" s="4" t="s">
        <v>26</v>
      </c>
      <c r="R512" s="4">
        <v>0</v>
      </c>
      <c r="S512" s="6">
        <v>0</v>
      </c>
      <c r="T512" s="6">
        <v>32</v>
      </c>
      <c r="U512" s="6">
        <v>56</v>
      </c>
      <c r="V512" s="6">
        <f>IF(ISERROR(VLOOKUP($S$512,'TAR FIN'!$A$1:$O$86,15,0)),0,VLOOKUP($S$512,'TAR FIN'!$A$1:$O$86,15,0))</f>
        <v>0</v>
      </c>
      <c r="W512" s="6">
        <f>IF(ISERROR(VLOOKUP($T$512,'TAR FIN'!$A$1:$O$86,15,0)),0,VLOOKUP($T$512,'TAR FIN'!$A$1:$O$86,15,0))</f>
        <v>287.75</v>
      </c>
      <c r="X512" s="6">
        <f>IF(ISERROR(VLOOKUP($U$512,'TAR FIN'!$A$1:$O$86,15,0)),0,VLOOKUP($U$512,'TAR FIN'!$A$1:$O$86,15,0))</f>
        <v>276.77999999999997</v>
      </c>
      <c r="Y512" s="6"/>
      <c r="Z512" s="6">
        <f ca="1">('TUSD BE'!$AM$33+'TUSD BF'!$AM$33+'TUSD CVA'!$AM$33)*(1-CUSTOS!$M$38)</f>
        <v>295.07903341788727</v>
      </c>
      <c r="AA512" s="6">
        <f>('TE BE'!$AB$25+'TE BF'!$AB$25+'TE CVA'!$AB$25)*(1-CUSTOS!$M$38)</f>
        <v>233.96250973178988</v>
      </c>
      <c r="AB512" s="6">
        <f>$K$512*$V$512</f>
        <v>0</v>
      </c>
      <c r="AC512" s="6">
        <f>$M$512*$W$512</f>
        <v>39151.840500000006</v>
      </c>
      <c r="AD512" s="6">
        <f>$O$512*$X$512</f>
        <v>37659.240359999996</v>
      </c>
      <c r="AE512" s="6">
        <f>$K$512*$Y$512</f>
        <v>0</v>
      </c>
      <c r="AF512" s="6">
        <f ca="1">$M$512*$Z$512</f>
        <v>40149.043444904579</v>
      </c>
      <c r="AG512" s="6">
        <f>$O$512*$AA$512</f>
        <v>31833.406999126797</v>
      </c>
    </row>
    <row r="513" spans="1:33" ht="11.25" customHeight="1" x14ac:dyDescent="0.25">
      <c r="A513" s="4" t="s">
        <v>41</v>
      </c>
      <c r="B513" s="4" t="s">
        <v>42</v>
      </c>
      <c r="C513" s="4" t="s">
        <v>23</v>
      </c>
      <c r="D513" s="4" t="s">
        <v>43</v>
      </c>
      <c r="E513" s="4" t="s">
        <v>25</v>
      </c>
      <c r="F513" s="4" t="s">
        <v>25</v>
      </c>
      <c r="G513" s="4" t="s">
        <v>25</v>
      </c>
      <c r="H513" s="4" t="s">
        <v>25</v>
      </c>
      <c r="I513" s="5">
        <v>44621</v>
      </c>
      <c r="J513" s="6">
        <v>0</v>
      </c>
      <c r="K513" s="6">
        <v>0</v>
      </c>
      <c r="L513" s="6">
        <v>0.16</v>
      </c>
      <c r="M513" s="6">
        <v>0.16</v>
      </c>
      <c r="N513" s="6">
        <v>0.16</v>
      </c>
      <c r="O513" s="6">
        <v>0.16</v>
      </c>
      <c r="P513" s="6">
        <v>0</v>
      </c>
      <c r="Q513" s="4" t="s">
        <v>26</v>
      </c>
      <c r="R513" s="4">
        <v>0</v>
      </c>
      <c r="S513" s="6">
        <v>0</v>
      </c>
      <c r="T513" s="6">
        <v>32</v>
      </c>
      <c r="U513" s="6">
        <v>56</v>
      </c>
      <c r="V513" s="6">
        <f>IF(ISERROR(VLOOKUP($S$513,'TAR FIN'!$A$1:$O$86,15,0)),0,VLOOKUP($S$513,'TAR FIN'!$A$1:$O$86,15,0))</f>
        <v>0</v>
      </c>
      <c r="W513" s="6">
        <f>IF(ISERROR(VLOOKUP($T$513,'TAR FIN'!$A$1:$O$86,15,0)),0,VLOOKUP($T$513,'TAR FIN'!$A$1:$O$86,15,0))</f>
        <v>287.75</v>
      </c>
      <c r="X513" s="6">
        <f>IF(ISERROR(VLOOKUP($U$513,'TAR FIN'!$A$1:$O$86,15,0)),0,VLOOKUP($U$513,'TAR FIN'!$A$1:$O$86,15,0))</f>
        <v>276.77999999999997</v>
      </c>
      <c r="Y513" s="6"/>
      <c r="Z513" s="6">
        <f ca="1">('TUSD BE'!$AM$33+'TUSD BF'!$AM$33+'TUSD CVA'!$AM$33)*(1-CUSTOS!$M$38)</f>
        <v>295.07903341788727</v>
      </c>
      <c r="AA513" s="6">
        <f>('TE BE'!$AB$25+'TE BF'!$AB$25+'TE CVA'!$AB$25)*(1-CUSTOS!$M$38)</f>
        <v>233.96250973178988</v>
      </c>
      <c r="AB513" s="6">
        <f>$K$513*$V$513</f>
        <v>0</v>
      </c>
      <c r="AC513" s="6">
        <f>$M$513*$W$513</f>
        <v>46.04</v>
      </c>
      <c r="AD513" s="6">
        <f>$O$513*$X$513</f>
        <v>44.284799999999997</v>
      </c>
      <c r="AE513" s="6">
        <f>$K$513*$Y$513</f>
        <v>0</v>
      </c>
      <c r="AF513" s="6">
        <f ca="1">$M$513*$Z$513</f>
        <v>47.212645346861962</v>
      </c>
      <c r="AG513" s="6">
        <f>$O$513*$AA$513</f>
        <v>37.434001557086383</v>
      </c>
    </row>
    <row r="514" spans="1:33" ht="11.25" customHeight="1" x14ac:dyDescent="0.25">
      <c r="A514" s="4" t="s">
        <v>27</v>
      </c>
      <c r="B514" s="4" t="s">
        <v>42</v>
      </c>
      <c r="C514" s="4" t="s">
        <v>23</v>
      </c>
      <c r="D514" s="4" t="s">
        <v>43</v>
      </c>
      <c r="E514" s="4" t="s">
        <v>25</v>
      </c>
      <c r="F514" s="4" t="s">
        <v>25</v>
      </c>
      <c r="G514" s="4" t="s">
        <v>25</v>
      </c>
      <c r="H514" s="4" t="s">
        <v>25</v>
      </c>
      <c r="I514" s="5">
        <v>44621</v>
      </c>
      <c r="J514" s="6">
        <v>0</v>
      </c>
      <c r="K514" s="6">
        <v>0</v>
      </c>
      <c r="L514" s="6">
        <v>0.46899999999999997</v>
      </c>
      <c r="M514" s="6">
        <v>0.46899999999999997</v>
      </c>
      <c r="N514" s="6">
        <v>0.46899999999999997</v>
      </c>
      <c r="O514" s="6">
        <v>0.46899999999999997</v>
      </c>
      <c r="P514" s="6">
        <v>5</v>
      </c>
      <c r="Q514" s="4" t="s">
        <v>26</v>
      </c>
      <c r="R514" s="4">
        <v>0</v>
      </c>
      <c r="S514" s="6">
        <v>0</v>
      </c>
      <c r="T514" s="6">
        <v>32</v>
      </c>
      <c r="U514" s="6">
        <v>56</v>
      </c>
      <c r="V514" s="6">
        <f>IF(ISERROR(VLOOKUP($S$514,'TAR FIN'!$A$1:$O$86,15,0)),0,VLOOKUP($S$514,'TAR FIN'!$A$1:$O$86,15,0))</f>
        <v>0</v>
      </c>
      <c r="W514" s="6">
        <f>IF(ISERROR(VLOOKUP($T$514,'TAR FIN'!$A$1:$O$86,15,0)),0,VLOOKUP($T$514,'TAR FIN'!$A$1:$O$86,15,0))</f>
        <v>287.75</v>
      </c>
      <c r="X514" s="6">
        <f>IF(ISERROR(VLOOKUP($U$514,'TAR FIN'!$A$1:$O$86,15,0)),0,VLOOKUP($U$514,'TAR FIN'!$A$1:$O$86,15,0))</f>
        <v>276.77999999999997</v>
      </c>
      <c r="Y514" s="6"/>
      <c r="Z514" s="6">
        <f ca="1">('TUSD BE'!$AM$33+'TUSD BF'!$AM$33+'TUSD CVA'!$AM$33)*(1-CUSTOS!$M$38)</f>
        <v>295.07903341788727</v>
      </c>
      <c r="AA514" s="6">
        <f>('TE BE'!$AB$25+'TE BF'!$AB$25+'TE CVA'!$AB$25)*(1-CUSTOS!$M$38)</f>
        <v>233.96250973178988</v>
      </c>
      <c r="AB514" s="6">
        <f>$K$514*$V$514</f>
        <v>0</v>
      </c>
      <c r="AC514" s="6">
        <f>$M$514*$W$514</f>
        <v>134.95474999999999</v>
      </c>
      <c r="AD514" s="6">
        <f>$O$514*$X$514</f>
        <v>129.80981999999997</v>
      </c>
      <c r="AE514" s="6">
        <f>$K$514*$Y$514</f>
        <v>0</v>
      </c>
      <c r="AF514" s="6">
        <f ca="1">$M$514*$Z$514</f>
        <v>138.39206667298913</v>
      </c>
      <c r="AG514" s="6">
        <f>$O$514*$AA$514</f>
        <v>109.72841706420945</v>
      </c>
    </row>
    <row r="515" spans="1:33" ht="11.25" customHeight="1" x14ac:dyDescent="0.25">
      <c r="A515" s="4" t="s">
        <v>21</v>
      </c>
      <c r="B515" s="4" t="s">
        <v>42</v>
      </c>
      <c r="C515" s="4" t="s">
        <v>23</v>
      </c>
      <c r="D515" s="4" t="s">
        <v>43</v>
      </c>
      <c r="E515" s="4" t="s">
        <v>25</v>
      </c>
      <c r="F515" s="4" t="s">
        <v>25</v>
      </c>
      <c r="G515" s="4" t="s">
        <v>25</v>
      </c>
      <c r="H515" s="4" t="s">
        <v>25</v>
      </c>
      <c r="I515" s="5">
        <v>44652</v>
      </c>
      <c r="J515" s="6">
        <v>0</v>
      </c>
      <c r="K515" s="6">
        <v>0</v>
      </c>
      <c r="L515" s="6">
        <v>149.77799999999999</v>
      </c>
      <c r="M515" s="6">
        <v>149.77799999999999</v>
      </c>
      <c r="N515" s="6">
        <v>149.77799999999999</v>
      </c>
      <c r="O515" s="6">
        <v>149.77799999999999</v>
      </c>
      <c r="P515" s="6">
        <v>203</v>
      </c>
      <c r="Q515" s="4" t="s">
        <v>26</v>
      </c>
      <c r="R515" s="4">
        <v>0</v>
      </c>
      <c r="S515" s="6">
        <v>0</v>
      </c>
      <c r="T515" s="6">
        <v>32</v>
      </c>
      <c r="U515" s="6">
        <v>56</v>
      </c>
      <c r="V515" s="6">
        <f>IF(ISERROR(VLOOKUP($S$515,'TAR FIN'!$A$1:$O$86,15,0)),0,VLOOKUP($S$515,'TAR FIN'!$A$1:$O$86,15,0))</f>
        <v>0</v>
      </c>
      <c r="W515" s="6">
        <f>IF(ISERROR(VLOOKUP($T$515,'TAR FIN'!$A$1:$O$86,15,0)),0,VLOOKUP($T$515,'TAR FIN'!$A$1:$O$86,15,0))</f>
        <v>287.75</v>
      </c>
      <c r="X515" s="6">
        <f>IF(ISERROR(VLOOKUP($U$515,'TAR FIN'!$A$1:$O$86,15,0)),0,VLOOKUP($U$515,'TAR FIN'!$A$1:$O$86,15,0))</f>
        <v>276.77999999999997</v>
      </c>
      <c r="Y515" s="6"/>
      <c r="Z515" s="6">
        <f ca="1">('TUSD BE'!$AM$33+'TUSD BF'!$AM$33+'TUSD CVA'!$AM$33)*(1-CUSTOS!$M$38)</f>
        <v>295.07903341788727</v>
      </c>
      <c r="AA515" s="6">
        <f>('TE BE'!$AB$25+'TE BF'!$AB$25+'TE CVA'!$AB$25)*(1-CUSTOS!$M$38)</f>
        <v>233.96250973178988</v>
      </c>
      <c r="AB515" s="6">
        <f>$K$515*$V$515</f>
        <v>0</v>
      </c>
      <c r="AC515" s="6">
        <f>$M$515*$W$515</f>
        <v>43098.619500000001</v>
      </c>
      <c r="AD515" s="6">
        <f>$O$515*$X$515</f>
        <v>41455.554839999997</v>
      </c>
      <c r="AE515" s="6">
        <f>$K$515*$Y$515</f>
        <v>0</v>
      </c>
      <c r="AF515" s="6">
        <f ca="1">$M$515*$Z$515</f>
        <v>44196.347467264321</v>
      </c>
      <c r="AG515" s="6">
        <f>$O$515*$AA$515</f>
        <v>35042.43678260802</v>
      </c>
    </row>
    <row r="516" spans="1:33" ht="11.25" customHeight="1" x14ac:dyDescent="0.25">
      <c r="A516" s="4" t="s">
        <v>27</v>
      </c>
      <c r="B516" s="4" t="s">
        <v>42</v>
      </c>
      <c r="C516" s="4" t="s">
        <v>23</v>
      </c>
      <c r="D516" s="4" t="s">
        <v>43</v>
      </c>
      <c r="E516" s="4" t="s">
        <v>25</v>
      </c>
      <c r="F516" s="4" t="s">
        <v>25</v>
      </c>
      <c r="G516" s="4" t="s">
        <v>25</v>
      </c>
      <c r="H516" s="4" t="s">
        <v>25</v>
      </c>
      <c r="I516" s="5">
        <v>44652</v>
      </c>
      <c r="J516" s="6">
        <v>0</v>
      </c>
      <c r="K516" s="6">
        <v>0</v>
      </c>
      <c r="L516" s="6">
        <v>1.0640000000000001</v>
      </c>
      <c r="M516" s="6">
        <v>1.0640000000000001</v>
      </c>
      <c r="N516" s="6">
        <v>1.0640000000000001</v>
      </c>
      <c r="O516" s="6">
        <v>1.0640000000000001</v>
      </c>
      <c r="P516" s="6">
        <v>5</v>
      </c>
      <c r="Q516" s="4" t="s">
        <v>26</v>
      </c>
      <c r="R516" s="4">
        <v>0</v>
      </c>
      <c r="S516" s="6">
        <v>0</v>
      </c>
      <c r="T516" s="6">
        <v>32</v>
      </c>
      <c r="U516" s="6">
        <v>56</v>
      </c>
      <c r="V516" s="6">
        <f>IF(ISERROR(VLOOKUP($S$516,'TAR FIN'!$A$1:$O$86,15,0)),0,VLOOKUP($S$516,'TAR FIN'!$A$1:$O$86,15,0))</f>
        <v>0</v>
      </c>
      <c r="W516" s="6">
        <f>IF(ISERROR(VLOOKUP($T$516,'TAR FIN'!$A$1:$O$86,15,0)),0,VLOOKUP($T$516,'TAR FIN'!$A$1:$O$86,15,0))</f>
        <v>287.75</v>
      </c>
      <c r="X516" s="6">
        <f>IF(ISERROR(VLOOKUP($U$516,'TAR FIN'!$A$1:$O$86,15,0)),0,VLOOKUP($U$516,'TAR FIN'!$A$1:$O$86,15,0))</f>
        <v>276.77999999999997</v>
      </c>
      <c r="Y516" s="6"/>
      <c r="Z516" s="6">
        <f ca="1">('TUSD BE'!$AM$33+'TUSD BF'!$AM$33+'TUSD CVA'!$AM$33)*(1-CUSTOS!$M$38)</f>
        <v>295.07903341788727</v>
      </c>
      <c r="AA516" s="6">
        <f>('TE BE'!$AB$25+'TE BF'!$AB$25+'TE CVA'!$AB$25)*(1-CUSTOS!$M$38)</f>
        <v>233.96250973178988</v>
      </c>
      <c r="AB516" s="6">
        <f>$K$516*$V$516</f>
        <v>0</v>
      </c>
      <c r="AC516" s="6">
        <f>$M$516*$W$516</f>
        <v>306.166</v>
      </c>
      <c r="AD516" s="6">
        <f>$O$516*$X$516</f>
        <v>294.49392</v>
      </c>
      <c r="AE516" s="6">
        <f>$K$516*$Y$516</f>
        <v>0</v>
      </c>
      <c r="AF516" s="6">
        <f ca="1">$M$516*$Z$516</f>
        <v>313.96409155663207</v>
      </c>
      <c r="AG516" s="6">
        <f>$O$516*$AA$516</f>
        <v>248.93611035462445</v>
      </c>
    </row>
    <row r="517" spans="1:33" ht="11.25" customHeight="1" x14ac:dyDescent="0.25">
      <c r="A517" s="4" t="s">
        <v>21</v>
      </c>
      <c r="B517" s="4" t="s">
        <v>42</v>
      </c>
      <c r="C517" s="4" t="s">
        <v>23</v>
      </c>
      <c r="D517" s="4" t="s">
        <v>43</v>
      </c>
      <c r="E517" s="4" t="s">
        <v>25</v>
      </c>
      <c r="F517" s="4" t="s">
        <v>25</v>
      </c>
      <c r="G517" s="4" t="s">
        <v>25</v>
      </c>
      <c r="H517" s="4" t="s">
        <v>25</v>
      </c>
      <c r="I517" s="5">
        <v>44682</v>
      </c>
      <c r="J517" s="6">
        <v>0</v>
      </c>
      <c r="K517" s="6">
        <v>0</v>
      </c>
      <c r="L517" s="6">
        <v>129.52199999999999</v>
      </c>
      <c r="M517" s="6">
        <v>129.52199999999999</v>
      </c>
      <c r="N517" s="6">
        <v>129.52199999999999</v>
      </c>
      <c r="O517" s="6">
        <v>129.52199999999999</v>
      </c>
      <c r="P517" s="6">
        <v>202</v>
      </c>
      <c r="Q517" s="4" t="s">
        <v>26</v>
      </c>
      <c r="R517" s="4">
        <v>0</v>
      </c>
      <c r="S517" s="6">
        <v>0</v>
      </c>
      <c r="T517" s="6">
        <v>32</v>
      </c>
      <c r="U517" s="6">
        <v>56</v>
      </c>
      <c r="V517" s="6">
        <f>IF(ISERROR(VLOOKUP($S$517,'TAR FIN'!$A$1:$O$86,15,0)),0,VLOOKUP($S$517,'TAR FIN'!$A$1:$O$86,15,0))</f>
        <v>0</v>
      </c>
      <c r="W517" s="6">
        <f>IF(ISERROR(VLOOKUP($T$517,'TAR FIN'!$A$1:$O$86,15,0)),0,VLOOKUP($T$517,'TAR FIN'!$A$1:$O$86,15,0))</f>
        <v>287.75</v>
      </c>
      <c r="X517" s="6">
        <f>IF(ISERROR(VLOOKUP($U$517,'TAR FIN'!$A$1:$O$86,15,0)),0,VLOOKUP($U$517,'TAR FIN'!$A$1:$O$86,15,0))</f>
        <v>276.77999999999997</v>
      </c>
      <c r="Y517" s="6"/>
      <c r="Z517" s="6">
        <f ca="1">('TUSD BE'!$AM$33+'TUSD BF'!$AM$33+'TUSD CVA'!$AM$33)*(1-CUSTOS!$M$38)</f>
        <v>295.07903341788727</v>
      </c>
      <c r="AA517" s="6">
        <f>('TE BE'!$AB$25+'TE BF'!$AB$25+'TE CVA'!$AB$25)*(1-CUSTOS!$M$38)</f>
        <v>233.96250973178988</v>
      </c>
      <c r="AB517" s="6">
        <f>$K$517*$V$517</f>
        <v>0</v>
      </c>
      <c r="AC517" s="6">
        <f>$M$517*$W$517</f>
        <v>37269.955499999996</v>
      </c>
      <c r="AD517" s="6">
        <f>$O$517*$X$517</f>
        <v>35849.099159999991</v>
      </c>
      <c r="AE517" s="6">
        <f>$K$517*$Y$517</f>
        <v>0</v>
      </c>
      <c r="AF517" s="6">
        <f ca="1">$M$517*$Z$517</f>
        <v>38219.226566351594</v>
      </c>
      <c r="AG517" s="6">
        <f>$O$517*$AA$517</f>
        <v>30303.292185480888</v>
      </c>
    </row>
    <row r="518" spans="1:33" ht="11.25" customHeight="1" x14ac:dyDescent="0.25">
      <c r="A518" s="4" t="s">
        <v>27</v>
      </c>
      <c r="B518" s="4" t="s">
        <v>42</v>
      </c>
      <c r="C518" s="4" t="s">
        <v>23</v>
      </c>
      <c r="D518" s="4" t="s">
        <v>43</v>
      </c>
      <c r="E518" s="4" t="s">
        <v>25</v>
      </c>
      <c r="F518" s="4" t="s">
        <v>25</v>
      </c>
      <c r="G518" s="4" t="s">
        <v>25</v>
      </c>
      <c r="H518" s="4" t="s">
        <v>25</v>
      </c>
      <c r="I518" s="5">
        <v>44682</v>
      </c>
      <c r="J518" s="6">
        <v>0</v>
      </c>
      <c r="K518" s="6">
        <v>0</v>
      </c>
      <c r="L518" s="6">
        <v>6.4989999999999997</v>
      </c>
      <c r="M518" s="6">
        <v>6.4989999999999997</v>
      </c>
      <c r="N518" s="6">
        <v>6.4989999999999997</v>
      </c>
      <c r="O518" s="6">
        <v>6.4989999999999997</v>
      </c>
      <c r="P518" s="6">
        <v>6</v>
      </c>
      <c r="Q518" s="4" t="s">
        <v>26</v>
      </c>
      <c r="R518" s="4">
        <v>0</v>
      </c>
      <c r="S518" s="6">
        <v>0</v>
      </c>
      <c r="T518" s="6">
        <v>32</v>
      </c>
      <c r="U518" s="6">
        <v>56</v>
      </c>
      <c r="V518" s="6">
        <f>IF(ISERROR(VLOOKUP($S$518,'TAR FIN'!$A$1:$O$86,15,0)),0,VLOOKUP($S$518,'TAR FIN'!$A$1:$O$86,15,0))</f>
        <v>0</v>
      </c>
      <c r="W518" s="6">
        <f>IF(ISERROR(VLOOKUP($T$518,'TAR FIN'!$A$1:$O$86,15,0)),0,VLOOKUP($T$518,'TAR FIN'!$A$1:$O$86,15,0))</f>
        <v>287.75</v>
      </c>
      <c r="X518" s="6">
        <f>IF(ISERROR(VLOOKUP($U$518,'TAR FIN'!$A$1:$O$86,15,0)),0,VLOOKUP($U$518,'TAR FIN'!$A$1:$O$86,15,0))</f>
        <v>276.77999999999997</v>
      </c>
      <c r="Y518" s="6"/>
      <c r="Z518" s="6">
        <f ca="1">('TUSD BE'!$AM$33+'TUSD BF'!$AM$33+'TUSD CVA'!$AM$33)*(1-CUSTOS!$M$38)</f>
        <v>295.07903341788727</v>
      </c>
      <c r="AA518" s="6">
        <f>('TE BE'!$AB$25+'TE BF'!$AB$25+'TE CVA'!$AB$25)*(1-CUSTOS!$M$38)</f>
        <v>233.96250973178988</v>
      </c>
      <c r="AB518" s="6">
        <f>$K$518*$V$518</f>
        <v>0</v>
      </c>
      <c r="AC518" s="6">
        <f>$M$518*$W$518</f>
        <v>1870.0872499999998</v>
      </c>
      <c r="AD518" s="6">
        <f>$O$518*$X$518</f>
        <v>1798.7932199999998</v>
      </c>
      <c r="AE518" s="6">
        <f>$K$518*$Y$518</f>
        <v>0</v>
      </c>
      <c r="AF518" s="6">
        <f ca="1">$M$518*$Z$518</f>
        <v>1917.7186381828492</v>
      </c>
      <c r="AG518" s="6">
        <f>$O$518*$AA$518</f>
        <v>1520.5223507469022</v>
      </c>
    </row>
    <row r="519" spans="1:33" ht="11.25" customHeight="1" x14ac:dyDescent="0.25">
      <c r="A519" s="4" t="s">
        <v>55</v>
      </c>
      <c r="B519" s="4" t="s">
        <v>42</v>
      </c>
      <c r="C519" s="4" t="s">
        <v>23</v>
      </c>
      <c r="D519" s="4" t="s">
        <v>43</v>
      </c>
      <c r="E519" s="4" t="s">
        <v>25</v>
      </c>
      <c r="F519" s="4" t="s">
        <v>25</v>
      </c>
      <c r="G519" s="4" t="s">
        <v>25</v>
      </c>
      <c r="H519" s="4" t="s">
        <v>25</v>
      </c>
      <c r="I519" s="5">
        <v>44713</v>
      </c>
      <c r="J519" s="6">
        <v>0</v>
      </c>
      <c r="K519" s="6">
        <v>0</v>
      </c>
      <c r="L519" s="6">
        <v>129.52199999999999</v>
      </c>
      <c r="M519" s="6">
        <v>129.52199999999999</v>
      </c>
      <c r="N519" s="6">
        <v>129.52199999999999</v>
      </c>
      <c r="O519" s="6">
        <v>129.52199999999999</v>
      </c>
      <c r="P519" s="6">
        <v>202</v>
      </c>
      <c r="Q519" s="4" t="s">
        <v>26</v>
      </c>
      <c r="R519" s="4">
        <v>0</v>
      </c>
      <c r="S519" s="6">
        <v>0</v>
      </c>
      <c r="T519" s="6">
        <v>32</v>
      </c>
      <c r="U519" s="6">
        <v>56</v>
      </c>
      <c r="V519" s="6">
        <f>IF(ISERROR(VLOOKUP($S$519,'TAR FIN'!$A$1:$O$86,15,0)),0,VLOOKUP($S$519,'TAR FIN'!$A$1:$O$86,15,0))</f>
        <v>0</v>
      </c>
      <c r="W519" s="6">
        <f>IF(ISERROR(VLOOKUP($T$519,'TAR FIN'!$A$1:$O$86,15,0)),0,VLOOKUP($T$519,'TAR FIN'!$A$1:$O$86,15,0))</f>
        <v>287.75</v>
      </c>
      <c r="X519" s="6">
        <f>IF(ISERROR(VLOOKUP($U$519,'TAR FIN'!$A$1:$O$86,15,0)),0,VLOOKUP($U$519,'TAR FIN'!$A$1:$O$86,15,0))</f>
        <v>276.77999999999997</v>
      </c>
      <c r="Y519" s="6"/>
      <c r="Z519" s="6">
        <f ca="1">('TUSD BE'!$AM$33+'TUSD BF'!$AM$33+'TUSD CVA'!$AM$33)*(1-CUSTOS!$M$38)</f>
        <v>295.07903341788727</v>
      </c>
      <c r="AA519" s="6">
        <f>('TE BE'!$AB$25+'TE BF'!$AB$25+'TE CVA'!$AB$25)*(1-CUSTOS!$M$38)</f>
        <v>233.96250973178988</v>
      </c>
      <c r="AB519" s="6">
        <f>$K$519*$V$519</f>
        <v>0</v>
      </c>
      <c r="AC519" s="6">
        <f>$M$519*$W$519</f>
        <v>37269.955499999996</v>
      </c>
      <c r="AD519" s="6">
        <f>$O$519*$X$519</f>
        <v>35849.099159999991</v>
      </c>
      <c r="AE519" s="6">
        <f>$K$519*$Y$519</f>
        <v>0</v>
      </c>
      <c r="AF519" s="6">
        <f ca="1">$M$519*$Z$519</f>
        <v>38219.226566351594</v>
      </c>
      <c r="AG519" s="6">
        <f>$O$519*$AA$519</f>
        <v>30303.292185480888</v>
      </c>
    </row>
    <row r="520" spans="1:33" ht="11.25" customHeight="1" x14ac:dyDescent="0.25">
      <c r="A520" s="4" t="s">
        <v>55</v>
      </c>
      <c r="B520" s="4" t="s">
        <v>42</v>
      </c>
      <c r="C520" s="4" t="s">
        <v>23</v>
      </c>
      <c r="D520" s="4" t="s">
        <v>43</v>
      </c>
      <c r="E520" s="4" t="s">
        <v>25</v>
      </c>
      <c r="F520" s="4" t="s">
        <v>25</v>
      </c>
      <c r="G520" s="4" t="s">
        <v>25</v>
      </c>
      <c r="H520" s="4" t="s">
        <v>25</v>
      </c>
      <c r="I520" s="5">
        <v>44713</v>
      </c>
      <c r="J520" s="6">
        <v>0</v>
      </c>
      <c r="K520" s="6">
        <v>0</v>
      </c>
      <c r="L520" s="6">
        <v>6.4989999999999997</v>
      </c>
      <c r="M520" s="6">
        <v>6.4989999999999997</v>
      </c>
      <c r="N520" s="6">
        <v>6.4989999999999997</v>
      </c>
      <c r="O520" s="6">
        <v>6.4989999999999997</v>
      </c>
      <c r="P520" s="6">
        <v>6</v>
      </c>
      <c r="Q520" s="4" t="s">
        <v>26</v>
      </c>
      <c r="R520" s="4">
        <v>0</v>
      </c>
      <c r="S520" s="6">
        <v>0</v>
      </c>
      <c r="T520" s="6">
        <v>32</v>
      </c>
      <c r="U520" s="6">
        <v>56</v>
      </c>
      <c r="V520" s="6">
        <f>IF(ISERROR(VLOOKUP($S$520,'TAR FIN'!$A$1:$O$86,15,0)),0,VLOOKUP($S$520,'TAR FIN'!$A$1:$O$86,15,0))</f>
        <v>0</v>
      </c>
      <c r="W520" s="6">
        <f>IF(ISERROR(VLOOKUP($T$520,'TAR FIN'!$A$1:$O$86,15,0)),0,VLOOKUP($T$520,'TAR FIN'!$A$1:$O$86,15,0))</f>
        <v>287.75</v>
      </c>
      <c r="X520" s="6">
        <f>IF(ISERROR(VLOOKUP($U$520,'TAR FIN'!$A$1:$O$86,15,0)),0,VLOOKUP($U$520,'TAR FIN'!$A$1:$O$86,15,0))</f>
        <v>276.77999999999997</v>
      </c>
      <c r="Y520" s="6"/>
      <c r="Z520" s="6">
        <f ca="1">('TUSD BE'!$AM$33+'TUSD BF'!$AM$33+'TUSD CVA'!$AM$33)*(1-CUSTOS!$M$38)</f>
        <v>295.07903341788727</v>
      </c>
      <c r="AA520" s="6">
        <f>('TE BE'!$AB$25+'TE BF'!$AB$25+'TE CVA'!$AB$25)*(1-CUSTOS!$M$38)</f>
        <v>233.96250973178988</v>
      </c>
      <c r="AB520" s="6">
        <f>$K$520*$V$520</f>
        <v>0</v>
      </c>
      <c r="AC520" s="6">
        <f>$M$520*$W$520</f>
        <v>1870.0872499999998</v>
      </c>
      <c r="AD520" s="6">
        <f>$O$520*$X$520</f>
        <v>1798.7932199999998</v>
      </c>
      <c r="AE520" s="6">
        <f>$K$520*$Y$520</f>
        <v>0</v>
      </c>
      <c r="AF520" s="6">
        <f ca="1">$M$520*$Z$520</f>
        <v>1917.7186381828492</v>
      </c>
      <c r="AG520" s="6">
        <f>$O$520*$AA$520</f>
        <v>1520.5223507469022</v>
      </c>
    </row>
    <row r="521" spans="1:33" ht="11.25" customHeight="1" x14ac:dyDescent="0.25">
      <c r="A521" s="4" t="s">
        <v>21</v>
      </c>
      <c r="B521" s="4" t="s">
        <v>36</v>
      </c>
      <c r="C521" s="4" t="s">
        <v>32</v>
      </c>
      <c r="D521" s="4" t="s">
        <v>44</v>
      </c>
      <c r="E521" s="4" t="s">
        <v>25</v>
      </c>
      <c r="F521" s="4" t="s">
        <v>25</v>
      </c>
      <c r="G521" s="4" t="s">
        <v>25</v>
      </c>
      <c r="H521" s="4" t="s">
        <v>34</v>
      </c>
      <c r="I521" s="5">
        <v>44652</v>
      </c>
      <c r="J521" s="6">
        <v>0</v>
      </c>
      <c r="K521" s="6">
        <v>0</v>
      </c>
      <c r="L521" s="6">
        <v>1.9950000000000001</v>
      </c>
      <c r="M521" s="6">
        <v>1.9950000000000001</v>
      </c>
      <c r="N521" s="6">
        <v>1.9950000000000001</v>
      </c>
      <c r="O521" s="6">
        <v>1.9950000000000001</v>
      </c>
      <c r="P521" s="6">
        <v>0</v>
      </c>
      <c r="Q521" s="4" t="s">
        <v>26</v>
      </c>
      <c r="R521" s="4">
        <v>0</v>
      </c>
      <c r="S521" s="6">
        <v>0</v>
      </c>
      <c r="T521" s="6">
        <v>27</v>
      </c>
      <c r="U521" s="6">
        <v>75</v>
      </c>
      <c r="V521" s="6">
        <f>IF(ISERROR(VLOOKUP($S$521,'TAR FIN'!$A$1:$O$86,15,0)),0,VLOOKUP($S$521,'TAR FIN'!$A$1:$O$86,15,0))</f>
        <v>0</v>
      </c>
      <c r="W521" s="6">
        <f>IF(ISERROR(VLOOKUP($T$521,'TAR FIN'!$A$1:$O$86,15,0)),0,VLOOKUP($T$521,'TAR FIN'!$A$1:$O$86,15,0))</f>
        <v>289.85000000000002</v>
      </c>
      <c r="X521" s="6">
        <f>IF(ISERROR(VLOOKUP($U$521,'TAR FIN'!$A$1:$O$86,15,0)),0,VLOOKUP($U$521,'TAR FIN'!$A$1:$O$86,15,0))</f>
        <v>297.31</v>
      </c>
      <c r="Y521" s="6"/>
      <c r="Z521" s="6">
        <f ca="1">('TUSD BE'!$AM$47+'TUSD BF'!$AM$47+'TUSD CVA'!$AM$47)*1</f>
        <v>264.42854767967623</v>
      </c>
      <c r="AA521" s="6">
        <f>('TE BE'!$AB$39+'TE BF'!$AB$39+'TE CVA'!$AB$39)*1</f>
        <v>235.33989117487977</v>
      </c>
      <c r="AB521" s="6">
        <f>$K$521*$V$521</f>
        <v>0</v>
      </c>
      <c r="AC521" s="6">
        <f>$M$521*$W$521</f>
        <v>578.25075000000004</v>
      </c>
      <c r="AD521" s="6">
        <f>$O$521*$X$521</f>
        <v>593.13345000000004</v>
      </c>
      <c r="AE521" s="6">
        <f>$K$521*$Y$521</f>
        <v>0</v>
      </c>
      <c r="AF521" s="6">
        <f ca="1">$M$521*$Z$521</f>
        <v>527.53495262095407</v>
      </c>
      <c r="AG521" s="6">
        <f>$O$521*$AA$521</f>
        <v>469.50308289388516</v>
      </c>
    </row>
    <row r="522" spans="1:33" ht="11.25" customHeight="1" x14ac:dyDescent="0.25">
      <c r="A522" s="4" t="s">
        <v>21</v>
      </c>
      <c r="B522" s="4" t="s">
        <v>36</v>
      </c>
      <c r="C522" s="4" t="s">
        <v>32</v>
      </c>
      <c r="D522" s="4" t="s">
        <v>44</v>
      </c>
      <c r="E522" s="4" t="s">
        <v>25</v>
      </c>
      <c r="F522" s="4" t="s">
        <v>25</v>
      </c>
      <c r="G522" s="4" t="s">
        <v>25</v>
      </c>
      <c r="H522" s="4" t="s">
        <v>34</v>
      </c>
      <c r="I522" s="5">
        <v>44682</v>
      </c>
      <c r="J522" s="6">
        <v>0</v>
      </c>
      <c r="K522" s="6">
        <v>0</v>
      </c>
      <c r="L522" s="6">
        <v>2.1360000000000001</v>
      </c>
      <c r="M522" s="6">
        <v>2.1360000000000001</v>
      </c>
      <c r="N522" s="6">
        <v>2.1360000000000001</v>
      </c>
      <c r="O522" s="6">
        <v>2.1360000000000001</v>
      </c>
      <c r="P522" s="6">
        <v>0</v>
      </c>
      <c r="Q522" s="4" t="s">
        <v>26</v>
      </c>
      <c r="R522" s="4">
        <v>0</v>
      </c>
      <c r="S522" s="6">
        <v>0</v>
      </c>
      <c r="T522" s="6">
        <v>27</v>
      </c>
      <c r="U522" s="6">
        <v>75</v>
      </c>
      <c r="V522" s="6">
        <f>IF(ISERROR(VLOOKUP($S$522,'TAR FIN'!$A$1:$O$86,15,0)),0,VLOOKUP($S$522,'TAR FIN'!$A$1:$O$86,15,0))</f>
        <v>0</v>
      </c>
      <c r="W522" s="6">
        <f>IF(ISERROR(VLOOKUP($T$522,'TAR FIN'!$A$1:$O$86,15,0)),0,VLOOKUP($T$522,'TAR FIN'!$A$1:$O$86,15,0))</f>
        <v>289.85000000000002</v>
      </c>
      <c r="X522" s="6">
        <f>IF(ISERROR(VLOOKUP($U$522,'TAR FIN'!$A$1:$O$86,15,0)),0,VLOOKUP($U$522,'TAR FIN'!$A$1:$O$86,15,0))</f>
        <v>297.31</v>
      </c>
      <c r="Y522" s="6"/>
      <c r="Z522" s="6">
        <f ca="1">('TUSD BE'!$AM$47+'TUSD BF'!$AM$47+'TUSD CVA'!$AM$47)*1</f>
        <v>264.42854767967623</v>
      </c>
      <c r="AA522" s="6">
        <f>('TE BE'!$AB$39+'TE BF'!$AB$39+'TE CVA'!$AB$39)*1</f>
        <v>235.33989117487977</v>
      </c>
      <c r="AB522" s="6">
        <f>$K$522*$V$522</f>
        <v>0</v>
      </c>
      <c r="AC522" s="6">
        <f>$M$522*$W$522</f>
        <v>619.1196000000001</v>
      </c>
      <c r="AD522" s="6">
        <f>$O$522*$X$522</f>
        <v>635.05416000000002</v>
      </c>
      <c r="AE522" s="6">
        <f>$K$522*$Y$522</f>
        <v>0</v>
      </c>
      <c r="AF522" s="6">
        <f ca="1">$M$522*$Z$522</f>
        <v>564.8193778437884</v>
      </c>
      <c r="AG522" s="6">
        <f>$O$522*$AA$522</f>
        <v>502.68600754954321</v>
      </c>
    </row>
    <row r="523" spans="1:33" ht="11.25" customHeight="1" x14ac:dyDescent="0.25">
      <c r="A523" s="4" t="s">
        <v>55</v>
      </c>
      <c r="B523" s="4" t="s">
        <v>36</v>
      </c>
      <c r="C523" s="4" t="s">
        <v>32</v>
      </c>
      <c r="D523" s="4" t="s">
        <v>44</v>
      </c>
      <c r="E523" s="4" t="s">
        <v>25</v>
      </c>
      <c r="F523" s="4" t="s">
        <v>25</v>
      </c>
      <c r="G523" s="4" t="s">
        <v>25</v>
      </c>
      <c r="H523" s="4" t="s">
        <v>34</v>
      </c>
      <c r="I523" s="5">
        <v>44713</v>
      </c>
      <c r="J523" s="6">
        <v>0</v>
      </c>
      <c r="K523" s="6">
        <v>0</v>
      </c>
      <c r="L523" s="6">
        <v>2.1360000000000001</v>
      </c>
      <c r="M523" s="6">
        <v>2.1360000000000001</v>
      </c>
      <c r="N523" s="6">
        <v>2.1360000000000001</v>
      </c>
      <c r="O523" s="6">
        <v>2.1360000000000001</v>
      </c>
      <c r="P523" s="6">
        <v>0</v>
      </c>
      <c r="Q523" s="4" t="s">
        <v>26</v>
      </c>
      <c r="R523" s="4">
        <v>0</v>
      </c>
      <c r="S523" s="6">
        <v>0</v>
      </c>
      <c r="T523" s="6">
        <v>27</v>
      </c>
      <c r="U523" s="6">
        <v>75</v>
      </c>
      <c r="V523" s="6">
        <f>IF(ISERROR(VLOOKUP($S$523,'TAR FIN'!$A$1:$O$86,15,0)),0,VLOOKUP($S$523,'TAR FIN'!$A$1:$O$86,15,0))</f>
        <v>0</v>
      </c>
      <c r="W523" s="6">
        <f>IF(ISERROR(VLOOKUP($T$523,'TAR FIN'!$A$1:$O$86,15,0)),0,VLOOKUP($T$523,'TAR FIN'!$A$1:$O$86,15,0))</f>
        <v>289.85000000000002</v>
      </c>
      <c r="X523" s="6">
        <f>IF(ISERROR(VLOOKUP($U$523,'TAR FIN'!$A$1:$O$86,15,0)),0,VLOOKUP($U$523,'TAR FIN'!$A$1:$O$86,15,0))</f>
        <v>297.31</v>
      </c>
      <c r="Y523" s="6"/>
      <c r="Z523" s="6">
        <f ca="1">('TUSD BE'!$AM$47+'TUSD BF'!$AM$47+'TUSD CVA'!$AM$47)*1</f>
        <v>264.42854767967623</v>
      </c>
      <c r="AA523" s="6">
        <f>('TE BE'!$AB$39+'TE BF'!$AB$39+'TE CVA'!$AB$39)*1</f>
        <v>235.33989117487977</v>
      </c>
      <c r="AB523" s="6">
        <f>$K$523*$V$523</f>
        <v>0</v>
      </c>
      <c r="AC523" s="6">
        <f>$M$523*$W$523</f>
        <v>619.1196000000001</v>
      </c>
      <c r="AD523" s="6">
        <f>$O$523*$X$523</f>
        <v>635.05416000000002</v>
      </c>
      <c r="AE523" s="6">
        <f>$K$523*$Y$523</f>
        <v>0</v>
      </c>
      <c r="AF523" s="6">
        <f ca="1">$M$523*$Z$523</f>
        <v>564.8193778437884</v>
      </c>
      <c r="AG523" s="6">
        <f>$O$523*$AA$523</f>
        <v>502.68600754954321</v>
      </c>
    </row>
    <row r="524" spans="1:33" ht="11.25" customHeight="1" x14ac:dyDescent="0.25">
      <c r="A524" s="4" t="s">
        <v>21</v>
      </c>
      <c r="B524" s="4" t="s">
        <v>36</v>
      </c>
      <c r="C524" s="4" t="s">
        <v>32</v>
      </c>
      <c r="D524" s="4" t="s">
        <v>44</v>
      </c>
      <c r="E524" s="4" t="s">
        <v>25</v>
      </c>
      <c r="F524" s="4" t="s">
        <v>25</v>
      </c>
      <c r="G524" s="4" t="s">
        <v>25</v>
      </c>
      <c r="H524" s="4" t="s">
        <v>35</v>
      </c>
      <c r="I524" s="5">
        <v>44652</v>
      </c>
      <c r="J524" s="6">
        <v>0</v>
      </c>
      <c r="K524" s="6">
        <v>0</v>
      </c>
      <c r="L524" s="6">
        <v>0.155</v>
      </c>
      <c r="M524" s="6">
        <v>0.155</v>
      </c>
      <c r="N524" s="6">
        <v>0.155</v>
      </c>
      <c r="O524" s="6">
        <v>0.155</v>
      </c>
      <c r="P524" s="6">
        <v>0</v>
      </c>
      <c r="Q524" s="4" t="s">
        <v>26</v>
      </c>
      <c r="R524" s="4">
        <v>0</v>
      </c>
      <c r="S524" s="6">
        <v>0</v>
      </c>
      <c r="T524" s="6">
        <v>33</v>
      </c>
      <c r="U524" s="6">
        <v>79</v>
      </c>
      <c r="V524" s="6">
        <f>IF(ISERROR(VLOOKUP($S$524,'TAR FIN'!$A$1:$O$86,15,0)),0,VLOOKUP($S$524,'TAR FIN'!$A$1:$O$86,15,0))</f>
        <v>0</v>
      </c>
      <c r="W524" s="6">
        <f>IF(ISERROR(VLOOKUP($T$524,'TAR FIN'!$A$1:$O$86,15,0)),0,VLOOKUP($T$524,'TAR FIN'!$A$1:$O$86,15,0))</f>
        <v>484.8</v>
      </c>
      <c r="X524" s="6">
        <f>IF(ISERROR(VLOOKUP($U$524,'TAR FIN'!$A$1:$O$86,15,0)),0,VLOOKUP($U$524,'TAR FIN'!$A$1:$O$86,15,0))</f>
        <v>297.31</v>
      </c>
      <c r="Y524" s="6"/>
      <c r="Z524" s="6">
        <f ca="1">('TUSD BE'!$AM$46+'TUSD BF'!$AM$46+'TUSD CVA'!$AM$46)*1</f>
        <v>264.42854767967623</v>
      </c>
      <c r="AA524" s="6">
        <f>('TE BE'!$AB$38+'TE BF'!$AB$38+'TE CVA'!$AB$38)*1</f>
        <v>235.33989117487977</v>
      </c>
      <c r="AB524" s="6">
        <f>$K$524*$V$524</f>
        <v>0</v>
      </c>
      <c r="AC524" s="6">
        <f>$M$524*$W$524</f>
        <v>75.144000000000005</v>
      </c>
      <c r="AD524" s="6">
        <f>$O$524*$X$524</f>
        <v>46.08305</v>
      </c>
      <c r="AE524" s="6">
        <f>$K$524*$Y$524</f>
        <v>0</v>
      </c>
      <c r="AF524" s="6">
        <f ca="1">$M$524*$Z$524</f>
        <v>40.986424890349817</v>
      </c>
      <c r="AG524" s="6">
        <f>$O$524*$AA$524</f>
        <v>36.477683132106364</v>
      </c>
    </row>
    <row r="525" spans="1:33" ht="11.25" customHeight="1" x14ac:dyDescent="0.25">
      <c r="A525" s="4" t="s">
        <v>21</v>
      </c>
      <c r="B525" s="4" t="s">
        <v>36</v>
      </c>
      <c r="C525" s="4" t="s">
        <v>32</v>
      </c>
      <c r="D525" s="4" t="s">
        <v>44</v>
      </c>
      <c r="E525" s="4" t="s">
        <v>25</v>
      </c>
      <c r="F525" s="4" t="s">
        <v>25</v>
      </c>
      <c r="G525" s="4" t="s">
        <v>25</v>
      </c>
      <c r="H525" s="4" t="s">
        <v>35</v>
      </c>
      <c r="I525" s="5">
        <v>44682</v>
      </c>
      <c r="J525" s="6">
        <v>0</v>
      </c>
      <c r="K525" s="6">
        <v>0</v>
      </c>
      <c r="L525" s="6">
        <v>0.16500000000000001</v>
      </c>
      <c r="M525" s="6">
        <v>0.16500000000000001</v>
      </c>
      <c r="N525" s="6">
        <v>0.16500000000000001</v>
      </c>
      <c r="O525" s="6">
        <v>0.16500000000000001</v>
      </c>
      <c r="P525" s="6">
        <v>0</v>
      </c>
      <c r="Q525" s="4" t="s">
        <v>26</v>
      </c>
      <c r="R525" s="4">
        <v>0</v>
      </c>
      <c r="S525" s="6">
        <v>0</v>
      </c>
      <c r="T525" s="6">
        <v>33</v>
      </c>
      <c r="U525" s="6">
        <v>79</v>
      </c>
      <c r="V525" s="6">
        <f>IF(ISERROR(VLOOKUP($S$525,'TAR FIN'!$A$1:$O$86,15,0)),0,VLOOKUP($S$525,'TAR FIN'!$A$1:$O$86,15,0))</f>
        <v>0</v>
      </c>
      <c r="W525" s="6">
        <f>IF(ISERROR(VLOOKUP($T$525,'TAR FIN'!$A$1:$O$86,15,0)),0,VLOOKUP($T$525,'TAR FIN'!$A$1:$O$86,15,0))</f>
        <v>484.8</v>
      </c>
      <c r="X525" s="6">
        <f>IF(ISERROR(VLOOKUP($U$525,'TAR FIN'!$A$1:$O$86,15,0)),0,VLOOKUP($U$525,'TAR FIN'!$A$1:$O$86,15,0))</f>
        <v>297.31</v>
      </c>
      <c r="Y525" s="6"/>
      <c r="Z525" s="6">
        <f ca="1">('TUSD BE'!$AM$46+'TUSD BF'!$AM$46+'TUSD CVA'!$AM$46)*1</f>
        <v>264.42854767967623</v>
      </c>
      <c r="AA525" s="6">
        <f>('TE BE'!$AB$38+'TE BF'!$AB$38+'TE CVA'!$AB$38)*1</f>
        <v>235.33989117487977</v>
      </c>
      <c r="AB525" s="6">
        <f>$K$525*$V$525</f>
        <v>0</v>
      </c>
      <c r="AC525" s="6">
        <f>$M$525*$W$525</f>
        <v>79.992000000000004</v>
      </c>
      <c r="AD525" s="6">
        <f>$O$525*$X$525</f>
        <v>49.056150000000002</v>
      </c>
      <c r="AE525" s="6">
        <f>$K$525*$Y$525</f>
        <v>0</v>
      </c>
      <c r="AF525" s="6">
        <f ca="1">$M$525*$Z$525</f>
        <v>43.630710367146577</v>
      </c>
      <c r="AG525" s="6">
        <f>$O$525*$AA$525</f>
        <v>38.831082043855162</v>
      </c>
    </row>
    <row r="526" spans="1:33" ht="11.25" customHeight="1" x14ac:dyDescent="0.25">
      <c r="A526" s="4" t="s">
        <v>55</v>
      </c>
      <c r="B526" s="4" t="s">
        <v>36</v>
      </c>
      <c r="C526" s="4" t="s">
        <v>32</v>
      </c>
      <c r="D526" s="4" t="s">
        <v>44</v>
      </c>
      <c r="E526" s="4" t="s">
        <v>25</v>
      </c>
      <c r="F526" s="4" t="s">
        <v>25</v>
      </c>
      <c r="G526" s="4" t="s">
        <v>25</v>
      </c>
      <c r="H526" s="4" t="s">
        <v>35</v>
      </c>
      <c r="I526" s="5">
        <v>44713</v>
      </c>
      <c r="J526" s="6">
        <v>0</v>
      </c>
      <c r="K526" s="6">
        <v>0</v>
      </c>
      <c r="L526" s="6">
        <v>0.16500000000000001</v>
      </c>
      <c r="M526" s="6">
        <v>0.16500000000000001</v>
      </c>
      <c r="N526" s="6">
        <v>0.16500000000000001</v>
      </c>
      <c r="O526" s="6">
        <v>0.16500000000000001</v>
      </c>
      <c r="P526" s="6">
        <v>0</v>
      </c>
      <c r="Q526" s="4" t="s">
        <v>26</v>
      </c>
      <c r="R526" s="4">
        <v>0</v>
      </c>
      <c r="S526" s="6">
        <v>0</v>
      </c>
      <c r="T526" s="6">
        <v>33</v>
      </c>
      <c r="U526" s="6">
        <v>79</v>
      </c>
      <c r="V526" s="6">
        <f>IF(ISERROR(VLOOKUP($S$526,'TAR FIN'!$A$1:$O$86,15,0)),0,VLOOKUP($S$526,'TAR FIN'!$A$1:$O$86,15,0))</f>
        <v>0</v>
      </c>
      <c r="W526" s="6">
        <f>IF(ISERROR(VLOOKUP($T$526,'TAR FIN'!$A$1:$O$86,15,0)),0,VLOOKUP($T$526,'TAR FIN'!$A$1:$O$86,15,0))</f>
        <v>484.8</v>
      </c>
      <c r="X526" s="6">
        <f>IF(ISERROR(VLOOKUP($U$526,'TAR FIN'!$A$1:$O$86,15,0)),0,VLOOKUP($U$526,'TAR FIN'!$A$1:$O$86,15,0))</f>
        <v>297.31</v>
      </c>
      <c r="Y526" s="6"/>
      <c r="Z526" s="6">
        <f ca="1">('TUSD BE'!$AM$46+'TUSD BF'!$AM$46+'TUSD CVA'!$AM$46)*1</f>
        <v>264.42854767967623</v>
      </c>
      <c r="AA526" s="6">
        <f>('TE BE'!$AB$38+'TE BF'!$AB$38+'TE CVA'!$AB$38)*1</f>
        <v>235.33989117487977</v>
      </c>
      <c r="AB526" s="6">
        <f>$K$526*$V$526</f>
        <v>0</v>
      </c>
      <c r="AC526" s="6">
        <f>$M$526*$W$526</f>
        <v>79.992000000000004</v>
      </c>
      <c r="AD526" s="6">
        <f>$O$526*$X$526</f>
        <v>49.056150000000002</v>
      </c>
      <c r="AE526" s="6">
        <f>$K$526*$Y$526</f>
        <v>0</v>
      </c>
      <c r="AF526" s="6">
        <f ca="1">$M$526*$Z$526</f>
        <v>43.630710367146577</v>
      </c>
      <c r="AG526" s="6">
        <f>$O$526*$AA$526</f>
        <v>38.831082043855162</v>
      </c>
    </row>
    <row r="527" spans="1:33" ht="11.25" customHeight="1" x14ac:dyDescent="0.25">
      <c r="A527" s="4" t="s">
        <v>21</v>
      </c>
      <c r="B527" s="4" t="s">
        <v>36</v>
      </c>
      <c r="C527" s="4" t="s">
        <v>32</v>
      </c>
      <c r="D527" s="4" t="s">
        <v>44</v>
      </c>
      <c r="E527" s="4" t="s">
        <v>25</v>
      </c>
      <c r="F527" s="4" t="s">
        <v>25</v>
      </c>
      <c r="G527" s="4" t="s">
        <v>25</v>
      </c>
      <c r="H527" s="4" t="s">
        <v>33</v>
      </c>
      <c r="I527" s="5">
        <v>44652</v>
      </c>
      <c r="J527" s="6">
        <v>0</v>
      </c>
      <c r="K527" s="6">
        <v>0</v>
      </c>
      <c r="L527" s="6">
        <v>0.89200000000000002</v>
      </c>
      <c r="M527" s="6">
        <v>0.89200000000000002</v>
      </c>
      <c r="N527" s="6">
        <v>0.89200000000000002</v>
      </c>
      <c r="O527" s="6">
        <v>0.89200000000000002</v>
      </c>
      <c r="P527" s="6">
        <v>0</v>
      </c>
      <c r="Q527" s="4" t="s">
        <v>26</v>
      </c>
      <c r="R527" s="4">
        <v>0</v>
      </c>
      <c r="S527" s="6">
        <v>0</v>
      </c>
      <c r="T527" s="6">
        <v>29</v>
      </c>
      <c r="U527" s="6">
        <v>67</v>
      </c>
      <c r="V527" s="6">
        <f>IF(ISERROR(VLOOKUP($S$527,'TAR FIN'!$A$1:$O$86,15,0)),0,VLOOKUP($S$527,'TAR FIN'!$A$1:$O$86,15,0))</f>
        <v>0</v>
      </c>
      <c r="W527" s="6">
        <f>IF(ISERROR(VLOOKUP($T$527,'TAR FIN'!$A$1:$O$86,15,0)),0,VLOOKUP($T$527,'TAR FIN'!$A$1:$O$86,15,0))</f>
        <v>543.29</v>
      </c>
      <c r="X527" s="6">
        <f>IF(ISERROR(VLOOKUP($U$527,'TAR FIN'!$A$1:$O$86,15,0)),0,VLOOKUP($U$527,'TAR FIN'!$A$1:$O$86,15,0))</f>
        <v>503.82</v>
      </c>
      <c r="Y527" s="6"/>
      <c r="Z527" s="6">
        <f ca="1">('TUSD BE'!$AM$45+'TUSD BF'!$AM$45+'TUSD CVA'!$AM$45)*1</f>
        <v>827.79811478243016</v>
      </c>
      <c r="AA527" s="6">
        <f>('TE BE'!$AB$37+'TE BF'!$AB$37+'TE CVA'!$AB$37)*1</f>
        <v>398.01664046087393</v>
      </c>
      <c r="AB527" s="6">
        <f>$K$527*$V$527</f>
        <v>0</v>
      </c>
      <c r="AC527" s="6">
        <f>$M$527*$W$527</f>
        <v>484.61467999999996</v>
      </c>
      <c r="AD527" s="6">
        <f>$O$527*$X$527</f>
        <v>449.40744000000001</v>
      </c>
      <c r="AE527" s="6">
        <f>$K$527*$Y$527</f>
        <v>0</v>
      </c>
      <c r="AF527" s="6">
        <f ca="1">$M$527*$Z$527</f>
        <v>738.39591838592776</v>
      </c>
      <c r="AG527" s="6">
        <f>$O$527*$AA$527</f>
        <v>355.03084329109953</v>
      </c>
    </row>
    <row r="528" spans="1:33" ht="11.25" customHeight="1" x14ac:dyDescent="0.25">
      <c r="A528" s="4" t="s">
        <v>21</v>
      </c>
      <c r="B528" s="4" t="s">
        <v>36</v>
      </c>
      <c r="C528" s="4" t="s">
        <v>32</v>
      </c>
      <c r="D528" s="4" t="s">
        <v>44</v>
      </c>
      <c r="E528" s="4" t="s">
        <v>25</v>
      </c>
      <c r="F528" s="4" t="s">
        <v>25</v>
      </c>
      <c r="G528" s="4" t="s">
        <v>25</v>
      </c>
      <c r="H528" s="4" t="s">
        <v>33</v>
      </c>
      <c r="I528" s="5">
        <v>44682</v>
      </c>
      <c r="J528" s="6">
        <v>0</v>
      </c>
      <c r="K528" s="6">
        <v>0</v>
      </c>
      <c r="L528" s="6">
        <v>0.111</v>
      </c>
      <c r="M528" s="6">
        <v>0.111</v>
      </c>
      <c r="N528" s="6">
        <v>0.111</v>
      </c>
      <c r="O528" s="6">
        <v>0.111</v>
      </c>
      <c r="P528" s="6">
        <v>0</v>
      </c>
      <c r="Q528" s="4" t="s">
        <v>26</v>
      </c>
      <c r="R528" s="4">
        <v>0</v>
      </c>
      <c r="S528" s="6">
        <v>0</v>
      </c>
      <c r="T528" s="6">
        <v>29</v>
      </c>
      <c r="U528" s="6">
        <v>67</v>
      </c>
      <c r="V528" s="6">
        <f>IF(ISERROR(VLOOKUP($S$528,'TAR FIN'!$A$1:$O$86,15,0)),0,VLOOKUP($S$528,'TAR FIN'!$A$1:$O$86,15,0))</f>
        <v>0</v>
      </c>
      <c r="W528" s="6">
        <f>IF(ISERROR(VLOOKUP($T$528,'TAR FIN'!$A$1:$O$86,15,0)),0,VLOOKUP($T$528,'TAR FIN'!$A$1:$O$86,15,0))</f>
        <v>543.29</v>
      </c>
      <c r="X528" s="6">
        <f>IF(ISERROR(VLOOKUP($U$528,'TAR FIN'!$A$1:$O$86,15,0)),0,VLOOKUP($U$528,'TAR FIN'!$A$1:$O$86,15,0))</f>
        <v>503.82</v>
      </c>
      <c r="Y528" s="6"/>
      <c r="Z528" s="6">
        <f ca="1">('TUSD BE'!$AM$45+'TUSD BF'!$AM$45+'TUSD CVA'!$AM$45)*1</f>
        <v>827.79811478243016</v>
      </c>
      <c r="AA528" s="6">
        <f>('TE BE'!$AB$37+'TE BF'!$AB$37+'TE CVA'!$AB$37)*1</f>
        <v>398.01664046087393</v>
      </c>
      <c r="AB528" s="6">
        <f>$K$528*$V$528</f>
        <v>0</v>
      </c>
      <c r="AC528" s="6">
        <f>$M$528*$W$528</f>
        <v>60.305189999999996</v>
      </c>
      <c r="AD528" s="6">
        <f>$O$528*$X$528</f>
        <v>55.924019999999999</v>
      </c>
      <c r="AE528" s="6">
        <f>$K$528*$Y$528</f>
        <v>0</v>
      </c>
      <c r="AF528" s="6">
        <f ca="1">$M$528*$Z$528</f>
        <v>91.88559074084975</v>
      </c>
      <c r="AG528" s="6">
        <f>$O$528*$AA$528</f>
        <v>44.179847091157008</v>
      </c>
    </row>
    <row r="529" spans="1:33" ht="11.25" customHeight="1" x14ac:dyDescent="0.25">
      <c r="A529" s="4" t="s">
        <v>55</v>
      </c>
      <c r="B529" s="4" t="s">
        <v>36</v>
      </c>
      <c r="C529" s="4" t="s">
        <v>32</v>
      </c>
      <c r="D529" s="4" t="s">
        <v>44</v>
      </c>
      <c r="E529" s="4" t="s">
        <v>25</v>
      </c>
      <c r="F529" s="4" t="s">
        <v>25</v>
      </c>
      <c r="G529" s="4" t="s">
        <v>25</v>
      </c>
      <c r="H529" s="4" t="s">
        <v>33</v>
      </c>
      <c r="I529" s="5">
        <v>44713</v>
      </c>
      <c r="J529" s="6">
        <v>0</v>
      </c>
      <c r="K529" s="6">
        <v>0</v>
      </c>
      <c r="L529" s="6">
        <v>0.111</v>
      </c>
      <c r="M529" s="6">
        <v>0.111</v>
      </c>
      <c r="N529" s="6">
        <v>0.111</v>
      </c>
      <c r="O529" s="6">
        <v>0.111</v>
      </c>
      <c r="P529" s="6">
        <v>0</v>
      </c>
      <c r="Q529" s="4" t="s">
        <v>26</v>
      </c>
      <c r="R529" s="4">
        <v>0</v>
      </c>
      <c r="S529" s="6">
        <v>0</v>
      </c>
      <c r="T529" s="6">
        <v>29</v>
      </c>
      <c r="U529" s="6">
        <v>67</v>
      </c>
      <c r="V529" s="6">
        <f>IF(ISERROR(VLOOKUP($S$529,'TAR FIN'!$A$1:$O$86,15,0)),0,VLOOKUP($S$529,'TAR FIN'!$A$1:$O$86,15,0))</f>
        <v>0</v>
      </c>
      <c r="W529" s="6">
        <f>IF(ISERROR(VLOOKUP($T$529,'TAR FIN'!$A$1:$O$86,15,0)),0,VLOOKUP($T$529,'TAR FIN'!$A$1:$O$86,15,0))</f>
        <v>543.29</v>
      </c>
      <c r="X529" s="6">
        <f>IF(ISERROR(VLOOKUP($U$529,'TAR FIN'!$A$1:$O$86,15,0)),0,VLOOKUP($U$529,'TAR FIN'!$A$1:$O$86,15,0))</f>
        <v>503.82</v>
      </c>
      <c r="Y529" s="6"/>
      <c r="Z529" s="6">
        <f ca="1">('TUSD BE'!$AM$45+'TUSD BF'!$AM$45+'TUSD CVA'!$AM$45)*1</f>
        <v>827.79811478243016</v>
      </c>
      <c r="AA529" s="6">
        <f>('TE BE'!$AB$37+'TE BF'!$AB$37+'TE CVA'!$AB$37)*1</f>
        <v>398.01664046087393</v>
      </c>
      <c r="AB529" s="6">
        <f>$K$529*$V$529</f>
        <v>0</v>
      </c>
      <c r="AC529" s="6">
        <f>$M$529*$W$529</f>
        <v>60.305189999999996</v>
      </c>
      <c r="AD529" s="6">
        <f>$O$529*$X$529</f>
        <v>55.924019999999999</v>
      </c>
      <c r="AE529" s="6">
        <f>$K$529*$Y$529</f>
        <v>0</v>
      </c>
      <c r="AF529" s="6">
        <f ca="1">$M$529*$Z$529</f>
        <v>91.88559074084975</v>
      </c>
      <c r="AG529" s="6">
        <f>$O$529*$AA$529</f>
        <v>44.179847091157008</v>
      </c>
    </row>
    <row r="530" spans="1:33" ht="11.25" customHeight="1" x14ac:dyDescent="0.25">
      <c r="A530" s="4" t="s">
        <v>21</v>
      </c>
      <c r="B530" s="4" t="s">
        <v>36</v>
      </c>
      <c r="C530" s="4" t="s">
        <v>23</v>
      </c>
      <c r="D530" s="4" t="s">
        <v>40</v>
      </c>
      <c r="E530" s="4" t="s">
        <v>25</v>
      </c>
      <c r="F530" s="4" t="s">
        <v>25</v>
      </c>
      <c r="G530" s="4" t="s">
        <v>25</v>
      </c>
      <c r="H530" s="4" t="s">
        <v>25</v>
      </c>
      <c r="I530" s="5">
        <v>44378</v>
      </c>
      <c r="J530" s="6">
        <v>0</v>
      </c>
      <c r="K530" s="6">
        <v>0</v>
      </c>
      <c r="L530" s="6">
        <v>529.94399999999996</v>
      </c>
      <c r="M530" s="6">
        <v>529.94399999999996</v>
      </c>
      <c r="N530" s="6">
        <v>529.94399999999996</v>
      </c>
      <c r="O530" s="6">
        <v>529.94399999999996</v>
      </c>
      <c r="P530" s="6">
        <v>1187</v>
      </c>
      <c r="Q530" s="4" t="s">
        <v>26</v>
      </c>
      <c r="R530" s="4">
        <v>0</v>
      </c>
      <c r="S530" s="6">
        <v>0</v>
      </c>
      <c r="T530" s="6">
        <v>68</v>
      </c>
      <c r="U530" s="6">
        <v>76</v>
      </c>
      <c r="V530" s="6">
        <f>IF(ISERROR(VLOOKUP($S$530,'TAR FIN'!$A$1:$O$86,15,0)),0,VLOOKUP($S$530,'TAR FIN'!$A$1:$O$86,15,0))</f>
        <v>0</v>
      </c>
      <c r="W530" s="6">
        <f>IF(ISERROR(VLOOKUP($T$530,'TAR FIN'!$A$1:$O$86,15,0)),0,VLOOKUP($T$530,'TAR FIN'!$A$1:$O$86,15,0))</f>
        <v>326.98</v>
      </c>
      <c r="X530" s="6">
        <f>IF(ISERROR(VLOOKUP($U$530,'TAR FIN'!$A$1:$O$86,15,0)),0,VLOOKUP($U$530,'TAR FIN'!$A$1:$O$86,15,0))</f>
        <v>314.52</v>
      </c>
      <c r="Y530" s="6"/>
      <c r="Z530" s="6">
        <f ca="1">('TUSD BE'!$AM$48+'TUSD BF'!$AM$48+'TUSD CVA'!$AM$48)*1</f>
        <v>313.91386533817797</v>
      </c>
      <c r="AA530" s="6">
        <f>('TE BE'!$AB$40+'TE BF'!$AB$40+'TE CVA'!$AB$40)*1</f>
        <v>248.89628694871266</v>
      </c>
      <c r="AB530" s="6">
        <f>$K$530*$V$530</f>
        <v>0</v>
      </c>
      <c r="AC530" s="6">
        <f>$M$530*$W$530</f>
        <v>173281.08911999999</v>
      </c>
      <c r="AD530" s="6">
        <f>$O$530*$X$530</f>
        <v>166677.98687999998</v>
      </c>
      <c r="AE530" s="6">
        <f>$K$530*$Y$530</f>
        <v>0</v>
      </c>
      <c r="AF530" s="6">
        <f ca="1">$M$530*$Z$530</f>
        <v>166356.76945277536</v>
      </c>
      <c r="AG530" s="6">
        <f>$O$530*$AA$530</f>
        <v>131901.09389074857</v>
      </c>
    </row>
    <row r="531" spans="1:33" ht="11.25" customHeight="1" x14ac:dyDescent="0.25">
      <c r="A531" s="4" t="s">
        <v>41</v>
      </c>
      <c r="B531" s="4" t="s">
        <v>36</v>
      </c>
      <c r="C531" s="4" t="s">
        <v>23</v>
      </c>
      <c r="D531" s="4" t="s">
        <v>40</v>
      </c>
      <c r="E531" s="4" t="s">
        <v>25</v>
      </c>
      <c r="F531" s="4" t="s">
        <v>25</v>
      </c>
      <c r="G531" s="4" t="s">
        <v>25</v>
      </c>
      <c r="H531" s="4" t="s">
        <v>25</v>
      </c>
      <c r="I531" s="5">
        <v>44378</v>
      </c>
      <c r="J531" s="6">
        <v>0</v>
      </c>
      <c r="K531" s="6">
        <v>0</v>
      </c>
      <c r="L531" s="6">
        <v>0.16800000000000001</v>
      </c>
      <c r="M531" s="6">
        <v>0.16800000000000001</v>
      </c>
      <c r="N531" s="6">
        <v>0.16800000000000001</v>
      </c>
      <c r="O531" s="6">
        <v>0.16800000000000001</v>
      </c>
      <c r="P531" s="6">
        <v>0</v>
      </c>
      <c r="Q531" s="4" t="s">
        <v>26</v>
      </c>
      <c r="R531" s="4">
        <v>0</v>
      </c>
      <c r="S531" s="6">
        <v>0</v>
      </c>
      <c r="T531" s="6">
        <v>68</v>
      </c>
      <c r="U531" s="6">
        <v>76</v>
      </c>
      <c r="V531" s="6">
        <f>IF(ISERROR(VLOOKUP($S$531,'TAR FIN'!$A$1:$O$86,15,0)),0,VLOOKUP($S$531,'TAR FIN'!$A$1:$O$86,15,0))</f>
        <v>0</v>
      </c>
      <c r="W531" s="6">
        <f>IF(ISERROR(VLOOKUP($T$531,'TAR FIN'!$A$1:$O$86,15,0)),0,VLOOKUP($T$531,'TAR FIN'!$A$1:$O$86,15,0))</f>
        <v>326.98</v>
      </c>
      <c r="X531" s="6">
        <f>IF(ISERROR(VLOOKUP($U$531,'TAR FIN'!$A$1:$O$86,15,0)),0,VLOOKUP($U$531,'TAR FIN'!$A$1:$O$86,15,0))</f>
        <v>314.52</v>
      </c>
      <c r="Y531" s="6"/>
      <c r="Z531" s="6">
        <f ca="1">('TUSD BE'!$AM$48+'TUSD BF'!$AM$48+'TUSD CVA'!$AM$48)*1</f>
        <v>313.91386533817797</v>
      </c>
      <c r="AA531" s="6">
        <f>('TE BE'!$AB$40+'TE BF'!$AB$40+'TE CVA'!$AB$40)*1</f>
        <v>248.89628694871266</v>
      </c>
      <c r="AB531" s="6">
        <f>$K$531*$V$531</f>
        <v>0</v>
      </c>
      <c r="AC531" s="6">
        <f>$M$531*$W$531</f>
        <v>54.932640000000006</v>
      </c>
      <c r="AD531" s="6">
        <f>$O$531*$X$531</f>
        <v>52.839359999999999</v>
      </c>
      <c r="AE531" s="6">
        <f>$K$531*$Y$531</f>
        <v>0</v>
      </c>
      <c r="AF531" s="6">
        <f ca="1">$M$531*$Z$531</f>
        <v>52.737529376813903</v>
      </c>
      <c r="AG531" s="6">
        <f>$O$531*$AA$531</f>
        <v>41.81457620738373</v>
      </c>
    </row>
    <row r="532" spans="1:33" ht="11.25" customHeight="1" x14ac:dyDescent="0.25">
      <c r="A532" s="4" t="s">
        <v>27</v>
      </c>
      <c r="B532" s="4" t="s">
        <v>36</v>
      </c>
      <c r="C532" s="4" t="s">
        <v>23</v>
      </c>
      <c r="D532" s="4" t="s">
        <v>40</v>
      </c>
      <c r="E532" s="4" t="s">
        <v>25</v>
      </c>
      <c r="F532" s="4" t="s">
        <v>25</v>
      </c>
      <c r="G532" s="4" t="s">
        <v>25</v>
      </c>
      <c r="H532" s="4" t="s">
        <v>25</v>
      </c>
      <c r="I532" s="5">
        <v>44378</v>
      </c>
      <c r="J532" s="6">
        <v>0</v>
      </c>
      <c r="K532" s="6">
        <v>0</v>
      </c>
      <c r="L532" s="6">
        <v>51.959000000000003</v>
      </c>
      <c r="M532" s="6">
        <v>51.959000000000003</v>
      </c>
      <c r="N532" s="6">
        <v>51.959000000000003</v>
      </c>
      <c r="O532" s="6">
        <v>51.959000000000003</v>
      </c>
      <c r="P532" s="6">
        <v>76</v>
      </c>
      <c r="Q532" s="4" t="s">
        <v>26</v>
      </c>
      <c r="R532" s="4">
        <v>0</v>
      </c>
      <c r="S532" s="6">
        <v>0</v>
      </c>
      <c r="T532" s="6">
        <v>68</v>
      </c>
      <c r="U532" s="6">
        <v>76</v>
      </c>
      <c r="V532" s="6">
        <f>IF(ISERROR(VLOOKUP($S$532,'TAR FIN'!$A$1:$O$86,15,0)),0,VLOOKUP($S$532,'TAR FIN'!$A$1:$O$86,15,0))</f>
        <v>0</v>
      </c>
      <c r="W532" s="6">
        <f>IF(ISERROR(VLOOKUP($T$532,'TAR FIN'!$A$1:$O$86,15,0)),0,VLOOKUP($T$532,'TAR FIN'!$A$1:$O$86,15,0))</f>
        <v>326.98</v>
      </c>
      <c r="X532" s="6">
        <f>IF(ISERROR(VLOOKUP($U$532,'TAR FIN'!$A$1:$O$86,15,0)),0,VLOOKUP($U$532,'TAR FIN'!$A$1:$O$86,15,0))</f>
        <v>314.52</v>
      </c>
      <c r="Y532" s="6"/>
      <c r="Z532" s="6">
        <f ca="1">('TUSD BE'!$AM$48+'TUSD BF'!$AM$48+'TUSD CVA'!$AM$48)*1</f>
        <v>313.91386533817797</v>
      </c>
      <c r="AA532" s="6">
        <f>('TE BE'!$AB$40+'TE BF'!$AB$40+'TE CVA'!$AB$40)*1</f>
        <v>248.89628694871266</v>
      </c>
      <c r="AB532" s="6">
        <f>$K$532*$V$532</f>
        <v>0</v>
      </c>
      <c r="AC532" s="6">
        <f>$M$532*$W$532</f>
        <v>16989.553820000001</v>
      </c>
      <c r="AD532" s="6">
        <f>$O$532*$X$532</f>
        <v>16342.144679999999</v>
      </c>
      <c r="AE532" s="6">
        <f>$K$532*$Y$532</f>
        <v>0</v>
      </c>
      <c r="AF532" s="6">
        <f ca="1">$M$532*$Z$532</f>
        <v>16310.65052910639</v>
      </c>
      <c r="AG532" s="6">
        <f>$O$532*$AA$532</f>
        <v>12932.402173568162</v>
      </c>
    </row>
    <row r="533" spans="1:33" ht="11.25" customHeight="1" x14ac:dyDescent="0.25">
      <c r="A533" s="4" t="s">
        <v>21</v>
      </c>
      <c r="B533" s="4" t="s">
        <v>36</v>
      </c>
      <c r="C533" s="4" t="s">
        <v>23</v>
      </c>
      <c r="D533" s="4" t="s">
        <v>40</v>
      </c>
      <c r="E533" s="4" t="s">
        <v>25</v>
      </c>
      <c r="F533" s="4" t="s">
        <v>25</v>
      </c>
      <c r="G533" s="4" t="s">
        <v>25</v>
      </c>
      <c r="H533" s="4" t="s">
        <v>25</v>
      </c>
      <c r="I533" s="5">
        <v>44409</v>
      </c>
      <c r="J533" s="6">
        <v>0</v>
      </c>
      <c r="K533" s="6">
        <v>0</v>
      </c>
      <c r="L533" s="6">
        <v>559.39099999999996</v>
      </c>
      <c r="M533" s="6">
        <v>559.39099999999996</v>
      </c>
      <c r="N533" s="6">
        <v>559.39099999999996</v>
      </c>
      <c r="O533" s="6">
        <v>559.39099999999996</v>
      </c>
      <c r="P533" s="6">
        <v>1187</v>
      </c>
      <c r="Q533" s="4" t="s">
        <v>26</v>
      </c>
      <c r="R533" s="4">
        <v>0</v>
      </c>
      <c r="S533" s="6">
        <v>0</v>
      </c>
      <c r="T533" s="6">
        <v>68</v>
      </c>
      <c r="U533" s="6">
        <v>76</v>
      </c>
      <c r="V533" s="6">
        <f>IF(ISERROR(VLOOKUP($S$533,'TAR FIN'!$A$1:$O$86,15,0)),0,VLOOKUP($S$533,'TAR FIN'!$A$1:$O$86,15,0))</f>
        <v>0</v>
      </c>
      <c r="W533" s="6">
        <f>IF(ISERROR(VLOOKUP($T$533,'TAR FIN'!$A$1:$O$86,15,0)),0,VLOOKUP($T$533,'TAR FIN'!$A$1:$O$86,15,0))</f>
        <v>326.98</v>
      </c>
      <c r="X533" s="6">
        <f>IF(ISERROR(VLOOKUP($U$533,'TAR FIN'!$A$1:$O$86,15,0)),0,VLOOKUP($U$533,'TAR FIN'!$A$1:$O$86,15,0))</f>
        <v>314.52</v>
      </c>
      <c r="Y533" s="6"/>
      <c r="Z533" s="6">
        <f ca="1">('TUSD BE'!$AM$48+'TUSD BF'!$AM$48+'TUSD CVA'!$AM$48)*1</f>
        <v>313.91386533817797</v>
      </c>
      <c r="AA533" s="6">
        <f>('TE BE'!$AB$40+'TE BF'!$AB$40+'TE CVA'!$AB$40)*1</f>
        <v>248.89628694871266</v>
      </c>
      <c r="AB533" s="6">
        <f>$K$533*$V$533</f>
        <v>0</v>
      </c>
      <c r="AC533" s="6">
        <f>$M$533*$W$533</f>
        <v>182909.66918</v>
      </c>
      <c r="AD533" s="6">
        <f>$O$533*$X$533</f>
        <v>175939.65731999997</v>
      </c>
      <c r="AE533" s="6">
        <f>$K$533*$Y$533</f>
        <v>0</v>
      </c>
      <c r="AF533" s="6">
        <f ca="1">$M$533*$Z$533</f>
        <v>175600.59104538869</v>
      </c>
      <c r="AG533" s="6">
        <f>$O$533*$AA$533</f>
        <v>139230.3428525273</v>
      </c>
    </row>
    <row r="534" spans="1:33" ht="11.25" customHeight="1" x14ac:dyDescent="0.25">
      <c r="A534" s="4" t="s">
        <v>27</v>
      </c>
      <c r="B534" s="4" t="s">
        <v>36</v>
      </c>
      <c r="C534" s="4" t="s">
        <v>23</v>
      </c>
      <c r="D534" s="4" t="s">
        <v>40</v>
      </c>
      <c r="E534" s="4" t="s">
        <v>25</v>
      </c>
      <c r="F534" s="4" t="s">
        <v>25</v>
      </c>
      <c r="G534" s="4" t="s">
        <v>25</v>
      </c>
      <c r="H534" s="4" t="s">
        <v>25</v>
      </c>
      <c r="I534" s="5">
        <v>44409</v>
      </c>
      <c r="J534" s="6">
        <v>0</v>
      </c>
      <c r="K534" s="6">
        <v>0</v>
      </c>
      <c r="L534" s="6">
        <v>47.07</v>
      </c>
      <c r="M534" s="6">
        <v>47.07</v>
      </c>
      <c r="N534" s="6">
        <v>47.07</v>
      </c>
      <c r="O534" s="6">
        <v>47.07</v>
      </c>
      <c r="P534" s="6">
        <v>77</v>
      </c>
      <c r="Q534" s="4" t="s">
        <v>26</v>
      </c>
      <c r="R534" s="4">
        <v>0</v>
      </c>
      <c r="S534" s="6">
        <v>0</v>
      </c>
      <c r="T534" s="6">
        <v>68</v>
      </c>
      <c r="U534" s="6">
        <v>76</v>
      </c>
      <c r="V534" s="6">
        <f>IF(ISERROR(VLOOKUP($S$534,'TAR FIN'!$A$1:$O$86,15,0)),0,VLOOKUP($S$534,'TAR FIN'!$A$1:$O$86,15,0))</f>
        <v>0</v>
      </c>
      <c r="W534" s="6">
        <f>IF(ISERROR(VLOOKUP($T$534,'TAR FIN'!$A$1:$O$86,15,0)),0,VLOOKUP($T$534,'TAR FIN'!$A$1:$O$86,15,0))</f>
        <v>326.98</v>
      </c>
      <c r="X534" s="6">
        <f>IF(ISERROR(VLOOKUP($U$534,'TAR FIN'!$A$1:$O$86,15,0)),0,VLOOKUP($U$534,'TAR FIN'!$A$1:$O$86,15,0))</f>
        <v>314.52</v>
      </c>
      <c r="Y534" s="6"/>
      <c r="Z534" s="6">
        <f ca="1">('TUSD BE'!$AM$48+'TUSD BF'!$AM$48+'TUSD CVA'!$AM$48)*1</f>
        <v>313.91386533817797</v>
      </c>
      <c r="AA534" s="6">
        <f>('TE BE'!$AB$40+'TE BF'!$AB$40+'TE CVA'!$AB$40)*1</f>
        <v>248.89628694871266</v>
      </c>
      <c r="AB534" s="6">
        <f>$K$534*$V$534</f>
        <v>0</v>
      </c>
      <c r="AC534" s="6">
        <f>$M$534*$W$534</f>
        <v>15390.948600000002</v>
      </c>
      <c r="AD534" s="6">
        <f>$O$534*$X$534</f>
        <v>14804.456399999999</v>
      </c>
      <c r="AE534" s="6">
        <f>$K$534*$Y$534</f>
        <v>0</v>
      </c>
      <c r="AF534" s="6">
        <f ca="1">$M$534*$Z$534</f>
        <v>14775.925641468037</v>
      </c>
      <c r="AG534" s="6">
        <f>$O$534*$AA$534</f>
        <v>11715.548226675905</v>
      </c>
    </row>
    <row r="535" spans="1:33" ht="11.25" customHeight="1" x14ac:dyDescent="0.25">
      <c r="A535" s="4" t="s">
        <v>21</v>
      </c>
      <c r="B535" s="4" t="s">
        <v>36</v>
      </c>
      <c r="C535" s="4" t="s">
        <v>23</v>
      </c>
      <c r="D535" s="4" t="s">
        <v>40</v>
      </c>
      <c r="E535" s="4" t="s">
        <v>25</v>
      </c>
      <c r="F535" s="4" t="s">
        <v>25</v>
      </c>
      <c r="G535" s="4" t="s">
        <v>25</v>
      </c>
      <c r="H535" s="4" t="s">
        <v>25</v>
      </c>
      <c r="I535" s="5">
        <v>44440</v>
      </c>
      <c r="J535" s="6">
        <v>0</v>
      </c>
      <c r="K535" s="6">
        <v>0</v>
      </c>
      <c r="L535" s="6">
        <v>524.26499999999999</v>
      </c>
      <c r="M535" s="6">
        <v>524.26499999999999</v>
      </c>
      <c r="N535" s="6">
        <v>524.26499999999999</v>
      </c>
      <c r="O535" s="6">
        <v>524.26499999999999</v>
      </c>
      <c r="P535" s="6">
        <v>1192</v>
      </c>
      <c r="Q535" s="4" t="s">
        <v>26</v>
      </c>
      <c r="R535" s="4">
        <v>0</v>
      </c>
      <c r="S535" s="6">
        <v>0</v>
      </c>
      <c r="T535" s="6">
        <v>68</v>
      </c>
      <c r="U535" s="6">
        <v>76</v>
      </c>
      <c r="V535" s="6">
        <f>IF(ISERROR(VLOOKUP($S$535,'TAR FIN'!$A$1:$O$86,15,0)),0,VLOOKUP($S$535,'TAR FIN'!$A$1:$O$86,15,0))</f>
        <v>0</v>
      </c>
      <c r="W535" s="6">
        <f>IF(ISERROR(VLOOKUP($T$535,'TAR FIN'!$A$1:$O$86,15,0)),0,VLOOKUP($T$535,'TAR FIN'!$A$1:$O$86,15,0))</f>
        <v>326.98</v>
      </c>
      <c r="X535" s="6">
        <f>IF(ISERROR(VLOOKUP($U$535,'TAR FIN'!$A$1:$O$86,15,0)),0,VLOOKUP($U$535,'TAR FIN'!$A$1:$O$86,15,0))</f>
        <v>314.52</v>
      </c>
      <c r="Y535" s="6"/>
      <c r="Z535" s="6">
        <f ca="1">('TUSD BE'!$AM$48+'TUSD BF'!$AM$48+'TUSD CVA'!$AM$48)*1</f>
        <v>313.91386533817797</v>
      </c>
      <c r="AA535" s="6">
        <f>('TE BE'!$AB$40+'TE BF'!$AB$40+'TE CVA'!$AB$40)*1</f>
        <v>248.89628694871266</v>
      </c>
      <c r="AB535" s="6">
        <f>$K$535*$V$535</f>
        <v>0</v>
      </c>
      <c r="AC535" s="6">
        <f>$M$535*$W$535</f>
        <v>171424.1697</v>
      </c>
      <c r="AD535" s="6">
        <f>$O$535*$X$535</f>
        <v>164891.8278</v>
      </c>
      <c r="AE535" s="6">
        <f>$K$535*$Y$535</f>
        <v>0</v>
      </c>
      <c r="AF535" s="6">
        <f ca="1">$M$535*$Z$535</f>
        <v>164574.05261151987</v>
      </c>
      <c r="AG535" s="6">
        <f>$O$535*$AA$535</f>
        <v>130487.61187716684</v>
      </c>
    </row>
    <row r="536" spans="1:33" ht="11.25" customHeight="1" x14ac:dyDescent="0.25">
      <c r="A536" s="4" t="s">
        <v>27</v>
      </c>
      <c r="B536" s="4" t="s">
        <v>36</v>
      </c>
      <c r="C536" s="4" t="s">
        <v>23</v>
      </c>
      <c r="D536" s="4" t="s">
        <v>40</v>
      </c>
      <c r="E536" s="4" t="s">
        <v>25</v>
      </c>
      <c r="F536" s="4" t="s">
        <v>25</v>
      </c>
      <c r="G536" s="4" t="s">
        <v>25</v>
      </c>
      <c r="H536" s="4" t="s">
        <v>25</v>
      </c>
      <c r="I536" s="5">
        <v>44440</v>
      </c>
      <c r="J536" s="6">
        <v>0</v>
      </c>
      <c r="K536" s="6">
        <v>0</v>
      </c>
      <c r="L536" s="6">
        <v>43.085999999999999</v>
      </c>
      <c r="M536" s="6">
        <v>43.085999999999999</v>
      </c>
      <c r="N536" s="6">
        <v>43.085999999999999</v>
      </c>
      <c r="O536" s="6">
        <v>43.085999999999999</v>
      </c>
      <c r="P536" s="6">
        <v>79</v>
      </c>
      <c r="Q536" s="4" t="s">
        <v>26</v>
      </c>
      <c r="R536" s="4">
        <v>0</v>
      </c>
      <c r="S536" s="6">
        <v>0</v>
      </c>
      <c r="T536" s="6">
        <v>68</v>
      </c>
      <c r="U536" s="6">
        <v>76</v>
      </c>
      <c r="V536" s="6">
        <f>IF(ISERROR(VLOOKUP($S$536,'TAR FIN'!$A$1:$O$86,15,0)),0,VLOOKUP($S$536,'TAR FIN'!$A$1:$O$86,15,0))</f>
        <v>0</v>
      </c>
      <c r="W536" s="6">
        <f>IF(ISERROR(VLOOKUP($T$536,'TAR FIN'!$A$1:$O$86,15,0)),0,VLOOKUP($T$536,'TAR FIN'!$A$1:$O$86,15,0))</f>
        <v>326.98</v>
      </c>
      <c r="X536" s="6">
        <f>IF(ISERROR(VLOOKUP($U$536,'TAR FIN'!$A$1:$O$86,15,0)),0,VLOOKUP($U$536,'TAR FIN'!$A$1:$O$86,15,0))</f>
        <v>314.52</v>
      </c>
      <c r="Y536" s="6"/>
      <c r="Z536" s="6">
        <f ca="1">('TUSD BE'!$AM$48+'TUSD BF'!$AM$48+'TUSD CVA'!$AM$48)*1</f>
        <v>313.91386533817797</v>
      </c>
      <c r="AA536" s="6">
        <f>('TE BE'!$AB$40+'TE BF'!$AB$40+'TE CVA'!$AB$40)*1</f>
        <v>248.89628694871266</v>
      </c>
      <c r="AB536" s="6">
        <f>$K$536*$V$536</f>
        <v>0</v>
      </c>
      <c r="AC536" s="6">
        <f>$M$536*$W$536</f>
        <v>14088.26028</v>
      </c>
      <c r="AD536" s="6">
        <f>$O$536*$X$536</f>
        <v>13551.408719999999</v>
      </c>
      <c r="AE536" s="6">
        <f>$K$536*$Y$536</f>
        <v>0</v>
      </c>
      <c r="AF536" s="6">
        <f ca="1">$M$536*$Z$536</f>
        <v>13525.292801960735</v>
      </c>
      <c r="AG536" s="6">
        <f>$O$536*$AA$536</f>
        <v>10723.945419472233</v>
      </c>
    </row>
    <row r="537" spans="1:33" ht="11.25" customHeight="1" x14ac:dyDescent="0.25">
      <c r="A537" s="4" t="s">
        <v>27</v>
      </c>
      <c r="B537" s="4" t="s">
        <v>36</v>
      </c>
      <c r="C537" s="4" t="s">
        <v>23</v>
      </c>
      <c r="D537" s="4" t="s">
        <v>40</v>
      </c>
      <c r="E537" s="4" t="s">
        <v>25</v>
      </c>
      <c r="F537" s="4" t="s">
        <v>25</v>
      </c>
      <c r="G537" s="4" t="s">
        <v>25</v>
      </c>
      <c r="H537" s="4" t="s">
        <v>25</v>
      </c>
      <c r="I537" s="5">
        <v>44440</v>
      </c>
      <c r="J537" s="6">
        <v>0</v>
      </c>
      <c r="K537" s="6">
        <v>0</v>
      </c>
      <c r="L537" s="6">
        <v>0.54800000000000004</v>
      </c>
      <c r="M537" s="6">
        <v>0.54800000000000004</v>
      </c>
      <c r="N537" s="6">
        <v>0.54800000000000004</v>
      </c>
      <c r="O537" s="6">
        <v>0.54800000000000004</v>
      </c>
      <c r="P537" s="6">
        <v>2</v>
      </c>
      <c r="Q537" s="4" t="s">
        <v>26</v>
      </c>
      <c r="R537" s="4">
        <v>0</v>
      </c>
      <c r="S537" s="6">
        <v>0</v>
      </c>
      <c r="T537" s="6">
        <v>68</v>
      </c>
      <c r="U537" s="6">
        <v>76</v>
      </c>
      <c r="V537" s="6">
        <f>IF(ISERROR(VLOOKUP($S$537,'TAR FIN'!$A$1:$O$86,15,0)),0,VLOOKUP($S$537,'TAR FIN'!$A$1:$O$86,15,0))</f>
        <v>0</v>
      </c>
      <c r="W537" s="6">
        <f>IF(ISERROR(VLOOKUP($T$537,'TAR FIN'!$A$1:$O$86,15,0)),0,VLOOKUP($T$537,'TAR FIN'!$A$1:$O$86,15,0))</f>
        <v>326.98</v>
      </c>
      <c r="X537" s="6">
        <f>IF(ISERROR(VLOOKUP($U$537,'TAR FIN'!$A$1:$O$86,15,0)),0,VLOOKUP($U$537,'TAR FIN'!$A$1:$O$86,15,0))</f>
        <v>314.52</v>
      </c>
      <c r="Y537" s="6"/>
      <c r="Z537" s="6">
        <f ca="1">('TUSD BE'!$AM$48+'TUSD BF'!$AM$48+'TUSD CVA'!$AM$48)*1</f>
        <v>313.91386533817797</v>
      </c>
      <c r="AA537" s="6">
        <f>('TE BE'!$AB$40+'TE BF'!$AB$40+'TE CVA'!$AB$40)*1</f>
        <v>248.89628694871266</v>
      </c>
      <c r="AB537" s="6">
        <f>$K$537*$V$537</f>
        <v>0</v>
      </c>
      <c r="AC537" s="6">
        <f>$M$537*$W$537</f>
        <v>179.18504000000001</v>
      </c>
      <c r="AD537" s="6">
        <f>$O$537*$X$537</f>
        <v>172.35696000000002</v>
      </c>
      <c r="AE537" s="6">
        <f>$K$537*$Y$537</f>
        <v>0</v>
      </c>
      <c r="AF537" s="6">
        <f ca="1">$M$537*$Z$537</f>
        <v>172.02479820532153</v>
      </c>
      <c r="AG537" s="6">
        <f>$O$537*$AA$537</f>
        <v>136.39516524789454</v>
      </c>
    </row>
    <row r="538" spans="1:33" ht="11.25" customHeight="1" x14ac:dyDescent="0.25">
      <c r="A538" s="4" t="s">
        <v>21</v>
      </c>
      <c r="B538" s="4" t="s">
        <v>36</v>
      </c>
      <c r="C538" s="4" t="s">
        <v>23</v>
      </c>
      <c r="D538" s="4" t="s">
        <v>40</v>
      </c>
      <c r="E538" s="4" t="s">
        <v>25</v>
      </c>
      <c r="F538" s="4" t="s">
        <v>25</v>
      </c>
      <c r="G538" s="4" t="s">
        <v>25</v>
      </c>
      <c r="H538" s="4" t="s">
        <v>25</v>
      </c>
      <c r="I538" s="5">
        <v>44470</v>
      </c>
      <c r="J538" s="6">
        <v>0</v>
      </c>
      <c r="K538" s="6">
        <v>0</v>
      </c>
      <c r="L538" s="6">
        <v>532.71600000000001</v>
      </c>
      <c r="M538" s="6">
        <v>532.71600000000001</v>
      </c>
      <c r="N538" s="6">
        <v>532.71600000000001</v>
      </c>
      <c r="O538" s="6">
        <v>532.71600000000001</v>
      </c>
      <c r="P538" s="6">
        <v>1194</v>
      </c>
      <c r="Q538" s="4" t="s">
        <v>26</v>
      </c>
      <c r="R538" s="4">
        <v>0</v>
      </c>
      <c r="S538" s="6">
        <v>0</v>
      </c>
      <c r="T538" s="6">
        <v>68</v>
      </c>
      <c r="U538" s="6">
        <v>76</v>
      </c>
      <c r="V538" s="6">
        <f>IF(ISERROR(VLOOKUP($S$538,'TAR FIN'!$A$1:$O$86,15,0)),0,VLOOKUP($S$538,'TAR FIN'!$A$1:$O$86,15,0))</f>
        <v>0</v>
      </c>
      <c r="W538" s="6">
        <f>IF(ISERROR(VLOOKUP($T$538,'TAR FIN'!$A$1:$O$86,15,0)),0,VLOOKUP($T$538,'TAR FIN'!$A$1:$O$86,15,0))</f>
        <v>326.98</v>
      </c>
      <c r="X538" s="6">
        <f>IF(ISERROR(VLOOKUP($U$538,'TAR FIN'!$A$1:$O$86,15,0)),0,VLOOKUP($U$538,'TAR FIN'!$A$1:$O$86,15,0))</f>
        <v>314.52</v>
      </c>
      <c r="Y538" s="6"/>
      <c r="Z538" s="6">
        <f ca="1">('TUSD BE'!$AM$48+'TUSD BF'!$AM$48+'TUSD CVA'!$AM$48)*1</f>
        <v>313.91386533817797</v>
      </c>
      <c r="AA538" s="6">
        <f>('TE BE'!$AB$40+'TE BF'!$AB$40+'TE CVA'!$AB$40)*1</f>
        <v>248.89628694871266</v>
      </c>
      <c r="AB538" s="6">
        <f>$K$538*$V$538</f>
        <v>0</v>
      </c>
      <c r="AC538" s="6">
        <f>$M$538*$W$538</f>
        <v>174187.47768000001</v>
      </c>
      <c r="AD538" s="6">
        <f>$O$538*$X$538</f>
        <v>167549.83632</v>
      </c>
      <c r="AE538" s="6">
        <f>$K$538*$Y$538</f>
        <v>0</v>
      </c>
      <c r="AF538" s="6">
        <f ca="1">$M$538*$Z$538</f>
        <v>167226.93868749283</v>
      </c>
      <c r="AG538" s="6">
        <f>$O$538*$AA$538</f>
        <v>132591.03439817042</v>
      </c>
    </row>
    <row r="539" spans="1:33" ht="11.25" customHeight="1" x14ac:dyDescent="0.25">
      <c r="A539" s="4" t="s">
        <v>27</v>
      </c>
      <c r="B539" s="4" t="s">
        <v>36</v>
      </c>
      <c r="C539" s="4" t="s">
        <v>23</v>
      </c>
      <c r="D539" s="4" t="s">
        <v>40</v>
      </c>
      <c r="E539" s="4" t="s">
        <v>25</v>
      </c>
      <c r="F539" s="4" t="s">
        <v>25</v>
      </c>
      <c r="G539" s="4" t="s">
        <v>25</v>
      </c>
      <c r="H539" s="4" t="s">
        <v>25</v>
      </c>
      <c r="I539" s="5">
        <v>44470</v>
      </c>
      <c r="J539" s="6">
        <v>0</v>
      </c>
      <c r="K539" s="6">
        <v>0</v>
      </c>
      <c r="L539" s="6">
        <v>34.887999999999998</v>
      </c>
      <c r="M539" s="6">
        <v>34.887999999999998</v>
      </c>
      <c r="N539" s="6">
        <v>34.887999999999998</v>
      </c>
      <c r="O539" s="6">
        <v>34.887999999999998</v>
      </c>
      <c r="P539" s="6">
        <v>82</v>
      </c>
      <c r="Q539" s="4" t="s">
        <v>26</v>
      </c>
      <c r="R539" s="4">
        <v>0</v>
      </c>
      <c r="S539" s="6">
        <v>0</v>
      </c>
      <c r="T539" s="6">
        <v>68</v>
      </c>
      <c r="U539" s="6">
        <v>76</v>
      </c>
      <c r="V539" s="6">
        <f>IF(ISERROR(VLOOKUP($S$539,'TAR FIN'!$A$1:$O$86,15,0)),0,VLOOKUP($S$539,'TAR FIN'!$A$1:$O$86,15,0))</f>
        <v>0</v>
      </c>
      <c r="W539" s="6">
        <f>IF(ISERROR(VLOOKUP($T$539,'TAR FIN'!$A$1:$O$86,15,0)),0,VLOOKUP($T$539,'TAR FIN'!$A$1:$O$86,15,0))</f>
        <v>326.98</v>
      </c>
      <c r="X539" s="6">
        <f>IF(ISERROR(VLOOKUP($U$539,'TAR FIN'!$A$1:$O$86,15,0)),0,VLOOKUP($U$539,'TAR FIN'!$A$1:$O$86,15,0))</f>
        <v>314.52</v>
      </c>
      <c r="Y539" s="6"/>
      <c r="Z539" s="6">
        <f ca="1">('TUSD BE'!$AM$48+'TUSD BF'!$AM$48+'TUSD CVA'!$AM$48)*1</f>
        <v>313.91386533817797</v>
      </c>
      <c r="AA539" s="6">
        <f>('TE BE'!$AB$40+'TE BF'!$AB$40+'TE CVA'!$AB$40)*1</f>
        <v>248.89628694871266</v>
      </c>
      <c r="AB539" s="6">
        <f>$K$539*$V$539</f>
        <v>0</v>
      </c>
      <c r="AC539" s="6">
        <f>$M$539*$W$539</f>
        <v>11407.678239999999</v>
      </c>
      <c r="AD539" s="6">
        <f>$O$539*$X$539</f>
        <v>10972.973759999999</v>
      </c>
      <c r="AE539" s="6">
        <f>$K$539*$Y$539</f>
        <v>0</v>
      </c>
      <c r="AF539" s="6">
        <f ca="1">$M$539*$Z$539</f>
        <v>10951.826933918352</v>
      </c>
      <c r="AG539" s="6">
        <f>$O$539*$AA$539</f>
        <v>8683.4936590666875</v>
      </c>
    </row>
    <row r="540" spans="1:33" ht="11.25" customHeight="1" x14ac:dyDescent="0.25">
      <c r="A540" s="4" t="s">
        <v>21</v>
      </c>
      <c r="B540" s="4" t="s">
        <v>36</v>
      </c>
      <c r="C540" s="4" t="s">
        <v>23</v>
      </c>
      <c r="D540" s="4" t="s">
        <v>40</v>
      </c>
      <c r="E540" s="4" t="s">
        <v>25</v>
      </c>
      <c r="F540" s="4" t="s">
        <v>25</v>
      </c>
      <c r="G540" s="4" t="s">
        <v>25</v>
      </c>
      <c r="H540" s="4" t="s">
        <v>25</v>
      </c>
      <c r="I540" s="5">
        <v>44501</v>
      </c>
      <c r="J540" s="6">
        <v>0</v>
      </c>
      <c r="K540" s="6">
        <v>0</v>
      </c>
      <c r="L540" s="6">
        <v>720.68</v>
      </c>
      <c r="M540" s="6">
        <v>720.68</v>
      </c>
      <c r="N540" s="6">
        <v>720.68</v>
      </c>
      <c r="O540" s="6">
        <v>720.68</v>
      </c>
      <c r="P540" s="6">
        <v>1199</v>
      </c>
      <c r="Q540" s="4" t="s">
        <v>26</v>
      </c>
      <c r="R540" s="4">
        <v>0</v>
      </c>
      <c r="S540" s="6">
        <v>0</v>
      </c>
      <c r="T540" s="6">
        <v>68</v>
      </c>
      <c r="U540" s="6">
        <v>76</v>
      </c>
      <c r="V540" s="6">
        <f>IF(ISERROR(VLOOKUP($S$540,'TAR FIN'!$A$1:$O$86,15,0)),0,VLOOKUP($S$540,'TAR FIN'!$A$1:$O$86,15,0))</f>
        <v>0</v>
      </c>
      <c r="W540" s="6">
        <f>IF(ISERROR(VLOOKUP($T$540,'TAR FIN'!$A$1:$O$86,15,0)),0,VLOOKUP($T$540,'TAR FIN'!$A$1:$O$86,15,0))</f>
        <v>326.98</v>
      </c>
      <c r="X540" s="6">
        <f>IF(ISERROR(VLOOKUP($U$540,'TAR FIN'!$A$1:$O$86,15,0)),0,VLOOKUP($U$540,'TAR FIN'!$A$1:$O$86,15,0))</f>
        <v>314.52</v>
      </c>
      <c r="Y540" s="6"/>
      <c r="Z540" s="6">
        <f ca="1">('TUSD BE'!$AM$48+'TUSD BF'!$AM$48+'TUSD CVA'!$AM$48)*1</f>
        <v>313.91386533817797</v>
      </c>
      <c r="AA540" s="6">
        <f>('TE BE'!$AB$40+'TE BF'!$AB$40+'TE CVA'!$AB$40)*1</f>
        <v>248.89628694871266</v>
      </c>
      <c r="AB540" s="6">
        <f>$K$540*$V$540</f>
        <v>0</v>
      </c>
      <c r="AC540" s="6">
        <f>$M$540*$W$540</f>
        <v>235647.94639999999</v>
      </c>
      <c r="AD540" s="6">
        <f>$O$540*$X$540</f>
        <v>226668.27359999996</v>
      </c>
      <c r="AE540" s="6">
        <f>$K$540*$Y$540</f>
        <v>0</v>
      </c>
      <c r="AF540" s="6">
        <f ca="1">$M$540*$Z$540</f>
        <v>226231.44447191808</v>
      </c>
      <c r="AG540" s="6">
        <f>$O$540*$AA$540</f>
        <v>179374.57607819824</v>
      </c>
    </row>
    <row r="541" spans="1:33" ht="11.25" customHeight="1" x14ac:dyDescent="0.25">
      <c r="A541" s="4" t="s">
        <v>27</v>
      </c>
      <c r="B541" s="4" t="s">
        <v>36</v>
      </c>
      <c r="C541" s="4" t="s">
        <v>23</v>
      </c>
      <c r="D541" s="4" t="s">
        <v>40</v>
      </c>
      <c r="E541" s="4" t="s">
        <v>25</v>
      </c>
      <c r="F541" s="4" t="s">
        <v>25</v>
      </c>
      <c r="G541" s="4" t="s">
        <v>25</v>
      </c>
      <c r="H541" s="4" t="s">
        <v>25</v>
      </c>
      <c r="I541" s="5">
        <v>44501</v>
      </c>
      <c r="J541" s="6">
        <v>0</v>
      </c>
      <c r="K541" s="6">
        <v>0</v>
      </c>
      <c r="L541" s="6">
        <v>46.453000000000003</v>
      </c>
      <c r="M541" s="6">
        <v>46.453000000000003</v>
      </c>
      <c r="N541" s="6">
        <v>46.453000000000003</v>
      </c>
      <c r="O541" s="6">
        <v>46.453000000000003</v>
      </c>
      <c r="P541" s="6">
        <v>85</v>
      </c>
      <c r="Q541" s="4" t="s">
        <v>26</v>
      </c>
      <c r="R541" s="4">
        <v>0</v>
      </c>
      <c r="S541" s="6">
        <v>0</v>
      </c>
      <c r="T541" s="6">
        <v>68</v>
      </c>
      <c r="U541" s="6">
        <v>76</v>
      </c>
      <c r="V541" s="6">
        <f>IF(ISERROR(VLOOKUP($S$541,'TAR FIN'!$A$1:$O$86,15,0)),0,VLOOKUP($S$541,'TAR FIN'!$A$1:$O$86,15,0))</f>
        <v>0</v>
      </c>
      <c r="W541" s="6">
        <f>IF(ISERROR(VLOOKUP($T$541,'TAR FIN'!$A$1:$O$86,15,0)),0,VLOOKUP($T$541,'TAR FIN'!$A$1:$O$86,15,0))</f>
        <v>326.98</v>
      </c>
      <c r="X541" s="6">
        <f>IF(ISERROR(VLOOKUP($U$541,'TAR FIN'!$A$1:$O$86,15,0)),0,VLOOKUP($U$541,'TAR FIN'!$A$1:$O$86,15,0))</f>
        <v>314.52</v>
      </c>
      <c r="Y541" s="6"/>
      <c r="Z541" s="6">
        <f ca="1">('TUSD BE'!$AM$48+'TUSD BF'!$AM$48+'TUSD CVA'!$AM$48)*1</f>
        <v>313.91386533817797</v>
      </c>
      <c r="AA541" s="6">
        <f>('TE BE'!$AB$40+'TE BF'!$AB$40+'TE CVA'!$AB$40)*1</f>
        <v>248.89628694871266</v>
      </c>
      <c r="AB541" s="6">
        <f>$K$541*$V$541</f>
        <v>0</v>
      </c>
      <c r="AC541" s="6">
        <f>$M$541*$W$541</f>
        <v>15189.201940000003</v>
      </c>
      <c r="AD541" s="6">
        <f>$O$541*$X$541</f>
        <v>14610.397559999999</v>
      </c>
      <c r="AE541" s="6">
        <f>$K$541*$Y$541</f>
        <v>0</v>
      </c>
      <c r="AF541" s="6">
        <f ca="1">$M$541*$Z$541</f>
        <v>14582.240786554383</v>
      </c>
      <c r="AG541" s="6">
        <f>$O$541*$AA$541</f>
        <v>11561.97921762855</v>
      </c>
    </row>
    <row r="542" spans="1:33" ht="11.25" customHeight="1" x14ac:dyDescent="0.25">
      <c r="A542" s="4" t="s">
        <v>21</v>
      </c>
      <c r="B542" s="4" t="s">
        <v>36</v>
      </c>
      <c r="C542" s="4" t="s">
        <v>23</v>
      </c>
      <c r="D542" s="4" t="s">
        <v>40</v>
      </c>
      <c r="E542" s="4" t="s">
        <v>25</v>
      </c>
      <c r="F542" s="4" t="s">
        <v>25</v>
      </c>
      <c r="G542" s="4" t="s">
        <v>25</v>
      </c>
      <c r="H542" s="4" t="s">
        <v>25</v>
      </c>
      <c r="I542" s="5">
        <v>44531</v>
      </c>
      <c r="J542" s="6">
        <v>0</v>
      </c>
      <c r="K542" s="6">
        <v>0</v>
      </c>
      <c r="L542" s="6">
        <v>813.173</v>
      </c>
      <c r="M542" s="6">
        <v>813.173</v>
      </c>
      <c r="N542" s="6">
        <v>813.173</v>
      </c>
      <c r="O542" s="6">
        <v>813.173</v>
      </c>
      <c r="P542" s="6">
        <v>1205</v>
      </c>
      <c r="Q542" s="4" t="s">
        <v>26</v>
      </c>
      <c r="R542" s="4">
        <v>0</v>
      </c>
      <c r="S542" s="6">
        <v>0</v>
      </c>
      <c r="T542" s="6">
        <v>68</v>
      </c>
      <c r="U542" s="6">
        <v>76</v>
      </c>
      <c r="V542" s="6">
        <f>IF(ISERROR(VLOOKUP($S$542,'TAR FIN'!$A$1:$O$86,15,0)),0,VLOOKUP($S$542,'TAR FIN'!$A$1:$O$86,15,0))</f>
        <v>0</v>
      </c>
      <c r="W542" s="6">
        <f>IF(ISERROR(VLOOKUP($T$542,'TAR FIN'!$A$1:$O$86,15,0)),0,VLOOKUP($T$542,'TAR FIN'!$A$1:$O$86,15,0))</f>
        <v>326.98</v>
      </c>
      <c r="X542" s="6">
        <f>IF(ISERROR(VLOOKUP($U$542,'TAR FIN'!$A$1:$O$86,15,0)),0,VLOOKUP($U$542,'TAR FIN'!$A$1:$O$86,15,0))</f>
        <v>314.52</v>
      </c>
      <c r="Y542" s="6"/>
      <c r="Z542" s="6">
        <f ca="1">('TUSD BE'!$AM$48+'TUSD BF'!$AM$48+'TUSD CVA'!$AM$48)*1</f>
        <v>313.91386533817797</v>
      </c>
      <c r="AA542" s="6">
        <f>('TE BE'!$AB$40+'TE BF'!$AB$40+'TE CVA'!$AB$40)*1</f>
        <v>248.89628694871266</v>
      </c>
      <c r="AB542" s="6">
        <f>$K$542*$V$542</f>
        <v>0</v>
      </c>
      <c r="AC542" s="6">
        <f>$M$542*$W$542</f>
        <v>265891.30754000001</v>
      </c>
      <c r="AD542" s="6">
        <f>$O$542*$X$542</f>
        <v>255759.17195999998</v>
      </c>
      <c r="AE542" s="6">
        <f>$K$542*$Y$542</f>
        <v>0</v>
      </c>
      <c r="AF542" s="6">
        <f ca="1">$M$542*$Z$542</f>
        <v>255266.27961864221</v>
      </c>
      <c r="AG542" s="6">
        <f>$O$542*$AA$542</f>
        <v>202395.74034694553</v>
      </c>
    </row>
    <row r="543" spans="1:33" ht="11.25" customHeight="1" x14ac:dyDescent="0.25">
      <c r="A543" s="4" t="s">
        <v>27</v>
      </c>
      <c r="B543" s="4" t="s">
        <v>36</v>
      </c>
      <c r="C543" s="4" t="s">
        <v>23</v>
      </c>
      <c r="D543" s="4" t="s">
        <v>40</v>
      </c>
      <c r="E543" s="4" t="s">
        <v>25</v>
      </c>
      <c r="F543" s="4" t="s">
        <v>25</v>
      </c>
      <c r="G543" s="4" t="s">
        <v>25</v>
      </c>
      <c r="H543" s="4" t="s">
        <v>25</v>
      </c>
      <c r="I543" s="5">
        <v>44531</v>
      </c>
      <c r="J543" s="6">
        <v>0</v>
      </c>
      <c r="K543" s="6">
        <v>0</v>
      </c>
      <c r="L543" s="6">
        <v>48.036999999999999</v>
      </c>
      <c r="M543" s="6">
        <v>48.036999999999999</v>
      </c>
      <c r="N543" s="6">
        <v>48.036999999999999</v>
      </c>
      <c r="O543" s="6">
        <v>48.036999999999999</v>
      </c>
      <c r="P543" s="6">
        <v>85</v>
      </c>
      <c r="Q543" s="4" t="s">
        <v>26</v>
      </c>
      <c r="R543" s="4">
        <v>0</v>
      </c>
      <c r="S543" s="6">
        <v>0</v>
      </c>
      <c r="T543" s="6">
        <v>68</v>
      </c>
      <c r="U543" s="6">
        <v>76</v>
      </c>
      <c r="V543" s="6">
        <f>IF(ISERROR(VLOOKUP($S$543,'TAR FIN'!$A$1:$O$86,15,0)),0,VLOOKUP($S$543,'TAR FIN'!$A$1:$O$86,15,0))</f>
        <v>0</v>
      </c>
      <c r="W543" s="6">
        <f>IF(ISERROR(VLOOKUP($T$543,'TAR FIN'!$A$1:$O$86,15,0)),0,VLOOKUP($T$543,'TAR FIN'!$A$1:$O$86,15,0))</f>
        <v>326.98</v>
      </c>
      <c r="X543" s="6">
        <f>IF(ISERROR(VLOOKUP($U$543,'TAR FIN'!$A$1:$O$86,15,0)),0,VLOOKUP($U$543,'TAR FIN'!$A$1:$O$86,15,0))</f>
        <v>314.52</v>
      </c>
      <c r="Y543" s="6"/>
      <c r="Z543" s="6">
        <f ca="1">('TUSD BE'!$AM$48+'TUSD BF'!$AM$48+'TUSD CVA'!$AM$48)*1</f>
        <v>313.91386533817797</v>
      </c>
      <c r="AA543" s="6">
        <f>('TE BE'!$AB$40+'TE BF'!$AB$40+'TE CVA'!$AB$40)*1</f>
        <v>248.89628694871266</v>
      </c>
      <c r="AB543" s="6">
        <f>$K$543*$V$543</f>
        <v>0</v>
      </c>
      <c r="AC543" s="6">
        <f>$M$543*$W$543</f>
        <v>15707.13826</v>
      </c>
      <c r="AD543" s="6">
        <f>$O$543*$X$543</f>
        <v>15108.597239999999</v>
      </c>
      <c r="AE543" s="6">
        <f>$K$543*$Y$543</f>
        <v>0</v>
      </c>
      <c r="AF543" s="6">
        <f ca="1">$M$543*$Z$543</f>
        <v>15079.480349250054</v>
      </c>
      <c r="AG543" s="6">
        <f>$O$543*$AA$543</f>
        <v>11956.230936155309</v>
      </c>
    </row>
    <row r="544" spans="1:33" ht="11.25" customHeight="1" x14ac:dyDescent="0.25">
      <c r="A544" s="4" t="s">
        <v>21</v>
      </c>
      <c r="B544" s="4" t="s">
        <v>36</v>
      </c>
      <c r="C544" s="4" t="s">
        <v>23</v>
      </c>
      <c r="D544" s="4" t="s">
        <v>40</v>
      </c>
      <c r="E544" s="4" t="s">
        <v>25</v>
      </c>
      <c r="F544" s="4" t="s">
        <v>25</v>
      </c>
      <c r="G544" s="4" t="s">
        <v>25</v>
      </c>
      <c r="H544" s="4" t="s">
        <v>25</v>
      </c>
      <c r="I544" s="5">
        <v>44562</v>
      </c>
      <c r="J544" s="6">
        <v>0</v>
      </c>
      <c r="K544" s="6">
        <v>0</v>
      </c>
      <c r="L544" s="6">
        <v>862.79100000000005</v>
      </c>
      <c r="M544" s="6">
        <v>862.79100000000005</v>
      </c>
      <c r="N544" s="6">
        <v>862.79100000000005</v>
      </c>
      <c r="O544" s="6">
        <v>862.79100000000005</v>
      </c>
      <c r="P544" s="6">
        <v>1202</v>
      </c>
      <c r="Q544" s="4" t="s">
        <v>26</v>
      </c>
      <c r="R544" s="4">
        <v>0</v>
      </c>
      <c r="S544" s="6">
        <v>0</v>
      </c>
      <c r="T544" s="6">
        <v>68</v>
      </c>
      <c r="U544" s="6">
        <v>76</v>
      </c>
      <c r="V544" s="6">
        <f>IF(ISERROR(VLOOKUP($S$544,'TAR FIN'!$A$1:$O$86,15,0)),0,VLOOKUP($S$544,'TAR FIN'!$A$1:$O$86,15,0))</f>
        <v>0</v>
      </c>
      <c r="W544" s="6">
        <f>IF(ISERROR(VLOOKUP($T$544,'TAR FIN'!$A$1:$O$86,15,0)),0,VLOOKUP($T$544,'TAR FIN'!$A$1:$O$86,15,0))</f>
        <v>326.98</v>
      </c>
      <c r="X544" s="6">
        <f>IF(ISERROR(VLOOKUP($U$544,'TAR FIN'!$A$1:$O$86,15,0)),0,VLOOKUP($U$544,'TAR FIN'!$A$1:$O$86,15,0))</f>
        <v>314.52</v>
      </c>
      <c r="Y544" s="6"/>
      <c r="Z544" s="6">
        <f ca="1">('TUSD BE'!$AM$48+'TUSD BF'!$AM$48+'TUSD CVA'!$AM$48)*1</f>
        <v>313.91386533817797</v>
      </c>
      <c r="AA544" s="6">
        <f>('TE BE'!$AB$40+'TE BF'!$AB$40+'TE CVA'!$AB$40)*1</f>
        <v>248.89628694871266</v>
      </c>
      <c r="AB544" s="6">
        <f>$K$544*$V$544</f>
        <v>0</v>
      </c>
      <c r="AC544" s="6">
        <f>$M$544*$W$544</f>
        <v>282115.40118000004</v>
      </c>
      <c r="AD544" s="6">
        <f>$O$544*$X$544</f>
        <v>271365.02532000002</v>
      </c>
      <c r="AE544" s="6">
        <f>$K$544*$Y$544</f>
        <v>0</v>
      </c>
      <c r="AF544" s="6">
        <f ca="1">$M$544*$Z$544</f>
        <v>270842.05778899195</v>
      </c>
      <c r="AG544" s="6">
        <f>$O$544*$AA$544</f>
        <v>214745.47631276675</v>
      </c>
    </row>
    <row r="545" spans="1:33" ht="11.25" customHeight="1" x14ac:dyDescent="0.25">
      <c r="A545" s="4" t="s">
        <v>27</v>
      </c>
      <c r="B545" s="4" t="s">
        <v>36</v>
      </c>
      <c r="C545" s="4" t="s">
        <v>23</v>
      </c>
      <c r="D545" s="4" t="s">
        <v>40</v>
      </c>
      <c r="E545" s="4" t="s">
        <v>25</v>
      </c>
      <c r="F545" s="4" t="s">
        <v>25</v>
      </c>
      <c r="G545" s="4" t="s">
        <v>25</v>
      </c>
      <c r="H545" s="4" t="s">
        <v>25</v>
      </c>
      <c r="I545" s="5">
        <v>44562</v>
      </c>
      <c r="J545" s="6">
        <v>0</v>
      </c>
      <c r="K545" s="6">
        <v>0</v>
      </c>
      <c r="L545" s="6">
        <v>57.162999999999997</v>
      </c>
      <c r="M545" s="6">
        <v>57.162999999999997</v>
      </c>
      <c r="N545" s="6">
        <v>57.162999999999997</v>
      </c>
      <c r="O545" s="6">
        <v>57.162999999999997</v>
      </c>
      <c r="P545" s="6">
        <v>91</v>
      </c>
      <c r="Q545" s="4" t="s">
        <v>26</v>
      </c>
      <c r="R545" s="4">
        <v>0</v>
      </c>
      <c r="S545" s="6">
        <v>0</v>
      </c>
      <c r="T545" s="6">
        <v>68</v>
      </c>
      <c r="U545" s="6">
        <v>76</v>
      </c>
      <c r="V545" s="6">
        <f>IF(ISERROR(VLOOKUP($S$545,'TAR FIN'!$A$1:$O$86,15,0)),0,VLOOKUP($S$545,'TAR FIN'!$A$1:$O$86,15,0))</f>
        <v>0</v>
      </c>
      <c r="W545" s="6">
        <f>IF(ISERROR(VLOOKUP($T$545,'TAR FIN'!$A$1:$O$86,15,0)),0,VLOOKUP($T$545,'TAR FIN'!$A$1:$O$86,15,0))</f>
        <v>326.98</v>
      </c>
      <c r="X545" s="6">
        <f>IF(ISERROR(VLOOKUP($U$545,'TAR FIN'!$A$1:$O$86,15,0)),0,VLOOKUP($U$545,'TAR FIN'!$A$1:$O$86,15,0))</f>
        <v>314.52</v>
      </c>
      <c r="Y545" s="6"/>
      <c r="Z545" s="6">
        <f ca="1">('TUSD BE'!$AM$48+'TUSD BF'!$AM$48+'TUSD CVA'!$AM$48)*1</f>
        <v>313.91386533817797</v>
      </c>
      <c r="AA545" s="6">
        <f>('TE BE'!$AB$40+'TE BF'!$AB$40+'TE CVA'!$AB$40)*1</f>
        <v>248.89628694871266</v>
      </c>
      <c r="AB545" s="6">
        <f>$K$545*$V$545</f>
        <v>0</v>
      </c>
      <c r="AC545" s="6">
        <f>$M$545*$W$545</f>
        <v>18691.157739999999</v>
      </c>
      <c r="AD545" s="6">
        <f>$O$545*$X$545</f>
        <v>17978.906759999998</v>
      </c>
      <c r="AE545" s="6">
        <f>$K$545*$Y$545</f>
        <v>0</v>
      </c>
      <c r="AF545" s="6">
        <f ca="1">$M$545*$Z$545</f>
        <v>17944.258284326268</v>
      </c>
      <c r="AG545" s="6">
        <f>$O$545*$AA$545</f>
        <v>14227.658450849261</v>
      </c>
    </row>
    <row r="546" spans="1:33" ht="11.25" customHeight="1" x14ac:dyDescent="0.25">
      <c r="A546" s="4" t="s">
        <v>21</v>
      </c>
      <c r="B546" s="4" t="s">
        <v>36</v>
      </c>
      <c r="C546" s="4" t="s">
        <v>23</v>
      </c>
      <c r="D546" s="4" t="s">
        <v>40</v>
      </c>
      <c r="E546" s="4" t="s">
        <v>25</v>
      </c>
      <c r="F546" s="4" t="s">
        <v>25</v>
      </c>
      <c r="G546" s="4" t="s">
        <v>25</v>
      </c>
      <c r="H546" s="4" t="s">
        <v>25</v>
      </c>
      <c r="I546" s="5">
        <v>44593</v>
      </c>
      <c r="J546" s="6">
        <v>0</v>
      </c>
      <c r="K546" s="6">
        <v>0</v>
      </c>
      <c r="L546" s="6">
        <v>771.23199999999997</v>
      </c>
      <c r="M546" s="6">
        <v>771.23199999999997</v>
      </c>
      <c r="N546" s="6">
        <v>771.23199999999997</v>
      </c>
      <c r="O546" s="6">
        <v>771.23199999999997</v>
      </c>
      <c r="P546" s="6">
        <v>1203</v>
      </c>
      <c r="Q546" s="4" t="s">
        <v>26</v>
      </c>
      <c r="R546" s="4">
        <v>0</v>
      </c>
      <c r="S546" s="6">
        <v>0</v>
      </c>
      <c r="T546" s="6">
        <v>68</v>
      </c>
      <c r="U546" s="6">
        <v>76</v>
      </c>
      <c r="V546" s="6">
        <f>IF(ISERROR(VLOOKUP($S$546,'TAR FIN'!$A$1:$O$86,15,0)),0,VLOOKUP($S$546,'TAR FIN'!$A$1:$O$86,15,0))</f>
        <v>0</v>
      </c>
      <c r="W546" s="6">
        <f>IF(ISERROR(VLOOKUP($T$546,'TAR FIN'!$A$1:$O$86,15,0)),0,VLOOKUP($T$546,'TAR FIN'!$A$1:$O$86,15,0))</f>
        <v>326.98</v>
      </c>
      <c r="X546" s="6">
        <f>IF(ISERROR(VLOOKUP($U$546,'TAR FIN'!$A$1:$O$86,15,0)),0,VLOOKUP($U$546,'TAR FIN'!$A$1:$O$86,15,0))</f>
        <v>314.52</v>
      </c>
      <c r="Y546" s="6"/>
      <c r="Z546" s="6">
        <f ca="1">('TUSD BE'!$AM$48+'TUSD BF'!$AM$48+'TUSD CVA'!$AM$48)*1</f>
        <v>313.91386533817797</v>
      </c>
      <c r="AA546" s="6">
        <f>('TE BE'!$AB$40+'TE BF'!$AB$40+'TE CVA'!$AB$40)*1</f>
        <v>248.89628694871266</v>
      </c>
      <c r="AB546" s="6">
        <f>$K$546*$V$546</f>
        <v>0</v>
      </c>
      <c r="AC546" s="6">
        <f>$M$546*$W$546</f>
        <v>252177.43936000002</v>
      </c>
      <c r="AD546" s="6">
        <f>$O$546*$X$546</f>
        <v>242567.88863999999</v>
      </c>
      <c r="AE546" s="6">
        <f>$K$546*$Y$546</f>
        <v>0</v>
      </c>
      <c r="AF546" s="6">
        <f ca="1">$M$546*$Z$546</f>
        <v>242100.41819249367</v>
      </c>
      <c r="AG546" s="6">
        <f>$O$546*$AA$546</f>
        <v>191956.78117602956</v>
      </c>
    </row>
    <row r="547" spans="1:33" ht="11.25" customHeight="1" x14ac:dyDescent="0.25">
      <c r="A547" s="4" t="s">
        <v>27</v>
      </c>
      <c r="B547" s="4" t="s">
        <v>36</v>
      </c>
      <c r="C547" s="4" t="s">
        <v>23</v>
      </c>
      <c r="D547" s="4" t="s">
        <v>40</v>
      </c>
      <c r="E547" s="4" t="s">
        <v>25</v>
      </c>
      <c r="F547" s="4" t="s">
        <v>25</v>
      </c>
      <c r="G547" s="4" t="s">
        <v>25</v>
      </c>
      <c r="H547" s="4" t="s">
        <v>25</v>
      </c>
      <c r="I547" s="5">
        <v>44593</v>
      </c>
      <c r="J547" s="6">
        <v>0</v>
      </c>
      <c r="K547" s="6">
        <v>0</v>
      </c>
      <c r="L547" s="6">
        <v>48.823999999999998</v>
      </c>
      <c r="M547" s="6">
        <v>48.823999999999998</v>
      </c>
      <c r="N547" s="6">
        <v>48.823999999999998</v>
      </c>
      <c r="O547" s="6">
        <v>48.823999999999998</v>
      </c>
      <c r="P547" s="6">
        <v>92</v>
      </c>
      <c r="Q547" s="4" t="s">
        <v>26</v>
      </c>
      <c r="R547" s="4">
        <v>0</v>
      </c>
      <c r="S547" s="6">
        <v>0</v>
      </c>
      <c r="T547" s="6">
        <v>68</v>
      </c>
      <c r="U547" s="6">
        <v>76</v>
      </c>
      <c r="V547" s="6">
        <f>IF(ISERROR(VLOOKUP($S$547,'TAR FIN'!$A$1:$O$86,15,0)),0,VLOOKUP($S$547,'TAR FIN'!$A$1:$O$86,15,0))</f>
        <v>0</v>
      </c>
      <c r="W547" s="6">
        <f>IF(ISERROR(VLOOKUP($T$547,'TAR FIN'!$A$1:$O$86,15,0)),0,VLOOKUP($T$547,'TAR FIN'!$A$1:$O$86,15,0))</f>
        <v>326.98</v>
      </c>
      <c r="X547" s="6">
        <f>IF(ISERROR(VLOOKUP($U$547,'TAR FIN'!$A$1:$O$86,15,0)),0,VLOOKUP($U$547,'TAR FIN'!$A$1:$O$86,15,0))</f>
        <v>314.52</v>
      </c>
      <c r="Y547" s="6"/>
      <c r="Z547" s="6">
        <f ca="1">('TUSD BE'!$AM$48+'TUSD BF'!$AM$48+'TUSD CVA'!$AM$48)*1</f>
        <v>313.91386533817797</v>
      </c>
      <c r="AA547" s="6">
        <f>('TE BE'!$AB$40+'TE BF'!$AB$40+'TE CVA'!$AB$40)*1</f>
        <v>248.89628694871266</v>
      </c>
      <c r="AB547" s="6">
        <f>$K$547*$V$547</f>
        <v>0</v>
      </c>
      <c r="AC547" s="6">
        <f>$M$547*$W$547</f>
        <v>15964.471520000001</v>
      </c>
      <c r="AD547" s="6">
        <f>$O$547*$X$547</f>
        <v>15356.124479999999</v>
      </c>
      <c r="AE547" s="6">
        <f>$K$547*$Y$547</f>
        <v>0</v>
      </c>
      <c r="AF547" s="6">
        <f ca="1">$M$547*$Z$547</f>
        <v>15326.5305612712</v>
      </c>
      <c r="AG547" s="6">
        <f>$O$547*$AA$547</f>
        <v>12152.112313983946</v>
      </c>
    </row>
    <row r="548" spans="1:33" ht="11.25" customHeight="1" x14ac:dyDescent="0.25">
      <c r="A548" s="4" t="s">
        <v>21</v>
      </c>
      <c r="B548" s="4" t="s">
        <v>36</v>
      </c>
      <c r="C548" s="4" t="s">
        <v>23</v>
      </c>
      <c r="D548" s="4" t="s">
        <v>40</v>
      </c>
      <c r="E548" s="4" t="s">
        <v>25</v>
      </c>
      <c r="F548" s="4" t="s">
        <v>25</v>
      </c>
      <c r="G548" s="4" t="s">
        <v>25</v>
      </c>
      <c r="H548" s="4" t="s">
        <v>25</v>
      </c>
      <c r="I548" s="5">
        <v>44621</v>
      </c>
      <c r="J548" s="6">
        <v>0</v>
      </c>
      <c r="K548" s="6">
        <v>0</v>
      </c>
      <c r="L548" s="6">
        <v>825.40800000000002</v>
      </c>
      <c r="M548" s="6">
        <v>825.40800000000002</v>
      </c>
      <c r="N548" s="6">
        <v>825.40800000000002</v>
      </c>
      <c r="O548" s="6">
        <v>825.40800000000002</v>
      </c>
      <c r="P548" s="6">
        <v>1207</v>
      </c>
      <c r="Q548" s="4" t="s">
        <v>26</v>
      </c>
      <c r="R548" s="4">
        <v>0</v>
      </c>
      <c r="S548" s="6">
        <v>0</v>
      </c>
      <c r="T548" s="6">
        <v>68</v>
      </c>
      <c r="U548" s="6">
        <v>76</v>
      </c>
      <c r="V548" s="6">
        <f>IF(ISERROR(VLOOKUP($S$548,'TAR FIN'!$A$1:$O$86,15,0)),0,VLOOKUP($S$548,'TAR FIN'!$A$1:$O$86,15,0))</f>
        <v>0</v>
      </c>
      <c r="W548" s="6">
        <f>IF(ISERROR(VLOOKUP($T$548,'TAR FIN'!$A$1:$O$86,15,0)),0,VLOOKUP($T$548,'TAR FIN'!$A$1:$O$86,15,0))</f>
        <v>326.98</v>
      </c>
      <c r="X548" s="6">
        <f>IF(ISERROR(VLOOKUP($U$548,'TAR FIN'!$A$1:$O$86,15,0)),0,VLOOKUP($U$548,'TAR FIN'!$A$1:$O$86,15,0))</f>
        <v>314.52</v>
      </c>
      <c r="Y548" s="6"/>
      <c r="Z548" s="6">
        <f ca="1">('TUSD BE'!$AM$48+'TUSD BF'!$AM$48+'TUSD CVA'!$AM$48)*1</f>
        <v>313.91386533817797</v>
      </c>
      <c r="AA548" s="6">
        <f>('TE BE'!$AB$40+'TE BF'!$AB$40+'TE CVA'!$AB$40)*1</f>
        <v>248.89628694871266</v>
      </c>
      <c r="AB548" s="6">
        <f>$K$548*$V$548</f>
        <v>0</v>
      </c>
      <c r="AC548" s="6">
        <f>$M$548*$W$548</f>
        <v>269891.90784</v>
      </c>
      <c r="AD548" s="6">
        <f>$O$548*$X$548</f>
        <v>259607.32415999999</v>
      </c>
      <c r="AE548" s="6">
        <f>$K$548*$Y$548</f>
        <v>0</v>
      </c>
      <c r="AF548" s="6">
        <f ca="1">$M$548*$Z$548</f>
        <v>259107.01576105482</v>
      </c>
      <c r="AG548" s="6">
        <f>$O$548*$AA$548</f>
        <v>205440.98641776302</v>
      </c>
    </row>
    <row r="549" spans="1:33" ht="11.25" customHeight="1" x14ac:dyDescent="0.25">
      <c r="A549" s="4" t="s">
        <v>27</v>
      </c>
      <c r="B549" s="4" t="s">
        <v>36</v>
      </c>
      <c r="C549" s="4" t="s">
        <v>23</v>
      </c>
      <c r="D549" s="4" t="s">
        <v>40</v>
      </c>
      <c r="E549" s="4" t="s">
        <v>25</v>
      </c>
      <c r="F549" s="4" t="s">
        <v>25</v>
      </c>
      <c r="G549" s="4" t="s">
        <v>25</v>
      </c>
      <c r="H549" s="4" t="s">
        <v>25</v>
      </c>
      <c r="I549" s="5">
        <v>44621</v>
      </c>
      <c r="J549" s="6">
        <v>0</v>
      </c>
      <c r="K549" s="6">
        <v>0</v>
      </c>
      <c r="L549" s="6">
        <v>67.234999999999999</v>
      </c>
      <c r="M549" s="6">
        <v>67.234999999999999</v>
      </c>
      <c r="N549" s="6">
        <v>67.234999999999999</v>
      </c>
      <c r="O549" s="6">
        <v>67.234999999999999</v>
      </c>
      <c r="P549" s="6">
        <v>95</v>
      </c>
      <c r="Q549" s="4" t="s">
        <v>26</v>
      </c>
      <c r="R549" s="4">
        <v>0</v>
      </c>
      <c r="S549" s="6">
        <v>0</v>
      </c>
      <c r="T549" s="6">
        <v>68</v>
      </c>
      <c r="U549" s="6">
        <v>76</v>
      </c>
      <c r="V549" s="6">
        <f>IF(ISERROR(VLOOKUP($S$549,'TAR FIN'!$A$1:$O$86,15,0)),0,VLOOKUP($S$549,'TAR FIN'!$A$1:$O$86,15,0))</f>
        <v>0</v>
      </c>
      <c r="W549" s="6">
        <f>IF(ISERROR(VLOOKUP($T$549,'TAR FIN'!$A$1:$O$86,15,0)),0,VLOOKUP($T$549,'TAR FIN'!$A$1:$O$86,15,0))</f>
        <v>326.98</v>
      </c>
      <c r="X549" s="6">
        <f>IF(ISERROR(VLOOKUP($U$549,'TAR FIN'!$A$1:$O$86,15,0)),0,VLOOKUP($U$549,'TAR FIN'!$A$1:$O$86,15,0))</f>
        <v>314.52</v>
      </c>
      <c r="Y549" s="6"/>
      <c r="Z549" s="6">
        <f ca="1">('TUSD BE'!$AM$48+'TUSD BF'!$AM$48+'TUSD CVA'!$AM$48)*1</f>
        <v>313.91386533817797</v>
      </c>
      <c r="AA549" s="6">
        <f>('TE BE'!$AB$40+'TE BF'!$AB$40+'TE CVA'!$AB$40)*1</f>
        <v>248.89628694871266</v>
      </c>
      <c r="AB549" s="6">
        <f>$K$549*$V$549</f>
        <v>0</v>
      </c>
      <c r="AC549" s="6">
        <f>$M$549*$W$549</f>
        <v>21984.5003</v>
      </c>
      <c r="AD549" s="6">
        <f>$O$549*$X$549</f>
        <v>21146.752199999999</v>
      </c>
      <c r="AE549" s="6">
        <f>$K$549*$Y$549</f>
        <v>0</v>
      </c>
      <c r="AF549" s="6">
        <f ca="1">$M$549*$Z$549</f>
        <v>21105.998736012396</v>
      </c>
      <c r="AG549" s="6">
        <f>$O$549*$AA$549</f>
        <v>16734.541852996696</v>
      </c>
    </row>
    <row r="550" spans="1:33" ht="11.25" customHeight="1" x14ac:dyDescent="0.25">
      <c r="A550" s="4" t="s">
        <v>21</v>
      </c>
      <c r="B550" s="4" t="s">
        <v>36</v>
      </c>
      <c r="C550" s="4" t="s">
        <v>23</v>
      </c>
      <c r="D550" s="4" t="s">
        <v>40</v>
      </c>
      <c r="E550" s="4" t="s">
        <v>25</v>
      </c>
      <c r="F550" s="4" t="s">
        <v>25</v>
      </c>
      <c r="G550" s="4" t="s">
        <v>25</v>
      </c>
      <c r="H550" s="4" t="s">
        <v>25</v>
      </c>
      <c r="I550" s="5">
        <v>44652</v>
      </c>
      <c r="J550" s="6">
        <v>0</v>
      </c>
      <c r="K550" s="6">
        <v>0</v>
      </c>
      <c r="L550" s="6">
        <v>557.01499999999999</v>
      </c>
      <c r="M550" s="6">
        <v>557.01499999999999</v>
      </c>
      <c r="N550" s="6">
        <v>557.01499999999999</v>
      </c>
      <c r="O550" s="6">
        <v>557.01499999999999</v>
      </c>
      <c r="P550" s="6">
        <v>1206</v>
      </c>
      <c r="Q550" s="4" t="s">
        <v>26</v>
      </c>
      <c r="R550" s="4">
        <v>0</v>
      </c>
      <c r="S550" s="6">
        <v>0</v>
      </c>
      <c r="T550" s="6">
        <v>68</v>
      </c>
      <c r="U550" s="6">
        <v>76</v>
      </c>
      <c r="V550" s="6">
        <f>IF(ISERROR(VLOOKUP($S$550,'TAR FIN'!$A$1:$O$86,15,0)),0,VLOOKUP($S$550,'TAR FIN'!$A$1:$O$86,15,0))</f>
        <v>0</v>
      </c>
      <c r="W550" s="6">
        <f>IF(ISERROR(VLOOKUP($T$550,'TAR FIN'!$A$1:$O$86,15,0)),0,VLOOKUP($T$550,'TAR FIN'!$A$1:$O$86,15,0))</f>
        <v>326.98</v>
      </c>
      <c r="X550" s="6">
        <f>IF(ISERROR(VLOOKUP($U$550,'TAR FIN'!$A$1:$O$86,15,0)),0,VLOOKUP($U$550,'TAR FIN'!$A$1:$O$86,15,0))</f>
        <v>314.52</v>
      </c>
      <c r="Y550" s="6"/>
      <c r="Z550" s="6">
        <f ca="1">('TUSD BE'!$AM$48+'TUSD BF'!$AM$48+'TUSD CVA'!$AM$48)*1</f>
        <v>313.91386533817797</v>
      </c>
      <c r="AA550" s="6">
        <f>('TE BE'!$AB$40+'TE BF'!$AB$40+'TE CVA'!$AB$40)*1</f>
        <v>248.89628694871266</v>
      </c>
      <c r="AB550" s="6">
        <f>$K$550*$V$550</f>
        <v>0</v>
      </c>
      <c r="AC550" s="6">
        <f>$M$550*$W$550</f>
        <v>182132.7647</v>
      </c>
      <c r="AD550" s="6">
        <f>$O$550*$X$550</f>
        <v>175192.3578</v>
      </c>
      <c r="AE550" s="6">
        <f>$K$550*$Y$550</f>
        <v>0</v>
      </c>
      <c r="AF550" s="6">
        <f ca="1">$M$550*$Z$550</f>
        <v>174854.73170134521</v>
      </c>
      <c r="AG550" s="6">
        <f>$O$550*$AA$550</f>
        <v>138638.96527473719</v>
      </c>
    </row>
    <row r="551" spans="1:33" ht="11.25" customHeight="1" x14ac:dyDescent="0.25">
      <c r="A551" s="4" t="s">
        <v>27</v>
      </c>
      <c r="B551" s="4" t="s">
        <v>36</v>
      </c>
      <c r="C551" s="4" t="s">
        <v>23</v>
      </c>
      <c r="D551" s="4" t="s">
        <v>40</v>
      </c>
      <c r="E551" s="4" t="s">
        <v>25</v>
      </c>
      <c r="F551" s="4" t="s">
        <v>25</v>
      </c>
      <c r="G551" s="4" t="s">
        <v>25</v>
      </c>
      <c r="H551" s="4" t="s">
        <v>25</v>
      </c>
      <c r="I551" s="5">
        <v>44652</v>
      </c>
      <c r="J551" s="6">
        <v>0</v>
      </c>
      <c r="K551" s="6">
        <v>0</v>
      </c>
      <c r="L551" s="6">
        <v>49.716999999999999</v>
      </c>
      <c r="M551" s="6">
        <v>49.716999999999999</v>
      </c>
      <c r="N551" s="6">
        <v>49.716999999999999</v>
      </c>
      <c r="O551" s="6">
        <v>49.716999999999999</v>
      </c>
      <c r="P551" s="6">
        <v>95</v>
      </c>
      <c r="Q551" s="4" t="s">
        <v>26</v>
      </c>
      <c r="R551" s="4">
        <v>0</v>
      </c>
      <c r="S551" s="6">
        <v>0</v>
      </c>
      <c r="T551" s="6">
        <v>68</v>
      </c>
      <c r="U551" s="6">
        <v>76</v>
      </c>
      <c r="V551" s="6">
        <f>IF(ISERROR(VLOOKUP($S$551,'TAR FIN'!$A$1:$O$86,15,0)),0,VLOOKUP($S$551,'TAR FIN'!$A$1:$O$86,15,0))</f>
        <v>0</v>
      </c>
      <c r="W551" s="6">
        <f>IF(ISERROR(VLOOKUP($T$551,'TAR FIN'!$A$1:$O$86,15,0)),0,VLOOKUP($T$551,'TAR FIN'!$A$1:$O$86,15,0))</f>
        <v>326.98</v>
      </c>
      <c r="X551" s="6">
        <f>IF(ISERROR(VLOOKUP($U$551,'TAR FIN'!$A$1:$O$86,15,0)),0,VLOOKUP($U$551,'TAR FIN'!$A$1:$O$86,15,0))</f>
        <v>314.52</v>
      </c>
      <c r="Y551" s="6"/>
      <c r="Z551" s="6">
        <f ca="1">('TUSD BE'!$AM$48+'TUSD BF'!$AM$48+'TUSD CVA'!$AM$48)*1</f>
        <v>313.91386533817797</v>
      </c>
      <c r="AA551" s="6">
        <f>('TE BE'!$AB$40+'TE BF'!$AB$40+'TE CVA'!$AB$40)*1</f>
        <v>248.89628694871266</v>
      </c>
      <c r="AB551" s="6">
        <f>$K$551*$V$551</f>
        <v>0</v>
      </c>
      <c r="AC551" s="6">
        <f>$M$551*$W$551</f>
        <v>16256.46466</v>
      </c>
      <c r="AD551" s="6">
        <f>$O$551*$X$551</f>
        <v>15636.990839999999</v>
      </c>
      <c r="AE551" s="6">
        <f>$K$551*$Y$551</f>
        <v>0</v>
      </c>
      <c r="AF551" s="6">
        <f ca="1">$M$551*$Z$551</f>
        <v>15606.855643018194</v>
      </c>
      <c r="AG551" s="6">
        <f>$O$551*$AA$551</f>
        <v>12374.376698229147</v>
      </c>
    </row>
    <row r="552" spans="1:33" ht="11.25" customHeight="1" x14ac:dyDescent="0.25">
      <c r="A552" s="4" t="s">
        <v>21</v>
      </c>
      <c r="B552" s="4" t="s">
        <v>36</v>
      </c>
      <c r="C552" s="4" t="s">
        <v>23</v>
      </c>
      <c r="D552" s="4" t="s">
        <v>40</v>
      </c>
      <c r="E552" s="4" t="s">
        <v>25</v>
      </c>
      <c r="F552" s="4" t="s">
        <v>25</v>
      </c>
      <c r="G552" s="4" t="s">
        <v>25</v>
      </c>
      <c r="H552" s="4" t="s">
        <v>25</v>
      </c>
      <c r="I552" s="5">
        <v>44682</v>
      </c>
      <c r="J552" s="6">
        <v>0</v>
      </c>
      <c r="K552" s="6">
        <v>0</v>
      </c>
      <c r="L552" s="6">
        <v>568.80799999999999</v>
      </c>
      <c r="M552" s="6">
        <v>568.80799999999999</v>
      </c>
      <c r="N552" s="6">
        <v>568.80799999999999</v>
      </c>
      <c r="O552" s="6">
        <v>568.80799999999999</v>
      </c>
      <c r="P552" s="6">
        <v>1209</v>
      </c>
      <c r="Q552" s="4" t="s">
        <v>26</v>
      </c>
      <c r="R552" s="4">
        <v>0</v>
      </c>
      <c r="S552" s="6">
        <v>0</v>
      </c>
      <c r="T552" s="6">
        <v>68</v>
      </c>
      <c r="U552" s="6">
        <v>76</v>
      </c>
      <c r="V552" s="6">
        <f>IF(ISERROR(VLOOKUP($S$552,'TAR FIN'!$A$1:$O$86,15,0)),0,VLOOKUP($S$552,'TAR FIN'!$A$1:$O$86,15,0))</f>
        <v>0</v>
      </c>
      <c r="W552" s="6">
        <f>IF(ISERROR(VLOOKUP($T$552,'TAR FIN'!$A$1:$O$86,15,0)),0,VLOOKUP($T$552,'TAR FIN'!$A$1:$O$86,15,0))</f>
        <v>326.98</v>
      </c>
      <c r="X552" s="6">
        <f>IF(ISERROR(VLOOKUP($U$552,'TAR FIN'!$A$1:$O$86,15,0)),0,VLOOKUP($U$552,'TAR FIN'!$A$1:$O$86,15,0))</f>
        <v>314.52</v>
      </c>
      <c r="Y552" s="6"/>
      <c r="Z552" s="6">
        <f ca="1">('TUSD BE'!$AM$48+'TUSD BF'!$AM$48+'TUSD CVA'!$AM$48)*1</f>
        <v>313.91386533817797</v>
      </c>
      <c r="AA552" s="6">
        <f>('TE BE'!$AB$40+'TE BF'!$AB$40+'TE CVA'!$AB$40)*1</f>
        <v>248.89628694871266</v>
      </c>
      <c r="AB552" s="6">
        <f>$K$552*$V$552</f>
        <v>0</v>
      </c>
      <c r="AC552" s="6">
        <f>$M$552*$W$552</f>
        <v>185988.83984</v>
      </c>
      <c r="AD552" s="6">
        <f>$O$552*$X$552</f>
        <v>178901.49215999999</v>
      </c>
      <c r="AE552" s="6">
        <f>$K$552*$Y$552</f>
        <v>0</v>
      </c>
      <c r="AF552" s="6">
        <f ca="1">$M$552*$Z$552</f>
        <v>178556.71791527834</v>
      </c>
      <c r="AG552" s="6">
        <f>$O$552*$AA$552</f>
        <v>141574.19918672336</v>
      </c>
    </row>
    <row r="553" spans="1:33" ht="11.25" customHeight="1" x14ac:dyDescent="0.25">
      <c r="A553" s="4" t="s">
        <v>27</v>
      </c>
      <c r="B553" s="4" t="s">
        <v>36</v>
      </c>
      <c r="C553" s="4" t="s">
        <v>23</v>
      </c>
      <c r="D553" s="4" t="s">
        <v>40</v>
      </c>
      <c r="E553" s="4" t="s">
        <v>25</v>
      </c>
      <c r="F553" s="4" t="s">
        <v>25</v>
      </c>
      <c r="G553" s="4" t="s">
        <v>25</v>
      </c>
      <c r="H553" s="4" t="s">
        <v>25</v>
      </c>
      <c r="I553" s="5">
        <v>44682</v>
      </c>
      <c r="J553" s="6">
        <v>0</v>
      </c>
      <c r="K553" s="6">
        <v>0</v>
      </c>
      <c r="L553" s="6">
        <v>74.832999999999998</v>
      </c>
      <c r="M553" s="6">
        <v>74.832999999999998</v>
      </c>
      <c r="N553" s="6">
        <v>74.832999999999998</v>
      </c>
      <c r="O553" s="6">
        <v>74.832999999999998</v>
      </c>
      <c r="P553" s="6">
        <v>102</v>
      </c>
      <c r="Q553" s="4" t="s">
        <v>26</v>
      </c>
      <c r="R553" s="4">
        <v>0</v>
      </c>
      <c r="S553" s="6">
        <v>0</v>
      </c>
      <c r="T553" s="6">
        <v>68</v>
      </c>
      <c r="U553" s="6">
        <v>76</v>
      </c>
      <c r="V553" s="6">
        <f>IF(ISERROR(VLOOKUP($S$553,'TAR FIN'!$A$1:$O$86,15,0)),0,VLOOKUP($S$553,'TAR FIN'!$A$1:$O$86,15,0))</f>
        <v>0</v>
      </c>
      <c r="W553" s="6">
        <f>IF(ISERROR(VLOOKUP($T$553,'TAR FIN'!$A$1:$O$86,15,0)),0,VLOOKUP($T$553,'TAR FIN'!$A$1:$O$86,15,0))</f>
        <v>326.98</v>
      </c>
      <c r="X553" s="6">
        <f>IF(ISERROR(VLOOKUP($U$553,'TAR FIN'!$A$1:$O$86,15,0)),0,VLOOKUP($U$553,'TAR FIN'!$A$1:$O$86,15,0))</f>
        <v>314.52</v>
      </c>
      <c r="Y553" s="6"/>
      <c r="Z553" s="6">
        <f ca="1">('TUSD BE'!$AM$48+'TUSD BF'!$AM$48+'TUSD CVA'!$AM$48)*1</f>
        <v>313.91386533817797</v>
      </c>
      <c r="AA553" s="6">
        <f>('TE BE'!$AB$40+'TE BF'!$AB$40+'TE CVA'!$AB$40)*1</f>
        <v>248.89628694871266</v>
      </c>
      <c r="AB553" s="6">
        <f>$K$553*$V$553</f>
        <v>0</v>
      </c>
      <c r="AC553" s="6">
        <f>$M$553*$W$553</f>
        <v>24468.894340000003</v>
      </c>
      <c r="AD553" s="6">
        <f>$O$553*$X$553</f>
        <v>23536.475159999998</v>
      </c>
      <c r="AE553" s="6">
        <f>$K$553*$Y$553</f>
        <v>0</v>
      </c>
      <c r="AF553" s="6">
        <f ca="1">$M$553*$Z$553</f>
        <v>23491.116284851872</v>
      </c>
      <c r="AG553" s="6">
        <f>$O$553*$AA$553</f>
        <v>18625.655841233012</v>
      </c>
    </row>
    <row r="554" spans="1:33" ht="11.25" customHeight="1" x14ac:dyDescent="0.25">
      <c r="A554" s="4" t="s">
        <v>55</v>
      </c>
      <c r="B554" s="4" t="s">
        <v>36</v>
      </c>
      <c r="C554" s="4" t="s">
        <v>23</v>
      </c>
      <c r="D554" s="4" t="s">
        <v>40</v>
      </c>
      <c r="E554" s="4" t="s">
        <v>25</v>
      </c>
      <c r="F554" s="4" t="s">
        <v>25</v>
      </c>
      <c r="G554" s="4" t="s">
        <v>25</v>
      </c>
      <c r="H554" s="4" t="s">
        <v>25</v>
      </c>
      <c r="I554" s="5">
        <v>44713</v>
      </c>
      <c r="J554" s="6">
        <v>0</v>
      </c>
      <c r="K554" s="6">
        <v>0</v>
      </c>
      <c r="L554" s="6">
        <v>568.80799999999999</v>
      </c>
      <c r="M554" s="6">
        <v>568.80799999999999</v>
      </c>
      <c r="N554" s="6">
        <v>568.80799999999999</v>
      </c>
      <c r="O554" s="6">
        <v>568.80799999999999</v>
      </c>
      <c r="P554" s="6">
        <v>1209</v>
      </c>
      <c r="Q554" s="4" t="s">
        <v>26</v>
      </c>
      <c r="R554" s="4">
        <v>0</v>
      </c>
      <c r="S554" s="6">
        <v>0</v>
      </c>
      <c r="T554" s="6">
        <v>68</v>
      </c>
      <c r="U554" s="6">
        <v>76</v>
      </c>
      <c r="V554" s="6">
        <f>IF(ISERROR(VLOOKUP($S$554,'TAR FIN'!$A$1:$O$86,15,0)),0,VLOOKUP($S$554,'TAR FIN'!$A$1:$O$86,15,0))</f>
        <v>0</v>
      </c>
      <c r="W554" s="6">
        <f>IF(ISERROR(VLOOKUP($T$554,'TAR FIN'!$A$1:$O$86,15,0)),0,VLOOKUP($T$554,'TAR FIN'!$A$1:$O$86,15,0))</f>
        <v>326.98</v>
      </c>
      <c r="X554" s="6">
        <f>IF(ISERROR(VLOOKUP($U$554,'TAR FIN'!$A$1:$O$86,15,0)),0,VLOOKUP($U$554,'TAR FIN'!$A$1:$O$86,15,0))</f>
        <v>314.52</v>
      </c>
      <c r="Y554" s="6"/>
      <c r="Z554" s="6">
        <f ca="1">('TUSD BE'!$AM$48+'TUSD BF'!$AM$48+'TUSD CVA'!$AM$48)*1</f>
        <v>313.91386533817797</v>
      </c>
      <c r="AA554" s="6">
        <f>('TE BE'!$AB$40+'TE BF'!$AB$40+'TE CVA'!$AB$40)*1</f>
        <v>248.89628694871266</v>
      </c>
      <c r="AB554" s="6">
        <f>$K$554*$V$554</f>
        <v>0</v>
      </c>
      <c r="AC554" s="6">
        <f>$M$554*$W$554</f>
        <v>185988.83984</v>
      </c>
      <c r="AD554" s="6">
        <f>$O$554*$X$554</f>
        <v>178901.49215999999</v>
      </c>
      <c r="AE554" s="6">
        <f>$K$554*$Y$554</f>
        <v>0</v>
      </c>
      <c r="AF554" s="6">
        <f ca="1">$M$554*$Z$554</f>
        <v>178556.71791527834</v>
      </c>
      <c r="AG554" s="6">
        <f>$O$554*$AA$554</f>
        <v>141574.19918672336</v>
      </c>
    </row>
    <row r="555" spans="1:33" ht="11.25" customHeight="1" x14ac:dyDescent="0.25">
      <c r="A555" s="4" t="s">
        <v>55</v>
      </c>
      <c r="B555" s="4" t="s">
        <v>36</v>
      </c>
      <c r="C555" s="4" t="s">
        <v>23</v>
      </c>
      <c r="D555" s="4" t="s">
        <v>40</v>
      </c>
      <c r="E555" s="4" t="s">
        <v>25</v>
      </c>
      <c r="F555" s="4" t="s">
        <v>25</v>
      </c>
      <c r="G555" s="4" t="s">
        <v>25</v>
      </c>
      <c r="H555" s="4" t="s">
        <v>25</v>
      </c>
      <c r="I555" s="5">
        <v>44713</v>
      </c>
      <c r="J555" s="6">
        <v>0</v>
      </c>
      <c r="K555" s="6">
        <v>0</v>
      </c>
      <c r="L555" s="6">
        <v>74.832999999999998</v>
      </c>
      <c r="M555" s="6">
        <v>74.832999999999998</v>
      </c>
      <c r="N555" s="6">
        <v>74.832999999999998</v>
      </c>
      <c r="O555" s="6">
        <v>74.832999999999998</v>
      </c>
      <c r="P555" s="6">
        <v>102</v>
      </c>
      <c r="Q555" s="4" t="s">
        <v>26</v>
      </c>
      <c r="R555" s="4">
        <v>0</v>
      </c>
      <c r="S555" s="6">
        <v>0</v>
      </c>
      <c r="T555" s="6">
        <v>68</v>
      </c>
      <c r="U555" s="6">
        <v>76</v>
      </c>
      <c r="V555" s="6">
        <f>IF(ISERROR(VLOOKUP($S$555,'TAR FIN'!$A$1:$O$86,15,0)),0,VLOOKUP($S$555,'TAR FIN'!$A$1:$O$86,15,0))</f>
        <v>0</v>
      </c>
      <c r="W555" s="6">
        <f>IF(ISERROR(VLOOKUP($T$555,'TAR FIN'!$A$1:$O$86,15,0)),0,VLOOKUP($T$555,'TAR FIN'!$A$1:$O$86,15,0))</f>
        <v>326.98</v>
      </c>
      <c r="X555" s="6">
        <f>IF(ISERROR(VLOOKUP($U$555,'TAR FIN'!$A$1:$O$86,15,0)),0,VLOOKUP($U$555,'TAR FIN'!$A$1:$O$86,15,0))</f>
        <v>314.52</v>
      </c>
      <c r="Y555" s="6"/>
      <c r="Z555" s="6">
        <f ca="1">('TUSD BE'!$AM$48+'TUSD BF'!$AM$48+'TUSD CVA'!$AM$48)*1</f>
        <v>313.91386533817797</v>
      </c>
      <c r="AA555" s="6">
        <f>('TE BE'!$AB$40+'TE BF'!$AB$40+'TE CVA'!$AB$40)*1</f>
        <v>248.89628694871266</v>
      </c>
      <c r="AB555" s="6">
        <f>$K$555*$V$555</f>
        <v>0</v>
      </c>
      <c r="AC555" s="6">
        <f>$M$555*$W$555</f>
        <v>24468.894340000003</v>
      </c>
      <c r="AD555" s="6">
        <f>$O$555*$X$555</f>
        <v>23536.475159999998</v>
      </c>
      <c r="AE555" s="6">
        <f>$K$555*$Y$555</f>
        <v>0</v>
      </c>
      <c r="AF555" s="6">
        <f ca="1">$M$555*$Z$555</f>
        <v>23491.116284851872</v>
      </c>
      <c r="AG555" s="6">
        <f>$O$555*$AA$555</f>
        <v>18625.655841233012</v>
      </c>
    </row>
    <row r="556" spans="1:33" ht="11.25" customHeight="1" x14ac:dyDescent="0.25">
      <c r="A556" s="4" t="s">
        <v>21</v>
      </c>
      <c r="B556" s="4" t="s">
        <v>36</v>
      </c>
      <c r="C556" s="4" t="s">
        <v>23</v>
      </c>
      <c r="D556" s="4" t="s">
        <v>51</v>
      </c>
      <c r="E556" s="4" t="s">
        <v>25</v>
      </c>
      <c r="F556" s="4" t="s">
        <v>25</v>
      </c>
      <c r="G556" s="4" t="s">
        <v>25</v>
      </c>
      <c r="H556" s="4" t="s">
        <v>25</v>
      </c>
      <c r="I556" s="5">
        <v>44378</v>
      </c>
      <c r="J556" s="6">
        <v>0</v>
      </c>
      <c r="K556" s="6">
        <v>0</v>
      </c>
      <c r="L556" s="6">
        <v>8.0380000000000003</v>
      </c>
      <c r="M556" s="6">
        <v>8.0380000000000003</v>
      </c>
      <c r="N556" s="6">
        <v>8.0380000000000003</v>
      </c>
      <c r="O556" s="6">
        <v>8.0380000000000003</v>
      </c>
      <c r="P556" s="6">
        <v>3</v>
      </c>
      <c r="Q556" s="4" t="s">
        <v>26</v>
      </c>
      <c r="R556" s="4">
        <v>0</v>
      </c>
      <c r="S556" s="6">
        <v>0</v>
      </c>
      <c r="T556" s="6">
        <v>68</v>
      </c>
      <c r="U556" s="6">
        <v>76</v>
      </c>
      <c r="V556" s="6">
        <f>IF(ISERROR(VLOOKUP($S$556,'TAR FIN'!$A$1:$O$86,15,0)),0,VLOOKUP($S$556,'TAR FIN'!$A$1:$O$86,15,0))</f>
        <v>0</v>
      </c>
      <c r="W556" s="6">
        <f>IF(ISERROR(VLOOKUP($T$556,'TAR FIN'!$A$1:$O$86,15,0)),0,VLOOKUP($T$556,'TAR FIN'!$A$1:$O$86,15,0))</f>
        <v>326.98</v>
      </c>
      <c r="X556" s="6">
        <f>IF(ISERROR(VLOOKUP($U$556,'TAR FIN'!$A$1:$O$86,15,0)),0,VLOOKUP($U$556,'TAR FIN'!$A$1:$O$86,15,0))</f>
        <v>314.52</v>
      </c>
      <c r="Y556" s="6"/>
      <c r="Z556" s="6">
        <f ca="1">('TUSD BE'!$AM$48+'TUSD BF'!$AM$48+'TUSD CVA'!$AM$48)*1</f>
        <v>313.91386533817797</v>
      </c>
      <c r="AA556" s="6">
        <f>('TE BE'!$AB$40+'TE BF'!$AB$40+'TE CVA'!$AB$40)*1</f>
        <v>248.89628694871266</v>
      </c>
      <c r="AB556" s="6">
        <f>$K$556*$V$556</f>
        <v>0</v>
      </c>
      <c r="AC556" s="6">
        <f>$M$556*$W$556</f>
        <v>2628.2652400000002</v>
      </c>
      <c r="AD556" s="6">
        <f>$O$556*$X$556</f>
        <v>2528.1117599999998</v>
      </c>
      <c r="AE556" s="6">
        <f>$K$556*$Y$556</f>
        <v>0</v>
      </c>
      <c r="AF556" s="6">
        <f ca="1">$M$556*$Z$556</f>
        <v>2523.2396495882745</v>
      </c>
      <c r="AG556" s="6">
        <f>$O$556*$AA$556</f>
        <v>2000.6283544937523</v>
      </c>
    </row>
    <row r="557" spans="1:33" ht="11.25" customHeight="1" x14ac:dyDescent="0.25">
      <c r="A557" s="4" t="s">
        <v>21</v>
      </c>
      <c r="B557" s="4" t="s">
        <v>36</v>
      </c>
      <c r="C557" s="4" t="s">
        <v>23</v>
      </c>
      <c r="D557" s="4" t="s">
        <v>51</v>
      </c>
      <c r="E557" s="4" t="s">
        <v>25</v>
      </c>
      <c r="F557" s="4" t="s">
        <v>25</v>
      </c>
      <c r="G557" s="4" t="s">
        <v>25</v>
      </c>
      <c r="H557" s="4" t="s">
        <v>25</v>
      </c>
      <c r="I557" s="5">
        <v>44409</v>
      </c>
      <c r="J557" s="6">
        <v>0</v>
      </c>
      <c r="K557" s="6">
        <v>0</v>
      </c>
      <c r="L557" s="6">
        <v>7.6740000000000004</v>
      </c>
      <c r="M557" s="6">
        <v>7.6740000000000004</v>
      </c>
      <c r="N557" s="6">
        <v>7.6740000000000004</v>
      </c>
      <c r="O557" s="6">
        <v>7.6740000000000004</v>
      </c>
      <c r="P557" s="6">
        <v>3</v>
      </c>
      <c r="Q557" s="4" t="s">
        <v>26</v>
      </c>
      <c r="R557" s="4">
        <v>0</v>
      </c>
      <c r="S557" s="6">
        <v>0</v>
      </c>
      <c r="T557" s="6">
        <v>68</v>
      </c>
      <c r="U557" s="6">
        <v>76</v>
      </c>
      <c r="V557" s="6">
        <f>IF(ISERROR(VLOOKUP($S$557,'TAR FIN'!$A$1:$O$86,15,0)),0,VLOOKUP($S$557,'TAR FIN'!$A$1:$O$86,15,0))</f>
        <v>0</v>
      </c>
      <c r="W557" s="6">
        <f>IF(ISERROR(VLOOKUP($T$557,'TAR FIN'!$A$1:$O$86,15,0)),0,VLOOKUP($T$557,'TAR FIN'!$A$1:$O$86,15,0))</f>
        <v>326.98</v>
      </c>
      <c r="X557" s="6">
        <f>IF(ISERROR(VLOOKUP($U$557,'TAR FIN'!$A$1:$O$86,15,0)),0,VLOOKUP($U$557,'TAR FIN'!$A$1:$O$86,15,0))</f>
        <v>314.52</v>
      </c>
      <c r="Y557" s="6"/>
      <c r="Z557" s="6">
        <f ca="1">('TUSD BE'!$AM$48+'TUSD BF'!$AM$48+'TUSD CVA'!$AM$48)*1</f>
        <v>313.91386533817797</v>
      </c>
      <c r="AA557" s="6">
        <f>('TE BE'!$AB$40+'TE BF'!$AB$40+'TE CVA'!$AB$40)*1</f>
        <v>248.89628694871266</v>
      </c>
      <c r="AB557" s="6">
        <f>$K$557*$V$557</f>
        <v>0</v>
      </c>
      <c r="AC557" s="6">
        <f>$M$557*$W$557</f>
        <v>2509.2445200000002</v>
      </c>
      <c r="AD557" s="6">
        <f>$O$557*$X$557</f>
        <v>2413.6264799999999</v>
      </c>
      <c r="AE557" s="6">
        <f>$K$557*$Y$557</f>
        <v>0</v>
      </c>
      <c r="AF557" s="6">
        <f ca="1">$M$557*$Z$557</f>
        <v>2408.9750026051779</v>
      </c>
      <c r="AG557" s="6">
        <f>$O$557*$AA$557</f>
        <v>1910.030106044421</v>
      </c>
    </row>
    <row r="558" spans="1:33" ht="11.25" customHeight="1" x14ac:dyDescent="0.25">
      <c r="A558" s="4" t="s">
        <v>21</v>
      </c>
      <c r="B558" s="4" t="s">
        <v>36</v>
      </c>
      <c r="C558" s="4" t="s">
        <v>23</v>
      </c>
      <c r="D558" s="4" t="s">
        <v>51</v>
      </c>
      <c r="E558" s="4" t="s">
        <v>25</v>
      </c>
      <c r="F558" s="4" t="s">
        <v>25</v>
      </c>
      <c r="G558" s="4" t="s">
        <v>25</v>
      </c>
      <c r="H558" s="4" t="s">
        <v>25</v>
      </c>
      <c r="I558" s="5">
        <v>44440</v>
      </c>
      <c r="J558" s="6">
        <v>0</v>
      </c>
      <c r="K558" s="6">
        <v>0</v>
      </c>
      <c r="L558" s="6">
        <v>6.78</v>
      </c>
      <c r="M558" s="6">
        <v>6.78</v>
      </c>
      <c r="N558" s="6">
        <v>6.78</v>
      </c>
      <c r="O558" s="6">
        <v>6.78</v>
      </c>
      <c r="P558" s="6">
        <v>3</v>
      </c>
      <c r="Q558" s="4" t="s">
        <v>26</v>
      </c>
      <c r="R558" s="4">
        <v>0</v>
      </c>
      <c r="S558" s="6">
        <v>0</v>
      </c>
      <c r="T558" s="6">
        <v>68</v>
      </c>
      <c r="U558" s="6">
        <v>76</v>
      </c>
      <c r="V558" s="6">
        <f>IF(ISERROR(VLOOKUP($S$558,'TAR FIN'!$A$1:$O$86,15,0)),0,VLOOKUP($S$558,'TAR FIN'!$A$1:$O$86,15,0))</f>
        <v>0</v>
      </c>
      <c r="W558" s="6">
        <f>IF(ISERROR(VLOOKUP($T$558,'TAR FIN'!$A$1:$O$86,15,0)),0,VLOOKUP($T$558,'TAR FIN'!$A$1:$O$86,15,0))</f>
        <v>326.98</v>
      </c>
      <c r="X558" s="6">
        <f>IF(ISERROR(VLOOKUP($U$558,'TAR FIN'!$A$1:$O$86,15,0)),0,VLOOKUP($U$558,'TAR FIN'!$A$1:$O$86,15,0))</f>
        <v>314.52</v>
      </c>
      <c r="Y558" s="6"/>
      <c r="Z558" s="6">
        <f ca="1">('TUSD BE'!$AM$48+'TUSD BF'!$AM$48+'TUSD CVA'!$AM$48)*1</f>
        <v>313.91386533817797</v>
      </c>
      <c r="AA558" s="6">
        <f>('TE BE'!$AB$40+'TE BF'!$AB$40+'TE CVA'!$AB$40)*1</f>
        <v>248.89628694871266</v>
      </c>
      <c r="AB558" s="6">
        <f>$K$558*$V$558</f>
        <v>0</v>
      </c>
      <c r="AC558" s="6">
        <f>$M$558*$W$558</f>
        <v>2216.9244000000003</v>
      </c>
      <c r="AD558" s="6">
        <f>$O$558*$X$558</f>
        <v>2132.4456</v>
      </c>
      <c r="AE558" s="6">
        <f>$K$558*$Y$558</f>
        <v>0</v>
      </c>
      <c r="AF558" s="6">
        <f ca="1">$M$558*$Z$558</f>
        <v>2128.3360069928467</v>
      </c>
      <c r="AG558" s="6">
        <f>$O$558*$AA$558</f>
        <v>1687.5168255122719</v>
      </c>
    </row>
    <row r="559" spans="1:33" ht="11.25" customHeight="1" x14ac:dyDescent="0.25">
      <c r="A559" s="4" t="s">
        <v>21</v>
      </c>
      <c r="B559" s="4" t="s">
        <v>36</v>
      </c>
      <c r="C559" s="4" t="s">
        <v>23</v>
      </c>
      <c r="D559" s="4" t="s">
        <v>51</v>
      </c>
      <c r="E559" s="4" t="s">
        <v>25</v>
      </c>
      <c r="F559" s="4" t="s">
        <v>25</v>
      </c>
      <c r="G559" s="4" t="s">
        <v>25</v>
      </c>
      <c r="H559" s="4" t="s">
        <v>25</v>
      </c>
      <c r="I559" s="5">
        <v>44470</v>
      </c>
      <c r="J559" s="6">
        <v>0</v>
      </c>
      <c r="K559" s="6">
        <v>0</v>
      </c>
      <c r="L559" s="6">
        <v>7.1289999999999996</v>
      </c>
      <c r="M559" s="6">
        <v>7.1289999999999996</v>
      </c>
      <c r="N559" s="6">
        <v>7.1289999999999996</v>
      </c>
      <c r="O559" s="6">
        <v>7.1289999999999996</v>
      </c>
      <c r="P559" s="6">
        <v>3</v>
      </c>
      <c r="Q559" s="4" t="s">
        <v>26</v>
      </c>
      <c r="R559" s="4">
        <v>0</v>
      </c>
      <c r="S559" s="6">
        <v>0</v>
      </c>
      <c r="T559" s="6">
        <v>68</v>
      </c>
      <c r="U559" s="6">
        <v>76</v>
      </c>
      <c r="V559" s="6">
        <f>IF(ISERROR(VLOOKUP($S$559,'TAR FIN'!$A$1:$O$86,15,0)),0,VLOOKUP($S$559,'TAR FIN'!$A$1:$O$86,15,0))</f>
        <v>0</v>
      </c>
      <c r="W559" s="6">
        <f>IF(ISERROR(VLOOKUP($T$559,'TAR FIN'!$A$1:$O$86,15,0)),0,VLOOKUP($T$559,'TAR FIN'!$A$1:$O$86,15,0))</f>
        <v>326.98</v>
      </c>
      <c r="X559" s="6">
        <f>IF(ISERROR(VLOOKUP($U$559,'TAR FIN'!$A$1:$O$86,15,0)),0,VLOOKUP($U$559,'TAR FIN'!$A$1:$O$86,15,0))</f>
        <v>314.52</v>
      </c>
      <c r="Y559" s="6"/>
      <c r="Z559" s="6">
        <f ca="1">('TUSD BE'!$AM$48+'TUSD BF'!$AM$48+'TUSD CVA'!$AM$48)*1</f>
        <v>313.91386533817797</v>
      </c>
      <c r="AA559" s="6">
        <f>('TE BE'!$AB$40+'TE BF'!$AB$40+'TE CVA'!$AB$40)*1</f>
        <v>248.89628694871266</v>
      </c>
      <c r="AB559" s="6">
        <f>$K$559*$V$559</f>
        <v>0</v>
      </c>
      <c r="AC559" s="6">
        <f>$M$559*$W$559</f>
        <v>2331.0404199999998</v>
      </c>
      <c r="AD559" s="6">
        <f>$O$559*$X$559</f>
        <v>2242.2130799999995</v>
      </c>
      <c r="AE559" s="6">
        <f>$K$559*$Y$559</f>
        <v>0</v>
      </c>
      <c r="AF559" s="6">
        <f ca="1">$M$559*$Z$559</f>
        <v>2237.8919459958706</v>
      </c>
      <c r="AG559" s="6">
        <f>$O$559*$AA$559</f>
        <v>1774.3816296573725</v>
      </c>
    </row>
    <row r="560" spans="1:33" ht="11.25" customHeight="1" x14ac:dyDescent="0.25">
      <c r="A560" s="4" t="s">
        <v>21</v>
      </c>
      <c r="B560" s="4" t="s">
        <v>36</v>
      </c>
      <c r="C560" s="4" t="s">
        <v>23</v>
      </c>
      <c r="D560" s="4" t="s">
        <v>51</v>
      </c>
      <c r="E560" s="4" t="s">
        <v>25</v>
      </c>
      <c r="F560" s="4" t="s">
        <v>25</v>
      </c>
      <c r="G560" s="4" t="s">
        <v>25</v>
      </c>
      <c r="H560" s="4" t="s">
        <v>25</v>
      </c>
      <c r="I560" s="5">
        <v>44501</v>
      </c>
      <c r="J560" s="6">
        <v>0</v>
      </c>
      <c r="K560" s="6">
        <v>0</v>
      </c>
      <c r="L560" s="6">
        <v>8.9390000000000001</v>
      </c>
      <c r="M560" s="6">
        <v>8.9390000000000001</v>
      </c>
      <c r="N560" s="6">
        <v>8.9390000000000001</v>
      </c>
      <c r="O560" s="6">
        <v>8.9390000000000001</v>
      </c>
      <c r="P560" s="6">
        <v>3</v>
      </c>
      <c r="Q560" s="4" t="s">
        <v>26</v>
      </c>
      <c r="R560" s="4">
        <v>0</v>
      </c>
      <c r="S560" s="6">
        <v>0</v>
      </c>
      <c r="T560" s="6">
        <v>68</v>
      </c>
      <c r="U560" s="6">
        <v>76</v>
      </c>
      <c r="V560" s="6">
        <f>IF(ISERROR(VLOOKUP($S$560,'TAR FIN'!$A$1:$O$86,15,0)),0,VLOOKUP($S$560,'TAR FIN'!$A$1:$O$86,15,0))</f>
        <v>0</v>
      </c>
      <c r="W560" s="6">
        <f>IF(ISERROR(VLOOKUP($T$560,'TAR FIN'!$A$1:$O$86,15,0)),0,VLOOKUP($T$560,'TAR FIN'!$A$1:$O$86,15,0))</f>
        <v>326.98</v>
      </c>
      <c r="X560" s="6">
        <f>IF(ISERROR(VLOOKUP($U$560,'TAR FIN'!$A$1:$O$86,15,0)),0,VLOOKUP($U$560,'TAR FIN'!$A$1:$O$86,15,0))</f>
        <v>314.52</v>
      </c>
      <c r="Y560" s="6"/>
      <c r="Z560" s="6">
        <f ca="1">('TUSD BE'!$AM$48+'TUSD BF'!$AM$48+'TUSD CVA'!$AM$48)*1</f>
        <v>313.91386533817797</v>
      </c>
      <c r="AA560" s="6">
        <f>('TE BE'!$AB$40+'TE BF'!$AB$40+'TE CVA'!$AB$40)*1</f>
        <v>248.89628694871266</v>
      </c>
      <c r="AB560" s="6">
        <f>$K$560*$V$560</f>
        <v>0</v>
      </c>
      <c r="AC560" s="6">
        <f>$M$560*$W$560</f>
        <v>2922.8742200000002</v>
      </c>
      <c r="AD560" s="6">
        <f>$O$560*$X$560</f>
        <v>2811.4942799999999</v>
      </c>
      <c r="AE560" s="6">
        <f>$K$560*$Y$560</f>
        <v>0</v>
      </c>
      <c r="AF560" s="6">
        <f ca="1">$M$560*$Z$560</f>
        <v>2806.0760422579729</v>
      </c>
      <c r="AG560" s="6">
        <f>$O$560*$AA$560</f>
        <v>2224.8839090345423</v>
      </c>
    </row>
    <row r="561" spans="1:33" ht="11.25" customHeight="1" x14ac:dyDescent="0.25">
      <c r="A561" s="4" t="s">
        <v>21</v>
      </c>
      <c r="B561" s="4" t="s">
        <v>36</v>
      </c>
      <c r="C561" s="4" t="s">
        <v>23</v>
      </c>
      <c r="D561" s="4" t="s">
        <v>51</v>
      </c>
      <c r="E561" s="4" t="s">
        <v>25</v>
      </c>
      <c r="F561" s="4" t="s">
        <v>25</v>
      </c>
      <c r="G561" s="4" t="s">
        <v>25</v>
      </c>
      <c r="H561" s="4" t="s">
        <v>25</v>
      </c>
      <c r="I561" s="5">
        <v>44531</v>
      </c>
      <c r="J561" s="6">
        <v>0</v>
      </c>
      <c r="K561" s="6">
        <v>0</v>
      </c>
      <c r="L561" s="6">
        <v>9.3889999999999993</v>
      </c>
      <c r="M561" s="6">
        <v>9.3889999999999993</v>
      </c>
      <c r="N561" s="6">
        <v>9.3889999999999993</v>
      </c>
      <c r="O561" s="6">
        <v>9.3889999999999993</v>
      </c>
      <c r="P561" s="6">
        <v>3</v>
      </c>
      <c r="Q561" s="4" t="s">
        <v>26</v>
      </c>
      <c r="R561" s="4">
        <v>0</v>
      </c>
      <c r="S561" s="6">
        <v>0</v>
      </c>
      <c r="T561" s="6">
        <v>68</v>
      </c>
      <c r="U561" s="6">
        <v>76</v>
      </c>
      <c r="V561" s="6">
        <f>IF(ISERROR(VLOOKUP($S$561,'TAR FIN'!$A$1:$O$86,15,0)),0,VLOOKUP($S$561,'TAR FIN'!$A$1:$O$86,15,0))</f>
        <v>0</v>
      </c>
      <c r="W561" s="6">
        <f>IF(ISERROR(VLOOKUP($T$561,'TAR FIN'!$A$1:$O$86,15,0)),0,VLOOKUP($T$561,'TAR FIN'!$A$1:$O$86,15,0))</f>
        <v>326.98</v>
      </c>
      <c r="X561" s="6">
        <f>IF(ISERROR(VLOOKUP($U$561,'TAR FIN'!$A$1:$O$86,15,0)),0,VLOOKUP($U$561,'TAR FIN'!$A$1:$O$86,15,0))</f>
        <v>314.52</v>
      </c>
      <c r="Y561" s="6"/>
      <c r="Z561" s="6">
        <f ca="1">('TUSD BE'!$AM$48+'TUSD BF'!$AM$48+'TUSD CVA'!$AM$48)*1</f>
        <v>313.91386533817797</v>
      </c>
      <c r="AA561" s="6">
        <f>('TE BE'!$AB$40+'TE BF'!$AB$40+'TE CVA'!$AB$40)*1</f>
        <v>248.89628694871266</v>
      </c>
      <c r="AB561" s="6">
        <f>$K$561*$V$561</f>
        <v>0</v>
      </c>
      <c r="AC561" s="6">
        <f>$M$561*$W$561</f>
        <v>3070.0152199999998</v>
      </c>
      <c r="AD561" s="6">
        <f>$O$561*$X$561</f>
        <v>2953.0282799999995</v>
      </c>
      <c r="AE561" s="6">
        <f>$K$561*$Y$561</f>
        <v>0</v>
      </c>
      <c r="AF561" s="6">
        <f ca="1">$M$561*$Z$561</f>
        <v>2947.3372816601527</v>
      </c>
      <c r="AG561" s="6">
        <f>$O$561*$AA$561</f>
        <v>2336.8872381614628</v>
      </c>
    </row>
    <row r="562" spans="1:33" ht="11.25" customHeight="1" x14ac:dyDescent="0.25">
      <c r="A562" s="4" t="s">
        <v>21</v>
      </c>
      <c r="B562" s="4" t="s">
        <v>36</v>
      </c>
      <c r="C562" s="4" t="s">
        <v>23</v>
      </c>
      <c r="D562" s="4" t="s">
        <v>51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44562</v>
      </c>
      <c r="J562" s="6">
        <v>0</v>
      </c>
      <c r="K562" s="6">
        <v>0</v>
      </c>
      <c r="L562" s="6">
        <v>11.051</v>
      </c>
      <c r="M562" s="6">
        <v>11.051</v>
      </c>
      <c r="N562" s="6">
        <v>11.051</v>
      </c>
      <c r="O562" s="6">
        <v>11.051</v>
      </c>
      <c r="P562" s="6">
        <v>3</v>
      </c>
      <c r="Q562" s="4" t="s">
        <v>26</v>
      </c>
      <c r="R562" s="4">
        <v>0</v>
      </c>
      <c r="S562" s="6">
        <v>0</v>
      </c>
      <c r="T562" s="6">
        <v>68</v>
      </c>
      <c r="U562" s="6">
        <v>76</v>
      </c>
      <c r="V562" s="6">
        <f>IF(ISERROR(VLOOKUP($S$562,'TAR FIN'!$A$1:$O$86,15,0)),0,VLOOKUP($S$562,'TAR FIN'!$A$1:$O$86,15,0))</f>
        <v>0</v>
      </c>
      <c r="W562" s="6">
        <f>IF(ISERROR(VLOOKUP($T$562,'TAR FIN'!$A$1:$O$86,15,0)),0,VLOOKUP($T$562,'TAR FIN'!$A$1:$O$86,15,0))</f>
        <v>326.98</v>
      </c>
      <c r="X562" s="6">
        <f>IF(ISERROR(VLOOKUP($U$562,'TAR FIN'!$A$1:$O$86,15,0)),0,VLOOKUP($U$562,'TAR FIN'!$A$1:$O$86,15,0))</f>
        <v>314.52</v>
      </c>
      <c r="Y562" s="6"/>
      <c r="Z562" s="6">
        <f ca="1">('TUSD BE'!$AM$48+'TUSD BF'!$AM$48+'TUSD CVA'!$AM$48)*1</f>
        <v>313.91386533817797</v>
      </c>
      <c r="AA562" s="6">
        <f>('TE BE'!$AB$40+'TE BF'!$AB$40+'TE CVA'!$AB$40)*1</f>
        <v>248.89628694871266</v>
      </c>
      <c r="AB562" s="6">
        <f>$K$562*$V$562</f>
        <v>0</v>
      </c>
      <c r="AC562" s="6">
        <f>$M$562*$W$562</f>
        <v>3613.4559800000002</v>
      </c>
      <c r="AD562" s="6">
        <f>$O$562*$X$562</f>
        <v>3475.7605199999998</v>
      </c>
      <c r="AE562" s="6">
        <f>$K$562*$Y$562</f>
        <v>0</v>
      </c>
      <c r="AF562" s="6">
        <f ca="1">$M$562*$Z$562</f>
        <v>3469.0621258522046</v>
      </c>
      <c r="AG562" s="6">
        <f>$O$562*$AA$562</f>
        <v>2750.5528670702238</v>
      </c>
    </row>
    <row r="563" spans="1:33" ht="11.25" customHeight="1" x14ac:dyDescent="0.25">
      <c r="A563" s="4" t="s">
        <v>21</v>
      </c>
      <c r="B563" s="4" t="s">
        <v>36</v>
      </c>
      <c r="C563" s="4" t="s">
        <v>23</v>
      </c>
      <c r="D563" s="4" t="s">
        <v>51</v>
      </c>
      <c r="E563" s="4" t="s">
        <v>25</v>
      </c>
      <c r="F563" s="4" t="s">
        <v>25</v>
      </c>
      <c r="G563" s="4" t="s">
        <v>25</v>
      </c>
      <c r="H563" s="4" t="s">
        <v>25</v>
      </c>
      <c r="I563" s="5">
        <v>44593</v>
      </c>
      <c r="J563" s="6">
        <v>0</v>
      </c>
      <c r="K563" s="6">
        <v>0</v>
      </c>
      <c r="L563" s="6">
        <v>9.891</v>
      </c>
      <c r="M563" s="6">
        <v>9.891</v>
      </c>
      <c r="N563" s="6">
        <v>9.891</v>
      </c>
      <c r="O563" s="6">
        <v>9.891</v>
      </c>
      <c r="P563" s="6">
        <v>3</v>
      </c>
      <c r="Q563" s="4" t="s">
        <v>26</v>
      </c>
      <c r="R563" s="4">
        <v>0</v>
      </c>
      <c r="S563" s="6">
        <v>0</v>
      </c>
      <c r="T563" s="6">
        <v>68</v>
      </c>
      <c r="U563" s="6">
        <v>76</v>
      </c>
      <c r="V563" s="6">
        <f>IF(ISERROR(VLOOKUP($S$563,'TAR FIN'!$A$1:$O$86,15,0)),0,VLOOKUP($S$563,'TAR FIN'!$A$1:$O$86,15,0))</f>
        <v>0</v>
      </c>
      <c r="W563" s="6">
        <f>IF(ISERROR(VLOOKUP($T$563,'TAR FIN'!$A$1:$O$86,15,0)),0,VLOOKUP($T$563,'TAR FIN'!$A$1:$O$86,15,0))</f>
        <v>326.98</v>
      </c>
      <c r="X563" s="6">
        <f>IF(ISERROR(VLOOKUP($U$563,'TAR FIN'!$A$1:$O$86,15,0)),0,VLOOKUP($U$563,'TAR FIN'!$A$1:$O$86,15,0))</f>
        <v>314.52</v>
      </c>
      <c r="Y563" s="6"/>
      <c r="Z563" s="6">
        <f ca="1">('TUSD BE'!$AM$48+'TUSD BF'!$AM$48+'TUSD CVA'!$AM$48)*1</f>
        <v>313.91386533817797</v>
      </c>
      <c r="AA563" s="6">
        <f>('TE BE'!$AB$40+'TE BF'!$AB$40+'TE CVA'!$AB$40)*1</f>
        <v>248.89628694871266</v>
      </c>
      <c r="AB563" s="6">
        <f>$K$563*$V$563</f>
        <v>0</v>
      </c>
      <c r="AC563" s="6">
        <f>$M$563*$W$563</f>
        <v>3234.1591800000001</v>
      </c>
      <c r="AD563" s="6">
        <f>$O$563*$X$563</f>
        <v>3110.91732</v>
      </c>
      <c r="AE563" s="6">
        <f>$K$563*$Y$563</f>
        <v>0</v>
      </c>
      <c r="AF563" s="6">
        <f ca="1">$M$563*$Z$563</f>
        <v>3104.9220420599181</v>
      </c>
      <c r="AG563" s="6">
        <f>$O$563*$AA$563</f>
        <v>2461.8331742097171</v>
      </c>
    </row>
    <row r="564" spans="1:33" ht="11.25" customHeight="1" x14ac:dyDescent="0.25">
      <c r="A564" s="4" t="s">
        <v>21</v>
      </c>
      <c r="B564" s="4" t="s">
        <v>36</v>
      </c>
      <c r="C564" s="4" t="s">
        <v>23</v>
      </c>
      <c r="D564" s="4" t="s">
        <v>51</v>
      </c>
      <c r="E564" s="4" t="s">
        <v>25</v>
      </c>
      <c r="F564" s="4" t="s">
        <v>25</v>
      </c>
      <c r="G564" s="4" t="s">
        <v>25</v>
      </c>
      <c r="H564" s="4" t="s">
        <v>25</v>
      </c>
      <c r="I564" s="5">
        <v>44621</v>
      </c>
      <c r="J564" s="6">
        <v>0</v>
      </c>
      <c r="K564" s="6">
        <v>0</v>
      </c>
      <c r="L564" s="6">
        <v>10.018000000000001</v>
      </c>
      <c r="M564" s="6">
        <v>10.018000000000001</v>
      </c>
      <c r="N564" s="6">
        <v>10.018000000000001</v>
      </c>
      <c r="O564" s="6">
        <v>10.018000000000001</v>
      </c>
      <c r="P564" s="6">
        <v>3</v>
      </c>
      <c r="Q564" s="4" t="s">
        <v>26</v>
      </c>
      <c r="R564" s="4">
        <v>0</v>
      </c>
      <c r="S564" s="6">
        <v>0</v>
      </c>
      <c r="T564" s="6">
        <v>68</v>
      </c>
      <c r="U564" s="6">
        <v>76</v>
      </c>
      <c r="V564" s="6">
        <f>IF(ISERROR(VLOOKUP($S$564,'TAR FIN'!$A$1:$O$86,15,0)),0,VLOOKUP($S$564,'TAR FIN'!$A$1:$O$86,15,0))</f>
        <v>0</v>
      </c>
      <c r="W564" s="6">
        <f>IF(ISERROR(VLOOKUP($T$564,'TAR FIN'!$A$1:$O$86,15,0)),0,VLOOKUP($T$564,'TAR FIN'!$A$1:$O$86,15,0))</f>
        <v>326.98</v>
      </c>
      <c r="X564" s="6">
        <f>IF(ISERROR(VLOOKUP($U$564,'TAR FIN'!$A$1:$O$86,15,0)),0,VLOOKUP($U$564,'TAR FIN'!$A$1:$O$86,15,0))</f>
        <v>314.52</v>
      </c>
      <c r="Y564" s="6"/>
      <c r="Z564" s="6">
        <f ca="1">('TUSD BE'!$AM$48+'TUSD BF'!$AM$48+'TUSD CVA'!$AM$48)*1</f>
        <v>313.91386533817797</v>
      </c>
      <c r="AA564" s="6">
        <f>('TE BE'!$AB$40+'TE BF'!$AB$40+'TE CVA'!$AB$40)*1</f>
        <v>248.89628694871266</v>
      </c>
      <c r="AB564" s="6">
        <f>$K$564*$V$564</f>
        <v>0</v>
      </c>
      <c r="AC564" s="6">
        <f>$M$564*$W$564</f>
        <v>3275.6856400000006</v>
      </c>
      <c r="AD564" s="6">
        <f>$O$564*$X$564</f>
        <v>3150.8613599999999</v>
      </c>
      <c r="AE564" s="6">
        <f>$K$564*$Y$564</f>
        <v>0</v>
      </c>
      <c r="AF564" s="6">
        <f ca="1">$M$564*$Z$564</f>
        <v>3144.7891029578673</v>
      </c>
      <c r="AG564" s="6">
        <f>$O$564*$AA$564</f>
        <v>2493.4430026522036</v>
      </c>
    </row>
    <row r="565" spans="1:33" ht="11.25" customHeight="1" x14ac:dyDescent="0.25">
      <c r="A565" s="4" t="s">
        <v>21</v>
      </c>
      <c r="B565" s="4" t="s">
        <v>36</v>
      </c>
      <c r="C565" s="4" t="s">
        <v>23</v>
      </c>
      <c r="D565" s="4" t="s">
        <v>51</v>
      </c>
      <c r="E565" s="4" t="s">
        <v>25</v>
      </c>
      <c r="F565" s="4" t="s">
        <v>25</v>
      </c>
      <c r="G565" s="4" t="s">
        <v>25</v>
      </c>
      <c r="H565" s="4" t="s">
        <v>25</v>
      </c>
      <c r="I565" s="5">
        <v>44652</v>
      </c>
      <c r="J565" s="6">
        <v>0</v>
      </c>
      <c r="K565" s="6">
        <v>0</v>
      </c>
      <c r="L565" s="6">
        <v>7.766</v>
      </c>
      <c r="M565" s="6">
        <v>7.766</v>
      </c>
      <c r="N565" s="6">
        <v>7.766</v>
      </c>
      <c r="O565" s="6">
        <v>7.766</v>
      </c>
      <c r="P565" s="6">
        <v>3</v>
      </c>
      <c r="Q565" s="4" t="s">
        <v>26</v>
      </c>
      <c r="R565" s="4">
        <v>0</v>
      </c>
      <c r="S565" s="6">
        <v>0</v>
      </c>
      <c r="T565" s="6">
        <v>68</v>
      </c>
      <c r="U565" s="6">
        <v>76</v>
      </c>
      <c r="V565" s="6">
        <f>IF(ISERROR(VLOOKUP($S$565,'TAR FIN'!$A$1:$O$86,15,0)),0,VLOOKUP($S$565,'TAR FIN'!$A$1:$O$86,15,0))</f>
        <v>0</v>
      </c>
      <c r="W565" s="6">
        <f>IF(ISERROR(VLOOKUP($T$565,'TAR FIN'!$A$1:$O$86,15,0)),0,VLOOKUP($T$565,'TAR FIN'!$A$1:$O$86,15,0))</f>
        <v>326.98</v>
      </c>
      <c r="X565" s="6">
        <f>IF(ISERROR(VLOOKUP($U$565,'TAR FIN'!$A$1:$O$86,15,0)),0,VLOOKUP($U$565,'TAR FIN'!$A$1:$O$86,15,0))</f>
        <v>314.52</v>
      </c>
      <c r="Y565" s="6"/>
      <c r="Z565" s="6">
        <f ca="1">('TUSD BE'!$AM$48+'TUSD BF'!$AM$48+'TUSD CVA'!$AM$48)*1</f>
        <v>313.91386533817797</v>
      </c>
      <c r="AA565" s="6">
        <f>('TE BE'!$AB$40+'TE BF'!$AB$40+'TE CVA'!$AB$40)*1</f>
        <v>248.89628694871266</v>
      </c>
      <c r="AB565" s="6">
        <f>$K$565*$V$565</f>
        <v>0</v>
      </c>
      <c r="AC565" s="6">
        <f>$M$565*$W$565</f>
        <v>2539.3266800000001</v>
      </c>
      <c r="AD565" s="6">
        <f>$O$565*$X$565</f>
        <v>2442.56232</v>
      </c>
      <c r="AE565" s="6">
        <f>$K$565*$Y$565</f>
        <v>0</v>
      </c>
      <c r="AF565" s="6">
        <f ca="1">$M$565*$Z$565</f>
        <v>2437.8550782162902</v>
      </c>
      <c r="AG565" s="6">
        <f>$O$565*$AA$565</f>
        <v>1932.9285644437025</v>
      </c>
    </row>
    <row r="566" spans="1:33" ht="11.25" customHeight="1" x14ac:dyDescent="0.25">
      <c r="A566" s="4" t="s">
        <v>21</v>
      </c>
      <c r="B566" s="4" t="s">
        <v>36</v>
      </c>
      <c r="C566" s="4" t="s">
        <v>23</v>
      </c>
      <c r="D566" s="4" t="s">
        <v>51</v>
      </c>
      <c r="E566" s="4" t="s">
        <v>25</v>
      </c>
      <c r="F566" s="4" t="s">
        <v>25</v>
      </c>
      <c r="G566" s="4" t="s">
        <v>25</v>
      </c>
      <c r="H566" s="4" t="s">
        <v>25</v>
      </c>
      <c r="I566" s="5">
        <v>44682</v>
      </c>
      <c r="J566" s="6">
        <v>0</v>
      </c>
      <c r="K566" s="6">
        <v>0</v>
      </c>
      <c r="L566" s="6">
        <v>6.9779999999999998</v>
      </c>
      <c r="M566" s="6">
        <v>6.9779999999999998</v>
      </c>
      <c r="N566" s="6">
        <v>6.9779999999999998</v>
      </c>
      <c r="O566" s="6">
        <v>6.9779999999999998</v>
      </c>
      <c r="P566" s="6">
        <v>3</v>
      </c>
      <c r="Q566" s="4" t="s">
        <v>26</v>
      </c>
      <c r="R566" s="4">
        <v>0</v>
      </c>
      <c r="S566" s="6">
        <v>0</v>
      </c>
      <c r="T566" s="6">
        <v>68</v>
      </c>
      <c r="U566" s="6">
        <v>76</v>
      </c>
      <c r="V566" s="6">
        <f>IF(ISERROR(VLOOKUP($S$566,'TAR FIN'!$A$1:$O$86,15,0)),0,VLOOKUP($S$566,'TAR FIN'!$A$1:$O$86,15,0))</f>
        <v>0</v>
      </c>
      <c r="W566" s="6">
        <f>IF(ISERROR(VLOOKUP($T$566,'TAR FIN'!$A$1:$O$86,15,0)),0,VLOOKUP($T$566,'TAR FIN'!$A$1:$O$86,15,0))</f>
        <v>326.98</v>
      </c>
      <c r="X566" s="6">
        <f>IF(ISERROR(VLOOKUP($U$566,'TAR FIN'!$A$1:$O$86,15,0)),0,VLOOKUP($U$566,'TAR FIN'!$A$1:$O$86,15,0))</f>
        <v>314.52</v>
      </c>
      <c r="Y566" s="6"/>
      <c r="Z566" s="6">
        <f ca="1">('TUSD BE'!$AM$48+'TUSD BF'!$AM$48+'TUSD CVA'!$AM$48)*1</f>
        <v>313.91386533817797</v>
      </c>
      <c r="AA566" s="6">
        <f>('TE BE'!$AB$40+'TE BF'!$AB$40+'TE CVA'!$AB$40)*1</f>
        <v>248.89628694871266</v>
      </c>
      <c r="AB566" s="6">
        <f>$K$566*$V$566</f>
        <v>0</v>
      </c>
      <c r="AC566" s="6">
        <f>$M$566*$W$566</f>
        <v>2281.66644</v>
      </c>
      <c r="AD566" s="6">
        <f>$O$566*$X$566</f>
        <v>2194.7205599999998</v>
      </c>
      <c r="AE566" s="6">
        <f>$K$566*$Y$566</f>
        <v>0</v>
      </c>
      <c r="AF566" s="6">
        <f ca="1">$M$566*$Z$566</f>
        <v>2190.4909523298056</v>
      </c>
      <c r="AG566" s="6">
        <f>$O$566*$AA$566</f>
        <v>1736.7982903281168</v>
      </c>
    </row>
    <row r="567" spans="1:33" ht="11.25" customHeight="1" x14ac:dyDescent="0.25">
      <c r="A567" s="4" t="s">
        <v>55</v>
      </c>
      <c r="B567" s="4" t="s">
        <v>36</v>
      </c>
      <c r="C567" s="4" t="s">
        <v>23</v>
      </c>
      <c r="D567" s="4" t="s">
        <v>51</v>
      </c>
      <c r="E567" s="4" t="s">
        <v>25</v>
      </c>
      <c r="F567" s="4" t="s">
        <v>25</v>
      </c>
      <c r="G567" s="4" t="s">
        <v>25</v>
      </c>
      <c r="H567" s="4" t="s">
        <v>25</v>
      </c>
      <c r="I567" s="5">
        <v>44713</v>
      </c>
      <c r="J567" s="6">
        <v>0</v>
      </c>
      <c r="K567" s="6">
        <v>0</v>
      </c>
      <c r="L567" s="6">
        <v>6.9779999999999998</v>
      </c>
      <c r="M567" s="6">
        <v>6.9779999999999998</v>
      </c>
      <c r="N567" s="6">
        <v>6.9779999999999998</v>
      </c>
      <c r="O567" s="6">
        <v>6.9779999999999998</v>
      </c>
      <c r="P567" s="6">
        <v>3</v>
      </c>
      <c r="Q567" s="4" t="s">
        <v>26</v>
      </c>
      <c r="R567" s="4">
        <v>0</v>
      </c>
      <c r="S567" s="6">
        <v>0</v>
      </c>
      <c r="T567" s="6">
        <v>68</v>
      </c>
      <c r="U567" s="6">
        <v>76</v>
      </c>
      <c r="V567" s="6">
        <f>IF(ISERROR(VLOOKUP($S$567,'TAR FIN'!$A$1:$O$86,15,0)),0,VLOOKUP($S$567,'TAR FIN'!$A$1:$O$86,15,0))</f>
        <v>0</v>
      </c>
      <c r="W567" s="6">
        <f>IF(ISERROR(VLOOKUP($T$567,'TAR FIN'!$A$1:$O$86,15,0)),0,VLOOKUP($T$567,'TAR FIN'!$A$1:$O$86,15,0))</f>
        <v>326.98</v>
      </c>
      <c r="X567" s="6">
        <f>IF(ISERROR(VLOOKUP($U$567,'TAR FIN'!$A$1:$O$86,15,0)),0,VLOOKUP($U$567,'TAR FIN'!$A$1:$O$86,15,0))</f>
        <v>314.52</v>
      </c>
      <c r="Y567" s="6"/>
      <c r="Z567" s="6">
        <f ca="1">('TUSD BE'!$AM$48+'TUSD BF'!$AM$48+'TUSD CVA'!$AM$48)*1</f>
        <v>313.91386533817797</v>
      </c>
      <c r="AA567" s="6">
        <f>('TE BE'!$AB$40+'TE BF'!$AB$40+'TE CVA'!$AB$40)*1</f>
        <v>248.89628694871266</v>
      </c>
      <c r="AB567" s="6">
        <f>$K$567*$V$567</f>
        <v>0</v>
      </c>
      <c r="AC567" s="6">
        <f>$M$567*$W$567</f>
        <v>2281.66644</v>
      </c>
      <c r="AD567" s="6">
        <f>$O$567*$X$567</f>
        <v>2194.7205599999998</v>
      </c>
      <c r="AE567" s="6">
        <f>$K$567*$Y$567</f>
        <v>0</v>
      </c>
      <c r="AF567" s="6">
        <f ca="1">$M$567*$Z$567</f>
        <v>2190.4909523298056</v>
      </c>
      <c r="AG567" s="6">
        <f>$O$567*$AA$567</f>
        <v>1736.7982903281168</v>
      </c>
    </row>
    <row r="568" spans="1:33" ht="11.25" customHeight="1" x14ac:dyDescent="0.25">
      <c r="A568" s="4" t="s">
        <v>21</v>
      </c>
      <c r="B568" s="4" t="s">
        <v>36</v>
      </c>
      <c r="C568" s="4" t="s">
        <v>23</v>
      </c>
      <c r="D568" s="4" t="s">
        <v>37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44378</v>
      </c>
      <c r="J568" s="6">
        <v>0</v>
      </c>
      <c r="K568" s="6">
        <v>0</v>
      </c>
      <c r="L568" s="6">
        <v>161.786</v>
      </c>
      <c r="M568" s="6">
        <v>161.786</v>
      </c>
      <c r="N568" s="6">
        <v>161.786</v>
      </c>
      <c r="O568" s="6">
        <v>161.786</v>
      </c>
      <c r="P568" s="6">
        <v>91</v>
      </c>
      <c r="Q568" s="4" t="s">
        <v>26</v>
      </c>
      <c r="R568" s="4">
        <v>0</v>
      </c>
      <c r="S568" s="6">
        <v>0</v>
      </c>
      <c r="T568" s="6">
        <v>68</v>
      </c>
      <c r="U568" s="6">
        <v>76</v>
      </c>
      <c r="V568" s="6">
        <f>IF(ISERROR(VLOOKUP($S$568,'TAR FIN'!$A$1:$O$86,15,0)),0,VLOOKUP($S$568,'TAR FIN'!$A$1:$O$86,15,0))</f>
        <v>0</v>
      </c>
      <c r="W568" s="6">
        <f>IF(ISERROR(VLOOKUP($T$568,'TAR FIN'!$A$1:$O$86,15,0)),0,VLOOKUP($T$568,'TAR FIN'!$A$1:$O$86,15,0))</f>
        <v>326.98</v>
      </c>
      <c r="X568" s="6">
        <f>IF(ISERROR(VLOOKUP($U$568,'TAR FIN'!$A$1:$O$86,15,0)),0,VLOOKUP($U$568,'TAR FIN'!$A$1:$O$86,15,0))</f>
        <v>314.52</v>
      </c>
      <c r="Y568" s="6"/>
      <c r="Z568" s="6">
        <f ca="1">('TUSD BE'!$AM$48+'TUSD BF'!$AM$48+'TUSD CVA'!$AM$48)*1</f>
        <v>313.91386533817797</v>
      </c>
      <c r="AA568" s="6">
        <f>('TE BE'!$AB$40+'TE BF'!$AB$40+'TE CVA'!$AB$40)*1</f>
        <v>248.89628694871266</v>
      </c>
      <c r="AB568" s="6">
        <f>$K$568*$V$568</f>
        <v>0</v>
      </c>
      <c r="AC568" s="6">
        <f>$M$568*$W$568</f>
        <v>52900.78628</v>
      </c>
      <c r="AD568" s="6">
        <f>$O$568*$X$568</f>
        <v>50884.932719999997</v>
      </c>
      <c r="AE568" s="6">
        <f>$K$568*$Y$568</f>
        <v>0</v>
      </c>
      <c r="AF568" s="6">
        <f ca="1">$M$568*$Z$568</f>
        <v>50786.868617602464</v>
      </c>
      <c r="AG568" s="6">
        <f>$O$568*$AA$568</f>
        <v>40267.934680284423</v>
      </c>
    </row>
    <row r="569" spans="1:33" ht="11.25" customHeight="1" x14ac:dyDescent="0.25">
      <c r="A569" s="4" t="s">
        <v>27</v>
      </c>
      <c r="B569" s="4" t="s">
        <v>36</v>
      </c>
      <c r="C569" s="4" t="s">
        <v>23</v>
      </c>
      <c r="D569" s="4" t="s">
        <v>37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44378</v>
      </c>
      <c r="J569" s="6">
        <v>0</v>
      </c>
      <c r="K569" s="6">
        <v>0</v>
      </c>
      <c r="L569" s="6">
        <v>12.63</v>
      </c>
      <c r="M569" s="6">
        <v>12.63</v>
      </c>
      <c r="N569" s="6">
        <v>12.63</v>
      </c>
      <c r="O569" s="6">
        <v>12.63</v>
      </c>
      <c r="P569" s="6">
        <v>14</v>
      </c>
      <c r="Q569" s="4" t="s">
        <v>26</v>
      </c>
      <c r="R569" s="4">
        <v>0</v>
      </c>
      <c r="S569" s="6">
        <v>0</v>
      </c>
      <c r="T569" s="6">
        <v>68</v>
      </c>
      <c r="U569" s="6">
        <v>76</v>
      </c>
      <c r="V569" s="6">
        <f>IF(ISERROR(VLOOKUP($S$569,'TAR FIN'!$A$1:$O$86,15,0)),0,VLOOKUP($S$569,'TAR FIN'!$A$1:$O$86,15,0))</f>
        <v>0</v>
      </c>
      <c r="W569" s="6">
        <f>IF(ISERROR(VLOOKUP($T$569,'TAR FIN'!$A$1:$O$86,15,0)),0,VLOOKUP($T$569,'TAR FIN'!$A$1:$O$86,15,0))</f>
        <v>326.98</v>
      </c>
      <c r="X569" s="6">
        <f>IF(ISERROR(VLOOKUP($U$569,'TAR FIN'!$A$1:$O$86,15,0)),0,VLOOKUP($U$569,'TAR FIN'!$A$1:$O$86,15,0))</f>
        <v>314.52</v>
      </c>
      <c r="Y569" s="6"/>
      <c r="Z569" s="6">
        <f ca="1">('TUSD BE'!$AM$48+'TUSD BF'!$AM$48+'TUSD CVA'!$AM$48)*1</f>
        <v>313.91386533817797</v>
      </c>
      <c r="AA569" s="6">
        <f>('TE BE'!$AB$40+'TE BF'!$AB$40+'TE CVA'!$AB$40)*1</f>
        <v>248.89628694871266</v>
      </c>
      <c r="AB569" s="6">
        <f>$K$569*$V$569</f>
        <v>0</v>
      </c>
      <c r="AC569" s="6">
        <f>$M$569*$W$569</f>
        <v>4129.7574000000004</v>
      </c>
      <c r="AD569" s="6">
        <f>$O$569*$X$569</f>
        <v>3972.3876</v>
      </c>
      <c r="AE569" s="6">
        <f>$K$569*$Y$569</f>
        <v>0</v>
      </c>
      <c r="AF569" s="6">
        <f ca="1">$M$569*$Z$569</f>
        <v>3964.732119221188</v>
      </c>
      <c r="AG569" s="6">
        <f>$O$569*$AA$569</f>
        <v>3143.5601041622413</v>
      </c>
    </row>
    <row r="570" spans="1:33" ht="11.25" customHeight="1" x14ac:dyDescent="0.25">
      <c r="A570" s="4" t="s">
        <v>21</v>
      </c>
      <c r="B570" s="4" t="s">
        <v>36</v>
      </c>
      <c r="C570" s="4" t="s">
        <v>23</v>
      </c>
      <c r="D570" s="4" t="s">
        <v>37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44409</v>
      </c>
      <c r="J570" s="6">
        <v>0</v>
      </c>
      <c r="K570" s="6">
        <v>0</v>
      </c>
      <c r="L570" s="6">
        <v>135.57300000000001</v>
      </c>
      <c r="M570" s="6">
        <v>135.57300000000001</v>
      </c>
      <c r="N570" s="6">
        <v>135.57300000000001</v>
      </c>
      <c r="O570" s="6">
        <v>135.57300000000001</v>
      </c>
      <c r="P570" s="6">
        <v>89</v>
      </c>
      <c r="Q570" s="4" t="s">
        <v>26</v>
      </c>
      <c r="R570" s="4">
        <v>0</v>
      </c>
      <c r="S570" s="6">
        <v>0</v>
      </c>
      <c r="T570" s="6">
        <v>68</v>
      </c>
      <c r="U570" s="6">
        <v>76</v>
      </c>
      <c r="V570" s="6">
        <f>IF(ISERROR(VLOOKUP($S$570,'TAR FIN'!$A$1:$O$86,15,0)),0,VLOOKUP($S$570,'TAR FIN'!$A$1:$O$86,15,0))</f>
        <v>0</v>
      </c>
      <c r="W570" s="6">
        <f>IF(ISERROR(VLOOKUP($T$570,'TAR FIN'!$A$1:$O$86,15,0)),0,VLOOKUP($T$570,'TAR FIN'!$A$1:$O$86,15,0))</f>
        <v>326.98</v>
      </c>
      <c r="X570" s="6">
        <f>IF(ISERROR(VLOOKUP($U$570,'TAR FIN'!$A$1:$O$86,15,0)),0,VLOOKUP($U$570,'TAR FIN'!$A$1:$O$86,15,0))</f>
        <v>314.52</v>
      </c>
      <c r="Y570" s="6"/>
      <c r="Z570" s="6">
        <f ca="1">('TUSD BE'!$AM$48+'TUSD BF'!$AM$48+'TUSD CVA'!$AM$48)*1</f>
        <v>313.91386533817797</v>
      </c>
      <c r="AA570" s="6">
        <f>('TE BE'!$AB$40+'TE BF'!$AB$40+'TE CVA'!$AB$40)*1</f>
        <v>248.89628694871266</v>
      </c>
      <c r="AB570" s="6">
        <f>$K$570*$V$570</f>
        <v>0</v>
      </c>
      <c r="AC570" s="6">
        <f>$M$570*$W$570</f>
        <v>44329.659540000008</v>
      </c>
      <c r="AD570" s="6">
        <f>$O$570*$X$570</f>
        <v>42640.419959999999</v>
      </c>
      <c r="AE570" s="6">
        <f>$K$570*$Y$570</f>
        <v>0</v>
      </c>
      <c r="AF570" s="6">
        <f ca="1">$M$570*$Z$570</f>
        <v>42558.244465492804</v>
      </c>
      <c r="AG570" s="6">
        <f>$O$570*$AA$570</f>
        <v>33743.616310497826</v>
      </c>
    </row>
    <row r="571" spans="1:33" ht="11.25" customHeight="1" x14ac:dyDescent="0.25">
      <c r="A571" s="4" t="s">
        <v>27</v>
      </c>
      <c r="B571" s="4" t="s">
        <v>36</v>
      </c>
      <c r="C571" s="4" t="s">
        <v>23</v>
      </c>
      <c r="D571" s="4" t="s">
        <v>37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44409</v>
      </c>
      <c r="J571" s="6">
        <v>0</v>
      </c>
      <c r="K571" s="6">
        <v>0</v>
      </c>
      <c r="L571" s="6">
        <v>24.561</v>
      </c>
      <c r="M571" s="6">
        <v>24.561</v>
      </c>
      <c r="N571" s="6">
        <v>24.561</v>
      </c>
      <c r="O571" s="6">
        <v>24.561</v>
      </c>
      <c r="P571" s="6">
        <v>16</v>
      </c>
      <c r="Q571" s="4" t="s">
        <v>26</v>
      </c>
      <c r="R571" s="4">
        <v>0</v>
      </c>
      <c r="S571" s="6">
        <v>0</v>
      </c>
      <c r="T571" s="6">
        <v>68</v>
      </c>
      <c r="U571" s="6">
        <v>76</v>
      </c>
      <c r="V571" s="6">
        <f>IF(ISERROR(VLOOKUP($S$571,'TAR FIN'!$A$1:$O$86,15,0)),0,VLOOKUP($S$571,'TAR FIN'!$A$1:$O$86,15,0))</f>
        <v>0</v>
      </c>
      <c r="W571" s="6">
        <f>IF(ISERROR(VLOOKUP($T$571,'TAR FIN'!$A$1:$O$86,15,0)),0,VLOOKUP($T$571,'TAR FIN'!$A$1:$O$86,15,0))</f>
        <v>326.98</v>
      </c>
      <c r="X571" s="6">
        <f>IF(ISERROR(VLOOKUP($U$571,'TAR FIN'!$A$1:$O$86,15,0)),0,VLOOKUP($U$571,'TAR FIN'!$A$1:$O$86,15,0))</f>
        <v>314.52</v>
      </c>
      <c r="Y571" s="6"/>
      <c r="Z571" s="6">
        <f ca="1">('TUSD BE'!$AM$48+'TUSD BF'!$AM$48+'TUSD CVA'!$AM$48)*1</f>
        <v>313.91386533817797</v>
      </c>
      <c r="AA571" s="6">
        <f>('TE BE'!$AB$40+'TE BF'!$AB$40+'TE CVA'!$AB$40)*1</f>
        <v>248.89628694871266</v>
      </c>
      <c r="AB571" s="6">
        <f>$K$571*$V$571</f>
        <v>0</v>
      </c>
      <c r="AC571" s="6">
        <f>$M$571*$W$571</f>
        <v>8030.9557800000002</v>
      </c>
      <c r="AD571" s="6">
        <f>$O$571*$X$571</f>
        <v>7724.9257199999993</v>
      </c>
      <c r="AE571" s="6">
        <f>$K$571*$Y$571</f>
        <v>0</v>
      </c>
      <c r="AF571" s="6">
        <f ca="1">$M$571*$Z$571</f>
        <v>7710.0384465709894</v>
      </c>
      <c r="AG571" s="6">
        <f>$O$571*$AA$571</f>
        <v>6113.1417037473311</v>
      </c>
    </row>
    <row r="572" spans="1:33" ht="11.25" customHeight="1" x14ac:dyDescent="0.25">
      <c r="A572" s="4" t="s">
        <v>21</v>
      </c>
      <c r="B572" s="4" t="s">
        <v>36</v>
      </c>
      <c r="C572" s="4" t="s">
        <v>23</v>
      </c>
      <c r="D572" s="4" t="s">
        <v>37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44440</v>
      </c>
      <c r="J572" s="6">
        <v>0</v>
      </c>
      <c r="K572" s="6">
        <v>0</v>
      </c>
      <c r="L572" s="6">
        <v>123.67700000000001</v>
      </c>
      <c r="M572" s="6">
        <v>123.67700000000001</v>
      </c>
      <c r="N572" s="6">
        <v>123.67700000000001</v>
      </c>
      <c r="O572" s="6">
        <v>123.67700000000001</v>
      </c>
      <c r="P572" s="6">
        <v>88</v>
      </c>
      <c r="Q572" s="4" t="s">
        <v>26</v>
      </c>
      <c r="R572" s="4">
        <v>0</v>
      </c>
      <c r="S572" s="6">
        <v>0</v>
      </c>
      <c r="T572" s="6">
        <v>68</v>
      </c>
      <c r="U572" s="6">
        <v>76</v>
      </c>
      <c r="V572" s="6">
        <f>IF(ISERROR(VLOOKUP($S$572,'TAR FIN'!$A$1:$O$86,15,0)),0,VLOOKUP($S$572,'TAR FIN'!$A$1:$O$86,15,0))</f>
        <v>0</v>
      </c>
      <c r="W572" s="6">
        <f>IF(ISERROR(VLOOKUP($T$572,'TAR FIN'!$A$1:$O$86,15,0)),0,VLOOKUP($T$572,'TAR FIN'!$A$1:$O$86,15,0))</f>
        <v>326.98</v>
      </c>
      <c r="X572" s="6">
        <f>IF(ISERROR(VLOOKUP($U$572,'TAR FIN'!$A$1:$O$86,15,0)),0,VLOOKUP($U$572,'TAR FIN'!$A$1:$O$86,15,0))</f>
        <v>314.52</v>
      </c>
      <c r="Y572" s="6"/>
      <c r="Z572" s="6">
        <f ca="1">('TUSD BE'!$AM$48+'TUSD BF'!$AM$48+'TUSD CVA'!$AM$48)*1</f>
        <v>313.91386533817797</v>
      </c>
      <c r="AA572" s="6">
        <f>('TE BE'!$AB$40+'TE BF'!$AB$40+'TE CVA'!$AB$40)*1</f>
        <v>248.89628694871266</v>
      </c>
      <c r="AB572" s="6">
        <f>$K$572*$V$572</f>
        <v>0</v>
      </c>
      <c r="AC572" s="6">
        <f>$M$572*$W$572</f>
        <v>40439.905460000002</v>
      </c>
      <c r="AD572" s="6">
        <f>$O$572*$X$572</f>
        <v>38898.890039999998</v>
      </c>
      <c r="AE572" s="6">
        <f>$K$572*$Y$572</f>
        <v>0</v>
      </c>
      <c r="AF572" s="6">
        <f ca="1">$M$572*$Z$572</f>
        <v>38823.925123429835</v>
      </c>
      <c r="AG572" s="6">
        <f>$O$572*$AA$572</f>
        <v>30782.746080955938</v>
      </c>
    </row>
    <row r="573" spans="1:33" ht="11.25" customHeight="1" x14ac:dyDescent="0.25">
      <c r="A573" s="4" t="s">
        <v>27</v>
      </c>
      <c r="B573" s="4" t="s">
        <v>36</v>
      </c>
      <c r="C573" s="4" t="s">
        <v>23</v>
      </c>
      <c r="D573" s="4" t="s">
        <v>37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44440</v>
      </c>
      <c r="J573" s="6">
        <v>0</v>
      </c>
      <c r="K573" s="6">
        <v>0</v>
      </c>
      <c r="L573" s="6">
        <v>18.343</v>
      </c>
      <c r="M573" s="6">
        <v>18.343</v>
      </c>
      <c r="N573" s="6">
        <v>18.343</v>
      </c>
      <c r="O573" s="6">
        <v>18.343</v>
      </c>
      <c r="P573" s="6">
        <v>17</v>
      </c>
      <c r="Q573" s="4" t="s">
        <v>26</v>
      </c>
      <c r="R573" s="4">
        <v>0</v>
      </c>
      <c r="S573" s="6">
        <v>0</v>
      </c>
      <c r="T573" s="6">
        <v>68</v>
      </c>
      <c r="U573" s="6">
        <v>76</v>
      </c>
      <c r="V573" s="6">
        <f>IF(ISERROR(VLOOKUP($S$573,'TAR FIN'!$A$1:$O$86,15,0)),0,VLOOKUP($S$573,'TAR FIN'!$A$1:$O$86,15,0))</f>
        <v>0</v>
      </c>
      <c r="W573" s="6">
        <f>IF(ISERROR(VLOOKUP($T$573,'TAR FIN'!$A$1:$O$86,15,0)),0,VLOOKUP($T$573,'TAR FIN'!$A$1:$O$86,15,0))</f>
        <v>326.98</v>
      </c>
      <c r="X573" s="6">
        <f>IF(ISERROR(VLOOKUP($U$573,'TAR FIN'!$A$1:$O$86,15,0)),0,VLOOKUP($U$573,'TAR FIN'!$A$1:$O$86,15,0))</f>
        <v>314.52</v>
      </c>
      <c r="Y573" s="6"/>
      <c r="Z573" s="6">
        <f ca="1">('TUSD BE'!$AM$48+'TUSD BF'!$AM$48+'TUSD CVA'!$AM$48)*1</f>
        <v>313.91386533817797</v>
      </c>
      <c r="AA573" s="6">
        <f>('TE BE'!$AB$40+'TE BF'!$AB$40+'TE CVA'!$AB$40)*1</f>
        <v>248.89628694871266</v>
      </c>
      <c r="AB573" s="6">
        <f>$K$573*$V$573</f>
        <v>0</v>
      </c>
      <c r="AC573" s="6">
        <f>$M$573*$W$573</f>
        <v>5997.79414</v>
      </c>
      <c r="AD573" s="6">
        <f>$O$573*$X$573</f>
        <v>5769.2403599999998</v>
      </c>
      <c r="AE573" s="6">
        <f>$K$573*$Y$573</f>
        <v>0</v>
      </c>
      <c r="AF573" s="6">
        <f ca="1">$M$573*$Z$573</f>
        <v>5758.1220318981987</v>
      </c>
      <c r="AG573" s="6">
        <f>$O$573*$AA$573</f>
        <v>4565.5045915002365</v>
      </c>
    </row>
    <row r="574" spans="1:33" ht="11.25" customHeight="1" x14ac:dyDescent="0.25">
      <c r="A574" s="4" t="s">
        <v>21</v>
      </c>
      <c r="B574" s="4" t="s">
        <v>36</v>
      </c>
      <c r="C574" s="4" t="s">
        <v>23</v>
      </c>
      <c r="D574" s="4" t="s">
        <v>37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44470</v>
      </c>
      <c r="J574" s="6">
        <v>0</v>
      </c>
      <c r="K574" s="6">
        <v>0</v>
      </c>
      <c r="L574" s="6">
        <v>123.251</v>
      </c>
      <c r="M574" s="6">
        <v>123.251</v>
      </c>
      <c r="N574" s="6">
        <v>123.251</v>
      </c>
      <c r="O574" s="6">
        <v>123.251</v>
      </c>
      <c r="P574" s="6">
        <v>87</v>
      </c>
      <c r="Q574" s="4" t="s">
        <v>26</v>
      </c>
      <c r="R574" s="4">
        <v>0</v>
      </c>
      <c r="S574" s="6">
        <v>0</v>
      </c>
      <c r="T574" s="6">
        <v>68</v>
      </c>
      <c r="U574" s="6">
        <v>76</v>
      </c>
      <c r="V574" s="6">
        <f>IF(ISERROR(VLOOKUP($S$574,'TAR FIN'!$A$1:$O$86,15,0)),0,VLOOKUP($S$574,'TAR FIN'!$A$1:$O$86,15,0))</f>
        <v>0</v>
      </c>
      <c r="W574" s="6">
        <f>IF(ISERROR(VLOOKUP($T$574,'TAR FIN'!$A$1:$O$86,15,0)),0,VLOOKUP($T$574,'TAR FIN'!$A$1:$O$86,15,0))</f>
        <v>326.98</v>
      </c>
      <c r="X574" s="6">
        <f>IF(ISERROR(VLOOKUP($U$574,'TAR FIN'!$A$1:$O$86,15,0)),0,VLOOKUP($U$574,'TAR FIN'!$A$1:$O$86,15,0))</f>
        <v>314.52</v>
      </c>
      <c r="Y574" s="6"/>
      <c r="Z574" s="6">
        <f ca="1">('TUSD BE'!$AM$48+'TUSD BF'!$AM$48+'TUSD CVA'!$AM$48)*1</f>
        <v>313.91386533817797</v>
      </c>
      <c r="AA574" s="6">
        <f>('TE BE'!$AB$40+'TE BF'!$AB$40+'TE CVA'!$AB$40)*1</f>
        <v>248.89628694871266</v>
      </c>
      <c r="AB574" s="6">
        <f>$K$574*$V$574</f>
        <v>0</v>
      </c>
      <c r="AC574" s="6">
        <f>$M$574*$W$574</f>
        <v>40300.611980000001</v>
      </c>
      <c r="AD574" s="6">
        <f>$O$574*$X$574</f>
        <v>38764.904519999996</v>
      </c>
      <c r="AE574" s="6">
        <f>$K$574*$Y$574</f>
        <v>0</v>
      </c>
      <c r="AF574" s="6">
        <f ca="1">$M$574*$Z$574</f>
        <v>38690.197816795771</v>
      </c>
      <c r="AG574" s="6">
        <f>$O$574*$AA$574</f>
        <v>30676.716262715785</v>
      </c>
    </row>
    <row r="575" spans="1:33" ht="11.25" customHeight="1" x14ac:dyDescent="0.25">
      <c r="A575" s="4" t="s">
        <v>27</v>
      </c>
      <c r="B575" s="4" t="s">
        <v>36</v>
      </c>
      <c r="C575" s="4" t="s">
        <v>23</v>
      </c>
      <c r="D575" s="4" t="s">
        <v>37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44470</v>
      </c>
      <c r="J575" s="6">
        <v>0</v>
      </c>
      <c r="K575" s="6">
        <v>0</v>
      </c>
      <c r="L575" s="6">
        <v>14.35</v>
      </c>
      <c r="M575" s="6">
        <v>14.35</v>
      </c>
      <c r="N575" s="6">
        <v>14.35</v>
      </c>
      <c r="O575" s="6">
        <v>14.35</v>
      </c>
      <c r="P575" s="6">
        <v>17</v>
      </c>
      <c r="Q575" s="4" t="s">
        <v>26</v>
      </c>
      <c r="R575" s="4">
        <v>0</v>
      </c>
      <c r="S575" s="6">
        <v>0</v>
      </c>
      <c r="T575" s="6">
        <v>68</v>
      </c>
      <c r="U575" s="6">
        <v>76</v>
      </c>
      <c r="V575" s="6">
        <f>IF(ISERROR(VLOOKUP($S$575,'TAR FIN'!$A$1:$O$86,15,0)),0,VLOOKUP($S$575,'TAR FIN'!$A$1:$O$86,15,0))</f>
        <v>0</v>
      </c>
      <c r="W575" s="6">
        <f>IF(ISERROR(VLOOKUP($T$575,'TAR FIN'!$A$1:$O$86,15,0)),0,VLOOKUP($T$575,'TAR FIN'!$A$1:$O$86,15,0))</f>
        <v>326.98</v>
      </c>
      <c r="X575" s="6">
        <f>IF(ISERROR(VLOOKUP($U$575,'TAR FIN'!$A$1:$O$86,15,0)),0,VLOOKUP($U$575,'TAR FIN'!$A$1:$O$86,15,0))</f>
        <v>314.52</v>
      </c>
      <c r="Y575" s="6"/>
      <c r="Z575" s="6">
        <f ca="1">('TUSD BE'!$AM$48+'TUSD BF'!$AM$48+'TUSD CVA'!$AM$48)*1</f>
        <v>313.91386533817797</v>
      </c>
      <c r="AA575" s="6">
        <f>('TE BE'!$AB$40+'TE BF'!$AB$40+'TE CVA'!$AB$40)*1</f>
        <v>248.89628694871266</v>
      </c>
      <c r="AB575" s="6">
        <f>$K$575*$V$575</f>
        <v>0</v>
      </c>
      <c r="AC575" s="6">
        <f>$M$575*$W$575</f>
        <v>4692.1630000000005</v>
      </c>
      <c r="AD575" s="6">
        <f>$O$575*$X$575</f>
        <v>4513.3620000000001</v>
      </c>
      <c r="AE575" s="6">
        <f>$K$575*$Y$575</f>
        <v>0</v>
      </c>
      <c r="AF575" s="6">
        <f ca="1">$M$575*$Z$575</f>
        <v>4504.6639676028535</v>
      </c>
      <c r="AG575" s="6">
        <f>$O$575*$AA$575</f>
        <v>3571.6617177140265</v>
      </c>
    </row>
    <row r="576" spans="1:33" ht="11.25" customHeight="1" x14ac:dyDescent="0.25">
      <c r="A576" s="4" t="s">
        <v>21</v>
      </c>
      <c r="B576" s="4" t="s">
        <v>36</v>
      </c>
      <c r="C576" s="4" t="s">
        <v>23</v>
      </c>
      <c r="D576" s="4" t="s">
        <v>37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44501</v>
      </c>
      <c r="J576" s="6">
        <v>0</v>
      </c>
      <c r="K576" s="6">
        <v>0</v>
      </c>
      <c r="L576" s="6">
        <v>136.86000000000001</v>
      </c>
      <c r="M576" s="6">
        <v>136.86000000000001</v>
      </c>
      <c r="N576" s="6">
        <v>136.86000000000001</v>
      </c>
      <c r="O576" s="6">
        <v>136.86000000000001</v>
      </c>
      <c r="P576" s="6">
        <v>89</v>
      </c>
      <c r="Q576" s="4" t="s">
        <v>26</v>
      </c>
      <c r="R576" s="4">
        <v>0</v>
      </c>
      <c r="S576" s="6">
        <v>0</v>
      </c>
      <c r="T576" s="6">
        <v>68</v>
      </c>
      <c r="U576" s="6">
        <v>76</v>
      </c>
      <c r="V576" s="6">
        <f>IF(ISERROR(VLOOKUP($S$576,'TAR FIN'!$A$1:$O$86,15,0)),0,VLOOKUP($S$576,'TAR FIN'!$A$1:$O$86,15,0))</f>
        <v>0</v>
      </c>
      <c r="W576" s="6">
        <f>IF(ISERROR(VLOOKUP($T$576,'TAR FIN'!$A$1:$O$86,15,0)),0,VLOOKUP($T$576,'TAR FIN'!$A$1:$O$86,15,0))</f>
        <v>326.98</v>
      </c>
      <c r="X576" s="6">
        <f>IF(ISERROR(VLOOKUP($U$576,'TAR FIN'!$A$1:$O$86,15,0)),0,VLOOKUP($U$576,'TAR FIN'!$A$1:$O$86,15,0))</f>
        <v>314.52</v>
      </c>
      <c r="Y576" s="6"/>
      <c r="Z576" s="6">
        <f ca="1">('TUSD BE'!$AM$48+'TUSD BF'!$AM$48+'TUSD CVA'!$AM$48)*1</f>
        <v>313.91386533817797</v>
      </c>
      <c r="AA576" s="6">
        <f>('TE BE'!$AB$40+'TE BF'!$AB$40+'TE CVA'!$AB$40)*1</f>
        <v>248.89628694871266</v>
      </c>
      <c r="AB576" s="6">
        <f>$K$576*$V$576</f>
        <v>0</v>
      </c>
      <c r="AC576" s="6">
        <f>$M$576*$W$576</f>
        <v>44750.482800000005</v>
      </c>
      <c r="AD576" s="6">
        <f>$O$576*$X$576</f>
        <v>43045.207200000004</v>
      </c>
      <c r="AE576" s="6">
        <f>$K$576*$Y$576</f>
        <v>0</v>
      </c>
      <c r="AF576" s="6">
        <f ca="1">$M$576*$Z$576</f>
        <v>42962.251610183041</v>
      </c>
      <c r="AG576" s="6">
        <f>$O$576*$AA$576</f>
        <v>34063.945831800818</v>
      </c>
    </row>
    <row r="577" spans="1:33" ht="11.25" customHeight="1" x14ac:dyDescent="0.25">
      <c r="A577" s="4" t="s">
        <v>27</v>
      </c>
      <c r="B577" s="4" t="s">
        <v>36</v>
      </c>
      <c r="C577" s="4" t="s">
        <v>23</v>
      </c>
      <c r="D577" s="4" t="s">
        <v>37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44501</v>
      </c>
      <c r="J577" s="6">
        <v>0</v>
      </c>
      <c r="K577" s="6">
        <v>0</v>
      </c>
      <c r="L577" s="6">
        <v>16.785</v>
      </c>
      <c r="M577" s="6">
        <v>16.785</v>
      </c>
      <c r="N577" s="6">
        <v>16.785</v>
      </c>
      <c r="O577" s="6">
        <v>16.785</v>
      </c>
      <c r="P577" s="6">
        <v>17</v>
      </c>
      <c r="Q577" s="4" t="s">
        <v>26</v>
      </c>
      <c r="R577" s="4">
        <v>0</v>
      </c>
      <c r="S577" s="6">
        <v>0</v>
      </c>
      <c r="T577" s="6">
        <v>68</v>
      </c>
      <c r="U577" s="6">
        <v>76</v>
      </c>
      <c r="V577" s="6">
        <f>IF(ISERROR(VLOOKUP($S$577,'TAR FIN'!$A$1:$O$86,15,0)),0,VLOOKUP($S$577,'TAR FIN'!$A$1:$O$86,15,0))</f>
        <v>0</v>
      </c>
      <c r="W577" s="6">
        <f>IF(ISERROR(VLOOKUP($T$577,'TAR FIN'!$A$1:$O$86,15,0)),0,VLOOKUP($T$577,'TAR FIN'!$A$1:$O$86,15,0))</f>
        <v>326.98</v>
      </c>
      <c r="X577" s="6">
        <f>IF(ISERROR(VLOOKUP($U$577,'TAR FIN'!$A$1:$O$86,15,0)),0,VLOOKUP($U$577,'TAR FIN'!$A$1:$O$86,15,0))</f>
        <v>314.52</v>
      </c>
      <c r="Y577" s="6"/>
      <c r="Z577" s="6">
        <f ca="1">('TUSD BE'!$AM$48+'TUSD BF'!$AM$48+'TUSD CVA'!$AM$48)*1</f>
        <v>313.91386533817797</v>
      </c>
      <c r="AA577" s="6">
        <f>('TE BE'!$AB$40+'TE BF'!$AB$40+'TE CVA'!$AB$40)*1</f>
        <v>248.89628694871266</v>
      </c>
      <c r="AB577" s="6">
        <f>$K$577*$V$577</f>
        <v>0</v>
      </c>
      <c r="AC577" s="6">
        <f>$M$577*$W$577</f>
        <v>5488.3593000000001</v>
      </c>
      <c r="AD577" s="6">
        <f>$O$577*$X$577</f>
        <v>5279.2181999999993</v>
      </c>
      <c r="AE577" s="6">
        <f>$K$577*$Y$577</f>
        <v>0</v>
      </c>
      <c r="AF577" s="6">
        <f ca="1">$M$577*$Z$577</f>
        <v>5269.0442297013169</v>
      </c>
      <c r="AG577" s="6">
        <f>$O$577*$AA$577</f>
        <v>4177.7241764341416</v>
      </c>
    </row>
    <row r="578" spans="1:33" ht="11.25" customHeight="1" x14ac:dyDescent="0.25">
      <c r="A578" s="4" t="s">
        <v>21</v>
      </c>
      <c r="B578" s="4" t="s">
        <v>36</v>
      </c>
      <c r="C578" s="4" t="s">
        <v>23</v>
      </c>
      <c r="D578" s="4" t="s">
        <v>37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44531</v>
      </c>
      <c r="J578" s="6">
        <v>0</v>
      </c>
      <c r="K578" s="6">
        <v>0</v>
      </c>
      <c r="L578" s="6">
        <v>143.69999999999999</v>
      </c>
      <c r="M578" s="6">
        <v>143.69999999999999</v>
      </c>
      <c r="N578" s="6">
        <v>143.69999999999999</v>
      </c>
      <c r="O578" s="6">
        <v>143.69999999999999</v>
      </c>
      <c r="P578" s="6">
        <v>86</v>
      </c>
      <c r="Q578" s="4" t="s">
        <v>26</v>
      </c>
      <c r="R578" s="4">
        <v>0</v>
      </c>
      <c r="S578" s="6">
        <v>0</v>
      </c>
      <c r="T578" s="6">
        <v>68</v>
      </c>
      <c r="U578" s="6">
        <v>76</v>
      </c>
      <c r="V578" s="6">
        <f>IF(ISERROR(VLOOKUP($S$578,'TAR FIN'!$A$1:$O$86,15,0)),0,VLOOKUP($S$578,'TAR FIN'!$A$1:$O$86,15,0))</f>
        <v>0</v>
      </c>
      <c r="W578" s="6">
        <f>IF(ISERROR(VLOOKUP($T$578,'TAR FIN'!$A$1:$O$86,15,0)),0,VLOOKUP($T$578,'TAR FIN'!$A$1:$O$86,15,0))</f>
        <v>326.98</v>
      </c>
      <c r="X578" s="6">
        <f>IF(ISERROR(VLOOKUP($U$578,'TAR FIN'!$A$1:$O$86,15,0)),0,VLOOKUP($U$578,'TAR FIN'!$A$1:$O$86,15,0))</f>
        <v>314.52</v>
      </c>
      <c r="Y578" s="6"/>
      <c r="Z578" s="6">
        <f ca="1">('TUSD BE'!$AM$48+'TUSD BF'!$AM$48+'TUSD CVA'!$AM$48)*1</f>
        <v>313.91386533817797</v>
      </c>
      <c r="AA578" s="6">
        <f>('TE BE'!$AB$40+'TE BF'!$AB$40+'TE CVA'!$AB$40)*1</f>
        <v>248.89628694871266</v>
      </c>
      <c r="AB578" s="6">
        <f>$K$578*$V$578</f>
        <v>0</v>
      </c>
      <c r="AC578" s="6">
        <f>$M$578*$W$578</f>
        <v>46987.025999999998</v>
      </c>
      <c r="AD578" s="6">
        <f>$O$578*$X$578</f>
        <v>45196.52399999999</v>
      </c>
      <c r="AE578" s="6">
        <f>$K$578*$Y$578</f>
        <v>0</v>
      </c>
      <c r="AF578" s="6">
        <f ca="1">$M$578*$Z$578</f>
        <v>45109.422449096171</v>
      </c>
      <c r="AG578" s="6">
        <f>$O$578*$AA$578</f>
        <v>35766.396434530005</v>
      </c>
    </row>
    <row r="579" spans="1:33" ht="11.25" customHeight="1" x14ac:dyDescent="0.25">
      <c r="A579" s="4" t="s">
        <v>27</v>
      </c>
      <c r="B579" s="4" t="s">
        <v>36</v>
      </c>
      <c r="C579" s="4" t="s">
        <v>23</v>
      </c>
      <c r="D579" s="4" t="s">
        <v>37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44531</v>
      </c>
      <c r="J579" s="6">
        <v>0</v>
      </c>
      <c r="K579" s="6">
        <v>0</v>
      </c>
      <c r="L579" s="6">
        <v>6.3120000000000003</v>
      </c>
      <c r="M579" s="6">
        <v>6.3120000000000003</v>
      </c>
      <c r="N579" s="6">
        <v>6.3120000000000003</v>
      </c>
      <c r="O579" s="6">
        <v>6.3120000000000003</v>
      </c>
      <c r="P579" s="6">
        <v>18</v>
      </c>
      <c r="Q579" s="4" t="s">
        <v>26</v>
      </c>
      <c r="R579" s="4">
        <v>0</v>
      </c>
      <c r="S579" s="6">
        <v>0</v>
      </c>
      <c r="T579" s="6">
        <v>68</v>
      </c>
      <c r="U579" s="6">
        <v>76</v>
      </c>
      <c r="V579" s="6">
        <f>IF(ISERROR(VLOOKUP($S$579,'TAR FIN'!$A$1:$O$86,15,0)),0,VLOOKUP($S$579,'TAR FIN'!$A$1:$O$86,15,0))</f>
        <v>0</v>
      </c>
      <c r="W579" s="6">
        <f>IF(ISERROR(VLOOKUP($T$579,'TAR FIN'!$A$1:$O$86,15,0)),0,VLOOKUP($T$579,'TAR FIN'!$A$1:$O$86,15,0))</f>
        <v>326.98</v>
      </c>
      <c r="X579" s="6">
        <f>IF(ISERROR(VLOOKUP($U$579,'TAR FIN'!$A$1:$O$86,15,0)),0,VLOOKUP($U$579,'TAR FIN'!$A$1:$O$86,15,0))</f>
        <v>314.52</v>
      </c>
      <c r="Y579" s="6"/>
      <c r="Z579" s="6">
        <f ca="1">('TUSD BE'!$AM$48+'TUSD BF'!$AM$48+'TUSD CVA'!$AM$48)*1</f>
        <v>313.91386533817797</v>
      </c>
      <c r="AA579" s="6">
        <f>('TE BE'!$AB$40+'TE BF'!$AB$40+'TE CVA'!$AB$40)*1</f>
        <v>248.89628694871266</v>
      </c>
      <c r="AB579" s="6">
        <f>$K$579*$V$579</f>
        <v>0</v>
      </c>
      <c r="AC579" s="6">
        <f>$M$579*$W$579</f>
        <v>2063.8977600000003</v>
      </c>
      <c r="AD579" s="6">
        <f>$O$579*$X$579</f>
        <v>1985.2502400000001</v>
      </c>
      <c r="AE579" s="6">
        <f>$K$579*$Y$579</f>
        <v>0</v>
      </c>
      <c r="AF579" s="6">
        <f ca="1">$M$579*$Z$579</f>
        <v>1981.4243180145795</v>
      </c>
      <c r="AG579" s="6">
        <f>$O$579*$AA$579</f>
        <v>1571.0333632202744</v>
      </c>
    </row>
    <row r="580" spans="1:33" ht="11.25" customHeight="1" x14ac:dyDescent="0.25">
      <c r="A580" s="4" t="s">
        <v>21</v>
      </c>
      <c r="B580" s="4" t="s">
        <v>36</v>
      </c>
      <c r="C580" s="4" t="s">
        <v>23</v>
      </c>
      <c r="D580" s="4" t="s">
        <v>37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44562</v>
      </c>
      <c r="J580" s="6">
        <v>0</v>
      </c>
      <c r="K580" s="6">
        <v>0</v>
      </c>
      <c r="L580" s="6">
        <v>126.765</v>
      </c>
      <c r="M580" s="6">
        <v>126.765</v>
      </c>
      <c r="N580" s="6">
        <v>126.765</v>
      </c>
      <c r="O580" s="6">
        <v>126.765</v>
      </c>
      <c r="P580" s="6">
        <v>85</v>
      </c>
      <c r="Q580" s="4" t="s">
        <v>26</v>
      </c>
      <c r="R580" s="4">
        <v>0</v>
      </c>
      <c r="S580" s="6">
        <v>0</v>
      </c>
      <c r="T580" s="6">
        <v>68</v>
      </c>
      <c r="U580" s="6">
        <v>76</v>
      </c>
      <c r="V580" s="6">
        <f>IF(ISERROR(VLOOKUP($S$580,'TAR FIN'!$A$1:$O$86,15,0)),0,VLOOKUP($S$580,'TAR FIN'!$A$1:$O$86,15,0))</f>
        <v>0</v>
      </c>
      <c r="W580" s="6">
        <f>IF(ISERROR(VLOOKUP($T$580,'TAR FIN'!$A$1:$O$86,15,0)),0,VLOOKUP($T$580,'TAR FIN'!$A$1:$O$86,15,0))</f>
        <v>326.98</v>
      </c>
      <c r="X580" s="6">
        <f>IF(ISERROR(VLOOKUP($U$580,'TAR FIN'!$A$1:$O$86,15,0)),0,VLOOKUP($U$580,'TAR FIN'!$A$1:$O$86,15,0))</f>
        <v>314.52</v>
      </c>
      <c r="Y580" s="6"/>
      <c r="Z580" s="6">
        <f ca="1">('TUSD BE'!$AM$48+'TUSD BF'!$AM$48+'TUSD CVA'!$AM$48)*1</f>
        <v>313.91386533817797</v>
      </c>
      <c r="AA580" s="6">
        <f>('TE BE'!$AB$40+'TE BF'!$AB$40+'TE CVA'!$AB$40)*1</f>
        <v>248.89628694871266</v>
      </c>
      <c r="AB580" s="6">
        <f>$K$580*$V$580</f>
        <v>0</v>
      </c>
      <c r="AC580" s="6">
        <f>$M$580*$W$580</f>
        <v>41449.619700000003</v>
      </c>
      <c r="AD580" s="6">
        <f>$O$580*$X$580</f>
        <v>39870.127799999995</v>
      </c>
      <c r="AE580" s="6">
        <f>$K$580*$Y$580</f>
        <v>0</v>
      </c>
      <c r="AF580" s="6">
        <f ca="1">$M$580*$Z$580</f>
        <v>39793.291139594134</v>
      </c>
      <c r="AG580" s="6">
        <f>$O$580*$AA$580</f>
        <v>31551.337815053561</v>
      </c>
    </row>
    <row r="581" spans="1:33" ht="11.25" customHeight="1" x14ac:dyDescent="0.25">
      <c r="A581" s="4" t="s">
        <v>27</v>
      </c>
      <c r="B581" s="4" t="s">
        <v>36</v>
      </c>
      <c r="C581" s="4" t="s">
        <v>23</v>
      </c>
      <c r="D581" s="4" t="s">
        <v>37</v>
      </c>
      <c r="E581" s="4" t="s">
        <v>25</v>
      </c>
      <c r="F581" s="4" t="s">
        <v>25</v>
      </c>
      <c r="G581" s="4" t="s">
        <v>25</v>
      </c>
      <c r="H581" s="4" t="s">
        <v>25</v>
      </c>
      <c r="I581" s="5">
        <v>44562</v>
      </c>
      <c r="J581" s="6">
        <v>0</v>
      </c>
      <c r="K581" s="6">
        <v>0</v>
      </c>
      <c r="L581" s="6">
        <v>12.159000000000001</v>
      </c>
      <c r="M581" s="6">
        <v>12.159000000000001</v>
      </c>
      <c r="N581" s="6">
        <v>12.159000000000001</v>
      </c>
      <c r="O581" s="6">
        <v>12.159000000000001</v>
      </c>
      <c r="P581" s="6">
        <v>19</v>
      </c>
      <c r="Q581" s="4" t="s">
        <v>26</v>
      </c>
      <c r="R581" s="4">
        <v>0</v>
      </c>
      <c r="S581" s="6">
        <v>0</v>
      </c>
      <c r="T581" s="6">
        <v>68</v>
      </c>
      <c r="U581" s="6">
        <v>76</v>
      </c>
      <c r="V581" s="6">
        <f>IF(ISERROR(VLOOKUP($S$581,'TAR FIN'!$A$1:$O$86,15,0)),0,VLOOKUP($S$581,'TAR FIN'!$A$1:$O$86,15,0))</f>
        <v>0</v>
      </c>
      <c r="W581" s="6">
        <f>IF(ISERROR(VLOOKUP($T$581,'TAR FIN'!$A$1:$O$86,15,0)),0,VLOOKUP($T$581,'TAR FIN'!$A$1:$O$86,15,0))</f>
        <v>326.98</v>
      </c>
      <c r="X581" s="6">
        <f>IF(ISERROR(VLOOKUP($U$581,'TAR FIN'!$A$1:$O$86,15,0)),0,VLOOKUP($U$581,'TAR FIN'!$A$1:$O$86,15,0))</f>
        <v>314.52</v>
      </c>
      <c r="Y581" s="6"/>
      <c r="Z581" s="6">
        <f ca="1">('TUSD BE'!$AM$48+'TUSD BF'!$AM$48+'TUSD CVA'!$AM$48)*1</f>
        <v>313.91386533817797</v>
      </c>
      <c r="AA581" s="6">
        <f>('TE BE'!$AB$40+'TE BF'!$AB$40+'TE CVA'!$AB$40)*1</f>
        <v>248.89628694871266</v>
      </c>
      <c r="AB581" s="6">
        <f>$K$581*$V$581</f>
        <v>0</v>
      </c>
      <c r="AC581" s="6">
        <f>$M$581*$W$581</f>
        <v>3975.7498200000005</v>
      </c>
      <c r="AD581" s="6">
        <f>$O$581*$X$581</f>
        <v>3824.2486800000001</v>
      </c>
      <c r="AE581" s="6">
        <f>$K$581*$Y$581</f>
        <v>0</v>
      </c>
      <c r="AF581" s="6">
        <f ca="1">$M$581*$Z$581</f>
        <v>3816.8786886469061</v>
      </c>
      <c r="AG581" s="6">
        <f>$O$581*$AA$581</f>
        <v>3026.3299530093973</v>
      </c>
    </row>
    <row r="582" spans="1:33" ht="11.25" customHeight="1" x14ac:dyDescent="0.25">
      <c r="A582" s="4" t="s">
        <v>21</v>
      </c>
      <c r="B582" s="4" t="s">
        <v>36</v>
      </c>
      <c r="C582" s="4" t="s">
        <v>23</v>
      </c>
      <c r="D582" s="4" t="s">
        <v>37</v>
      </c>
      <c r="E582" s="4" t="s">
        <v>25</v>
      </c>
      <c r="F582" s="4" t="s">
        <v>25</v>
      </c>
      <c r="G582" s="4" t="s">
        <v>25</v>
      </c>
      <c r="H582" s="4" t="s">
        <v>25</v>
      </c>
      <c r="I582" s="5">
        <v>44593</v>
      </c>
      <c r="J582" s="6">
        <v>0</v>
      </c>
      <c r="K582" s="6">
        <v>0</v>
      </c>
      <c r="L582" s="6">
        <v>137.38399999999999</v>
      </c>
      <c r="M582" s="6">
        <v>137.38399999999999</v>
      </c>
      <c r="N582" s="6">
        <v>137.38399999999999</v>
      </c>
      <c r="O582" s="6">
        <v>137.38399999999999</v>
      </c>
      <c r="P582" s="6">
        <v>84</v>
      </c>
      <c r="Q582" s="4" t="s">
        <v>26</v>
      </c>
      <c r="R582" s="4">
        <v>0</v>
      </c>
      <c r="S582" s="6">
        <v>0</v>
      </c>
      <c r="T582" s="6">
        <v>68</v>
      </c>
      <c r="U582" s="6">
        <v>76</v>
      </c>
      <c r="V582" s="6">
        <f>IF(ISERROR(VLOOKUP($S$582,'TAR FIN'!$A$1:$O$86,15,0)),0,VLOOKUP($S$582,'TAR FIN'!$A$1:$O$86,15,0))</f>
        <v>0</v>
      </c>
      <c r="W582" s="6">
        <f>IF(ISERROR(VLOOKUP($T$582,'TAR FIN'!$A$1:$O$86,15,0)),0,VLOOKUP($T$582,'TAR FIN'!$A$1:$O$86,15,0))</f>
        <v>326.98</v>
      </c>
      <c r="X582" s="6">
        <f>IF(ISERROR(VLOOKUP($U$582,'TAR FIN'!$A$1:$O$86,15,0)),0,VLOOKUP($U$582,'TAR FIN'!$A$1:$O$86,15,0))</f>
        <v>314.52</v>
      </c>
      <c r="Y582" s="6"/>
      <c r="Z582" s="6">
        <f ca="1">('TUSD BE'!$AM$48+'TUSD BF'!$AM$48+'TUSD CVA'!$AM$48)*1</f>
        <v>313.91386533817797</v>
      </c>
      <c r="AA582" s="6">
        <f>('TE BE'!$AB$40+'TE BF'!$AB$40+'TE CVA'!$AB$40)*1</f>
        <v>248.89628694871266</v>
      </c>
      <c r="AB582" s="6">
        <f>$K$582*$V$582</f>
        <v>0</v>
      </c>
      <c r="AC582" s="6">
        <f>$M$582*$W$582</f>
        <v>44921.820319999999</v>
      </c>
      <c r="AD582" s="6">
        <f>$O$582*$X$582</f>
        <v>43210.01567999999</v>
      </c>
      <c r="AE582" s="6">
        <f>$K$582*$Y$582</f>
        <v>0</v>
      </c>
      <c r="AF582" s="6">
        <f ca="1">$M$582*$Z$582</f>
        <v>43126.742475620238</v>
      </c>
      <c r="AG582" s="6">
        <f>$O$582*$AA$582</f>
        <v>34194.367486161937</v>
      </c>
    </row>
    <row r="583" spans="1:33" ht="11.25" customHeight="1" x14ac:dyDescent="0.25">
      <c r="A583" s="4" t="s">
        <v>27</v>
      </c>
      <c r="B583" s="4" t="s">
        <v>36</v>
      </c>
      <c r="C583" s="4" t="s">
        <v>23</v>
      </c>
      <c r="D583" s="4" t="s">
        <v>37</v>
      </c>
      <c r="E583" s="4" t="s">
        <v>25</v>
      </c>
      <c r="F583" s="4" t="s">
        <v>25</v>
      </c>
      <c r="G583" s="4" t="s">
        <v>25</v>
      </c>
      <c r="H583" s="4" t="s">
        <v>25</v>
      </c>
      <c r="I583" s="5">
        <v>44593</v>
      </c>
      <c r="J583" s="6">
        <v>0</v>
      </c>
      <c r="K583" s="6">
        <v>0</v>
      </c>
      <c r="L583" s="6">
        <v>11.898999999999999</v>
      </c>
      <c r="M583" s="6">
        <v>11.898999999999999</v>
      </c>
      <c r="N583" s="6">
        <v>11.898999999999999</v>
      </c>
      <c r="O583" s="6">
        <v>11.898999999999999</v>
      </c>
      <c r="P583" s="6">
        <v>19</v>
      </c>
      <c r="Q583" s="4" t="s">
        <v>26</v>
      </c>
      <c r="R583" s="4">
        <v>0</v>
      </c>
      <c r="S583" s="6">
        <v>0</v>
      </c>
      <c r="T583" s="6">
        <v>68</v>
      </c>
      <c r="U583" s="6">
        <v>76</v>
      </c>
      <c r="V583" s="6">
        <f>IF(ISERROR(VLOOKUP($S$583,'TAR FIN'!$A$1:$O$86,15,0)),0,VLOOKUP($S$583,'TAR FIN'!$A$1:$O$86,15,0))</f>
        <v>0</v>
      </c>
      <c r="W583" s="6">
        <f>IF(ISERROR(VLOOKUP($T$583,'TAR FIN'!$A$1:$O$86,15,0)),0,VLOOKUP($T$583,'TAR FIN'!$A$1:$O$86,15,0))</f>
        <v>326.98</v>
      </c>
      <c r="X583" s="6">
        <f>IF(ISERROR(VLOOKUP($U$583,'TAR FIN'!$A$1:$O$86,15,0)),0,VLOOKUP($U$583,'TAR FIN'!$A$1:$O$86,15,0))</f>
        <v>314.52</v>
      </c>
      <c r="Y583" s="6"/>
      <c r="Z583" s="6">
        <f ca="1">('TUSD BE'!$AM$48+'TUSD BF'!$AM$48+'TUSD CVA'!$AM$48)*1</f>
        <v>313.91386533817797</v>
      </c>
      <c r="AA583" s="6">
        <f>('TE BE'!$AB$40+'TE BF'!$AB$40+'TE CVA'!$AB$40)*1</f>
        <v>248.89628694871266</v>
      </c>
      <c r="AB583" s="6">
        <f>$K$583*$V$583</f>
        <v>0</v>
      </c>
      <c r="AC583" s="6">
        <f>$M$583*$W$583</f>
        <v>3890.7350200000001</v>
      </c>
      <c r="AD583" s="6">
        <f>$O$583*$X$583</f>
        <v>3742.4734799999997</v>
      </c>
      <c r="AE583" s="6">
        <f>$K$583*$Y$583</f>
        <v>0</v>
      </c>
      <c r="AF583" s="6">
        <f ca="1">$M$583*$Z$583</f>
        <v>3735.2610836589793</v>
      </c>
      <c r="AG583" s="6">
        <f>$O$583*$AA$583</f>
        <v>2961.6169184027317</v>
      </c>
    </row>
    <row r="584" spans="1:33" ht="11.25" customHeight="1" x14ac:dyDescent="0.25">
      <c r="A584" s="4" t="s">
        <v>21</v>
      </c>
      <c r="B584" s="4" t="s">
        <v>36</v>
      </c>
      <c r="C584" s="4" t="s">
        <v>23</v>
      </c>
      <c r="D584" s="4" t="s">
        <v>37</v>
      </c>
      <c r="E584" s="4" t="s">
        <v>25</v>
      </c>
      <c r="F584" s="4" t="s">
        <v>25</v>
      </c>
      <c r="G584" s="4" t="s">
        <v>25</v>
      </c>
      <c r="H584" s="4" t="s">
        <v>25</v>
      </c>
      <c r="I584" s="5">
        <v>44621</v>
      </c>
      <c r="J584" s="6">
        <v>0</v>
      </c>
      <c r="K584" s="6">
        <v>0</v>
      </c>
      <c r="L584" s="6">
        <v>141.16200000000001</v>
      </c>
      <c r="M584" s="6">
        <v>141.16200000000001</v>
      </c>
      <c r="N584" s="6">
        <v>141.16200000000001</v>
      </c>
      <c r="O584" s="6">
        <v>141.16200000000001</v>
      </c>
      <c r="P584" s="6">
        <v>84</v>
      </c>
      <c r="Q584" s="4" t="s">
        <v>26</v>
      </c>
      <c r="R584" s="4">
        <v>0</v>
      </c>
      <c r="S584" s="6">
        <v>0</v>
      </c>
      <c r="T584" s="6">
        <v>68</v>
      </c>
      <c r="U584" s="6">
        <v>76</v>
      </c>
      <c r="V584" s="6">
        <f>IF(ISERROR(VLOOKUP($S$584,'TAR FIN'!$A$1:$O$86,15,0)),0,VLOOKUP($S$584,'TAR FIN'!$A$1:$O$86,15,0))</f>
        <v>0</v>
      </c>
      <c r="W584" s="6">
        <f>IF(ISERROR(VLOOKUP($T$584,'TAR FIN'!$A$1:$O$86,15,0)),0,VLOOKUP($T$584,'TAR FIN'!$A$1:$O$86,15,0))</f>
        <v>326.98</v>
      </c>
      <c r="X584" s="6">
        <f>IF(ISERROR(VLOOKUP($U$584,'TAR FIN'!$A$1:$O$86,15,0)),0,VLOOKUP($U$584,'TAR FIN'!$A$1:$O$86,15,0))</f>
        <v>314.52</v>
      </c>
      <c r="Y584" s="6"/>
      <c r="Z584" s="6">
        <f ca="1">('TUSD BE'!$AM$48+'TUSD BF'!$AM$48+'TUSD CVA'!$AM$48)*1</f>
        <v>313.91386533817797</v>
      </c>
      <c r="AA584" s="6">
        <f>('TE BE'!$AB$40+'TE BF'!$AB$40+'TE CVA'!$AB$40)*1</f>
        <v>248.89628694871266</v>
      </c>
      <c r="AB584" s="6">
        <f>$K$584*$V$584</f>
        <v>0</v>
      </c>
      <c r="AC584" s="6">
        <f>$M$584*$W$584</f>
        <v>46157.150760000004</v>
      </c>
      <c r="AD584" s="6">
        <f>$O$584*$X$584</f>
        <v>44398.272239999998</v>
      </c>
      <c r="AE584" s="6">
        <f>$K$584*$Y$584</f>
        <v>0</v>
      </c>
      <c r="AF584" s="6">
        <f ca="1">$M$584*$Z$584</f>
        <v>44312.709058867884</v>
      </c>
      <c r="AG584" s="6">
        <f>$O$584*$AA$584</f>
        <v>35134.697658254176</v>
      </c>
    </row>
    <row r="585" spans="1:33" ht="11.25" customHeight="1" x14ac:dyDescent="0.25">
      <c r="A585" s="4" t="s">
        <v>27</v>
      </c>
      <c r="B585" s="4" t="s">
        <v>36</v>
      </c>
      <c r="C585" s="4" t="s">
        <v>23</v>
      </c>
      <c r="D585" s="4" t="s">
        <v>37</v>
      </c>
      <c r="E585" s="4" t="s">
        <v>25</v>
      </c>
      <c r="F585" s="4" t="s">
        <v>25</v>
      </c>
      <c r="G585" s="4" t="s">
        <v>25</v>
      </c>
      <c r="H585" s="4" t="s">
        <v>25</v>
      </c>
      <c r="I585" s="5">
        <v>44621</v>
      </c>
      <c r="J585" s="6">
        <v>0</v>
      </c>
      <c r="K585" s="6">
        <v>0</v>
      </c>
      <c r="L585" s="6">
        <v>23.125</v>
      </c>
      <c r="M585" s="6">
        <v>23.125</v>
      </c>
      <c r="N585" s="6">
        <v>23.125</v>
      </c>
      <c r="O585" s="6">
        <v>23.125</v>
      </c>
      <c r="P585" s="6">
        <v>20</v>
      </c>
      <c r="Q585" s="4" t="s">
        <v>26</v>
      </c>
      <c r="R585" s="4">
        <v>0</v>
      </c>
      <c r="S585" s="6">
        <v>0</v>
      </c>
      <c r="T585" s="6">
        <v>68</v>
      </c>
      <c r="U585" s="6">
        <v>76</v>
      </c>
      <c r="V585" s="6">
        <f>IF(ISERROR(VLOOKUP($S$585,'TAR FIN'!$A$1:$O$86,15,0)),0,VLOOKUP($S$585,'TAR FIN'!$A$1:$O$86,15,0))</f>
        <v>0</v>
      </c>
      <c r="W585" s="6">
        <f>IF(ISERROR(VLOOKUP($T$585,'TAR FIN'!$A$1:$O$86,15,0)),0,VLOOKUP($T$585,'TAR FIN'!$A$1:$O$86,15,0))</f>
        <v>326.98</v>
      </c>
      <c r="X585" s="6">
        <f>IF(ISERROR(VLOOKUP($U$585,'TAR FIN'!$A$1:$O$86,15,0)),0,VLOOKUP($U$585,'TAR FIN'!$A$1:$O$86,15,0))</f>
        <v>314.52</v>
      </c>
      <c r="Y585" s="6"/>
      <c r="Z585" s="6">
        <f ca="1">('TUSD BE'!$AM$48+'TUSD BF'!$AM$48+'TUSD CVA'!$AM$48)*1</f>
        <v>313.91386533817797</v>
      </c>
      <c r="AA585" s="6">
        <f>('TE BE'!$AB$40+'TE BF'!$AB$40+'TE CVA'!$AB$40)*1</f>
        <v>248.89628694871266</v>
      </c>
      <c r="AB585" s="6">
        <f>$K$585*$V$585</f>
        <v>0</v>
      </c>
      <c r="AC585" s="6">
        <f>$M$585*$W$585</f>
        <v>7561.4125000000004</v>
      </c>
      <c r="AD585" s="6">
        <f>$O$585*$X$585</f>
        <v>7273.2749999999996</v>
      </c>
      <c r="AE585" s="6">
        <f>$K$585*$Y$585</f>
        <v>0</v>
      </c>
      <c r="AF585" s="6">
        <f ca="1">$M$585*$Z$585</f>
        <v>7259.2581359453652</v>
      </c>
      <c r="AG585" s="6">
        <f>$O$585*$AA$585</f>
        <v>5755.7266356889804</v>
      </c>
    </row>
    <row r="586" spans="1:33" ht="11.25" customHeight="1" x14ac:dyDescent="0.25">
      <c r="A586" s="4" t="s">
        <v>21</v>
      </c>
      <c r="B586" s="4" t="s">
        <v>36</v>
      </c>
      <c r="C586" s="4" t="s">
        <v>23</v>
      </c>
      <c r="D586" s="4" t="s">
        <v>37</v>
      </c>
      <c r="E586" s="4" t="s">
        <v>25</v>
      </c>
      <c r="F586" s="4" t="s">
        <v>25</v>
      </c>
      <c r="G586" s="4" t="s">
        <v>25</v>
      </c>
      <c r="H586" s="4" t="s">
        <v>25</v>
      </c>
      <c r="I586" s="5">
        <v>44652</v>
      </c>
      <c r="J586" s="6">
        <v>0</v>
      </c>
      <c r="K586" s="6">
        <v>0</v>
      </c>
      <c r="L586" s="6">
        <v>119.083</v>
      </c>
      <c r="M586" s="6">
        <v>119.083</v>
      </c>
      <c r="N586" s="6">
        <v>119.083</v>
      </c>
      <c r="O586" s="6">
        <v>119.083</v>
      </c>
      <c r="P586" s="6">
        <v>85</v>
      </c>
      <c r="Q586" s="4" t="s">
        <v>26</v>
      </c>
      <c r="R586" s="4">
        <v>0</v>
      </c>
      <c r="S586" s="6">
        <v>0</v>
      </c>
      <c r="T586" s="6">
        <v>68</v>
      </c>
      <c r="U586" s="6">
        <v>76</v>
      </c>
      <c r="V586" s="6">
        <f>IF(ISERROR(VLOOKUP($S$586,'TAR FIN'!$A$1:$O$86,15,0)),0,VLOOKUP($S$586,'TAR FIN'!$A$1:$O$86,15,0))</f>
        <v>0</v>
      </c>
      <c r="W586" s="6">
        <f>IF(ISERROR(VLOOKUP($T$586,'TAR FIN'!$A$1:$O$86,15,0)),0,VLOOKUP($T$586,'TAR FIN'!$A$1:$O$86,15,0))</f>
        <v>326.98</v>
      </c>
      <c r="X586" s="6">
        <f>IF(ISERROR(VLOOKUP($U$586,'TAR FIN'!$A$1:$O$86,15,0)),0,VLOOKUP($U$586,'TAR FIN'!$A$1:$O$86,15,0))</f>
        <v>314.52</v>
      </c>
      <c r="Y586" s="6"/>
      <c r="Z586" s="6">
        <f ca="1">('TUSD BE'!$AM$48+'TUSD BF'!$AM$48+'TUSD CVA'!$AM$48)*1</f>
        <v>313.91386533817797</v>
      </c>
      <c r="AA586" s="6">
        <f>('TE BE'!$AB$40+'TE BF'!$AB$40+'TE CVA'!$AB$40)*1</f>
        <v>248.89628694871266</v>
      </c>
      <c r="AB586" s="6">
        <f>$K$586*$V$586</f>
        <v>0</v>
      </c>
      <c r="AC586" s="6">
        <f>$M$586*$W$586</f>
        <v>38937.759340000004</v>
      </c>
      <c r="AD586" s="6">
        <f>$O$586*$X$586</f>
        <v>37453.985159999997</v>
      </c>
      <c r="AE586" s="6">
        <f>$K$586*$Y$586</f>
        <v>0</v>
      </c>
      <c r="AF586" s="6">
        <f ca="1">$M$586*$Z$586</f>
        <v>37381.804826066247</v>
      </c>
      <c r="AG586" s="6">
        <f>$O$586*$AA$586</f>
        <v>29639.316538713549</v>
      </c>
    </row>
    <row r="587" spans="1:33" ht="11.25" customHeight="1" x14ac:dyDescent="0.25">
      <c r="A587" s="4" t="s">
        <v>27</v>
      </c>
      <c r="B587" s="4" t="s">
        <v>36</v>
      </c>
      <c r="C587" s="4" t="s">
        <v>23</v>
      </c>
      <c r="D587" s="4" t="s">
        <v>37</v>
      </c>
      <c r="E587" s="4" t="s">
        <v>25</v>
      </c>
      <c r="F587" s="4" t="s">
        <v>25</v>
      </c>
      <c r="G587" s="4" t="s">
        <v>25</v>
      </c>
      <c r="H587" s="4" t="s">
        <v>25</v>
      </c>
      <c r="I587" s="5">
        <v>44652</v>
      </c>
      <c r="J587" s="6">
        <v>0</v>
      </c>
      <c r="K587" s="6">
        <v>0</v>
      </c>
      <c r="L587" s="6">
        <v>15.375999999999999</v>
      </c>
      <c r="M587" s="6">
        <v>15.375999999999999</v>
      </c>
      <c r="N587" s="6">
        <v>15.375999999999999</v>
      </c>
      <c r="O587" s="6">
        <v>15.375999999999999</v>
      </c>
      <c r="P587" s="6">
        <v>20</v>
      </c>
      <c r="Q587" s="4" t="s">
        <v>26</v>
      </c>
      <c r="R587" s="4">
        <v>0</v>
      </c>
      <c r="S587" s="6">
        <v>0</v>
      </c>
      <c r="T587" s="6">
        <v>68</v>
      </c>
      <c r="U587" s="6">
        <v>76</v>
      </c>
      <c r="V587" s="6">
        <f>IF(ISERROR(VLOOKUP($S$587,'TAR FIN'!$A$1:$O$86,15,0)),0,VLOOKUP($S$587,'TAR FIN'!$A$1:$O$86,15,0))</f>
        <v>0</v>
      </c>
      <c r="W587" s="6">
        <f>IF(ISERROR(VLOOKUP($T$587,'TAR FIN'!$A$1:$O$86,15,0)),0,VLOOKUP($T$587,'TAR FIN'!$A$1:$O$86,15,0))</f>
        <v>326.98</v>
      </c>
      <c r="X587" s="6">
        <f>IF(ISERROR(VLOOKUP($U$587,'TAR FIN'!$A$1:$O$86,15,0)),0,VLOOKUP($U$587,'TAR FIN'!$A$1:$O$86,15,0))</f>
        <v>314.52</v>
      </c>
      <c r="Y587" s="6"/>
      <c r="Z587" s="6">
        <f ca="1">('TUSD BE'!$AM$48+'TUSD BF'!$AM$48+'TUSD CVA'!$AM$48)*1</f>
        <v>313.91386533817797</v>
      </c>
      <c r="AA587" s="6">
        <f>('TE BE'!$AB$40+'TE BF'!$AB$40+'TE CVA'!$AB$40)*1</f>
        <v>248.89628694871266</v>
      </c>
      <c r="AB587" s="6">
        <f>$K$587*$V$587</f>
        <v>0</v>
      </c>
      <c r="AC587" s="6">
        <f>$M$587*$W$587</f>
        <v>5027.6444799999999</v>
      </c>
      <c r="AD587" s="6">
        <f>$O$587*$X$587</f>
        <v>4836.0595199999998</v>
      </c>
      <c r="AE587" s="6">
        <f>$K$587*$Y$587</f>
        <v>0</v>
      </c>
      <c r="AF587" s="6">
        <f ca="1">$M$587*$Z$587</f>
        <v>4826.7395934398246</v>
      </c>
      <c r="AG587" s="6">
        <f>$O$587*$AA$587</f>
        <v>3827.0293081234058</v>
      </c>
    </row>
    <row r="588" spans="1:33" ht="11.25" customHeight="1" x14ac:dyDescent="0.25">
      <c r="A588" s="4" t="s">
        <v>21</v>
      </c>
      <c r="B588" s="4" t="s">
        <v>36</v>
      </c>
      <c r="C588" s="4" t="s">
        <v>23</v>
      </c>
      <c r="D588" s="4" t="s">
        <v>37</v>
      </c>
      <c r="E588" s="4" t="s">
        <v>25</v>
      </c>
      <c r="F588" s="4" t="s">
        <v>25</v>
      </c>
      <c r="G588" s="4" t="s">
        <v>25</v>
      </c>
      <c r="H588" s="4" t="s">
        <v>25</v>
      </c>
      <c r="I588" s="5">
        <v>44682</v>
      </c>
      <c r="J588" s="6">
        <v>0</v>
      </c>
      <c r="K588" s="6">
        <v>0</v>
      </c>
      <c r="L588" s="6">
        <v>123.544</v>
      </c>
      <c r="M588" s="6">
        <v>123.544</v>
      </c>
      <c r="N588" s="6">
        <v>123.544</v>
      </c>
      <c r="O588" s="6">
        <v>123.544</v>
      </c>
      <c r="P588" s="6">
        <v>82</v>
      </c>
      <c r="Q588" s="4" t="s">
        <v>26</v>
      </c>
      <c r="R588" s="4">
        <v>0</v>
      </c>
      <c r="S588" s="6">
        <v>0</v>
      </c>
      <c r="T588" s="6">
        <v>68</v>
      </c>
      <c r="U588" s="6">
        <v>76</v>
      </c>
      <c r="V588" s="6">
        <f>IF(ISERROR(VLOOKUP($S$588,'TAR FIN'!$A$1:$O$86,15,0)),0,VLOOKUP($S$588,'TAR FIN'!$A$1:$O$86,15,0))</f>
        <v>0</v>
      </c>
      <c r="W588" s="6">
        <f>IF(ISERROR(VLOOKUP($T$588,'TAR FIN'!$A$1:$O$86,15,0)),0,VLOOKUP($T$588,'TAR FIN'!$A$1:$O$86,15,0))</f>
        <v>326.98</v>
      </c>
      <c r="X588" s="6">
        <f>IF(ISERROR(VLOOKUP($U$588,'TAR FIN'!$A$1:$O$86,15,0)),0,VLOOKUP($U$588,'TAR FIN'!$A$1:$O$86,15,0))</f>
        <v>314.52</v>
      </c>
      <c r="Y588" s="6"/>
      <c r="Z588" s="6">
        <f ca="1">('TUSD BE'!$AM$48+'TUSD BF'!$AM$48+'TUSD CVA'!$AM$48)*1</f>
        <v>313.91386533817797</v>
      </c>
      <c r="AA588" s="6">
        <f>('TE BE'!$AB$40+'TE BF'!$AB$40+'TE CVA'!$AB$40)*1</f>
        <v>248.89628694871266</v>
      </c>
      <c r="AB588" s="6">
        <f>$K$588*$V$588</f>
        <v>0</v>
      </c>
      <c r="AC588" s="6">
        <f>$M$588*$W$588</f>
        <v>40396.417119999998</v>
      </c>
      <c r="AD588" s="6">
        <f>$O$588*$X$588</f>
        <v>38857.058879999997</v>
      </c>
      <c r="AE588" s="6">
        <f>$K$588*$Y$588</f>
        <v>0</v>
      </c>
      <c r="AF588" s="6">
        <f ca="1">$M$588*$Z$588</f>
        <v>38782.174579339859</v>
      </c>
      <c r="AG588" s="6">
        <f>$O$588*$AA$588</f>
        <v>30749.642874791756</v>
      </c>
    </row>
    <row r="589" spans="1:33" ht="11.25" customHeight="1" x14ac:dyDescent="0.25">
      <c r="A589" s="4" t="s">
        <v>27</v>
      </c>
      <c r="B589" s="4" t="s">
        <v>36</v>
      </c>
      <c r="C589" s="4" t="s">
        <v>23</v>
      </c>
      <c r="D589" s="4" t="s">
        <v>37</v>
      </c>
      <c r="E589" s="4" t="s">
        <v>25</v>
      </c>
      <c r="F589" s="4" t="s">
        <v>25</v>
      </c>
      <c r="G589" s="4" t="s">
        <v>25</v>
      </c>
      <c r="H589" s="4" t="s">
        <v>25</v>
      </c>
      <c r="I589" s="5">
        <v>44682</v>
      </c>
      <c r="J589" s="6">
        <v>0</v>
      </c>
      <c r="K589" s="6">
        <v>0</v>
      </c>
      <c r="L589" s="6">
        <v>29.393999999999998</v>
      </c>
      <c r="M589" s="6">
        <v>29.393999999999998</v>
      </c>
      <c r="N589" s="6">
        <v>29.393999999999998</v>
      </c>
      <c r="O589" s="6">
        <v>29.393999999999998</v>
      </c>
      <c r="P589" s="6">
        <v>20</v>
      </c>
      <c r="Q589" s="4" t="s">
        <v>26</v>
      </c>
      <c r="R589" s="4">
        <v>0</v>
      </c>
      <c r="S589" s="6">
        <v>0</v>
      </c>
      <c r="T589" s="6">
        <v>68</v>
      </c>
      <c r="U589" s="6">
        <v>76</v>
      </c>
      <c r="V589" s="6">
        <f>IF(ISERROR(VLOOKUP($S$589,'TAR FIN'!$A$1:$O$86,15,0)),0,VLOOKUP($S$589,'TAR FIN'!$A$1:$O$86,15,0))</f>
        <v>0</v>
      </c>
      <c r="W589" s="6">
        <f>IF(ISERROR(VLOOKUP($T$589,'TAR FIN'!$A$1:$O$86,15,0)),0,VLOOKUP($T$589,'TAR FIN'!$A$1:$O$86,15,0))</f>
        <v>326.98</v>
      </c>
      <c r="X589" s="6">
        <f>IF(ISERROR(VLOOKUP($U$589,'TAR FIN'!$A$1:$O$86,15,0)),0,VLOOKUP($U$589,'TAR FIN'!$A$1:$O$86,15,0))</f>
        <v>314.52</v>
      </c>
      <c r="Y589" s="6"/>
      <c r="Z589" s="6">
        <f ca="1">('TUSD BE'!$AM$48+'TUSD BF'!$AM$48+'TUSD CVA'!$AM$48)*1</f>
        <v>313.91386533817797</v>
      </c>
      <c r="AA589" s="6">
        <f>('TE BE'!$AB$40+'TE BF'!$AB$40+'TE CVA'!$AB$40)*1</f>
        <v>248.89628694871266</v>
      </c>
      <c r="AB589" s="6">
        <f>$K$589*$V$589</f>
        <v>0</v>
      </c>
      <c r="AC589" s="6">
        <f>$M$589*$W$589</f>
        <v>9611.2501200000006</v>
      </c>
      <c r="AD589" s="6">
        <f>$O$589*$X$589</f>
        <v>9245.0008799999996</v>
      </c>
      <c r="AE589" s="6">
        <f>$K$589*$Y$589</f>
        <v>0</v>
      </c>
      <c r="AF589" s="6">
        <f ca="1">$M$589*$Z$589</f>
        <v>9227.1841577504019</v>
      </c>
      <c r="AG589" s="6">
        <f>$O$589*$AA$589</f>
        <v>7316.0574585704599</v>
      </c>
    </row>
    <row r="590" spans="1:33" ht="11.25" customHeight="1" x14ac:dyDescent="0.25">
      <c r="A590" s="4" t="s">
        <v>55</v>
      </c>
      <c r="B590" s="4" t="s">
        <v>36</v>
      </c>
      <c r="C590" s="4" t="s">
        <v>23</v>
      </c>
      <c r="D590" s="4" t="s">
        <v>37</v>
      </c>
      <c r="E590" s="4" t="s">
        <v>25</v>
      </c>
      <c r="F590" s="4" t="s">
        <v>25</v>
      </c>
      <c r="G590" s="4" t="s">
        <v>25</v>
      </c>
      <c r="H590" s="4" t="s">
        <v>25</v>
      </c>
      <c r="I590" s="5">
        <v>44713</v>
      </c>
      <c r="J590" s="6">
        <v>0</v>
      </c>
      <c r="K590" s="6">
        <v>0</v>
      </c>
      <c r="L590" s="6">
        <v>123.544</v>
      </c>
      <c r="M590" s="6">
        <v>123.544</v>
      </c>
      <c r="N590" s="6">
        <v>123.544</v>
      </c>
      <c r="O590" s="6">
        <v>123.544</v>
      </c>
      <c r="P590" s="6">
        <v>82</v>
      </c>
      <c r="Q590" s="4" t="s">
        <v>26</v>
      </c>
      <c r="R590" s="4">
        <v>0</v>
      </c>
      <c r="S590" s="6">
        <v>0</v>
      </c>
      <c r="T590" s="6">
        <v>68</v>
      </c>
      <c r="U590" s="6">
        <v>76</v>
      </c>
      <c r="V590" s="6">
        <f>IF(ISERROR(VLOOKUP($S$590,'TAR FIN'!$A$1:$O$86,15,0)),0,VLOOKUP($S$590,'TAR FIN'!$A$1:$O$86,15,0))</f>
        <v>0</v>
      </c>
      <c r="W590" s="6">
        <f>IF(ISERROR(VLOOKUP($T$590,'TAR FIN'!$A$1:$O$86,15,0)),0,VLOOKUP($T$590,'TAR FIN'!$A$1:$O$86,15,0))</f>
        <v>326.98</v>
      </c>
      <c r="X590" s="6">
        <f>IF(ISERROR(VLOOKUP($U$590,'TAR FIN'!$A$1:$O$86,15,0)),0,VLOOKUP($U$590,'TAR FIN'!$A$1:$O$86,15,0))</f>
        <v>314.52</v>
      </c>
      <c r="Y590" s="6"/>
      <c r="Z590" s="6">
        <f ca="1">('TUSD BE'!$AM$48+'TUSD BF'!$AM$48+'TUSD CVA'!$AM$48)*1</f>
        <v>313.91386533817797</v>
      </c>
      <c r="AA590" s="6">
        <f>('TE BE'!$AB$40+'TE BF'!$AB$40+'TE CVA'!$AB$40)*1</f>
        <v>248.89628694871266</v>
      </c>
      <c r="AB590" s="6">
        <f>$K$590*$V$590</f>
        <v>0</v>
      </c>
      <c r="AC590" s="6">
        <f>$M$590*$W$590</f>
        <v>40396.417119999998</v>
      </c>
      <c r="AD590" s="6">
        <f>$O$590*$X$590</f>
        <v>38857.058879999997</v>
      </c>
      <c r="AE590" s="6">
        <f>$K$590*$Y$590</f>
        <v>0</v>
      </c>
      <c r="AF590" s="6">
        <f ca="1">$M$590*$Z$590</f>
        <v>38782.174579339859</v>
      </c>
      <c r="AG590" s="6">
        <f>$O$590*$AA$590</f>
        <v>30749.642874791756</v>
      </c>
    </row>
    <row r="591" spans="1:33" ht="11.25" customHeight="1" x14ac:dyDescent="0.25">
      <c r="A591" s="4" t="s">
        <v>55</v>
      </c>
      <c r="B591" s="4" t="s">
        <v>36</v>
      </c>
      <c r="C591" s="4" t="s">
        <v>23</v>
      </c>
      <c r="D591" s="4" t="s">
        <v>37</v>
      </c>
      <c r="E591" s="4" t="s">
        <v>25</v>
      </c>
      <c r="F591" s="4" t="s">
        <v>25</v>
      </c>
      <c r="G591" s="4" t="s">
        <v>25</v>
      </c>
      <c r="H591" s="4" t="s">
        <v>25</v>
      </c>
      <c r="I591" s="5">
        <v>44713</v>
      </c>
      <c r="J591" s="6">
        <v>0</v>
      </c>
      <c r="K591" s="6">
        <v>0</v>
      </c>
      <c r="L591" s="6">
        <v>29.393999999999998</v>
      </c>
      <c r="M591" s="6">
        <v>29.393999999999998</v>
      </c>
      <c r="N591" s="6">
        <v>29.393999999999998</v>
      </c>
      <c r="O591" s="6">
        <v>29.393999999999998</v>
      </c>
      <c r="P591" s="6">
        <v>20</v>
      </c>
      <c r="Q591" s="4" t="s">
        <v>26</v>
      </c>
      <c r="R591" s="4">
        <v>0</v>
      </c>
      <c r="S591" s="6">
        <v>0</v>
      </c>
      <c r="T591" s="6">
        <v>68</v>
      </c>
      <c r="U591" s="6">
        <v>76</v>
      </c>
      <c r="V591" s="6">
        <f>IF(ISERROR(VLOOKUP($S$591,'TAR FIN'!$A$1:$O$86,15,0)),0,VLOOKUP($S$591,'TAR FIN'!$A$1:$O$86,15,0))</f>
        <v>0</v>
      </c>
      <c r="W591" s="6">
        <f>IF(ISERROR(VLOOKUP($T$591,'TAR FIN'!$A$1:$O$86,15,0)),0,VLOOKUP($T$591,'TAR FIN'!$A$1:$O$86,15,0))</f>
        <v>326.98</v>
      </c>
      <c r="X591" s="6">
        <f>IF(ISERROR(VLOOKUP($U$591,'TAR FIN'!$A$1:$O$86,15,0)),0,VLOOKUP($U$591,'TAR FIN'!$A$1:$O$86,15,0))</f>
        <v>314.52</v>
      </c>
      <c r="Y591" s="6"/>
      <c r="Z591" s="6">
        <f ca="1">('TUSD BE'!$AM$48+'TUSD BF'!$AM$48+'TUSD CVA'!$AM$48)*1</f>
        <v>313.91386533817797</v>
      </c>
      <c r="AA591" s="6">
        <f>('TE BE'!$AB$40+'TE BF'!$AB$40+'TE CVA'!$AB$40)*1</f>
        <v>248.89628694871266</v>
      </c>
      <c r="AB591" s="6">
        <f>$K$591*$V$591</f>
        <v>0</v>
      </c>
      <c r="AC591" s="6">
        <f>$M$591*$W$591</f>
        <v>9611.2501200000006</v>
      </c>
      <c r="AD591" s="6">
        <f>$O$591*$X$591</f>
        <v>9245.0008799999996</v>
      </c>
      <c r="AE591" s="6">
        <f>$K$591*$Y$591</f>
        <v>0</v>
      </c>
      <c r="AF591" s="6">
        <f ca="1">$M$591*$Z$591</f>
        <v>9227.1841577504019</v>
      </c>
      <c r="AG591" s="6">
        <f>$O$591*$AA$591</f>
        <v>7316.0574585704599</v>
      </c>
    </row>
    <row r="592" spans="1:33" ht="11.25" customHeight="1" x14ac:dyDescent="0.25">
      <c r="A592" s="4" t="s">
        <v>21</v>
      </c>
      <c r="B592" s="4" t="s">
        <v>36</v>
      </c>
      <c r="C592" s="4" t="s">
        <v>23</v>
      </c>
      <c r="D592" s="4" t="s">
        <v>44</v>
      </c>
      <c r="E592" s="4" t="s">
        <v>25</v>
      </c>
      <c r="F592" s="4" t="s">
        <v>25</v>
      </c>
      <c r="G592" s="4" t="s">
        <v>25</v>
      </c>
      <c r="H592" s="4" t="s">
        <v>25</v>
      </c>
      <c r="I592" s="5">
        <v>44378</v>
      </c>
      <c r="J592" s="6">
        <v>0</v>
      </c>
      <c r="K592" s="6">
        <v>0</v>
      </c>
      <c r="L592" s="6">
        <v>131.809</v>
      </c>
      <c r="M592" s="6">
        <v>131.809</v>
      </c>
      <c r="N592" s="6">
        <v>131.809</v>
      </c>
      <c r="O592" s="6">
        <v>131.809</v>
      </c>
      <c r="P592" s="6">
        <v>144</v>
      </c>
      <c r="Q592" s="4" t="s">
        <v>26</v>
      </c>
      <c r="R592" s="4">
        <v>0</v>
      </c>
      <c r="S592" s="6">
        <v>0</v>
      </c>
      <c r="T592" s="6">
        <v>68</v>
      </c>
      <c r="U592" s="6">
        <v>76</v>
      </c>
      <c r="V592" s="6">
        <f>IF(ISERROR(VLOOKUP($S$592,'TAR FIN'!$A$1:$O$86,15,0)),0,VLOOKUP($S$592,'TAR FIN'!$A$1:$O$86,15,0))</f>
        <v>0</v>
      </c>
      <c r="W592" s="6">
        <f>IF(ISERROR(VLOOKUP($T$592,'TAR FIN'!$A$1:$O$86,15,0)),0,VLOOKUP($T$592,'TAR FIN'!$A$1:$O$86,15,0))</f>
        <v>326.98</v>
      </c>
      <c r="X592" s="6">
        <f>IF(ISERROR(VLOOKUP($U$592,'TAR FIN'!$A$1:$O$86,15,0)),0,VLOOKUP($U$592,'TAR FIN'!$A$1:$O$86,15,0))</f>
        <v>314.52</v>
      </c>
      <c r="Y592" s="6"/>
      <c r="Z592" s="6">
        <f ca="1">('TUSD BE'!$AM$48+'TUSD BF'!$AM$48+'TUSD CVA'!$AM$48)*1</f>
        <v>313.91386533817797</v>
      </c>
      <c r="AA592" s="6">
        <f>('TE BE'!$AB$40+'TE BF'!$AB$40+'TE CVA'!$AB$40)*1</f>
        <v>248.89628694871266</v>
      </c>
      <c r="AB592" s="6">
        <f>$K$592*$V$592</f>
        <v>0</v>
      </c>
      <c r="AC592" s="6">
        <f>$M$592*$W$592</f>
        <v>43098.906820000004</v>
      </c>
      <c r="AD592" s="6">
        <f>$O$592*$X$592</f>
        <v>41456.566679999996</v>
      </c>
      <c r="AE592" s="6">
        <f>$K$592*$Y$592</f>
        <v>0</v>
      </c>
      <c r="AF592" s="6">
        <f ca="1">$M$592*$Z$592</f>
        <v>41376.6726763599</v>
      </c>
      <c r="AG592" s="6">
        <f>$O$592*$AA$592</f>
        <v>32806.770686422868</v>
      </c>
    </row>
    <row r="593" spans="1:33" ht="11.25" customHeight="1" x14ac:dyDescent="0.25">
      <c r="A593" s="4" t="s">
        <v>21</v>
      </c>
      <c r="B593" s="4" t="s">
        <v>36</v>
      </c>
      <c r="C593" s="4" t="s">
        <v>23</v>
      </c>
      <c r="D593" s="4" t="s">
        <v>44</v>
      </c>
      <c r="E593" s="4" t="s">
        <v>25</v>
      </c>
      <c r="F593" s="4" t="s">
        <v>25</v>
      </c>
      <c r="G593" s="4" t="s">
        <v>25</v>
      </c>
      <c r="H593" s="4" t="s">
        <v>25</v>
      </c>
      <c r="I593" s="5">
        <v>44409</v>
      </c>
      <c r="J593" s="6">
        <v>0</v>
      </c>
      <c r="K593" s="6">
        <v>0</v>
      </c>
      <c r="L593" s="6">
        <v>125.95099999999999</v>
      </c>
      <c r="M593" s="6">
        <v>125.95099999999999</v>
      </c>
      <c r="N593" s="6">
        <v>125.95099999999999</v>
      </c>
      <c r="O593" s="6">
        <v>125.95099999999999</v>
      </c>
      <c r="P593" s="6">
        <v>144</v>
      </c>
      <c r="Q593" s="4" t="s">
        <v>26</v>
      </c>
      <c r="R593" s="4">
        <v>0</v>
      </c>
      <c r="S593" s="6">
        <v>0</v>
      </c>
      <c r="T593" s="6">
        <v>68</v>
      </c>
      <c r="U593" s="6">
        <v>76</v>
      </c>
      <c r="V593" s="6">
        <f>IF(ISERROR(VLOOKUP($S$593,'TAR FIN'!$A$1:$O$86,15,0)),0,VLOOKUP($S$593,'TAR FIN'!$A$1:$O$86,15,0))</f>
        <v>0</v>
      </c>
      <c r="W593" s="6">
        <f>IF(ISERROR(VLOOKUP($T$593,'TAR FIN'!$A$1:$O$86,15,0)),0,VLOOKUP($T$593,'TAR FIN'!$A$1:$O$86,15,0))</f>
        <v>326.98</v>
      </c>
      <c r="X593" s="6">
        <f>IF(ISERROR(VLOOKUP($U$593,'TAR FIN'!$A$1:$O$86,15,0)),0,VLOOKUP($U$593,'TAR FIN'!$A$1:$O$86,15,0))</f>
        <v>314.52</v>
      </c>
      <c r="Y593" s="6"/>
      <c r="Z593" s="6">
        <f ca="1">('TUSD BE'!$AM$48+'TUSD BF'!$AM$48+'TUSD CVA'!$AM$48)*1</f>
        <v>313.91386533817797</v>
      </c>
      <c r="AA593" s="6">
        <f>('TE BE'!$AB$40+'TE BF'!$AB$40+'TE CVA'!$AB$40)*1</f>
        <v>248.89628694871266</v>
      </c>
      <c r="AB593" s="6">
        <f>$K$593*$V$593</f>
        <v>0</v>
      </c>
      <c r="AC593" s="6">
        <f>$M$593*$W$593</f>
        <v>41183.457979999999</v>
      </c>
      <c r="AD593" s="6">
        <f>$O$593*$X$593</f>
        <v>39614.108519999994</v>
      </c>
      <c r="AE593" s="6">
        <f>$K$593*$Y$593</f>
        <v>0</v>
      </c>
      <c r="AF593" s="6">
        <f ca="1">$M$593*$Z$593</f>
        <v>39537.765253208854</v>
      </c>
      <c r="AG593" s="6">
        <f>$O$593*$AA$593</f>
        <v>31348.736237477307</v>
      </c>
    </row>
    <row r="594" spans="1:33" ht="11.25" customHeight="1" x14ac:dyDescent="0.25">
      <c r="A594" s="4" t="s">
        <v>21</v>
      </c>
      <c r="B594" s="4" t="s">
        <v>36</v>
      </c>
      <c r="C594" s="4" t="s">
        <v>23</v>
      </c>
      <c r="D594" s="4" t="s">
        <v>44</v>
      </c>
      <c r="E594" s="4" t="s">
        <v>25</v>
      </c>
      <c r="F594" s="4" t="s">
        <v>25</v>
      </c>
      <c r="G594" s="4" t="s">
        <v>25</v>
      </c>
      <c r="H594" s="4" t="s">
        <v>25</v>
      </c>
      <c r="I594" s="5">
        <v>44440</v>
      </c>
      <c r="J594" s="6">
        <v>0</v>
      </c>
      <c r="K594" s="6">
        <v>0</v>
      </c>
      <c r="L594" s="6">
        <v>96.822000000000003</v>
      </c>
      <c r="M594" s="6">
        <v>96.822000000000003</v>
      </c>
      <c r="N594" s="6">
        <v>96.822000000000003</v>
      </c>
      <c r="O594" s="6">
        <v>96.822000000000003</v>
      </c>
      <c r="P594" s="6">
        <v>142</v>
      </c>
      <c r="Q594" s="4" t="s">
        <v>26</v>
      </c>
      <c r="R594" s="4">
        <v>0</v>
      </c>
      <c r="S594" s="6">
        <v>0</v>
      </c>
      <c r="T594" s="6">
        <v>68</v>
      </c>
      <c r="U594" s="6">
        <v>76</v>
      </c>
      <c r="V594" s="6">
        <f>IF(ISERROR(VLOOKUP($S$594,'TAR FIN'!$A$1:$O$86,15,0)),0,VLOOKUP($S$594,'TAR FIN'!$A$1:$O$86,15,0))</f>
        <v>0</v>
      </c>
      <c r="W594" s="6">
        <f>IF(ISERROR(VLOOKUP($T$594,'TAR FIN'!$A$1:$O$86,15,0)),0,VLOOKUP($T$594,'TAR FIN'!$A$1:$O$86,15,0))</f>
        <v>326.98</v>
      </c>
      <c r="X594" s="6">
        <f>IF(ISERROR(VLOOKUP($U$594,'TAR FIN'!$A$1:$O$86,15,0)),0,VLOOKUP($U$594,'TAR FIN'!$A$1:$O$86,15,0))</f>
        <v>314.52</v>
      </c>
      <c r="Y594" s="6"/>
      <c r="Z594" s="6">
        <f ca="1">('TUSD BE'!$AM$48+'TUSD BF'!$AM$48+'TUSD CVA'!$AM$48)*1</f>
        <v>313.91386533817797</v>
      </c>
      <c r="AA594" s="6">
        <f>('TE BE'!$AB$40+'TE BF'!$AB$40+'TE CVA'!$AB$40)*1</f>
        <v>248.89628694871266</v>
      </c>
      <c r="AB594" s="6">
        <f>$K$594*$V$594</f>
        <v>0</v>
      </c>
      <c r="AC594" s="6">
        <f>$M$594*$W$594</f>
        <v>31658.857560000004</v>
      </c>
      <c r="AD594" s="6">
        <f>$O$594*$X$594</f>
        <v>30452.455439999998</v>
      </c>
      <c r="AE594" s="6">
        <f>$K$594*$Y$594</f>
        <v>0</v>
      </c>
      <c r="AF594" s="6">
        <f ca="1">$M$594*$Z$594</f>
        <v>30393.768269773067</v>
      </c>
      <c r="AG594" s="6">
        <f>$O$594*$AA$594</f>
        <v>24098.636294948257</v>
      </c>
    </row>
    <row r="595" spans="1:33" ht="11.25" customHeight="1" x14ac:dyDescent="0.25">
      <c r="A595" s="4" t="s">
        <v>21</v>
      </c>
      <c r="B595" s="4" t="s">
        <v>36</v>
      </c>
      <c r="C595" s="4" t="s">
        <v>23</v>
      </c>
      <c r="D595" s="4" t="s">
        <v>44</v>
      </c>
      <c r="E595" s="4" t="s">
        <v>25</v>
      </c>
      <c r="F595" s="4" t="s">
        <v>25</v>
      </c>
      <c r="G595" s="4" t="s">
        <v>25</v>
      </c>
      <c r="H595" s="4" t="s">
        <v>25</v>
      </c>
      <c r="I595" s="5">
        <v>44470</v>
      </c>
      <c r="J595" s="6">
        <v>0</v>
      </c>
      <c r="K595" s="6">
        <v>0</v>
      </c>
      <c r="L595" s="6">
        <v>99.596000000000004</v>
      </c>
      <c r="M595" s="6">
        <v>99.596000000000004</v>
      </c>
      <c r="N595" s="6">
        <v>99.596000000000004</v>
      </c>
      <c r="O595" s="6">
        <v>99.596000000000004</v>
      </c>
      <c r="P595" s="6">
        <v>145</v>
      </c>
      <c r="Q595" s="4" t="s">
        <v>26</v>
      </c>
      <c r="R595" s="4">
        <v>0</v>
      </c>
      <c r="S595" s="6">
        <v>0</v>
      </c>
      <c r="T595" s="6">
        <v>68</v>
      </c>
      <c r="U595" s="6">
        <v>76</v>
      </c>
      <c r="V595" s="6">
        <f>IF(ISERROR(VLOOKUP($S$595,'TAR FIN'!$A$1:$O$86,15,0)),0,VLOOKUP($S$595,'TAR FIN'!$A$1:$O$86,15,0))</f>
        <v>0</v>
      </c>
      <c r="W595" s="6">
        <f>IF(ISERROR(VLOOKUP($T$595,'TAR FIN'!$A$1:$O$86,15,0)),0,VLOOKUP($T$595,'TAR FIN'!$A$1:$O$86,15,0))</f>
        <v>326.98</v>
      </c>
      <c r="X595" s="6">
        <f>IF(ISERROR(VLOOKUP($U$595,'TAR FIN'!$A$1:$O$86,15,0)),0,VLOOKUP($U$595,'TAR FIN'!$A$1:$O$86,15,0))</f>
        <v>314.52</v>
      </c>
      <c r="Y595" s="6"/>
      <c r="Z595" s="6">
        <f ca="1">('TUSD BE'!$AM$48+'TUSD BF'!$AM$48+'TUSD CVA'!$AM$48)*1</f>
        <v>313.91386533817797</v>
      </c>
      <c r="AA595" s="6">
        <f>('TE BE'!$AB$40+'TE BF'!$AB$40+'TE CVA'!$AB$40)*1</f>
        <v>248.89628694871266</v>
      </c>
      <c r="AB595" s="6">
        <f>$K$595*$V$595</f>
        <v>0</v>
      </c>
      <c r="AC595" s="6">
        <f>$M$595*$W$595</f>
        <v>32565.900080000003</v>
      </c>
      <c r="AD595" s="6">
        <f>$O$595*$X$595</f>
        <v>31324.933919999999</v>
      </c>
      <c r="AE595" s="6">
        <f>$K$595*$Y$595</f>
        <v>0</v>
      </c>
      <c r="AF595" s="6">
        <f ca="1">$M$595*$Z$595</f>
        <v>31264.565332221173</v>
      </c>
      <c r="AG595" s="6">
        <f>$O$595*$AA$595</f>
        <v>24789.074594943988</v>
      </c>
    </row>
    <row r="596" spans="1:33" ht="11.25" customHeight="1" x14ac:dyDescent="0.25">
      <c r="A596" s="4" t="s">
        <v>21</v>
      </c>
      <c r="B596" s="4" t="s">
        <v>36</v>
      </c>
      <c r="C596" s="4" t="s">
        <v>23</v>
      </c>
      <c r="D596" s="4" t="s">
        <v>44</v>
      </c>
      <c r="E596" s="4" t="s">
        <v>25</v>
      </c>
      <c r="F596" s="4" t="s">
        <v>25</v>
      </c>
      <c r="G596" s="4" t="s">
        <v>25</v>
      </c>
      <c r="H596" s="4" t="s">
        <v>25</v>
      </c>
      <c r="I596" s="5">
        <v>44501</v>
      </c>
      <c r="J596" s="6">
        <v>0</v>
      </c>
      <c r="K596" s="6">
        <v>0</v>
      </c>
      <c r="L596" s="6">
        <v>151.63999999999999</v>
      </c>
      <c r="M596" s="6">
        <v>151.63999999999999</v>
      </c>
      <c r="N596" s="6">
        <v>151.63999999999999</v>
      </c>
      <c r="O596" s="6">
        <v>151.63999999999999</v>
      </c>
      <c r="P596" s="6">
        <v>145</v>
      </c>
      <c r="Q596" s="4" t="s">
        <v>26</v>
      </c>
      <c r="R596" s="4">
        <v>0</v>
      </c>
      <c r="S596" s="6">
        <v>0</v>
      </c>
      <c r="T596" s="6">
        <v>68</v>
      </c>
      <c r="U596" s="6">
        <v>76</v>
      </c>
      <c r="V596" s="6">
        <f>IF(ISERROR(VLOOKUP($S$596,'TAR FIN'!$A$1:$O$86,15,0)),0,VLOOKUP($S$596,'TAR FIN'!$A$1:$O$86,15,0))</f>
        <v>0</v>
      </c>
      <c r="W596" s="6">
        <f>IF(ISERROR(VLOOKUP($T$596,'TAR FIN'!$A$1:$O$86,15,0)),0,VLOOKUP($T$596,'TAR FIN'!$A$1:$O$86,15,0))</f>
        <v>326.98</v>
      </c>
      <c r="X596" s="6">
        <f>IF(ISERROR(VLOOKUP($U$596,'TAR FIN'!$A$1:$O$86,15,0)),0,VLOOKUP($U$596,'TAR FIN'!$A$1:$O$86,15,0))</f>
        <v>314.52</v>
      </c>
      <c r="Y596" s="6"/>
      <c r="Z596" s="6">
        <f ca="1">('TUSD BE'!$AM$48+'TUSD BF'!$AM$48+'TUSD CVA'!$AM$48)*1</f>
        <v>313.91386533817797</v>
      </c>
      <c r="AA596" s="6">
        <f>('TE BE'!$AB$40+'TE BF'!$AB$40+'TE CVA'!$AB$40)*1</f>
        <v>248.89628694871266</v>
      </c>
      <c r="AB596" s="6">
        <f>$K$596*$V$596</f>
        <v>0</v>
      </c>
      <c r="AC596" s="6">
        <f>$M$596*$W$596</f>
        <v>49583.247199999998</v>
      </c>
      <c r="AD596" s="6">
        <f>$O$596*$X$596</f>
        <v>47693.812799999992</v>
      </c>
      <c r="AE596" s="6">
        <f>$K$596*$Y$596</f>
        <v>0</v>
      </c>
      <c r="AF596" s="6">
        <f ca="1">$M$596*$Z$596</f>
        <v>47601.898539881302</v>
      </c>
      <c r="AG596" s="6">
        <f>$O$596*$AA$596</f>
        <v>37742.632952902786</v>
      </c>
    </row>
    <row r="597" spans="1:33" ht="11.25" customHeight="1" x14ac:dyDescent="0.25">
      <c r="A597" s="4" t="s">
        <v>21</v>
      </c>
      <c r="B597" s="4" t="s">
        <v>36</v>
      </c>
      <c r="C597" s="4" t="s">
        <v>23</v>
      </c>
      <c r="D597" s="4" t="s">
        <v>44</v>
      </c>
      <c r="E597" s="4" t="s">
        <v>25</v>
      </c>
      <c r="F597" s="4" t="s">
        <v>25</v>
      </c>
      <c r="G597" s="4" t="s">
        <v>25</v>
      </c>
      <c r="H597" s="4" t="s">
        <v>25</v>
      </c>
      <c r="I597" s="5">
        <v>44531</v>
      </c>
      <c r="J597" s="6">
        <v>0</v>
      </c>
      <c r="K597" s="6">
        <v>0</v>
      </c>
      <c r="L597" s="6">
        <v>180.57900000000001</v>
      </c>
      <c r="M597" s="6">
        <v>180.57900000000001</v>
      </c>
      <c r="N597" s="6">
        <v>180.57900000000001</v>
      </c>
      <c r="O597" s="6">
        <v>180.57900000000001</v>
      </c>
      <c r="P597" s="6">
        <v>144</v>
      </c>
      <c r="Q597" s="4" t="s">
        <v>26</v>
      </c>
      <c r="R597" s="4">
        <v>0</v>
      </c>
      <c r="S597" s="6">
        <v>0</v>
      </c>
      <c r="T597" s="6">
        <v>68</v>
      </c>
      <c r="U597" s="6">
        <v>76</v>
      </c>
      <c r="V597" s="6">
        <f>IF(ISERROR(VLOOKUP($S$597,'TAR FIN'!$A$1:$O$86,15,0)),0,VLOOKUP($S$597,'TAR FIN'!$A$1:$O$86,15,0))</f>
        <v>0</v>
      </c>
      <c r="W597" s="6">
        <f>IF(ISERROR(VLOOKUP($T$597,'TAR FIN'!$A$1:$O$86,15,0)),0,VLOOKUP($T$597,'TAR FIN'!$A$1:$O$86,15,0))</f>
        <v>326.98</v>
      </c>
      <c r="X597" s="6">
        <f>IF(ISERROR(VLOOKUP($U$597,'TAR FIN'!$A$1:$O$86,15,0)),0,VLOOKUP($U$597,'TAR FIN'!$A$1:$O$86,15,0))</f>
        <v>314.52</v>
      </c>
      <c r="Y597" s="6"/>
      <c r="Z597" s="6">
        <f ca="1">('TUSD BE'!$AM$48+'TUSD BF'!$AM$48+'TUSD CVA'!$AM$48)*1</f>
        <v>313.91386533817797</v>
      </c>
      <c r="AA597" s="6">
        <f>('TE BE'!$AB$40+'TE BF'!$AB$40+'TE CVA'!$AB$40)*1</f>
        <v>248.89628694871266</v>
      </c>
      <c r="AB597" s="6">
        <f>$K$597*$V$597</f>
        <v>0</v>
      </c>
      <c r="AC597" s="6">
        <f>$M$597*$W$597</f>
        <v>59045.721420000009</v>
      </c>
      <c r="AD597" s="6">
        <f>$O$597*$X$597</f>
        <v>56795.70708</v>
      </c>
      <c r="AE597" s="6">
        <f>$K$597*$Y$597</f>
        <v>0</v>
      </c>
      <c r="AF597" s="6">
        <f ca="1">$M$597*$Z$597</f>
        <v>56686.251888902843</v>
      </c>
      <c r="AG597" s="6">
        <f>$O$597*$AA$597</f>
        <v>44945.442600911585</v>
      </c>
    </row>
    <row r="598" spans="1:33" ht="11.25" customHeight="1" x14ac:dyDescent="0.25">
      <c r="A598" s="4" t="s">
        <v>41</v>
      </c>
      <c r="B598" s="4" t="s">
        <v>36</v>
      </c>
      <c r="C598" s="4" t="s">
        <v>23</v>
      </c>
      <c r="D598" s="4" t="s">
        <v>44</v>
      </c>
      <c r="E598" s="4" t="s">
        <v>25</v>
      </c>
      <c r="F598" s="4" t="s">
        <v>25</v>
      </c>
      <c r="G598" s="4" t="s">
        <v>25</v>
      </c>
      <c r="H598" s="4" t="s">
        <v>25</v>
      </c>
      <c r="I598" s="5">
        <v>44531</v>
      </c>
      <c r="J598" s="6">
        <v>0</v>
      </c>
      <c r="K598" s="6">
        <v>0</v>
      </c>
      <c r="L598" s="6">
        <v>0.48899999999999999</v>
      </c>
      <c r="M598" s="6">
        <v>0.48899999999999999</v>
      </c>
      <c r="N598" s="6">
        <v>0.48899999999999999</v>
      </c>
      <c r="O598" s="6">
        <v>0.48899999999999999</v>
      </c>
      <c r="P598" s="6">
        <v>0</v>
      </c>
      <c r="Q598" s="4" t="s">
        <v>26</v>
      </c>
      <c r="R598" s="4">
        <v>0</v>
      </c>
      <c r="S598" s="6">
        <v>0</v>
      </c>
      <c r="T598" s="6">
        <v>68</v>
      </c>
      <c r="U598" s="6">
        <v>76</v>
      </c>
      <c r="V598" s="6">
        <f>IF(ISERROR(VLOOKUP($S$598,'TAR FIN'!$A$1:$O$86,15,0)),0,VLOOKUP($S$598,'TAR FIN'!$A$1:$O$86,15,0))</f>
        <v>0</v>
      </c>
      <c r="W598" s="6">
        <f>IF(ISERROR(VLOOKUP($T$598,'TAR FIN'!$A$1:$O$86,15,0)),0,VLOOKUP($T$598,'TAR FIN'!$A$1:$O$86,15,0))</f>
        <v>326.98</v>
      </c>
      <c r="X598" s="6">
        <f>IF(ISERROR(VLOOKUP($U$598,'TAR FIN'!$A$1:$O$86,15,0)),0,VLOOKUP($U$598,'TAR FIN'!$A$1:$O$86,15,0))</f>
        <v>314.52</v>
      </c>
      <c r="Y598" s="6"/>
      <c r="Z598" s="6">
        <f ca="1">('TUSD BE'!$AM$48+'TUSD BF'!$AM$48+'TUSD CVA'!$AM$48)*1</f>
        <v>313.91386533817797</v>
      </c>
      <c r="AA598" s="6">
        <f>('TE BE'!$AB$40+'TE BF'!$AB$40+'TE CVA'!$AB$40)*1</f>
        <v>248.89628694871266</v>
      </c>
      <c r="AB598" s="6">
        <f>$K$598*$V$598</f>
        <v>0</v>
      </c>
      <c r="AC598" s="6">
        <f>$M$598*$W$598</f>
        <v>159.89322000000001</v>
      </c>
      <c r="AD598" s="6">
        <f>$O$598*$X$598</f>
        <v>153.80027999999999</v>
      </c>
      <c r="AE598" s="6">
        <f>$K$598*$Y$598</f>
        <v>0</v>
      </c>
      <c r="AF598" s="6">
        <f ca="1">$M$598*$Z$598</f>
        <v>153.50388015036901</v>
      </c>
      <c r="AG598" s="6">
        <f>$O$598*$AA$598</f>
        <v>121.71028431792048</v>
      </c>
    </row>
    <row r="599" spans="1:33" ht="11.25" customHeight="1" x14ac:dyDescent="0.25">
      <c r="A599" s="4" t="s">
        <v>21</v>
      </c>
      <c r="B599" s="4" t="s">
        <v>36</v>
      </c>
      <c r="C599" s="4" t="s">
        <v>23</v>
      </c>
      <c r="D599" s="4" t="s">
        <v>44</v>
      </c>
      <c r="E599" s="4" t="s">
        <v>25</v>
      </c>
      <c r="F599" s="4" t="s">
        <v>25</v>
      </c>
      <c r="G599" s="4" t="s">
        <v>25</v>
      </c>
      <c r="H599" s="4" t="s">
        <v>25</v>
      </c>
      <c r="I599" s="5">
        <v>44562</v>
      </c>
      <c r="J599" s="6">
        <v>0</v>
      </c>
      <c r="K599" s="6">
        <v>0</v>
      </c>
      <c r="L599" s="6">
        <v>139.97</v>
      </c>
      <c r="M599" s="6">
        <v>139.97</v>
      </c>
      <c r="N599" s="6">
        <v>139.97</v>
      </c>
      <c r="O599" s="6">
        <v>139.97</v>
      </c>
      <c r="P599" s="6">
        <v>144</v>
      </c>
      <c r="Q599" s="4" t="s">
        <v>26</v>
      </c>
      <c r="R599" s="4">
        <v>0</v>
      </c>
      <c r="S599" s="6">
        <v>0</v>
      </c>
      <c r="T599" s="6">
        <v>68</v>
      </c>
      <c r="U599" s="6">
        <v>76</v>
      </c>
      <c r="V599" s="6">
        <f>IF(ISERROR(VLOOKUP($S$599,'TAR FIN'!$A$1:$O$86,15,0)),0,VLOOKUP($S$599,'TAR FIN'!$A$1:$O$86,15,0))</f>
        <v>0</v>
      </c>
      <c r="W599" s="6">
        <f>IF(ISERROR(VLOOKUP($T$599,'TAR FIN'!$A$1:$O$86,15,0)),0,VLOOKUP($T$599,'TAR FIN'!$A$1:$O$86,15,0))</f>
        <v>326.98</v>
      </c>
      <c r="X599" s="6">
        <f>IF(ISERROR(VLOOKUP($U$599,'TAR FIN'!$A$1:$O$86,15,0)),0,VLOOKUP($U$599,'TAR FIN'!$A$1:$O$86,15,0))</f>
        <v>314.52</v>
      </c>
      <c r="Y599" s="6"/>
      <c r="Z599" s="6">
        <f ca="1">('TUSD BE'!$AM$48+'TUSD BF'!$AM$48+'TUSD CVA'!$AM$48)*1</f>
        <v>313.91386533817797</v>
      </c>
      <c r="AA599" s="6">
        <f>('TE BE'!$AB$40+'TE BF'!$AB$40+'TE CVA'!$AB$40)*1</f>
        <v>248.89628694871266</v>
      </c>
      <c r="AB599" s="6">
        <f>$K$599*$V$599</f>
        <v>0</v>
      </c>
      <c r="AC599" s="6">
        <f>$M$599*$W$599</f>
        <v>45767.390599999999</v>
      </c>
      <c r="AD599" s="6">
        <f>$O$599*$X$599</f>
        <v>44023.364399999999</v>
      </c>
      <c r="AE599" s="6">
        <f>$K$599*$Y$599</f>
        <v>0</v>
      </c>
      <c r="AF599" s="6">
        <f ca="1">$M$599*$Z$599</f>
        <v>43938.523731384768</v>
      </c>
      <c r="AG599" s="6">
        <f>$O$599*$AA$599</f>
        <v>34838.013284211309</v>
      </c>
    </row>
    <row r="600" spans="1:33" ht="11.25" customHeight="1" x14ac:dyDescent="0.25">
      <c r="A600" s="4" t="s">
        <v>21</v>
      </c>
      <c r="B600" s="4" t="s">
        <v>36</v>
      </c>
      <c r="C600" s="4" t="s">
        <v>23</v>
      </c>
      <c r="D600" s="4" t="s">
        <v>44</v>
      </c>
      <c r="E600" s="4" t="s">
        <v>25</v>
      </c>
      <c r="F600" s="4" t="s">
        <v>25</v>
      </c>
      <c r="G600" s="4" t="s">
        <v>25</v>
      </c>
      <c r="H600" s="4" t="s">
        <v>25</v>
      </c>
      <c r="I600" s="5">
        <v>44593</v>
      </c>
      <c r="J600" s="6">
        <v>0</v>
      </c>
      <c r="K600" s="6">
        <v>0</v>
      </c>
      <c r="L600" s="6">
        <v>137.822</v>
      </c>
      <c r="M600" s="6">
        <v>137.822</v>
      </c>
      <c r="N600" s="6">
        <v>137.822</v>
      </c>
      <c r="O600" s="6">
        <v>137.822</v>
      </c>
      <c r="P600" s="6">
        <v>145</v>
      </c>
      <c r="Q600" s="4" t="s">
        <v>26</v>
      </c>
      <c r="R600" s="4">
        <v>0</v>
      </c>
      <c r="S600" s="6">
        <v>0</v>
      </c>
      <c r="T600" s="6">
        <v>68</v>
      </c>
      <c r="U600" s="6">
        <v>76</v>
      </c>
      <c r="V600" s="6">
        <f>IF(ISERROR(VLOOKUP($S$600,'TAR FIN'!$A$1:$O$86,15,0)),0,VLOOKUP($S$600,'TAR FIN'!$A$1:$O$86,15,0))</f>
        <v>0</v>
      </c>
      <c r="W600" s="6">
        <f>IF(ISERROR(VLOOKUP($T$600,'TAR FIN'!$A$1:$O$86,15,0)),0,VLOOKUP($T$600,'TAR FIN'!$A$1:$O$86,15,0))</f>
        <v>326.98</v>
      </c>
      <c r="X600" s="6">
        <f>IF(ISERROR(VLOOKUP($U$600,'TAR FIN'!$A$1:$O$86,15,0)),0,VLOOKUP($U$600,'TAR FIN'!$A$1:$O$86,15,0))</f>
        <v>314.52</v>
      </c>
      <c r="Y600" s="6"/>
      <c r="Z600" s="6">
        <f ca="1">('TUSD BE'!$AM$48+'TUSD BF'!$AM$48+'TUSD CVA'!$AM$48)*1</f>
        <v>313.91386533817797</v>
      </c>
      <c r="AA600" s="6">
        <f>('TE BE'!$AB$40+'TE BF'!$AB$40+'TE CVA'!$AB$40)*1</f>
        <v>248.89628694871266</v>
      </c>
      <c r="AB600" s="6">
        <f>$K$600*$V$600</f>
        <v>0</v>
      </c>
      <c r="AC600" s="6">
        <f>$M$600*$W$600</f>
        <v>45065.037560000004</v>
      </c>
      <c r="AD600" s="6">
        <f>$O$600*$X$600</f>
        <v>43347.775439999998</v>
      </c>
      <c r="AE600" s="6">
        <f>$K$600*$Y$600</f>
        <v>0</v>
      </c>
      <c r="AF600" s="6">
        <f ca="1">$M$600*$Z$600</f>
        <v>43264.236748638366</v>
      </c>
      <c r="AG600" s="6">
        <f>$O$600*$AA$600</f>
        <v>34303.384059845477</v>
      </c>
    </row>
    <row r="601" spans="1:33" ht="11.25" customHeight="1" x14ac:dyDescent="0.25">
      <c r="A601" s="4" t="s">
        <v>21</v>
      </c>
      <c r="B601" s="4" t="s">
        <v>36</v>
      </c>
      <c r="C601" s="4" t="s">
        <v>23</v>
      </c>
      <c r="D601" s="4" t="s">
        <v>44</v>
      </c>
      <c r="E601" s="4" t="s">
        <v>25</v>
      </c>
      <c r="F601" s="4" t="s">
        <v>25</v>
      </c>
      <c r="G601" s="4" t="s">
        <v>25</v>
      </c>
      <c r="H601" s="4" t="s">
        <v>25</v>
      </c>
      <c r="I601" s="5">
        <v>44621</v>
      </c>
      <c r="J601" s="6">
        <v>0</v>
      </c>
      <c r="K601" s="6">
        <v>0</v>
      </c>
      <c r="L601" s="6">
        <v>229.821</v>
      </c>
      <c r="M601" s="6">
        <v>229.821</v>
      </c>
      <c r="N601" s="6">
        <v>229.821</v>
      </c>
      <c r="O601" s="6">
        <v>229.821</v>
      </c>
      <c r="P601" s="6">
        <v>147</v>
      </c>
      <c r="Q601" s="4" t="s">
        <v>26</v>
      </c>
      <c r="R601" s="4">
        <v>0</v>
      </c>
      <c r="S601" s="6">
        <v>0</v>
      </c>
      <c r="T601" s="6">
        <v>68</v>
      </c>
      <c r="U601" s="6">
        <v>76</v>
      </c>
      <c r="V601" s="6">
        <f>IF(ISERROR(VLOOKUP($S$601,'TAR FIN'!$A$1:$O$86,15,0)),0,VLOOKUP($S$601,'TAR FIN'!$A$1:$O$86,15,0))</f>
        <v>0</v>
      </c>
      <c r="W601" s="6">
        <f>IF(ISERROR(VLOOKUP($T$601,'TAR FIN'!$A$1:$O$86,15,0)),0,VLOOKUP($T$601,'TAR FIN'!$A$1:$O$86,15,0))</f>
        <v>326.98</v>
      </c>
      <c r="X601" s="6">
        <f>IF(ISERROR(VLOOKUP($U$601,'TAR FIN'!$A$1:$O$86,15,0)),0,VLOOKUP($U$601,'TAR FIN'!$A$1:$O$86,15,0))</f>
        <v>314.52</v>
      </c>
      <c r="Y601" s="6"/>
      <c r="Z601" s="6">
        <f ca="1">('TUSD BE'!$AM$48+'TUSD BF'!$AM$48+'TUSD CVA'!$AM$48)*1</f>
        <v>313.91386533817797</v>
      </c>
      <c r="AA601" s="6">
        <f>('TE BE'!$AB$40+'TE BF'!$AB$40+'TE CVA'!$AB$40)*1</f>
        <v>248.89628694871266</v>
      </c>
      <c r="AB601" s="6">
        <f>$K$601*$V$601</f>
        <v>0</v>
      </c>
      <c r="AC601" s="6">
        <f>$M$601*$W$601</f>
        <v>75146.870580000003</v>
      </c>
      <c r="AD601" s="6">
        <f>$O$601*$X$601</f>
        <v>72283.300919999994</v>
      </c>
      <c r="AE601" s="6">
        <f>$K$601*$Y$601</f>
        <v>0</v>
      </c>
      <c r="AF601" s="6">
        <f ca="1">$M$601*$Z$601</f>
        <v>72143.998445885401</v>
      </c>
      <c r="AG601" s="6">
        <f>$O$601*$AA$601</f>
        <v>57201.593562840091</v>
      </c>
    </row>
    <row r="602" spans="1:33" ht="11.25" customHeight="1" x14ac:dyDescent="0.25">
      <c r="A602" s="4" t="s">
        <v>21</v>
      </c>
      <c r="B602" s="4" t="s">
        <v>36</v>
      </c>
      <c r="C602" s="4" t="s">
        <v>23</v>
      </c>
      <c r="D602" s="4" t="s">
        <v>44</v>
      </c>
      <c r="E602" s="4" t="s">
        <v>25</v>
      </c>
      <c r="F602" s="4" t="s">
        <v>25</v>
      </c>
      <c r="G602" s="4" t="s">
        <v>25</v>
      </c>
      <c r="H602" s="4" t="s">
        <v>25</v>
      </c>
      <c r="I602" s="5">
        <v>44652</v>
      </c>
      <c r="J602" s="6">
        <v>0</v>
      </c>
      <c r="K602" s="6">
        <v>0</v>
      </c>
      <c r="L602" s="6">
        <v>119.70099999999999</v>
      </c>
      <c r="M602" s="6">
        <v>119.70099999999999</v>
      </c>
      <c r="N602" s="6">
        <v>119.70099999999999</v>
      </c>
      <c r="O602" s="6">
        <v>119.70099999999999</v>
      </c>
      <c r="P602" s="6">
        <v>144</v>
      </c>
      <c r="Q602" s="4" t="s">
        <v>26</v>
      </c>
      <c r="R602" s="4">
        <v>0</v>
      </c>
      <c r="S602" s="6">
        <v>0</v>
      </c>
      <c r="T602" s="6">
        <v>68</v>
      </c>
      <c r="U602" s="6">
        <v>76</v>
      </c>
      <c r="V602" s="6">
        <f>IF(ISERROR(VLOOKUP($S$602,'TAR FIN'!$A$1:$O$86,15,0)),0,VLOOKUP($S$602,'TAR FIN'!$A$1:$O$86,15,0))</f>
        <v>0</v>
      </c>
      <c r="W602" s="6">
        <f>IF(ISERROR(VLOOKUP($T$602,'TAR FIN'!$A$1:$O$86,15,0)),0,VLOOKUP($T$602,'TAR FIN'!$A$1:$O$86,15,0))</f>
        <v>326.98</v>
      </c>
      <c r="X602" s="6">
        <f>IF(ISERROR(VLOOKUP($U$602,'TAR FIN'!$A$1:$O$86,15,0)),0,VLOOKUP($U$602,'TAR FIN'!$A$1:$O$86,15,0))</f>
        <v>314.52</v>
      </c>
      <c r="Y602" s="6"/>
      <c r="Z602" s="6">
        <f ca="1">('TUSD BE'!$AM$48+'TUSD BF'!$AM$48+'TUSD CVA'!$AM$48)*1</f>
        <v>313.91386533817797</v>
      </c>
      <c r="AA602" s="6">
        <f>('TE BE'!$AB$40+'TE BF'!$AB$40+'TE CVA'!$AB$40)*1</f>
        <v>248.89628694871266</v>
      </c>
      <c r="AB602" s="6">
        <f>$K$602*$V$602</f>
        <v>0</v>
      </c>
      <c r="AC602" s="6">
        <f>$M$602*$W$602</f>
        <v>39139.832979999999</v>
      </c>
      <c r="AD602" s="6">
        <f>$O$602*$X$602</f>
        <v>37648.358519999994</v>
      </c>
      <c r="AE602" s="6">
        <f>$K$602*$Y$602</f>
        <v>0</v>
      </c>
      <c r="AF602" s="6">
        <f ca="1">$M$602*$Z$602</f>
        <v>37575.803594845238</v>
      </c>
      <c r="AG602" s="6">
        <f>$O$602*$AA$602</f>
        <v>29793.134444047853</v>
      </c>
    </row>
    <row r="603" spans="1:33" ht="11.25" customHeight="1" x14ac:dyDescent="0.25">
      <c r="A603" s="4" t="s">
        <v>41</v>
      </c>
      <c r="B603" s="4" t="s">
        <v>36</v>
      </c>
      <c r="C603" s="4" t="s">
        <v>23</v>
      </c>
      <c r="D603" s="4" t="s">
        <v>44</v>
      </c>
      <c r="E603" s="4" t="s">
        <v>25</v>
      </c>
      <c r="F603" s="4" t="s">
        <v>25</v>
      </c>
      <c r="G603" s="4" t="s">
        <v>25</v>
      </c>
      <c r="H603" s="4" t="s">
        <v>25</v>
      </c>
      <c r="I603" s="5">
        <v>44652</v>
      </c>
      <c r="J603" s="6">
        <v>0</v>
      </c>
      <c r="K603" s="6">
        <v>0</v>
      </c>
      <c r="L603" s="6">
        <v>-6.55</v>
      </c>
      <c r="M603" s="6">
        <v>-6.55</v>
      </c>
      <c r="N603" s="6">
        <v>-6.55</v>
      </c>
      <c r="O603" s="6">
        <v>-6.55</v>
      </c>
      <c r="P603" s="6">
        <v>0</v>
      </c>
      <c r="Q603" s="4" t="s">
        <v>26</v>
      </c>
      <c r="R603" s="4">
        <v>0</v>
      </c>
      <c r="S603" s="6">
        <v>0</v>
      </c>
      <c r="T603" s="6">
        <v>68</v>
      </c>
      <c r="U603" s="6">
        <v>76</v>
      </c>
      <c r="V603" s="6">
        <f>IF(ISERROR(VLOOKUP($S$603,'TAR FIN'!$A$1:$O$86,15,0)),0,VLOOKUP($S$603,'TAR FIN'!$A$1:$O$86,15,0))</f>
        <v>0</v>
      </c>
      <c r="W603" s="6">
        <f>IF(ISERROR(VLOOKUP($T$603,'TAR FIN'!$A$1:$O$86,15,0)),0,VLOOKUP($T$603,'TAR FIN'!$A$1:$O$86,15,0))</f>
        <v>326.98</v>
      </c>
      <c r="X603" s="6">
        <f>IF(ISERROR(VLOOKUP($U$603,'TAR FIN'!$A$1:$O$86,15,0)),0,VLOOKUP($U$603,'TAR FIN'!$A$1:$O$86,15,0))</f>
        <v>314.52</v>
      </c>
      <c r="Y603" s="6"/>
      <c r="Z603" s="6">
        <f ca="1">('TUSD BE'!$AM$48+'TUSD BF'!$AM$48+'TUSD CVA'!$AM$48)*1</f>
        <v>313.91386533817797</v>
      </c>
      <c r="AA603" s="6">
        <f>('TE BE'!$AB$40+'TE BF'!$AB$40+'TE CVA'!$AB$40)*1</f>
        <v>248.89628694871266</v>
      </c>
      <c r="AB603" s="6">
        <f>$K$603*$V$603</f>
        <v>0</v>
      </c>
      <c r="AC603" s="6">
        <f>$M$603*$W$603</f>
        <v>-2141.7190000000001</v>
      </c>
      <c r="AD603" s="6">
        <f>$O$603*$X$603</f>
        <v>-2060.1059999999998</v>
      </c>
      <c r="AE603" s="6">
        <f>$K$603*$Y$603</f>
        <v>0</v>
      </c>
      <c r="AF603" s="6">
        <f ca="1">$M$603*$Z$603</f>
        <v>-2056.1358179650656</v>
      </c>
      <c r="AG603" s="6">
        <f>$O$603*$AA$603</f>
        <v>-1630.2706795140678</v>
      </c>
    </row>
    <row r="604" spans="1:33" ht="11.25" customHeight="1" x14ac:dyDescent="0.25">
      <c r="A604" s="4" t="s">
        <v>21</v>
      </c>
      <c r="B604" s="4" t="s">
        <v>36</v>
      </c>
      <c r="C604" s="4" t="s">
        <v>23</v>
      </c>
      <c r="D604" s="4" t="s">
        <v>44</v>
      </c>
      <c r="E604" s="4" t="s">
        <v>25</v>
      </c>
      <c r="F604" s="4" t="s">
        <v>25</v>
      </c>
      <c r="G604" s="4" t="s">
        <v>25</v>
      </c>
      <c r="H604" s="4" t="s">
        <v>25</v>
      </c>
      <c r="I604" s="5">
        <v>44682</v>
      </c>
      <c r="J604" s="6">
        <v>0</v>
      </c>
      <c r="K604" s="6">
        <v>0</v>
      </c>
      <c r="L604" s="6">
        <v>122.13800000000001</v>
      </c>
      <c r="M604" s="6">
        <v>122.13800000000001</v>
      </c>
      <c r="N604" s="6">
        <v>122.13800000000001</v>
      </c>
      <c r="O604" s="6">
        <v>122.13800000000001</v>
      </c>
      <c r="P604" s="6">
        <v>150</v>
      </c>
      <c r="Q604" s="4" t="s">
        <v>26</v>
      </c>
      <c r="R604" s="4">
        <v>0</v>
      </c>
      <c r="S604" s="6">
        <v>0</v>
      </c>
      <c r="T604" s="6">
        <v>68</v>
      </c>
      <c r="U604" s="6">
        <v>76</v>
      </c>
      <c r="V604" s="6">
        <f>IF(ISERROR(VLOOKUP($S$604,'TAR FIN'!$A$1:$O$86,15,0)),0,VLOOKUP($S$604,'TAR FIN'!$A$1:$O$86,15,0))</f>
        <v>0</v>
      </c>
      <c r="W604" s="6">
        <f>IF(ISERROR(VLOOKUP($T$604,'TAR FIN'!$A$1:$O$86,15,0)),0,VLOOKUP($T$604,'TAR FIN'!$A$1:$O$86,15,0))</f>
        <v>326.98</v>
      </c>
      <c r="X604" s="6">
        <f>IF(ISERROR(VLOOKUP($U$604,'TAR FIN'!$A$1:$O$86,15,0)),0,VLOOKUP($U$604,'TAR FIN'!$A$1:$O$86,15,0))</f>
        <v>314.52</v>
      </c>
      <c r="Y604" s="6"/>
      <c r="Z604" s="6">
        <f ca="1">('TUSD BE'!$AM$48+'TUSD BF'!$AM$48+'TUSD CVA'!$AM$48)*1</f>
        <v>313.91386533817797</v>
      </c>
      <c r="AA604" s="6">
        <f>('TE BE'!$AB$40+'TE BF'!$AB$40+'TE CVA'!$AB$40)*1</f>
        <v>248.89628694871266</v>
      </c>
      <c r="AB604" s="6">
        <f>$K$604*$V$604</f>
        <v>0</v>
      </c>
      <c r="AC604" s="6">
        <f>$M$604*$W$604</f>
        <v>39936.683240000006</v>
      </c>
      <c r="AD604" s="6">
        <f>$O$604*$X$604</f>
        <v>38414.843759999996</v>
      </c>
      <c r="AE604" s="6">
        <f>$K$604*$Y$604</f>
        <v>0</v>
      </c>
      <c r="AF604" s="6">
        <f ca="1">$M$604*$Z$604</f>
        <v>38340.81168467438</v>
      </c>
      <c r="AG604" s="6">
        <f>$O$604*$AA$604</f>
        <v>30399.694695341866</v>
      </c>
    </row>
    <row r="605" spans="1:33" ht="11.25" customHeight="1" x14ac:dyDescent="0.25">
      <c r="A605" s="4" t="s">
        <v>55</v>
      </c>
      <c r="B605" s="4" t="s">
        <v>36</v>
      </c>
      <c r="C605" s="4" t="s">
        <v>23</v>
      </c>
      <c r="D605" s="4" t="s">
        <v>44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44713</v>
      </c>
      <c r="J605" s="6">
        <v>0</v>
      </c>
      <c r="K605" s="6">
        <v>0</v>
      </c>
      <c r="L605" s="6">
        <v>122.13800000000001</v>
      </c>
      <c r="M605" s="6">
        <v>122.13800000000001</v>
      </c>
      <c r="N605" s="6">
        <v>122.13800000000001</v>
      </c>
      <c r="O605" s="6">
        <v>122.13800000000001</v>
      </c>
      <c r="P605" s="6">
        <v>150</v>
      </c>
      <c r="Q605" s="4" t="s">
        <v>26</v>
      </c>
      <c r="R605" s="4">
        <v>0</v>
      </c>
      <c r="S605" s="6">
        <v>0</v>
      </c>
      <c r="T605" s="6">
        <v>68</v>
      </c>
      <c r="U605" s="6">
        <v>76</v>
      </c>
      <c r="V605" s="6">
        <f>IF(ISERROR(VLOOKUP($S$605,'TAR FIN'!$A$1:$O$86,15,0)),0,VLOOKUP($S$605,'TAR FIN'!$A$1:$O$86,15,0))</f>
        <v>0</v>
      </c>
      <c r="W605" s="6">
        <f>IF(ISERROR(VLOOKUP($T$605,'TAR FIN'!$A$1:$O$86,15,0)),0,VLOOKUP($T$605,'TAR FIN'!$A$1:$O$86,15,0))</f>
        <v>326.98</v>
      </c>
      <c r="X605" s="6">
        <f>IF(ISERROR(VLOOKUP($U$605,'TAR FIN'!$A$1:$O$86,15,0)),0,VLOOKUP($U$605,'TAR FIN'!$A$1:$O$86,15,0))</f>
        <v>314.52</v>
      </c>
      <c r="Y605" s="6"/>
      <c r="Z605" s="6">
        <f ca="1">('TUSD BE'!$AM$48+'TUSD BF'!$AM$48+'TUSD CVA'!$AM$48)*1</f>
        <v>313.91386533817797</v>
      </c>
      <c r="AA605" s="6">
        <f>('TE BE'!$AB$40+'TE BF'!$AB$40+'TE CVA'!$AB$40)*1</f>
        <v>248.89628694871266</v>
      </c>
      <c r="AB605" s="6">
        <f>$K$605*$V$605</f>
        <v>0</v>
      </c>
      <c r="AC605" s="6">
        <f>$M$605*$W$605</f>
        <v>39936.683240000006</v>
      </c>
      <c r="AD605" s="6">
        <f>$O$605*$X$605</f>
        <v>38414.843759999996</v>
      </c>
      <c r="AE605" s="6">
        <f>$K$605*$Y$605</f>
        <v>0</v>
      </c>
      <c r="AF605" s="6">
        <f ca="1">$M$605*$Z$605</f>
        <v>38340.81168467438</v>
      </c>
      <c r="AG605" s="6">
        <f>$O$605*$AA$605</f>
        <v>30399.694695341866</v>
      </c>
    </row>
    <row r="606" spans="1:33" ht="11.25" customHeight="1" x14ac:dyDescent="0.25">
      <c r="A606" s="4" t="s">
        <v>21</v>
      </c>
      <c r="B606" s="4" t="s">
        <v>36</v>
      </c>
      <c r="C606" s="4" t="s">
        <v>23</v>
      </c>
      <c r="D606" s="4" t="s">
        <v>48</v>
      </c>
      <c r="E606" s="4" t="s">
        <v>49</v>
      </c>
      <c r="F606" s="4" t="s">
        <v>25</v>
      </c>
      <c r="G606" s="4" t="s">
        <v>25</v>
      </c>
      <c r="H606" s="4" t="s">
        <v>25</v>
      </c>
      <c r="I606" s="5">
        <v>44378</v>
      </c>
      <c r="J606" s="6">
        <v>0</v>
      </c>
      <c r="K606" s="96">
        <v>0</v>
      </c>
      <c r="L606" s="6">
        <v>128.226</v>
      </c>
      <c r="M606" s="96">
        <v>128.226</v>
      </c>
      <c r="N606" s="6">
        <v>128.226</v>
      </c>
      <c r="O606" s="96">
        <v>128.226</v>
      </c>
      <c r="P606" s="6">
        <v>23</v>
      </c>
      <c r="Q606" s="4" t="s">
        <v>26</v>
      </c>
      <c r="R606" s="4">
        <v>0</v>
      </c>
      <c r="S606" s="6">
        <v>0</v>
      </c>
      <c r="T606" s="6">
        <v>68</v>
      </c>
      <c r="U606" s="6">
        <v>76</v>
      </c>
      <c r="V606" s="96">
        <f>IF(ISERROR(VLOOKUP($S$606,'TAR FIN'!$A$1:$O$86,15,0)),0,VLOOKUP($S$606,'TAR FIN'!$A$1:$O$86,15,0))</f>
        <v>0</v>
      </c>
      <c r="W606" s="96">
        <f>IF(ISERROR(VLOOKUP($T$606,'TAR FIN'!$A$1:$O$86,15,0)),0,VLOOKUP($T$606,'TAR FIN'!$A$1:$O$86,15,0))*(1-0.06)</f>
        <v>307.3612</v>
      </c>
      <c r="X606" s="96">
        <f>IF(ISERROR(VLOOKUP($U$606,'TAR FIN'!$A$1:$O$86,15,0)),0,VLOOKUP($U$606,'TAR FIN'!$A$1:$O$86,15,0))*(1-0.06)</f>
        <v>295.64879999999999</v>
      </c>
      <c r="Y606" s="96"/>
      <c r="Z606" s="96">
        <f ca="1">('TUSD BE'!$AM$48+'TUSD BF'!$AM$48+'TUSD CVA'!$AM$48)*1*(1-0.03)</f>
        <v>304.49644937803265</v>
      </c>
      <c r="AA606" s="96">
        <f>('TE BE'!$AB$40+'TE BF'!$AB$40+'TE CVA'!$AB$40)*1*(1-0.03)</f>
        <v>241.42939834025128</v>
      </c>
      <c r="AB606" s="6">
        <f>$K$606*$V$606</f>
        <v>0</v>
      </c>
      <c r="AC606" s="6">
        <f>$M$606*$W$606</f>
        <v>39411.6972312</v>
      </c>
      <c r="AD606" s="6">
        <f>$O$606*$X$606</f>
        <v>37909.863028799999</v>
      </c>
      <c r="AE606" s="6">
        <f>$K$606*$Y$606</f>
        <v>0</v>
      </c>
      <c r="AF606" s="6">
        <f ca="1">$M$606*$Z$606</f>
        <v>39044.361717947613</v>
      </c>
      <c r="AG606" s="6">
        <f>$O$606*$AA$606</f>
        <v>30957.526031577061</v>
      </c>
    </row>
    <row r="607" spans="1:33" ht="11.25" customHeight="1" x14ac:dyDescent="0.25">
      <c r="A607" s="4" t="s">
        <v>21</v>
      </c>
      <c r="B607" s="4" t="s">
        <v>36</v>
      </c>
      <c r="C607" s="4" t="s">
        <v>23</v>
      </c>
      <c r="D607" s="4" t="s">
        <v>48</v>
      </c>
      <c r="E607" s="4" t="s">
        <v>49</v>
      </c>
      <c r="F607" s="4" t="s">
        <v>25</v>
      </c>
      <c r="G607" s="4" t="s">
        <v>25</v>
      </c>
      <c r="H607" s="4" t="s">
        <v>25</v>
      </c>
      <c r="I607" s="5">
        <v>44409</v>
      </c>
      <c r="J607" s="6">
        <v>0</v>
      </c>
      <c r="K607" s="96">
        <v>0</v>
      </c>
      <c r="L607" s="6">
        <v>134.18799999999999</v>
      </c>
      <c r="M607" s="96">
        <v>134.18799999999999</v>
      </c>
      <c r="N607" s="6">
        <v>134.18799999999999</v>
      </c>
      <c r="O607" s="96">
        <v>134.18799999999999</v>
      </c>
      <c r="P607" s="6">
        <v>23</v>
      </c>
      <c r="Q607" s="4" t="s">
        <v>26</v>
      </c>
      <c r="R607" s="4">
        <v>0</v>
      </c>
      <c r="S607" s="6">
        <v>0</v>
      </c>
      <c r="T607" s="6">
        <v>68</v>
      </c>
      <c r="U607" s="6">
        <v>76</v>
      </c>
      <c r="V607" s="96">
        <f>IF(ISERROR(VLOOKUP($S$607,'TAR FIN'!$A$1:$O$86,15,0)),0,VLOOKUP($S$607,'TAR FIN'!$A$1:$O$86,15,0))</f>
        <v>0</v>
      </c>
      <c r="W607" s="96">
        <f>IF(ISERROR(VLOOKUP($T$607,'TAR FIN'!$A$1:$O$86,15,0)),0,VLOOKUP($T$607,'TAR FIN'!$A$1:$O$86,15,0))*(1-0.06)</f>
        <v>307.3612</v>
      </c>
      <c r="X607" s="96">
        <f>IF(ISERROR(VLOOKUP($U$607,'TAR FIN'!$A$1:$O$86,15,0)),0,VLOOKUP($U$607,'TAR FIN'!$A$1:$O$86,15,0))*(1-0.06)</f>
        <v>295.64879999999999</v>
      </c>
      <c r="Y607" s="96"/>
      <c r="Z607" s="96">
        <f ca="1">('TUSD BE'!$AM$48+'TUSD BF'!$AM$48+'TUSD CVA'!$AM$48)*1*(1-0.03)</f>
        <v>304.49644937803265</v>
      </c>
      <c r="AA607" s="96">
        <f>('TE BE'!$AB$40+'TE BF'!$AB$40+'TE CVA'!$AB$40)*1*(1-0.03)</f>
        <v>241.42939834025128</v>
      </c>
      <c r="AB607" s="6">
        <f>$K$607*$V$607</f>
        <v>0</v>
      </c>
      <c r="AC607" s="6">
        <f>$M$607*$W$607</f>
        <v>41244.184705599997</v>
      </c>
      <c r="AD607" s="6">
        <f>$O$607*$X$607</f>
        <v>39672.521174399997</v>
      </c>
      <c r="AE607" s="6">
        <f>$K$607*$Y$607</f>
        <v>0</v>
      </c>
      <c r="AF607" s="6">
        <f ca="1">$M$607*$Z$607</f>
        <v>40859.769549139441</v>
      </c>
      <c r="AG607" s="6">
        <f>$O$607*$AA$607</f>
        <v>32396.928104481638</v>
      </c>
    </row>
    <row r="608" spans="1:33" ht="11.25" customHeight="1" x14ac:dyDescent="0.25">
      <c r="A608" s="4" t="s">
        <v>21</v>
      </c>
      <c r="B608" s="4" t="s">
        <v>36</v>
      </c>
      <c r="C608" s="4" t="s">
        <v>23</v>
      </c>
      <c r="D608" s="4" t="s">
        <v>48</v>
      </c>
      <c r="E608" s="4" t="s">
        <v>49</v>
      </c>
      <c r="F608" s="4" t="s">
        <v>25</v>
      </c>
      <c r="G608" s="4" t="s">
        <v>25</v>
      </c>
      <c r="H608" s="4" t="s">
        <v>25</v>
      </c>
      <c r="I608" s="5">
        <v>44440</v>
      </c>
      <c r="J608" s="6">
        <v>0</v>
      </c>
      <c r="K608" s="96">
        <v>0</v>
      </c>
      <c r="L608" s="6">
        <v>120.355</v>
      </c>
      <c r="M608" s="96">
        <v>120.355</v>
      </c>
      <c r="N608" s="6">
        <v>120.355</v>
      </c>
      <c r="O608" s="96">
        <v>120.355</v>
      </c>
      <c r="P608" s="6">
        <v>23</v>
      </c>
      <c r="Q608" s="4" t="s">
        <v>26</v>
      </c>
      <c r="R608" s="4">
        <v>0</v>
      </c>
      <c r="S608" s="6">
        <v>0</v>
      </c>
      <c r="T608" s="6">
        <v>68</v>
      </c>
      <c r="U608" s="6">
        <v>76</v>
      </c>
      <c r="V608" s="96">
        <f>IF(ISERROR(VLOOKUP($S$608,'TAR FIN'!$A$1:$O$86,15,0)),0,VLOOKUP($S$608,'TAR FIN'!$A$1:$O$86,15,0))</f>
        <v>0</v>
      </c>
      <c r="W608" s="96">
        <f>IF(ISERROR(VLOOKUP($T$608,'TAR FIN'!$A$1:$O$86,15,0)),0,VLOOKUP($T$608,'TAR FIN'!$A$1:$O$86,15,0))*(1-0.06)</f>
        <v>307.3612</v>
      </c>
      <c r="X608" s="96">
        <f>IF(ISERROR(VLOOKUP($U$608,'TAR FIN'!$A$1:$O$86,15,0)),0,VLOOKUP($U$608,'TAR FIN'!$A$1:$O$86,15,0))*(1-0.06)</f>
        <v>295.64879999999999</v>
      </c>
      <c r="Y608" s="96"/>
      <c r="Z608" s="96">
        <f ca="1">('TUSD BE'!$AM$48+'TUSD BF'!$AM$48+'TUSD CVA'!$AM$48)*1*(1-0.03)</f>
        <v>304.49644937803265</v>
      </c>
      <c r="AA608" s="96">
        <f>('TE BE'!$AB$40+'TE BF'!$AB$40+'TE CVA'!$AB$40)*1*(1-0.03)</f>
        <v>241.42939834025128</v>
      </c>
      <c r="AB608" s="6">
        <f>$K$608*$V$608</f>
        <v>0</v>
      </c>
      <c r="AC608" s="6">
        <f>$M$608*$W$608</f>
        <v>36992.457225999999</v>
      </c>
      <c r="AD608" s="6">
        <f>$O$608*$X$608</f>
        <v>35582.811324000002</v>
      </c>
      <c r="AE608" s="6">
        <f>$K$608*$Y$608</f>
        <v>0</v>
      </c>
      <c r="AF608" s="6">
        <f ca="1">$M$608*$Z$608</f>
        <v>36647.670164893119</v>
      </c>
      <c r="AG608" s="6">
        <f>$O$608*$AA$608</f>
        <v>29057.235237240944</v>
      </c>
    </row>
    <row r="609" spans="1:33" ht="11.25" customHeight="1" x14ac:dyDescent="0.25">
      <c r="A609" s="4" t="s">
        <v>21</v>
      </c>
      <c r="B609" s="4" t="s">
        <v>36</v>
      </c>
      <c r="C609" s="4" t="s">
        <v>23</v>
      </c>
      <c r="D609" s="4" t="s">
        <v>48</v>
      </c>
      <c r="E609" s="4" t="s">
        <v>49</v>
      </c>
      <c r="F609" s="4" t="s">
        <v>25</v>
      </c>
      <c r="G609" s="4" t="s">
        <v>25</v>
      </c>
      <c r="H609" s="4" t="s">
        <v>25</v>
      </c>
      <c r="I609" s="5">
        <v>44470</v>
      </c>
      <c r="J609" s="6">
        <v>0</v>
      </c>
      <c r="K609" s="96">
        <v>0</v>
      </c>
      <c r="L609" s="6">
        <v>117.742</v>
      </c>
      <c r="M609" s="96">
        <v>117.742</v>
      </c>
      <c r="N609" s="6">
        <v>117.742</v>
      </c>
      <c r="O609" s="96">
        <v>117.742</v>
      </c>
      <c r="P609" s="6">
        <v>23</v>
      </c>
      <c r="Q609" s="4" t="s">
        <v>26</v>
      </c>
      <c r="R609" s="4">
        <v>0</v>
      </c>
      <c r="S609" s="6">
        <v>0</v>
      </c>
      <c r="T609" s="6">
        <v>68</v>
      </c>
      <c r="U609" s="6">
        <v>76</v>
      </c>
      <c r="V609" s="96">
        <f>IF(ISERROR(VLOOKUP($S$609,'TAR FIN'!$A$1:$O$86,15,0)),0,VLOOKUP($S$609,'TAR FIN'!$A$1:$O$86,15,0))</f>
        <v>0</v>
      </c>
      <c r="W609" s="96">
        <f>IF(ISERROR(VLOOKUP($T$609,'TAR FIN'!$A$1:$O$86,15,0)),0,VLOOKUP($T$609,'TAR FIN'!$A$1:$O$86,15,0))*(1-0.06)</f>
        <v>307.3612</v>
      </c>
      <c r="X609" s="96">
        <f>IF(ISERROR(VLOOKUP($U$609,'TAR FIN'!$A$1:$O$86,15,0)),0,VLOOKUP($U$609,'TAR FIN'!$A$1:$O$86,15,0))*(1-0.06)</f>
        <v>295.64879999999999</v>
      </c>
      <c r="Y609" s="96"/>
      <c r="Z609" s="96">
        <f ca="1">('TUSD BE'!$AM$48+'TUSD BF'!$AM$48+'TUSD CVA'!$AM$48)*1*(1-0.03)</f>
        <v>304.49644937803265</v>
      </c>
      <c r="AA609" s="96">
        <f>('TE BE'!$AB$40+'TE BF'!$AB$40+'TE CVA'!$AB$40)*1*(1-0.03)</f>
        <v>241.42939834025128</v>
      </c>
      <c r="AB609" s="6">
        <f>$K$609*$V$609</f>
        <v>0</v>
      </c>
      <c r="AC609" s="6">
        <f>$M$609*$W$609</f>
        <v>36189.322410400004</v>
      </c>
      <c r="AD609" s="6">
        <f>$O$609*$X$609</f>
        <v>34810.281009600003</v>
      </c>
      <c r="AE609" s="6">
        <f>$K$609*$Y$609</f>
        <v>0</v>
      </c>
      <c r="AF609" s="6">
        <f ca="1">$M$609*$Z$609</f>
        <v>35852.020942668321</v>
      </c>
      <c r="AG609" s="6">
        <f>$O$609*$AA$609</f>
        <v>28426.380219377868</v>
      </c>
    </row>
    <row r="610" spans="1:33" ht="11.25" customHeight="1" x14ac:dyDescent="0.25">
      <c r="A610" s="4" t="s">
        <v>21</v>
      </c>
      <c r="B610" s="4" t="s">
        <v>36</v>
      </c>
      <c r="C610" s="4" t="s">
        <v>23</v>
      </c>
      <c r="D610" s="4" t="s">
        <v>48</v>
      </c>
      <c r="E610" s="4" t="s">
        <v>49</v>
      </c>
      <c r="F610" s="4" t="s">
        <v>25</v>
      </c>
      <c r="G610" s="4" t="s">
        <v>25</v>
      </c>
      <c r="H610" s="4" t="s">
        <v>25</v>
      </c>
      <c r="I610" s="5">
        <v>44501</v>
      </c>
      <c r="J610" s="6">
        <v>0</v>
      </c>
      <c r="K610" s="96">
        <v>0</v>
      </c>
      <c r="L610" s="6">
        <v>138.86199999999999</v>
      </c>
      <c r="M610" s="96">
        <v>138.86199999999999</v>
      </c>
      <c r="N610" s="6">
        <v>138.86199999999999</v>
      </c>
      <c r="O610" s="96">
        <v>138.86199999999999</v>
      </c>
      <c r="P610" s="6">
        <v>23</v>
      </c>
      <c r="Q610" s="4" t="s">
        <v>26</v>
      </c>
      <c r="R610" s="4">
        <v>0</v>
      </c>
      <c r="S610" s="6">
        <v>0</v>
      </c>
      <c r="T610" s="6">
        <v>68</v>
      </c>
      <c r="U610" s="6">
        <v>76</v>
      </c>
      <c r="V610" s="96">
        <f>IF(ISERROR(VLOOKUP($S$610,'TAR FIN'!$A$1:$O$86,15,0)),0,VLOOKUP($S$610,'TAR FIN'!$A$1:$O$86,15,0))</f>
        <v>0</v>
      </c>
      <c r="W610" s="96">
        <f>IF(ISERROR(VLOOKUP($T$610,'TAR FIN'!$A$1:$O$86,15,0)),0,VLOOKUP($T$610,'TAR FIN'!$A$1:$O$86,15,0))*(1-0.06)</f>
        <v>307.3612</v>
      </c>
      <c r="X610" s="96">
        <f>IF(ISERROR(VLOOKUP($U$610,'TAR FIN'!$A$1:$O$86,15,0)),0,VLOOKUP($U$610,'TAR FIN'!$A$1:$O$86,15,0))*(1-0.06)</f>
        <v>295.64879999999999</v>
      </c>
      <c r="Y610" s="96"/>
      <c r="Z610" s="96">
        <f ca="1">('TUSD BE'!$AM$48+'TUSD BF'!$AM$48+'TUSD CVA'!$AM$48)*1*(1-0.03)</f>
        <v>304.49644937803265</v>
      </c>
      <c r="AA610" s="96">
        <f>('TE BE'!$AB$40+'TE BF'!$AB$40+'TE CVA'!$AB$40)*1*(1-0.03)</f>
        <v>241.42939834025128</v>
      </c>
      <c r="AB610" s="6">
        <f>$K$610*$V$610</f>
        <v>0</v>
      </c>
      <c r="AC610" s="6">
        <f>$M$610*$W$610</f>
        <v>42680.790954399999</v>
      </c>
      <c r="AD610" s="6">
        <f>$O$610*$X$610</f>
        <v>41054.383665599998</v>
      </c>
      <c r="AE610" s="6">
        <f>$K$610*$Y$610</f>
        <v>0</v>
      </c>
      <c r="AF610" s="6">
        <f ca="1">$M$610*$Z$610</f>
        <v>42282.98595353237</v>
      </c>
      <c r="AG610" s="6">
        <f>$O$610*$AA$610</f>
        <v>33525.36911232397</v>
      </c>
    </row>
    <row r="611" spans="1:33" ht="11.25" customHeight="1" x14ac:dyDescent="0.25">
      <c r="A611" s="4" t="s">
        <v>21</v>
      </c>
      <c r="B611" s="4" t="s">
        <v>36</v>
      </c>
      <c r="C611" s="4" t="s">
        <v>23</v>
      </c>
      <c r="D611" s="4" t="s">
        <v>48</v>
      </c>
      <c r="E611" s="4" t="s">
        <v>49</v>
      </c>
      <c r="F611" s="4" t="s">
        <v>25</v>
      </c>
      <c r="G611" s="4" t="s">
        <v>25</v>
      </c>
      <c r="H611" s="4" t="s">
        <v>25</v>
      </c>
      <c r="I611" s="5">
        <v>44531</v>
      </c>
      <c r="J611" s="6">
        <v>0</v>
      </c>
      <c r="K611" s="96">
        <v>0</v>
      </c>
      <c r="L611" s="6">
        <v>136.72</v>
      </c>
      <c r="M611" s="96">
        <v>136.72</v>
      </c>
      <c r="N611" s="6">
        <v>136.72</v>
      </c>
      <c r="O611" s="96">
        <v>136.72</v>
      </c>
      <c r="P611" s="6">
        <v>23</v>
      </c>
      <c r="Q611" s="4" t="s">
        <v>26</v>
      </c>
      <c r="R611" s="4">
        <v>0</v>
      </c>
      <c r="S611" s="6">
        <v>0</v>
      </c>
      <c r="T611" s="6">
        <v>68</v>
      </c>
      <c r="U611" s="6">
        <v>76</v>
      </c>
      <c r="V611" s="96">
        <f>IF(ISERROR(VLOOKUP($S$611,'TAR FIN'!$A$1:$O$86,15,0)),0,VLOOKUP($S$611,'TAR FIN'!$A$1:$O$86,15,0))</f>
        <v>0</v>
      </c>
      <c r="W611" s="96">
        <f>IF(ISERROR(VLOOKUP($T$611,'TAR FIN'!$A$1:$O$86,15,0)),0,VLOOKUP($T$611,'TAR FIN'!$A$1:$O$86,15,0))*(1-0.06)</f>
        <v>307.3612</v>
      </c>
      <c r="X611" s="96">
        <f>IF(ISERROR(VLOOKUP($U$611,'TAR FIN'!$A$1:$O$86,15,0)),0,VLOOKUP($U$611,'TAR FIN'!$A$1:$O$86,15,0))*(1-0.06)</f>
        <v>295.64879999999999</v>
      </c>
      <c r="Y611" s="96"/>
      <c r="Z611" s="96">
        <f ca="1">('TUSD BE'!$AM$48+'TUSD BF'!$AM$48+'TUSD CVA'!$AM$48)*1*(1-0.03)</f>
        <v>304.49644937803265</v>
      </c>
      <c r="AA611" s="96">
        <f>('TE BE'!$AB$40+'TE BF'!$AB$40+'TE CVA'!$AB$40)*1*(1-0.03)</f>
        <v>241.42939834025128</v>
      </c>
      <c r="AB611" s="6">
        <f>$K$611*$V$611</f>
        <v>0</v>
      </c>
      <c r="AC611" s="6">
        <f>$M$611*$W$611</f>
        <v>42022.423263999997</v>
      </c>
      <c r="AD611" s="6">
        <f>$O$611*$X$611</f>
        <v>40421.103936</v>
      </c>
      <c r="AE611" s="6">
        <f>$K$611*$Y$611</f>
        <v>0</v>
      </c>
      <c r="AF611" s="6">
        <f ca="1">$M$611*$Z$611</f>
        <v>41630.754558964625</v>
      </c>
      <c r="AG611" s="6">
        <f>$O$611*$AA$611</f>
        <v>33008.227341079153</v>
      </c>
    </row>
    <row r="612" spans="1:33" ht="11.25" customHeight="1" x14ac:dyDescent="0.25">
      <c r="A612" s="4" t="s">
        <v>21</v>
      </c>
      <c r="B612" s="4" t="s">
        <v>36</v>
      </c>
      <c r="C612" s="4" t="s">
        <v>23</v>
      </c>
      <c r="D612" s="4" t="s">
        <v>48</v>
      </c>
      <c r="E612" s="4" t="s">
        <v>49</v>
      </c>
      <c r="F612" s="4" t="s">
        <v>25</v>
      </c>
      <c r="G612" s="4" t="s">
        <v>25</v>
      </c>
      <c r="H612" s="4" t="s">
        <v>25</v>
      </c>
      <c r="I612" s="5">
        <v>44562</v>
      </c>
      <c r="J612" s="6">
        <v>0</v>
      </c>
      <c r="K612" s="96">
        <v>0</v>
      </c>
      <c r="L612" s="6">
        <v>133.994</v>
      </c>
      <c r="M612" s="96">
        <v>133.994</v>
      </c>
      <c r="N612" s="6">
        <v>133.994</v>
      </c>
      <c r="O612" s="96">
        <v>133.994</v>
      </c>
      <c r="P612" s="6">
        <v>23</v>
      </c>
      <c r="Q612" s="4" t="s">
        <v>26</v>
      </c>
      <c r="R612" s="4">
        <v>0</v>
      </c>
      <c r="S612" s="6">
        <v>0</v>
      </c>
      <c r="T612" s="6">
        <v>68</v>
      </c>
      <c r="U612" s="6">
        <v>76</v>
      </c>
      <c r="V612" s="96">
        <f>IF(ISERROR(VLOOKUP($S$612,'TAR FIN'!$A$1:$O$86,15,0)),0,VLOOKUP($S$612,'TAR FIN'!$A$1:$O$86,15,0))</f>
        <v>0</v>
      </c>
      <c r="W612" s="96">
        <f>IF(ISERROR(VLOOKUP($T$612,'TAR FIN'!$A$1:$O$86,15,0)),0,VLOOKUP($T$612,'TAR FIN'!$A$1:$O$86,15,0))*(1-0.06)</f>
        <v>307.3612</v>
      </c>
      <c r="X612" s="96">
        <f>IF(ISERROR(VLOOKUP($U$612,'TAR FIN'!$A$1:$O$86,15,0)),0,VLOOKUP($U$612,'TAR FIN'!$A$1:$O$86,15,0))*(1-0.06)</f>
        <v>295.64879999999999</v>
      </c>
      <c r="Y612" s="96"/>
      <c r="Z612" s="96">
        <f ca="1">('TUSD BE'!$AM$48+'TUSD BF'!$AM$48+'TUSD CVA'!$AM$48)*1*(1-0.03)</f>
        <v>304.49644937803265</v>
      </c>
      <c r="AA612" s="96">
        <f>('TE BE'!$AB$40+'TE BF'!$AB$40+'TE CVA'!$AB$40)*1*(1-0.03)</f>
        <v>241.42939834025128</v>
      </c>
      <c r="AB612" s="6">
        <f>$K$612*$V$612</f>
        <v>0</v>
      </c>
      <c r="AC612" s="6">
        <f>$M$612*$W$612</f>
        <v>41184.556632799999</v>
      </c>
      <c r="AD612" s="6">
        <f>$O$612*$X$612</f>
        <v>39615.165307199997</v>
      </c>
      <c r="AE612" s="6">
        <f>$K$612*$Y$612</f>
        <v>0</v>
      </c>
      <c r="AF612" s="6">
        <f ca="1">$M$612*$Z$612</f>
        <v>40800.697237960107</v>
      </c>
      <c r="AG612" s="6">
        <f>$O$612*$AA$612</f>
        <v>32350.090801203631</v>
      </c>
    </row>
    <row r="613" spans="1:33" ht="11.25" customHeight="1" x14ac:dyDescent="0.25">
      <c r="A613" s="4" t="s">
        <v>21</v>
      </c>
      <c r="B613" s="4" t="s">
        <v>36</v>
      </c>
      <c r="C613" s="4" t="s">
        <v>23</v>
      </c>
      <c r="D613" s="4" t="s">
        <v>48</v>
      </c>
      <c r="E613" s="4" t="s">
        <v>49</v>
      </c>
      <c r="F613" s="4" t="s">
        <v>25</v>
      </c>
      <c r="G613" s="4" t="s">
        <v>25</v>
      </c>
      <c r="H613" s="4" t="s">
        <v>25</v>
      </c>
      <c r="I613" s="5">
        <v>44593</v>
      </c>
      <c r="J613" s="6">
        <v>0</v>
      </c>
      <c r="K613" s="96">
        <v>0</v>
      </c>
      <c r="L613" s="6">
        <v>130.32300000000001</v>
      </c>
      <c r="M613" s="96">
        <v>130.32300000000001</v>
      </c>
      <c r="N613" s="6">
        <v>130.32300000000001</v>
      </c>
      <c r="O613" s="96">
        <v>130.32300000000001</v>
      </c>
      <c r="P613" s="6">
        <v>32</v>
      </c>
      <c r="Q613" s="4" t="s">
        <v>26</v>
      </c>
      <c r="R613" s="4">
        <v>0</v>
      </c>
      <c r="S613" s="6">
        <v>0</v>
      </c>
      <c r="T613" s="6">
        <v>68</v>
      </c>
      <c r="U613" s="6">
        <v>76</v>
      </c>
      <c r="V613" s="96">
        <f>IF(ISERROR(VLOOKUP($S$613,'TAR FIN'!$A$1:$O$86,15,0)),0,VLOOKUP($S$613,'TAR FIN'!$A$1:$O$86,15,0))</f>
        <v>0</v>
      </c>
      <c r="W613" s="96">
        <f>IF(ISERROR(VLOOKUP($T$613,'TAR FIN'!$A$1:$O$86,15,0)),0,VLOOKUP($T$613,'TAR FIN'!$A$1:$O$86,15,0))*(1-0.06)</f>
        <v>307.3612</v>
      </c>
      <c r="X613" s="96">
        <f>IF(ISERROR(VLOOKUP($U$613,'TAR FIN'!$A$1:$O$86,15,0)),0,VLOOKUP($U$613,'TAR FIN'!$A$1:$O$86,15,0))*(1-0.06)</f>
        <v>295.64879999999999</v>
      </c>
      <c r="Y613" s="96"/>
      <c r="Z613" s="96">
        <f ca="1">('TUSD BE'!$AM$48+'TUSD BF'!$AM$48+'TUSD CVA'!$AM$48)*1*(1-0.03)</f>
        <v>304.49644937803265</v>
      </c>
      <c r="AA613" s="96">
        <f>('TE BE'!$AB$40+'TE BF'!$AB$40+'TE CVA'!$AB$40)*1*(1-0.03)</f>
        <v>241.42939834025128</v>
      </c>
      <c r="AB613" s="6">
        <f>$K$613*$V$613</f>
        <v>0</v>
      </c>
      <c r="AC613" s="6">
        <f>$M$613*$W$613</f>
        <v>40056.233667600005</v>
      </c>
      <c r="AD613" s="6">
        <f>$O$613*$X$613</f>
        <v>38529.8385624</v>
      </c>
      <c r="AE613" s="6">
        <f>$K$613*$Y$613</f>
        <v>0</v>
      </c>
      <c r="AF613" s="6">
        <f ca="1">$M$613*$Z$613</f>
        <v>39682.890772293351</v>
      </c>
      <c r="AG613" s="6">
        <f>$O$613*$AA$613</f>
        <v>31463.803479896571</v>
      </c>
    </row>
    <row r="614" spans="1:33" ht="11.25" customHeight="1" x14ac:dyDescent="0.25">
      <c r="A614" s="4" t="s">
        <v>21</v>
      </c>
      <c r="B614" s="4" t="s">
        <v>36</v>
      </c>
      <c r="C614" s="4" t="s">
        <v>23</v>
      </c>
      <c r="D614" s="4" t="s">
        <v>48</v>
      </c>
      <c r="E614" s="4" t="s">
        <v>49</v>
      </c>
      <c r="F614" s="4" t="s">
        <v>25</v>
      </c>
      <c r="G614" s="4" t="s">
        <v>25</v>
      </c>
      <c r="H614" s="4" t="s">
        <v>25</v>
      </c>
      <c r="I614" s="5">
        <v>44621</v>
      </c>
      <c r="J614" s="6">
        <v>0</v>
      </c>
      <c r="K614" s="96">
        <v>0</v>
      </c>
      <c r="L614" s="6">
        <v>134.40899999999999</v>
      </c>
      <c r="M614" s="96">
        <v>134.40899999999999</v>
      </c>
      <c r="N614" s="6">
        <v>134.40899999999999</v>
      </c>
      <c r="O614" s="96">
        <v>134.40899999999999</v>
      </c>
      <c r="P614" s="6">
        <v>32</v>
      </c>
      <c r="Q614" s="4" t="s">
        <v>26</v>
      </c>
      <c r="R614" s="4">
        <v>0</v>
      </c>
      <c r="S614" s="6">
        <v>0</v>
      </c>
      <c r="T614" s="6">
        <v>68</v>
      </c>
      <c r="U614" s="6">
        <v>76</v>
      </c>
      <c r="V614" s="96">
        <f>IF(ISERROR(VLOOKUP($S$614,'TAR FIN'!$A$1:$O$86,15,0)),0,VLOOKUP($S$614,'TAR FIN'!$A$1:$O$86,15,0))</f>
        <v>0</v>
      </c>
      <c r="W614" s="96">
        <f>IF(ISERROR(VLOOKUP($T$614,'TAR FIN'!$A$1:$O$86,15,0)),0,VLOOKUP($T$614,'TAR FIN'!$A$1:$O$86,15,0))*(1-0.06)</f>
        <v>307.3612</v>
      </c>
      <c r="X614" s="96">
        <f>IF(ISERROR(VLOOKUP($U$614,'TAR FIN'!$A$1:$O$86,15,0)),0,VLOOKUP($U$614,'TAR FIN'!$A$1:$O$86,15,0))*(1-0.06)</f>
        <v>295.64879999999999</v>
      </c>
      <c r="Y614" s="96"/>
      <c r="Z614" s="96">
        <f ca="1">('TUSD BE'!$AM$48+'TUSD BF'!$AM$48+'TUSD CVA'!$AM$48)*1*(1-0.03)</f>
        <v>304.49644937803265</v>
      </c>
      <c r="AA614" s="96">
        <f>('TE BE'!$AB$40+'TE BF'!$AB$40+'TE CVA'!$AB$40)*1*(1-0.03)</f>
        <v>241.42939834025128</v>
      </c>
      <c r="AB614" s="6">
        <f>$K$614*$V$614</f>
        <v>0</v>
      </c>
      <c r="AC614" s="6">
        <f>$M$614*$W$614</f>
        <v>41312.111530799993</v>
      </c>
      <c r="AD614" s="6">
        <f>$O$614*$X$614</f>
        <v>39737.859559199998</v>
      </c>
      <c r="AE614" s="6">
        <f>$K$614*$Y$614</f>
        <v>0</v>
      </c>
      <c r="AF614" s="6">
        <f ca="1">$M$614*$Z$614</f>
        <v>40927.063264451986</v>
      </c>
      <c r="AG614" s="6">
        <f>$O$614*$AA$614</f>
        <v>32450.284001514832</v>
      </c>
    </row>
    <row r="615" spans="1:33" ht="11.25" customHeight="1" x14ac:dyDescent="0.25">
      <c r="A615" s="4" t="s">
        <v>21</v>
      </c>
      <c r="B615" s="4" t="s">
        <v>36</v>
      </c>
      <c r="C615" s="4" t="s">
        <v>23</v>
      </c>
      <c r="D615" s="4" t="s">
        <v>48</v>
      </c>
      <c r="E615" s="4" t="s">
        <v>49</v>
      </c>
      <c r="F615" s="4" t="s">
        <v>25</v>
      </c>
      <c r="G615" s="4" t="s">
        <v>25</v>
      </c>
      <c r="H615" s="4" t="s">
        <v>25</v>
      </c>
      <c r="I615" s="5">
        <v>44652</v>
      </c>
      <c r="J615" s="6">
        <v>0</v>
      </c>
      <c r="K615" s="96">
        <v>0</v>
      </c>
      <c r="L615" s="6">
        <v>141.02799999999999</v>
      </c>
      <c r="M615" s="96">
        <v>141.02799999999999</v>
      </c>
      <c r="N615" s="6">
        <v>141.02799999999999</v>
      </c>
      <c r="O615" s="96">
        <v>141.02799999999999</v>
      </c>
      <c r="P615" s="6">
        <v>33</v>
      </c>
      <c r="Q615" s="4" t="s">
        <v>26</v>
      </c>
      <c r="R615" s="4">
        <v>0</v>
      </c>
      <c r="S615" s="6">
        <v>0</v>
      </c>
      <c r="T615" s="6">
        <v>68</v>
      </c>
      <c r="U615" s="6">
        <v>76</v>
      </c>
      <c r="V615" s="96">
        <f>IF(ISERROR(VLOOKUP($S$615,'TAR FIN'!$A$1:$O$86,15,0)),0,VLOOKUP($S$615,'TAR FIN'!$A$1:$O$86,15,0))</f>
        <v>0</v>
      </c>
      <c r="W615" s="96">
        <f>IF(ISERROR(VLOOKUP($T$615,'TAR FIN'!$A$1:$O$86,15,0)),0,VLOOKUP($T$615,'TAR FIN'!$A$1:$O$86,15,0))*(1-0.06)</f>
        <v>307.3612</v>
      </c>
      <c r="X615" s="96">
        <f>IF(ISERROR(VLOOKUP($U$615,'TAR FIN'!$A$1:$O$86,15,0)),0,VLOOKUP($U$615,'TAR FIN'!$A$1:$O$86,15,0))*(1-0.06)</f>
        <v>295.64879999999999</v>
      </c>
      <c r="Y615" s="96"/>
      <c r="Z615" s="96">
        <f ca="1">('TUSD BE'!$AM$48+'TUSD BF'!$AM$48+'TUSD CVA'!$AM$48)*1*(1-0.03)</f>
        <v>304.49644937803265</v>
      </c>
      <c r="AA615" s="96">
        <f>('TE BE'!$AB$40+'TE BF'!$AB$40+'TE CVA'!$AB$40)*1*(1-0.03)</f>
        <v>241.42939834025128</v>
      </c>
      <c r="AB615" s="6">
        <f>$K$615*$V$615</f>
        <v>0</v>
      </c>
      <c r="AC615" s="6">
        <f>$M$615*$W$615</f>
        <v>43346.535313599998</v>
      </c>
      <c r="AD615" s="6">
        <f>$O$615*$X$615</f>
        <v>41694.758966399997</v>
      </c>
      <c r="AE615" s="6">
        <f>$K$615*$Y$615</f>
        <v>0</v>
      </c>
      <c r="AF615" s="6">
        <f ca="1">$M$615*$Z$615</f>
        <v>42942.525262885189</v>
      </c>
      <c r="AG615" s="6">
        <f>$O$615*$AA$615</f>
        <v>34048.305189128958</v>
      </c>
    </row>
    <row r="616" spans="1:33" ht="11.25" customHeight="1" x14ac:dyDescent="0.25">
      <c r="A616" s="4" t="s">
        <v>21</v>
      </c>
      <c r="B616" s="4" t="s">
        <v>36</v>
      </c>
      <c r="C616" s="4" t="s">
        <v>23</v>
      </c>
      <c r="D616" s="4" t="s">
        <v>48</v>
      </c>
      <c r="E616" s="4" t="s">
        <v>49</v>
      </c>
      <c r="F616" s="4" t="s">
        <v>25</v>
      </c>
      <c r="G616" s="4" t="s">
        <v>25</v>
      </c>
      <c r="H616" s="4" t="s">
        <v>25</v>
      </c>
      <c r="I616" s="5">
        <v>44682</v>
      </c>
      <c r="J616" s="6">
        <v>0</v>
      </c>
      <c r="K616" s="96">
        <v>0</v>
      </c>
      <c r="L616" s="6">
        <v>143.99799999999999</v>
      </c>
      <c r="M616" s="96">
        <v>143.99799999999999</v>
      </c>
      <c r="N616" s="6">
        <v>143.99799999999999</v>
      </c>
      <c r="O616" s="96">
        <v>143.99799999999999</v>
      </c>
      <c r="P616" s="6">
        <v>33</v>
      </c>
      <c r="Q616" s="4" t="s">
        <v>26</v>
      </c>
      <c r="R616" s="4">
        <v>0</v>
      </c>
      <c r="S616" s="6">
        <v>0</v>
      </c>
      <c r="T616" s="6">
        <v>68</v>
      </c>
      <c r="U616" s="6">
        <v>76</v>
      </c>
      <c r="V616" s="96">
        <f>IF(ISERROR(VLOOKUP($S$616,'TAR FIN'!$A$1:$O$86,15,0)),0,VLOOKUP($S$616,'TAR FIN'!$A$1:$O$86,15,0))</f>
        <v>0</v>
      </c>
      <c r="W616" s="96">
        <f>IF(ISERROR(VLOOKUP($T$616,'TAR FIN'!$A$1:$O$86,15,0)),0,VLOOKUP($T$616,'TAR FIN'!$A$1:$O$86,15,0))*(1-0.06)</f>
        <v>307.3612</v>
      </c>
      <c r="X616" s="96">
        <f>IF(ISERROR(VLOOKUP($U$616,'TAR FIN'!$A$1:$O$86,15,0)),0,VLOOKUP($U$616,'TAR FIN'!$A$1:$O$86,15,0))*(1-0.06)</f>
        <v>295.64879999999999</v>
      </c>
      <c r="Y616" s="96"/>
      <c r="Z616" s="96">
        <f ca="1">('TUSD BE'!$AM$48+'TUSD BF'!$AM$48+'TUSD CVA'!$AM$48)*1*(1-0.03)</f>
        <v>304.49644937803265</v>
      </c>
      <c r="AA616" s="96">
        <f>('TE BE'!$AB$40+'TE BF'!$AB$40+'TE CVA'!$AB$40)*1*(1-0.03)</f>
        <v>241.42939834025128</v>
      </c>
      <c r="AB616" s="6">
        <f>$K$616*$V$616</f>
        <v>0</v>
      </c>
      <c r="AC616" s="6">
        <f>$M$616*$W$616</f>
        <v>44259.398077599995</v>
      </c>
      <c r="AD616" s="6">
        <f>$O$616*$X$616</f>
        <v>42572.835902399995</v>
      </c>
      <c r="AE616" s="6">
        <f>$K$616*$Y$616</f>
        <v>0</v>
      </c>
      <c r="AF616" s="6">
        <f ca="1">$M$616*$Z$616</f>
        <v>43846.879717537944</v>
      </c>
      <c r="AG616" s="6">
        <f>$O$616*$AA$616</f>
        <v>34765.350502199501</v>
      </c>
    </row>
    <row r="617" spans="1:33" ht="11.25" customHeight="1" x14ac:dyDescent="0.25">
      <c r="A617" s="4" t="s">
        <v>55</v>
      </c>
      <c r="B617" s="4" t="s">
        <v>36</v>
      </c>
      <c r="C617" s="4" t="s">
        <v>23</v>
      </c>
      <c r="D617" s="4" t="s">
        <v>48</v>
      </c>
      <c r="E617" s="4" t="s">
        <v>49</v>
      </c>
      <c r="F617" s="4" t="s">
        <v>25</v>
      </c>
      <c r="G617" s="4" t="s">
        <v>25</v>
      </c>
      <c r="H617" s="4" t="s">
        <v>25</v>
      </c>
      <c r="I617" s="5">
        <v>44713</v>
      </c>
      <c r="J617" s="6">
        <v>0</v>
      </c>
      <c r="K617" s="96">
        <v>0</v>
      </c>
      <c r="L617" s="6">
        <v>143.99799999999999</v>
      </c>
      <c r="M617" s="96">
        <v>143.99799999999999</v>
      </c>
      <c r="N617" s="6">
        <v>143.99799999999999</v>
      </c>
      <c r="O617" s="96">
        <v>143.99799999999999</v>
      </c>
      <c r="P617" s="6">
        <v>33</v>
      </c>
      <c r="Q617" s="4" t="s">
        <v>26</v>
      </c>
      <c r="R617" s="4">
        <v>0</v>
      </c>
      <c r="S617" s="6">
        <v>0</v>
      </c>
      <c r="T617" s="6">
        <v>68</v>
      </c>
      <c r="U617" s="6">
        <v>76</v>
      </c>
      <c r="V617" s="96">
        <f>IF(ISERROR(VLOOKUP($S$617,'TAR FIN'!$A$1:$O$86,15,0)),0,VLOOKUP($S$617,'TAR FIN'!$A$1:$O$86,15,0))</f>
        <v>0</v>
      </c>
      <c r="W617" s="96">
        <f>IF(ISERROR(VLOOKUP($T$617,'TAR FIN'!$A$1:$O$86,15,0)),0,VLOOKUP($T$617,'TAR FIN'!$A$1:$O$86,15,0))*(1-0.06)</f>
        <v>307.3612</v>
      </c>
      <c r="X617" s="96">
        <f>IF(ISERROR(VLOOKUP($U$617,'TAR FIN'!$A$1:$O$86,15,0)),0,VLOOKUP($U$617,'TAR FIN'!$A$1:$O$86,15,0))*(1-0.06)</f>
        <v>295.64879999999999</v>
      </c>
      <c r="Y617" s="96"/>
      <c r="Z617" s="96">
        <f ca="1">('TUSD BE'!$AM$48+'TUSD BF'!$AM$48+'TUSD CVA'!$AM$48)*1*(1-0.03)</f>
        <v>304.49644937803265</v>
      </c>
      <c r="AA617" s="96">
        <f>('TE BE'!$AB$40+'TE BF'!$AB$40+'TE CVA'!$AB$40)*1*(1-0.03)</f>
        <v>241.42939834025128</v>
      </c>
      <c r="AB617" s="6">
        <f>$K$617*$V$617</f>
        <v>0</v>
      </c>
      <c r="AC617" s="6">
        <f>$M$617*$W$617</f>
        <v>44259.398077599995</v>
      </c>
      <c r="AD617" s="6">
        <f>$O$617*$X$617</f>
        <v>42572.835902399995</v>
      </c>
      <c r="AE617" s="6">
        <f>$K$617*$Y$617</f>
        <v>0</v>
      </c>
      <c r="AF617" s="6">
        <f ca="1">$M$617*$Z$617</f>
        <v>43846.879717537944</v>
      </c>
      <c r="AG617" s="6">
        <f>$O$617*$AA$617</f>
        <v>34765.350502199501</v>
      </c>
    </row>
    <row r="618" spans="1:33" ht="11.25" customHeight="1" x14ac:dyDescent="0.25">
      <c r="A618" s="4" t="s">
        <v>21</v>
      </c>
      <c r="B618" s="4" t="s">
        <v>45</v>
      </c>
      <c r="C618" s="4" t="s">
        <v>23</v>
      </c>
      <c r="D618" s="4" t="s">
        <v>46</v>
      </c>
      <c r="E618" s="4" t="s">
        <v>47</v>
      </c>
      <c r="F618" s="4" t="s">
        <v>25</v>
      </c>
      <c r="G618" s="4" t="s">
        <v>25</v>
      </c>
      <c r="H618" s="4" t="s">
        <v>25</v>
      </c>
      <c r="I618" s="5">
        <v>44378</v>
      </c>
      <c r="J618" s="6">
        <v>0</v>
      </c>
      <c r="K618" s="6">
        <v>0</v>
      </c>
      <c r="L618" s="6">
        <v>418.91800000000001</v>
      </c>
      <c r="M618" s="6">
        <v>418.91800000000001</v>
      </c>
      <c r="N618" s="6">
        <v>418.91800000000001</v>
      </c>
      <c r="O618" s="6">
        <v>418.91800000000001</v>
      </c>
      <c r="P618" s="6">
        <v>4</v>
      </c>
      <c r="Q618" s="4" t="s">
        <v>26</v>
      </c>
      <c r="R618" s="4">
        <v>0</v>
      </c>
      <c r="S618" s="6">
        <v>0</v>
      </c>
      <c r="T618" s="6">
        <v>74</v>
      </c>
      <c r="U618" s="6">
        <v>59</v>
      </c>
      <c r="V618" s="6">
        <f>IF(ISERROR(VLOOKUP($S$618,'TAR FIN'!$A$1:$O$86,15,0)),0,VLOOKUP($S$618,'TAR FIN'!$A$1:$O$86,15,0))</f>
        <v>0</v>
      </c>
      <c r="W618" s="6">
        <f>IF(ISERROR(VLOOKUP($T$618,'TAR FIN'!$A$1:$O$86,15,0)),0,VLOOKUP($T$618,'TAR FIN'!$A$1:$O$86,15,0))</f>
        <v>179.84</v>
      </c>
      <c r="X618" s="6">
        <f>IF(ISERROR(VLOOKUP($U$618,'TAR FIN'!$A$1:$O$86,15,0)),0,VLOOKUP($U$618,'TAR FIN'!$A$1:$O$86,15,0))</f>
        <v>172.98</v>
      </c>
      <c r="Y618" s="6"/>
      <c r="Z618" s="6">
        <f ca="1">('TUSD BE'!$AM$50+'TUSD BF'!$AM$50+'TUSD CVA'!$AM$50)*1</f>
        <v>172.65262593599786</v>
      </c>
      <c r="AA618" s="6">
        <f>('TE BE'!$AB$42+'TE BF'!$AB$42+'TE CVA'!$AB$42)*1</f>
        <v>136.89295782179195</v>
      </c>
      <c r="AB618" s="6">
        <f>$K$618*$V$618</f>
        <v>0</v>
      </c>
      <c r="AC618" s="6">
        <f>$M$618*$W$618</f>
        <v>75338.21312</v>
      </c>
      <c r="AD618" s="6">
        <f>$O$618*$X$618</f>
        <v>72464.435639999996</v>
      </c>
      <c r="AE618" s="6">
        <f>$K$618*$Y$618</f>
        <v>0</v>
      </c>
      <c r="AF618" s="6">
        <f ca="1">$M$618*$Z$618</f>
        <v>72327.292751856352</v>
      </c>
      <c r="AG618" s="6">
        <f>$O$618*$AA$618</f>
        <v>57346.924104789439</v>
      </c>
    </row>
    <row r="619" spans="1:33" ht="11.25" customHeight="1" x14ac:dyDescent="0.25">
      <c r="A619" s="4" t="s">
        <v>21</v>
      </c>
      <c r="B619" s="4" t="s">
        <v>45</v>
      </c>
      <c r="C619" s="4" t="s">
        <v>23</v>
      </c>
      <c r="D619" s="4" t="s">
        <v>46</v>
      </c>
      <c r="E619" s="4" t="s">
        <v>47</v>
      </c>
      <c r="F619" s="4" t="s">
        <v>25</v>
      </c>
      <c r="G619" s="4" t="s">
        <v>25</v>
      </c>
      <c r="H619" s="4" t="s">
        <v>25</v>
      </c>
      <c r="I619" s="5">
        <v>44409</v>
      </c>
      <c r="J619" s="6">
        <v>0</v>
      </c>
      <c r="K619" s="6">
        <v>0</v>
      </c>
      <c r="L619" s="6">
        <v>419.18200000000002</v>
      </c>
      <c r="M619" s="6">
        <v>419.18200000000002</v>
      </c>
      <c r="N619" s="6">
        <v>419.18200000000002</v>
      </c>
      <c r="O619" s="6">
        <v>419.18200000000002</v>
      </c>
      <c r="P619" s="6">
        <v>4</v>
      </c>
      <c r="Q619" s="4" t="s">
        <v>26</v>
      </c>
      <c r="R619" s="4">
        <v>0</v>
      </c>
      <c r="S619" s="6">
        <v>0</v>
      </c>
      <c r="T619" s="6">
        <v>74</v>
      </c>
      <c r="U619" s="6">
        <v>59</v>
      </c>
      <c r="V619" s="6">
        <f>IF(ISERROR(VLOOKUP($S$619,'TAR FIN'!$A$1:$O$86,15,0)),0,VLOOKUP($S$619,'TAR FIN'!$A$1:$O$86,15,0))</f>
        <v>0</v>
      </c>
      <c r="W619" s="6">
        <f>IF(ISERROR(VLOOKUP($T$619,'TAR FIN'!$A$1:$O$86,15,0)),0,VLOOKUP($T$619,'TAR FIN'!$A$1:$O$86,15,0))</f>
        <v>179.84</v>
      </c>
      <c r="X619" s="6">
        <f>IF(ISERROR(VLOOKUP($U$619,'TAR FIN'!$A$1:$O$86,15,0)),0,VLOOKUP($U$619,'TAR FIN'!$A$1:$O$86,15,0))</f>
        <v>172.98</v>
      </c>
      <c r="Y619" s="6"/>
      <c r="Z619" s="6">
        <f ca="1">('TUSD BE'!$AM$50+'TUSD BF'!$AM$50+'TUSD CVA'!$AM$50)*1</f>
        <v>172.65262593599786</v>
      </c>
      <c r="AA619" s="6">
        <f>('TE BE'!$AB$42+'TE BF'!$AB$42+'TE CVA'!$AB$42)*1</f>
        <v>136.89295782179195</v>
      </c>
      <c r="AB619" s="6">
        <f>$K$619*$V$619</f>
        <v>0</v>
      </c>
      <c r="AC619" s="6">
        <f>$M$619*$W$619</f>
        <v>75385.690880000009</v>
      </c>
      <c r="AD619" s="6">
        <f>$O$619*$X$619</f>
        <v>72510.102360000004</v>
      </c>
      <c r="AE619" s="6">
        <f>$K$619*$Y$619</f>
        <v>0</v>
      </c>
      <c r="AF619" s="6">
        <f ca="1">$M$619*$Z$619</f>
        <v>72372.873045103464</v>
      </c>
      <c r="AG619" s="6">
        <f>$O$619*$AA$619</f>
        <v>57383.063845654397</v>
      </c>
    </row>
    <row r="620" spans="1:33" ht="11.25" customHeight="1" x14ac:dyDescent="0.25">
      <c r="A620" s="4" t="s">
        <v>21</v>
      </c>
      <c r="B620" s="4" t="s">
        <v>45</v>
      </c>
      <c r="C620" s="4" t="s">
        <v>23</v>
      </c>
      <c r="D620" s="4" t="s">
        <v>46</v>
      </c>
      <c r="E620" s="4" t="s">
        <v>47</v>
      </c>
      <c r="F620" s="4" t="s">
        <v>25</v>
      </c>
      <c r="G620" s="4" t="s">
        <v>25</v>
      </c>
      <c r="H620" s="4" t="s">
        <v>25</v>
      </c>
      <c r="I620" s="5">
        <v>44440</v>
      </c>
      <c r="J620" s="6">
        <v>0</v>
      </c>
      <c r="K620" s="6">
        <v>0</v>
      </c>
      <c r="L620" s="6">
        <v>405.67500000000001</v>
      </c>
      <c r="M620" s="6">
        <v>405.67500000000001</v>
      </c>
      <c r="N620" s="6">
        <v>405.67500000000001</v>
      </c>
      <c r="O620" s="6">
        <v>405.67500000000001</v>
      </c>
      <c r="P620" s="6">
        <v>4</v>
      </c>
      <c r="Q620" s="4" t="s">
        <v>26</v>
      </c>
      <c r="R620" s="4">
        <v>0</v>
      </c>
      <c r="S620" s="6">
        <v>0</v>
      </c>
      <c r="T620" s="6">
        <v>74</v>
      </c>
      <c r="U620" s="6">
        <v>59</v>
      </c>
      <c r="V620" s="6">
        <f>IF(ISERROR(VLOOKUP($S$620,'TAR FIN'!$A$1:$O$86,15,0)),0,VLOOKUP($S$620,'TAR FIN'!$A$1:$O$86,15,0))</f>
        <v>0</v>
      </c>
      <c r="W620" s="6">
        <f>IF(ISERROR(VLOOKUP($T$620,'TAR FIN'!$A$1:$O$86,15,0)),0,VLOOKUP($T$620,'TAR FIN'!$A$1:$O$86,15,0))</f>
        <v>179.84</v>
      </c>
      <c r="X620" s="6">
        <f>IF(ISERROR(VLOOKUP($U$620,'TAR FIN'!$A$1:$O$86,15,0)),0,VLOOKUP($U$620,'TAR FIN'!$A$1:$O$86,15,0))</f>
        <v>172.98</v>
      </c>
      <c r="Y620" s="6"/>
      <c r="Z620" s="6">
        <f ca="1">('TUSD BE'!$AM$50+'TUSD BF'!$AM$50+'TUSD CVA'!$AM$50)*1</f>
        <v>172.65262593599786</v>
      </c>
      <c r="AA620" s="6">
        <f>('TE BE'!$AB$42+'TE BF'!$AB$42+'TE CVA'!$AB$42)*1</f>
        <v>136.89295782179195</v>
      </c>
      <c r="AB620" s="6">
        <f>$K$620*$V$620</f>
        <v>0</v>
      </c>
      <c r="AC620" s="6">
        <f>$M$620*$W$620</f>
        <v>72956.592000000004</v>
      </c>
      <c r="AD620" s="6">
        <f>$O$620*$X$620</f>
        <v>70173.661500000002</v>
      </c>
      <c r="AE620" s="6">
        <f>$K$620*$Y$620</f>
        <v>0</v>
      </c>
      <c r="AF620" s="6">
        <f ca="1">$M$620*$Z$620</f>
        <v>70040.854026585934</v>
      </c>
      <c r="AG620" s="6">
        <f>$O$620*$AA$620</f>
        <v>55534.050664355455</v>
      </c>
    </row>
    <row r="621" spans="1:33" ht="11.25" customHeight="1" x14ac:dyDescent="0.25">
      <c r="A621" s="4" t="s">
        <v>21</v>
      </c>
      <c r="B621" s="4" t="s">
        <v>45</v>
      </c>
      <c r="C621" s="4" t="s">
        <v>23</v>
      </c>
      <c r="D621" s="4" t="s">
        <v>46</v>
      </c>
      <c r="E621" s="4" t="s">
        <v>47</v>
      </c>
      <c r="F621" s="4" t="s">
        <v>25</v>
      </c>
      <c r="G621" s="4" t="s">
        <v>25</v>
      </c>
      <c r="H621" s="4" t="s">
        <v>25</v>
      </c>
      <c r="I621" s="5">
        <v>44470</v>
      </c>
      <c r="J621" s="6">
        <v>0</v>
      </c>
      <c r="K621" s="6">
        <v>0</v>
      </c>
      <c r="L621" s="6">
        <v>419.04899999999998</v>
      </c>
      <c r="M621" s="6">
        <v>419.04899999999998</v>
      </c>
      <c r="N621" s="6">
        <v>419.04899999999998</v>
      </c>
      <c r="O621" s="6">
        <v>419.04899999999998</v>
      </c>
      <c r="P621" s="6">
        <v>4</v>
      </c>
      <c r="Q621" s="4" t="s">
        <v>26</v>
      </c>
      <c r="R621" s="4">
        <v>0</v>
      </c>
      <c r="S621" s="6">
        <v>0</v>
      </c>
      <c r="T621" s="6">
        <v>74</v>
      </c>
      <c r="U621" s="6">
        <v>59</v>
      </c>
      <c r="V621" s="6">
        <f>IF(ISERROR(VLOOKUP($S$621,'TAR FIN'!$A$1:$O$86,15,0)),0,VLOOKUP($S$621,'TAR FIN'!$A$1:$O$86,15,0))</f>
        <v>0</v>
      </c>
      <c r="W621" s="6">
        <f>IF(ISERROR(VLOOKUP($T$621,'TAR FIN'!$A$1:$O$86,15,0)),0,VLOOKUP($T$621,'TAR FIN'!$A$1:$O$86,15,0))</f>
        <v>179.84</v>
      </c>
      <c r="X621" s="6">
        <f>IF(ISERROR(VLOOKUP($U$621,'TAR FIN'!$A$1:$O$86,15,0)),0,VLOOKUP($U$621,'TAR FIN'!$A$1:$O$86,15,0))</f>
        <v>172.98</v>
      </c>
      <c r="Y621" s="6"/>
      <c r="Z621" s="6">
        <f ca="1">('TUSD BE'!$AM$50+'TUSD BF'!$AM$50+'TUSD CVA'!$AM$50)*1</f>
        <v>172.65262593599786</v>
      </c>
      <c r="AA621" s="6">
        <f>('TE BE'!$AB$42+'TE BF'!$AB$42+'TE CVA'!$AB$42)*1</f>
        <v>136.89295782179195</v>
      </c>
      <c r="AB621" s="6">
        <f>$K$621*$V$621</f>
        <v>0</v>
      </c>
      <c r="AC621" s="6">
        <f>$M$621*$W$621</f>
        <v>75361.772159999993</v>
      </c>
      <c r="AD621" s="6">
        <f>$O$621*$X$621</f>
        <v>72487.096019999997</v>
      </c>
      <c r="AE621" s="6">
        <f>$K$621*$Y$621</f>
        <v>0</v>
      </c>
      <c r="AF621" s="6">
        <f ca="1">$M$621*$Z$621</f>
        <v>72349.910245853971</v>
      </c>
      <c r="AG621" s="6">
        <f>$O$621*$AA$621</f>
        <v>57364.85708226409</v>
      </c>
    </row>
    <row r="622" spans="1:33" ht="11.25" customHeight="1" x14ac:dyDescent="0.25">
      <c r="A622" s="4" t="s">
        <v>21</v>
      </c>
      <c r="B622" s="4" t="s">
        <v>45</v>
      </c>
      <c r="C622" s="4" t="s">
        <v>23</v>
      </c>
      <c r="D622" s="4" t="s">
        <v>46</v>
      </c>
      <c r="E622" s="4" t="s">
        <v>47</v>
      </c>
      <c r="F622" s="4" t="s">
        <v>25</v>
      </c>
      <c r="G622" s="4" t="s">
        <v>25</v>
      </c>
      <c r="H622" s="4" t="s">
        <v>25</v>
      </c>
      <c r="I622" s="5">
        <v>44501</v>
      </c>
      <c r="J622" s="6">
        <v>0</v>
      </c>
      <c r="K622" s="6">
        <v>0</v>
      </c>
      <c r="L622" s="6">
        <v>404.16300000000001</v>
      </c>
      <c r="M622" s="6">
        <v>404.16300000000001</v>
      </c>
      <c r="N622" s="6">
        <v>404.16300000000001</v>
      </c>
      <c r="O622" s="6">
        <v>404.16300000000001</v>
      </c>
      <c r="P622" s="6">
        <v>4</v>
      </c>
      <c r="Q622" s="4" t="s">
        <v>26</v>
      </c>
      <c r="R622" s="4">
        <v>0</v>
      </c>
      <c r="S622" s="6">
        <v>0</v>
      </c>
      <c r="T622" s="6">
        <v>74</v>
      </c>
      <c r="U622" s="6">
        <v>59</v>
      </c>
      <c r="V622" s="6">
        <f>IF(ISERROR(VLOOKUP($S$622,'TAR FIN'!$A$1:$O$86,15,0)),0,VLOOKUP($S$622,'TAR FIN'!$A$1:$O$86,15,0))</f>
        <v>0</v>
      </c>
      <c r="W622" s="6">
        <f>IF(ISERROR(VLOOKUP($T$622,'TAR FIN'!$A$1:$O$86,15,0)),0,VLOOKUP($T$622,'TAR FIN'!$A$1:$O$86,15,0))</f>
        <v>179.84</v>
      </c>
      <c r="X622" s="6">
        <f>IF(ISERROR(VLOOKUP($U$622,'TAR FIN'!$A$1:$O$86,15,0)),0,VLOOKUP($U$622,'TAR FIN'!$A$1:$O$86,15,0))</f>
        <v>172.98</v>
      </c>
      <c r="Y622" s="6"/>
      <c r="Z622" s="6">
        <f ca="1">('TUSD BE'!$AM$50+'TUSD BF'!$AM$50+'TUSD CVA'!$AM$50)*1</f>
        <v>172.65262593599786</v>
      </c>
      <c r="AA622" s="6">
        <f>('TE BE'!$AB$42+'TE BF'!$AB$42+'TE CVA'!$AB$42)*1</f>
        <v>136.89295782179195</v>
      </c>
      <c r="AB622" s="6">
        <f>$K$622*$V$622</f>
        <v>0</v>
      </c>
      <c r="AC622" s="6">
        <f>$M$622*$W$622</f>
        <v>72684.673920000001</v>
      </c>
      <c r="AD622" s="6">
        <f>$O$622*$X$622</f>
        <v>69912.115739999994</v>
      </c>
      <c r="AE622" s="6">
        <f>$K$622*$Y$622</f>
        <v>0</v>
      </c>
      <c r="AF622" s="6">
        <f ca="1">$M$622*$Z$622</f>
        <v>69779.803256170708</v>
      </c>
      <c r="AG622" s="6">
        <f>$O$622*$AA$622</f>
        <v>55327.068512128899</v>
      </c>
    </row>
    <row r="623" spans="1:33" ht="11.25" customHeight="1" x14ac:dyDescent="0.25">
      <c r="A623" s="4" t="s">
        <v>21</v>
      </c>
      <c r="B623" s="4" t="s">
        <v>45</v>
      </c>
      <c r="C623" s="4" t="s">
        <v>23</v>
      </c>
      <c r="D623" s="4" t="s">
        <v>46</v>
      </c>
      <c r="E623" s="4" t="s">
        <v>47</v>
      </c>
      <c r="F623" s="4" t="s">
        <v>25</v>
      </c>
      <c r="G623" s="4" t="s">
        <v>25</v>
      </c>
      <c r="H623" s="4" t="s">
        <v>25</v>
      </c>
      <c r="I623" s="5">
        <v>44531</v>
      </c>
      <c r="J623" s="6">
        <v>0</v>
      </c>
      <c r="K623" s="6">
        <v>0</v>
      </c>
      <c r="L623" s="6">
        <v>418.75099999999998</v>
      </c>
      <c r="M623" s="6">
        <v>418.75099999999998</v>
      </c>
      <c r="N623" s="6">
        <v>418.75099999999998</v>
      </c>
      <c r="O623" s="6">
        <v>418.75099999999998</v>
      </c>
      <c r="P623" s="6">
        <v>4</v>
      </c>
      <c r="Q623" s="4" t="s">
        <v>26</v>
      </c>
      <c r="R623" s="4">
        <v>0</v>
      </c>
      <c r="S623" s="6">
        <v>0</v>
      </c>
      <c r="T623" s="6">
        <v>74</v>
      </c>
      <c r="U623" s="6">
        <v>59</v>
      </c>
      <c r="V623" s="6">
        <f>IF(ISERROR(VLOOKUP($S$623,'TAR FIN'!$A$1:$O$86,15,0)),0,VLOOKUP($S$623,'TAR FIN'!$A$1:$O$86,15,0))</f>
        <v>0</v>
      </c>
      <c r="W623" s="6">
        <f>IF(ISERROR(VLOOKUP($T$623,'TAR FIN'!$A$1:$O$86,15,0)),0,VLOOKUP($T$623,'TAR FIN'!$A$1:$O$86,15,0))</f>
        <v>179.84</v>
      </c>
      <c r="X623" s="6">
        <f>IF(ISERROR(VLOOKUP($U$623,'TAR FIN'!$A$1:$O$86,15,0)),0,VLOOKUP($U$623,'TAR FIN'!$A$1:$O$86,15,0))</f>
        <v>172.98</v>
      </c>
      <c r="Y623" s="6"/>
      <c r="Z623" s="6">
        <f ca="1">('TUSD BE'!$AM$50+'TUSD BF'!$AM$50+'TUSD CVA'!$AM$50)*1</f>
        <v>172.65262593599786</v>
      </c>
      <c r="AA623" s="6">
        <f>('TE BE'!$AB$42+'TE BF'!$AB$42+'TE CVA'!$AB$42)*1</f>
        <v>136.89295782179195</v>
      </c>
      <c r="AB623" s="6">
        <f>$K$623*$V$623</f>
        <v>0</v>
      </c>
      <c r="AC623" s="6">
        <f>$M$623*$W$623</f>
        <v>75308.179839999997</v>
      </c>
      <c r="AD623" s="6">
        <f>$O$623*$X$623</f>
        <v>72435.547979999988</v>
      </c>
      <c r="AE623" s="6">
        <f>$K$623*$Y$623</f>
        <v>0</v>
      </c>
      <c r="AF623" s="6">
        <f ca="1">$M$623*$Z$623</f>
        <v>72298.459763325038</v>
      </c>
      <c r="AG623" s="6">
        <f>$O$623*$AA$623</f>
        <v>57324.062980833201</v>
      </c>
    </row>
    <row r="624" spans="1:33" ht="11.25" customHeight="1" x14ac:dyDescent="0.25">
      <c r="A624" s="4" t="s">
        <v>21</v>
      </c>
      <c r="B624" s="4" t="s">
        <v>45</v>
      </c>
      <c r="C624" s="4" t="s">
        <v>23</v>
      </c>
      <c r="D624" s="4" t="s">
        <v>46</v>
      </c>
      <c r="E624" s="4" t="s">
        <v>47</v>
      </c>
      <c r="F624" s="4" t="s">
        <v>25</v>
      </c>
      <c r="G624" s="4" t="s">
        <v>25</v>
      </c>
      <c r="H624" s="4" t="s">
        <v>25</v>
      </c>
      <c r="I624" s="5">
        <v>44562</v>
      </c>
      <c r="J624" s="6">
        <v>0</v>
      </c>
      <c r="K624" s="6">
        <v>0</v>
      </c>
      <c r="L624" s="6">
        <v>418.15899999999999</v>
      </c>
      <c r="M624" s="6">
        <v>418.15899999999999</v>
      </c>
      <c r="N624" s="6">
        <v>418.15899999999999</v>
      </c>
      <c r="O624" s="6">
        <v>418.15899999999999</v>
      </c>
      <c r="P624" s="6">
        <v>4</v>
      </c>
      <c r="Q624" s="4" t="s">
        <v>26</v>
      </c>
      <c r="R624" s="4">
        <v>0</v>
      </c>
      <c r="S624" s="6">
        <v>0</v>
      </c>
      <c r="T624" s="6">
        <v>74</v>
      </c>
      <c r="U624" s="6">
        <v>59</v>
      </c>
      <c r="V624" s="6">
        <f>IF(ISERROR(VLOOKUP($S$624,'TAR FIN'!$A$1:$O$86,15,0)),0,VLOOKUP($S$624,'TAR FIN'!$A$1:$O$86,15,0))</f>
        <v>0</v>
      </c>
      <c r="W624" s="6">
        <f>IF(ISERROR(VLOOKUP($T$624,'TAR FIN'!$A$1:$O$86,15,0)),0,VLOOKUP($T$624,'TAR FIN'!$A$1:$O$86,15,0))</f>
        <v>179.84</v>
      </c>
      <c r="X624" s="6">
        <f>IF(ISERROR(VLOOKUP($U$624,'TAR FIN'!$A$1:$O$86,15,0)),0,VLOOKUP($U$624,'TAR FIN'!$A$1:$O$86,15,0))</f>
        <v>172.98</v>
      </c>
      <c r="Y624" s="6"/>
      <c r="Z624" s="6">
        <f ca="1">('TUSD BE'!$AM$50+'TUSD BF'!$AM$50+'TUSD CVA'!$AM$50)*1</f>
        <v>172.65262593599786</v>
      </c>
      <c r="AA624" s="6">
        <f>('TE BE'!$AB$42+'TE BF'!$AB$42+'TE CVA'!$AB$42)*1</f>
        <v>136.89295782179195</v>
      </c>
      <c r="AB624" s="6">
        <f>$K$624*$V$624</f>
        <v>0</v>
      </c>
      <c r="AC624" s="6">
        <f>$M$624*$W$624</f>
        <v>75201.714559999993</v>
      </c>
      <c r="AD624" s="6">
        <f>$O$624*$X$624</f>
        <v>72333.143819999998</v>
      </c>
      <c r="AE624" s="6">
        <f>$K$624*$Y$624</f>
        <v>0</v>
      </c>
      <c r="AF624" s="6">
        <f ca="1">$M$624*$Z$624</f>
        <v>72196.249408770935</v>
      </c>
      <c r="AG624" s="6">
        <f>$O$624*$AA$624</f>
        <v>57243.022349802697</v>
      </c>
    </row>
    <row r="625" spans="1:33" ht="11.25" customHeight="1" x14ac:dyDescent="0.25">
      <c r="A625" s="4" t="s">
        <v>21</v>
      </c>
      <c r="B625" s="4" t="s">
        <v>45</v>
      </c>
      <c r="C625" s="4" t="s">
        <v>23</v>
      </c>
      <c r="D625" s="4" t="s">
        <v>46</v>
      </c>
      <c r="E625" s="4" t="s">
        <v>47</v>
      </c>
      <c r="F625" s="4" t="s">
        <v>25</v>
      </c>
      <c r="G625" s="4" t="s">
        <v>25</v>
      </c>
      <c r="H625" s="4" t="s">
        <v>25</v>
      </c>
      <c r="I625" s="5">
        <v>44593</v>
      </c>
      <c r="J625" s="6">
        <v>0</v>
      </c>
      <c r="K625" s="6">
        <v>0</v>
      </c>
      <c r="L625" s="6">
        <v>380.358</v>
      </c>
      <c r="M625" s="6">
        <v>380.358</v>
      </c>
      <c r="N625" s="6">
        <v>380.358</v>
      </c>
      <c r="O625" s="6">
        <v>380.358</v>
      </c>
      <c r="P625" s="6">
        <v>4</v>
      </c>
      <c r="Q625" s="4" t="s">
        <v>26</v>
      </c>
      <c r="R625" s="4">
        <v>0</v>
      </c>
      <c r="S625" s="6">
        <v>0</v>
      </c>
      <c r="T625" s="6">
        <v>74</v>
      </c>
      <c r="U625" s="6">
        <v>59</v>
      </c>
      <c r="V625" s="6">
        <f>IF(ISERROR(VLOOKUP($S$625,'TAR FIN'!$A$1:$O$86,15,0)),0,VLOOKUP($S$625,'TAR FIN'!$A$1:$O$86,15,0))</f>
        <v>0</v>
      </c>
      <c r="W625" s="6">
        <f>IF(ISERROR(VLOOKUP($T$625,'TAR FIN'!$A$1:$O$86,15,0)),0,VLOOKUP($T$625,'TAR FIN'!$A$1:$O$86,15,0))</f>
        <v>179.84</v>
      </c>
      <c r="X625" s="6">
        <f>IF(ISERROR(VLOOKUP($U$625,'TAR FIN'!$A$1:$O$86,15,0)),0,VLOOKUP($U$625,'TAR FIN'!$A$1:$O$86,15,0))</f>
        <v>172.98</v>
      </c>
      <c r="Y625" s="6"/>
      <c r="Z625" s="6">
        <f ca="1">('TUSD BE'!$AM$50+'TUSD BF'!$AM$50+'TUSD CVA'!$AM$50)*1</f>
        <v>172.65262593599786</v>
      </c>
      <c r="AA625" s="6">
        <f>('TE BE'!$AB$42+'TE BF'!$AB$42+'TE CVA'!$AB$42)*1</f>
        <v>136.89295782179195</v>
      </c>
      <c r="AB625" s="6">
        <f>$K$625*$V$625</f>
        <v>0</v>
      </c>
      <c r="AC625" s="6">
        <f>$M$625*$W$625</f>
        <v>68403.582720000006</v>
      </c>
      <c r="AD625" s="6">
        <f>$O$625*$X$625</f>
        <v>65794.326839999994</v>
      </c>
      <c r="AE625" s="6">
        <f>$K$625*$Y$625</f>
        <v>0</v>
      </c>
      <c r="AF625" s="6">
        <f ca="1">$M$625*$Z$625</f>
        <v>65669.807495764282</v>
      </c>
      <c r="AG625" s="6">
        <f>$O$625*$AA$625</f>
        <v>52068.331651181143</v>
      </c>
    </row>
    <row r="626" spans="1:33" ht="11.25" customHeight="1" x14ac:dyDescent="0.25">
      <c r="A626" s="4" t="s">
        <v>21</v>
      </c>
      <c r="B626" s="4" t="s">
        <v>45</v>
      </c>
      <c r="C626" s="4" t="s">
        <v>23</v>
      </c>
      <c r="D626" s="4" t="s">
        <v>46</v>
      </c>
      <c r="E626" s="4" t="s">
        <v>47</v>
      </c>
      <c r="F626" s="4" t="s">
        <v>25</v>
      </c>
      <c r="G626" s="4" t="s">
        <v>25</v>
      </c>
      <c r="H626" s="4" t="s">
        <v>25</v>
      </c>
      <c r="I626" s="5">
        <v>44621</v>
      </c>
      <c r="J626" s="6">
        <v>0</v>
      </c>
      <c r="K626" s="6">
        <v>0</v>
      </c>
      <c r="L626" s="6">
        <v>423.27</v>
      </c>
      <c r="M626" s="6">
        <v>423.27</v>
      </c>
      <c r="N626" s="6">
        <v>423.27</v>
      </c>
      <c r="O626" s="6">
        <v>423.27</v>
      </c>
      <c r="P626" s="6">
        <v>4</v>
      </c>
      <c r="Q626" s="4" t="s">
        <v>26</v>
      </c>
      <c r="R626" s="4">
        <v>0</v>
      </c>
      <c r="S626" s="6">
        <v>0</v>
      </c>
      <c r="T626" s="6">
        <v>74</v>
      </c>
      <c r="U626" s="6">
        <v>59</v>
      </c>
      <c r="V626" s="6">
        <f>IF(ISERROR(VLOOKUP($S$626,'TAR FIN'!$A$1:$O$86,15,0)),0,VLOOKUP($S$626,'TAR FIN'!$A$1:$O$86,15,0))</f>
        <v>0</v>
      </c>
      <c r="W626" s="6">
        <f>IF(ISERROR(VLOOKUP($T$626,'TAR FIN'!$A$1:$O$86,15,0)),0,VLOOKUP($T$626,'TAR FIN'!$A$1:$O$86,15,0))</f>
        <v>179.84</v>
      </c>
      <c r="X626" s="6">
        <f>IF(ISERROR(VLOOKUP($U$626,'TAR FIN'!$A$1:$O$86,15,0)),0,VLOOKUP($U$626,'TAR FIN'!$A$1:$O$86,15,0))</f>
        <v>172.98</v>
      </c>
      <c r="Y626" s="6"/>
      <c r="Z626" s="6">
        <f ca="1">('TUSD BE'!$AM$50+'TUSD BF'!$AM$50+'TUSD CVA'!$AM$50)*1</f>
        <v>172.65262593599786</v>
      </c>
      <c r="AA626" s="6">
        <f>('TE BE'!$AB$42+'TE BF'!$AB$42+'TE CVA'!$AB$42)*1</f>
        <v>136.89295782179195</v>
      </c>
      <c r="AB626" s="6">
        <f>$K$626*$V$626</f>
        <v>0</v>
      </c>
      <c r="AC626" s="6">
        <f>$M$626*$W$626</f>
        <v>76120.876799999998</v>
      </c>
      <c r="AD626" s="6">
        <f>$O$626*$X$626</f>
        <v>73217.244599999991</v>
      </c>
      <c r="AE626" s="6">
        <f>$K$626*$Y$626</f>
        <v>0</v>
      </c>
      <c r="AF626" s="6">
        <f ca="1">$M$626*$Z$626</f>
        <v>73078.676979929805</v>
      </c>
      <c r="AG626" s="6">
        <f>$O$626*$AA$626</f>
        <v>57942.682257229877</v>
      </c>
    </row>
    <row r="627" spans="1:33" ht="11.25" customHeight="1" x14ac:dyDescent="0.25">
      <c r="A627" s="4" t="s">
        <v>21</v>
      </c>
      <c r="B627" s="4" t="s">
        <v>45</v>
      </c>
      <c r="C627" s="4" t="s">
        <v>23</v>
      </c>
      <c r="D627" s="4" t="s">
        <v>46</v>
      </c>
      <c r="E627" s="4" t="s">
        <v>47</v>
      </c>
      <c r="F627" s="4" t="s">
        <v>25</v>
      </c>
      <c r="G627" s="4" t="s">
        <v>25</v>
      </c>
      <c r="H627" s="4" t="s">
        <v>25</v>
      </c>
      <c r="I627" s="5">
        <v>44652</v>
      </c>
      <c r="J627" s="6">
        <v>0</v>
      </c>
      <c r="K627" s="6">
        <v>0</v>
      </c>
      <c r="L627" s="6">
        <v>393.06099999999998</v>
      </c>
      <c r="M627" s="6">
        <v>393.06099999999998</v>
      </c>
      <c r="N627" s="6">
        <v>393.06099999999998</v>
      </c>
      <c r="O627" s="6">
        <v>393.06099999999998</v>
      </c>
      <c r="P627" s="6">
        <v>4</v>
      </c>
      <c r="Q627" s="4" t="s">
        <v>26</v>
      </c>
      <c r="R627" s="4">
        <v>0</v>
      </c>
      <c r="S627" s="6">
        <v>0</v>
      </c>
      <c r="T627" s="6">
        <v>74</v>
      </c>
      <c r="U627" s="6">
        <v>59</v>
      </c>
      <c r="V627" s="6">
        <f>IF(ISERROR(VLOOKUP($S$627,'TAR FIN'!$A$1:$O$86,15,0)),0,VLOOKUP($S$627,'TAR FIN'!$A$1:$O$86,15,0))</f>
        <v>0</v>
      </c>
      <c r="W627" s="6">
        <f>IF(ISERROR(VLOOKUP($T$627,'TAR FIN'!$A$1:$O$86,15,0)),0,VLOOKUP($T$627,'TAR FIN'!$A$1:$O$86,15,0))</f>
        <v>179.84</v>
      </c>
      <c r="X627" s="6">
        <f>IF(ISERROR(VLOOKUP($U$627,'TAR FIN'!$A$1:$O$86,15,0)),0,VLOOKUP($U$627,'TAR FIN'!$A$1:$O$86,15,0))</f>
        <v>172.98</v>
      </c>
      <c r="Y627" s="6"/>
      <c r="Z627" s="6">
        <f ca="1">('TUSD BE'!$AM$50+'TUSD BF'!$AM$50+'TUSD CVA'!$AM$50)*1</f>
        <v>172.65262593599786</v>
      </c>
      <c r="AA627" s="6">
        <f>('TE BE'!$AB$42+'TE BF'!$AB$42+'TE CVA'!$AB$42)*1</f>
        <v>136.89295782179195</v>
      </c>
      <c r="AB627" s="6">
        <f>$K$627*$V$627</f>
        <v>0</v>
      </c>
      <c r="AC627" s="6">
        <f>$M$627*$W$627</f>
        <v>70688.09023999999</v>
      </c>
      <c r="AD627" s="6">
        <f>$O$627*$X$627</f>
        <v>67991.691779999994</v>
      </c>
      <c r="AE627" s="6">
        <f>$K$627*$Y$627</f>
        <v>0</v>
      </c>
      <c r="AF627" s="6">
        <f ca="1">$M$627*$Z$627</f>
        <v>67863.013803029258</v>
      </c>
      <c r="AG627" s="6">
        <f>$O$627*$AA$627</f>
        <v>53807.282894391363</v>
      </c>
    </row>
    <row r="628" spans="1:33" ht="11.25" customHeight="1" x14ac:dyDescent="0.25">
      <c r="A628" s="4" t="s">
        <v>21</v>
      </c>
      <c r="B628" s="4" t="s">
        <v>45</v>
      </c>
      <c r="C628" s="4" t="s">
        <v>23</v>
      </c>
      <c r="D628" s="4" t="s">
        <v>46</v>
      </c>
      <c r="E628" s="4" t="s">
        <v>47</v>
      </c>
      <c r="F628" s="4" t="s">
        <v>25</v>
      </c>
      <c r="G628" s="4" t="s">
        <v>25</v>
      </c>
      <c r="H628" s="4" t="s">
        <v>25</v>
      </c>
      <c r="I628" s="5">
        <v>44682</v>
      </c>
      <c r="J628" s="6">
        <v>0</v>
      </c>
      <c r="K628" s="6">
        <v>0</v>
      </c>
      <c r="L628" s="6">
        <v>406.755</v>
      </c>
      <c r="M628" s="6">
        <v>406.755</v>
      </c>
      <c r="N628" s="6">
        <v>406.755</v>
      </c>
      <c r="O628" s="6">
        <v>406.755</v>
      </c>
      <c r="P628" s="6">
        <v>4</v>
      </c>
      <c r="Q628" s="4" t="s">
        <v>26</v>
      </c>
      <c r="R628" s="4">
        <v>0</v>
      </c>
      <c r="S628" s="6">
        <v>0</v>
      </c>
      <c r="T628" s="6">
        <v>74</v>
      </c>
      <c r="U628" s="6">
        <v>59</v>
      </c>
      <c r="V628" s="6">
        <f>IF(ISERROR(VLOOKUP($S$628,'TAR FIN'!$A$1:$O$86,15,0)),0,VLOOKUP($S$628,'TAR FIN'!$A$1:$O$86,15,0))</f>
        <v>0</v>
      </c>
      <c r="W628" s="6">
        <f>IF(ISERROR(VLOOKUP($T$628,'TAR FIN'!$A$1:$O$86,15,0)),0,VLOOKUP($T$628,'TAR FIN'!$A$1:$O$86,15,0))</f>
        <v>179.84</v>
      </c>
      <c r="X628" s="6">
        <f>IF(ISERROR(VLOOKUP($U$628,'TAR FIN'!$A$1:$O$86,15,0)),0,VLOOKUP($U$628,'TAR FIN'!$A$1:$O$86,15,0))</f>
        <v>172.98</v>
      </c>
      <c r="Y628" s="6"/>
      <c r="Z628" s="6">
        <f ca="1">('TUSD BE'!$AM$50+'TUSD BF'!$AM$50+'TUSD CVA'!$AM$50)*1</f>
        <v>172.65262593599786</v>
      </c>
      <c r="AA628" s="6">
        <f>('TE BE'!$AB$42+'TE BF'!$AB$42+'TE CVA'!$AB$42)*1</f>
        <v>136.89295782179195</v>
      </c>
      <c r="AB628" s="6">
        <f>$K$628*$V$628</f>
        <v>0</v>
      </c>
      <c r="AC628" s="6">
        <f>$M$628*$W$628</f>
        <v>73150.819199999998</v>
      </c>
      <c r="AD628" s="6">
        <f>$O$628*$X$628</f>
        <v>70360.479899999991</v>
      </c>
      <c r="AE628" s="6">
        <f>$K$628*$Y$628</f>
        <v>0</v>
      </c>
      <c r="AF628" s="6">
        <f ca="1">$M$628*$Z$628</f>
        <v>70227.318862596803</v>
      </c>
      <c r="AG628" s="6">
        <f>$O$628*$AA$628</f>
        <v>55681.895058802984</v>
      </c>
    </row>
    <row r="629" spans="1:33" ht="11.25" customHeight="1" x14ac:dyDescent="0.25">
      <c r="A629" s="4" t="s">
        <v>55</v>
      </c>
      <c r="B629" s="4" t="s">
        <v>45</v>
      </c>
      <c r="C629" s="4" t="s">
        <v>23</v>
      </c>
      <c r="D629" s="4" t="s">
        <v>46</v>
      </c>
      <c r="E629" s="4" t="s">
        <v>47</v>
      </c>
      <c r="F629" s="4" t="s">
        <v>25</v>
      </c>
      <c r="G629" s="4" t="s">
        <v>25</v>
      </c>
      <c r="H629" s="4" t="s">
        <v>25</v>
      </c>
      <c r="I629" s="5">
        <v>44713</v>
      </c>
      <c r="J629" s="6">
        <v>0</v>
      </c>
      <c r="K629" s="6">
        <v>0</v>
      </c>
      <c r="L629" s="6">
        <v>406.755</v>
      </c>
      <c r="M629" s="6">
        <v>406.755</v>
      </c>
      <c r="N629" s="6">
        <v>406.755</v>
      </c>
      <c r="O629" s="6">
        <v>406.755</v>
      </c>
      <c r="P629" s="6">
        <v>4</v>
      </c>
      <c r="Q629" s="4" t="s">
        <v>26</v>
      </c>
      <c r="R629" s="4">
        <v>0</v>
      </c>
      <c r="S629" s="6">
        <v>0</v>
      </c>
      <c r="T629" s="6">
        <v>74</v>
      </c>
      <c r="U629" s="6">
        <v>59</v>
      </c>
      <c r="V629" s="6">
        <f>IF(ISERROR(VLOOKUP($S$629,'TAR FIN'!$A$1:$O$86,15,0)),0,VLOOKUP($S$629,'TAR FIN'!$A$1:$O$86,15,0))</f>
        <v>0</v>
      </c>
      <c r="W629" s="6">
        <f>IF(ISERROR(VLOOKUP($T$629,'TAR FIN'!$A$1:$O$86,15,0)),0,VLOOKUP($T$629,'TAR FIN'!$A$1:$O$86,15,0))</f>
        <v>179.84</v>
      </c>
      <c r="X629" s="6">
        <f>IF(ISERROR(VLOOKUP($U$629,'TAR FIN'!$A$1:$O$86,15,0)),0,VLOOKUP($U$629,'TAR FIN'!$A$1:$O$86,15,0))</f>
        <v>172.98</v>
      </c>
      <c r="Y629" s="6"/>
      <c r="Z629" s="6">
        <f ca="1">('TUSD BE'!$AM$50+'TUSD BF'!$AM$50+'TUSD CVA'!$AM$50)*1</f>
        <v>172.65262593599786</v>
      </c>
      <c r="AA629" s="6">
        <f>('TE BE'!$AB$42+'TE BF'!$AB$42+'TE CVA'!$AB$42)*1</f>
        <v>136.89295782179195</v>
      </c>
      <c r="AB629" s="6">
        <f>$K$629*$V$629</f>
        <v>0</v>
      </c>
      <c r="AC629" s="6">
        <f>$M$629*$W$629</f>
        <v>73150.819199999998</v>
      </c>
      <c r="AD629" s="6">
        <f>$O$629*$X$629</f>
        <v>70360.479899999991</v>
      </c>
      <c r="AE629" s="6">
        <f>$K$629*$Y$629</f>
        <v>0</v>
      </c>
      <c r="AF629" s="6">
        <f ca="1">$M$629*$Z$629</f>
        <v>70227.318862596803</v>
      </c>
      <c r="AG629" s="6">
        <f>$O$629*$AA$629</f>
        <v>55681.895058802984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4C6BE-8FC5-41B9-A06C-E974B24ED4D8}">
  <sheetPr codeName="Planilha19"/>
  <dimension ref="A1:AJ630"/>
  <sheetViews>
    <sheetView showGridLines="0" topLeftCell="AB1" workbookViewId="0">
      <selection activeCell="AJ1" sqref="AJ1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1.5703125" style="4" bestFit="1" customWidth="1"/>
    <col min="5" max="5" width="25.140625" style="4" bestFit="1" customWidth="1"/>
    <col min="6" max="6" width="13.28515625" style="4" bestFit="1" customWidth="1"/>
    <col min="7" max="7" width="12.140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19.140625" style="4" bestFit="1" customWidth="1"/>
    <col min="29" max="29" width="20.5703125" style="4" bestFit="1" customWidth="1"/>
    <col min="30" max="30" width="19" style="4" bestFit="1" customWidth="1"/>
    <col min="31" max="31" width="20.42578125" style="4" bestFit="1" customWidth="1"/>
    <col min="32" max="32" width="32.140625" style="4" bestFit="1" customWidth="1"/>
    <col min="33" max="33" width="9.140625" style="4"/>
    <col min="34" max="34" width="32.140625" style="4" bestFit="1" customWidth="1"/>
    <col min="35" max="36" width="10" style="4" bestFit="1" customWidth="1"/>
    <col min="37" max="16384" width="9.140625" style="4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610</v>
      </c>
      <c r="W1" s="1" t="s">
        <v>611</v>
      </c>
      <c r="X1" s="1" t="s">
        <v>612</v>
      </c>
      <c r="Y1" s="1" t="s">
        <v>613</v>
      </c>
      <c r="Z1" s="1" t="s">
        <v>614</v>
      </c>
      <c r="AA1" s="1" t="s">
        <v>615</v>
      </c>
      <c r="AB1" s="1" t="s">
        <v>641</v>
      </c>
      <c r="AC1" s="1" t="s">
        <v>642</v>
      </c>
      <c r="AD1" s="1" t="s">
        <v>643</v>
      </c>
      <c r="AE1" s="1" t="s">
        <v>644</v>
      </c>
      <c r="AF1" s="1" t="s">
        <v>645</v>
      </c>
      <c r="AH1" s="83" t="s">
        <v>645</v>
      </c>
      <c r="AI1" s="83" t="s">
        <v>652</v>
      </c>
      <c r="AJ1" s="83" t="s">
        <v>653</v>
      </c>
    </row>
    <row r="2" spans="1:36" ht="11.25" customHeight="1" x14ac:dyDescent="0.25">
      <c r="A2" s="4" t="s">
        <v>21</v>
      </c>
      <c r="B2" s="4" t="s">
        <v>38</v>
      </c>
      <c r="C2" s="4" t="s">
        <v>50</v>
      </c>
      <c r="D2" s="4" t="s">
        <v>48</v>
      </c>
      <c r="E2" s="4" t="s">
        <v>49</v>
      </c>
      <c r="F2" s="4" t="s">
        <v>25</v>
      </c>
      <c r="G2" s="4" t="s">
        <v>25</v>
      </c>
      <c r="H2" s="4" t="s">
        <v>34</v>
      </c>
      <c r="I2" s="5">
        <v>44378</v>
      </c>
      <c r="J2" s="6">
        <v>245</v>
      </c>
      <c r="K2" s="96">
        <v>245</v>
      </c>
      <c r="L2" s="6">
        <v>105.798</v>
      </c>
      <c r="M2" s="96">
        <v>105.798</v>
      </c>
      <c r="N2" s="6">
        <v>105.798</v>
      </c>
      <c r="O2" s="96">
        <v>105.798</v>
      </c>
      <c r="P2" s="6">
        <v>0</v>
      </c>
      <c r="Q2" s="4" t="s">
        <v>26</v>
      </c>
      <c r="R2" s="4">
        <v>0</v>
      </c>
      <c r="S2" s="4">
        <v>23</v>
      </c>
      <c r="T2" s="4">
        <v>11</v>
      </c>
      <c r="U2" s="4">
        <v>78</v>
      </c>
      <c r="V2" s="96">
        <f>IF(ISERROR(VLOOKUP($S$2,'TAR FIN'!$A$1:$O$86,15,0)),0,VLOOKUP($S$2,'TAR FIN'!$A$1:$O$86,15,0))*(1-0.06)</f>
        <v>15.312599999999998</v>
      </c>
      <c r="W2" s="96">
        <f>IF(ISERROR(VLOOKUP($T$2,'TAR FIN'!$A$1:$O$86,15,0)),0,VLOOKUP($T$2,'TAR FIN'!$A$1:$O$86,15,0))*(1-0.06)</f>
        <v>66.984400000000008</v>
      </c>
      <c r="X2" s="96">
        <f>IF(ISERROR(VLOOKUP($U$2,'TAR FIN'!$A$1:$O$86,15,0)),0,VLOOKUP($U$2,'TAR FIN'!$A$1:$O$86,15,0))*(1-0.06)</f>
        <v>279.47139999999996</v>
      </c>
      <c r="Y2" s="96">
        <f ca="1">('TUSD BE'!$AM$6+'TUSD BF'!$AM$6+'TUSD CVA'!$AM$6)*1*(1-0.03)</f>
        <v>20.50538631981113</v>
      </c>
      <c r="Z2" s="96">
        <f ca="1">('TUSD BE'!$AM$7+'TUSD BF'!$AM$7+'TUSD CVA'!$AM$7)*1*(1-0.03)</f>
        <v>92.9409846595331</v>
      </c>
      <c r="AA2" s="96">
        <f>('TE BE'!$AB$6+'TE BF'!$AB$6+'TE CVA'!$AB$6)*1*(1-0.03)</f>
        <v>228.27969443963337</v>
      </c>
      <c r="AB2" s="96">
        <f>(SUBSIDIO!$J$2*SUBSIDIO!$V$2)*(0.06)/(1-0.06)</f>
        <v>239.46299999999997</v>
      </c>
      <c r="AC2" s="96">
        <f>((SUBSIDIO!$L$2*SUBSIDIO!$W$2)+(SUBSIDIO!$N$2*SUBSIDIO!$X$2))*(0.06)/(1-0.06)</f>
        <v>2339.6381315999997</v>
      </c>
      <c r="AD2" s="96">
        <f ca="1">(SUBSIDIO!$J$2*SUBSIDIO!$Y$2)*(0.03)/(1-0.03)</f>
        <v>155.37586541300183</v>
      </c>
      <c r="AE2" s="96">
        <f ca="1">((SUBSIDIO!$L$2*SUBSIDIO!$Z$2)+(SUBSIDIO!$N$2*SUBSIDIO!$AA$2))*(0.03)/(1-0.03)</f>
        <v>1051.0671775464004</v>
      </c>
      <c r="AF2" s="4" t="s">
        <v>646</v>
      </c>
      <c r="AH2" s="84" t="s">
        <v>648</v>
      </c>
      <c r="AI2" s="85">
        <f t="shared" ref="AI2:AI9" si="0">SUMIF($AF$2:$AF$630,AH2,$AB$2:$AB$630)+SUMIF($AF$2:$AF$630,AH2,$AC$2:$AC$630)</f>
        <v>2467898.4415379874</v>
      </c>
      <c r="AJ2" s="85">
        <f t="shared" ref="AJ2:AJ9" ca="1" si="1">SUMIF($AF$2:$AF$630,AH2,$AD$2:$AD$630)+SUMIF($AF$2:$AF$630,AH2,$AE$2:$AE$630)</f>
        <v>2869837.0779621932</v>
      </c>
    </row>
    <row r="3" spans="1:36" ht="11.25" customHeight="1" x14ac:dyDescent="0.25">
      <c r="A3" s="4" t="s">
        <v>21</v>
      </c>
      <c r="B3" s="4" t="s">
        <v>38</v>
      </c>
      <c r="C3" s="4" t="s">
        <v>50</v>
      </c>
      <c r="D3" s="4" t="s">
        <v>48</v>
      </c>
      <c r="E3" s="4" t="s">
        <v>49</v>
      </c>
      <c r="F3" s="4" t="s">
        <v>25</v>
      </c>
      <c r="G3" s="4" t="s">
        <v>25</v>
      </c>
      <c r="H3" s="4" t="s">
        <v>34</v>
      </c>
      <c r="I3" s="5">
        <v>44409</v>
      </c>
      <c r="J3" s="6">
        <v>245</v>
      </c>
      <c r="K3" s="97">
        <v>245</v>
      </c>
      <c r="L3" s="6">
        <v>117.194</v>
      </c>
      <c r="M3" s="96">
        <v>117.194</v>
      </c>
      <c r="N3" s="6">
        <v>117.194</v>
      </c>
      <c r="O3" s="96">
        <v>117.194</v>
      </c>
      <c r="P3" s="6">
        <v>0</v>
      </c>
      <c r="Q3" s="4" t="s">
        <v>26</v>
      </c>
      <c r="R3" s="4">
        <v>0</v>
      </c>
      <c r="S3" s="4">
        <v>23</v>
      </c>
      <c r="T3" s="4">
        <v>11</v>
      </c>
      <c r="U3" s="4">
        <v>78</v>
      </c>
      <c r="V3" s="96">
        <f>IF(ISERROR(VLOOKUP($S$3,'TAR FIN'!$A$1:$O$86,15,0)),0,VLOOKUP($S$3,'TAR FIN'!$A$1:$O$86,15,0))*(1-0.06)</f>
        <v>15.312599999999998</v>
      </c>
      <c r="W3" s="96">
        <f>IF(ISERROR(VLOOKUP($T$3,'TAR FIN'!$A$1:$O$86,15,0)),0,VLOOKUP($T$3,'TAR FIN'!$A$1:$O$86,15,0))*(1-0.06)</f>
        <v>66.984400000000008</v>
      </c>
      <c r="X3" s="96">
        <f>IF(ISERROR(VLOOKUP($U$3,'TAR FIN'!$A$1:$O$86,15,0)),0,VLOOKUP($U$3,'TAR FIN'!$A$1:$O$86,15,0))*(1-0.06)</f>
        <v>279.47139999999996</v>
      </c>
      <c r="Y3" s="96">
        <f ca="1">('TUSD BE'!$AM$6+'TUSD BF'!$AM$6+'TUSD CVA'!$AM$6)*1*(1-0.03)</f>
        <v>20.50538631981113</v>
      </c>
      <c r="Z3" s="96">
        <f ca="1">('TUSD BE'!$AM$7+'TUSD BF'!$AM$7+'TUSD CVA'!$AM$7)*1*(1-0.03)</f>
        <v>92.9409846595331</v>
      </c>
      <c r="AA3" s="96">
        <f>('TE BE'!$AB$6+'TE BF'!$AB$6+'TE CVA'!$AB$6)*1*(1-0.03)</f>
        <v>228.27969443963337</v>
      </c>
      <c r="AB3" s="96">
        <f>(SUBSIDIO!$J$3*SUBSIDIO!$V$3)*(0.06)/(1-0.06)</f>
        <v>239.46299999999997</v>
      </c>
      <c r="AC3" s="96">
        <f>((SUBSIDIO!$L$3*SUBSIDIO!$W$3)+(SUBSIDIO!$N$3*SUBSIDIO!$X$3))*(0.06)/(1-0.06)</f>
        <v>2591.6515547999998</v>
      </c>
      <c r="AD3" s="96">
        <f ca="1">(SUBSIDIO!$J$3*SUBSIDIO!$Y$3)*(0.03)/(1-0.03)</f>
        <v>155.37586541300183</v>
      </c>
      <c r="AE3" s="96">
        <f ca="1">((SUBSIDIO!$L$3*SUBSIDIO!$Z$3)+(SUBSIDIO!$N$3*SUBSIDIO!$AA$3))*(0.03)/(1-0.03)</f>
        <v>1164.2825649385891</v>
      </c>
      <c r="AF3" s="4" t="s">
        <v>646</v>
      </c>
      <c r="AH3" s="84" t="s">
        <v>647</v>
      </c>
      <c r="AI3" s="85">
        <f t="shared" si="0"/>
        <v>58565.075000000004</v>
      </c>
      <c r="AJ3" s="85">
        <f t="shared" ca="1" si="1"/>
        <v>57817.899023370846</v>
      </c>
    </row>
    <row r="4" spans="1:36" ht="11.25" customHeight="1" x14ac:dyDescent="0.25">
      <c r="A4" s="4" t="s">
        <v>21</v>
      </c>
      <c r="B4" s="4" t="s">
        <v>38</v>
      </c>
      <c r="C4" s="4" t="s">
        <v>50</v>
      </c>
      <c r="D4" s="4" t="s">
        <v>48</v>
      </c>
      <c r="E4" s="4" t="s">
        <v>49</v>
      </c>
      <c r="F4" s="4" t="s">
        <v>25</v>
      </c>
      <c r="G4" s="4" t="s">
        <v>25</v>
      </c>
      <c r="H4" s="4" t="s">
        <v>34</v>
      </c>
      <c r="I4" s="5">
        <v>44440</v>
      </c>
      <c r="J4" s="6">
        <v>245</v>
      </c>
      <c r="K4" s="97">
        <v>245</v>
      </c>
      <c r="L4" s="6">
        <v>97.938999999999993</v>
      </c>
      <c r="M4" s="96">
        <v>97.938999999999993</v>
      </c>
      <c r="N4" s="6">
        <v>97.938999999999993</v>
      </c>
      <c r="O4" s="96">
        <v>97.938999999999993</v>
      </c>
      <c r="P4" s="6">
        <v>0</v>
      </c>
      <c r="Q4" s="4" t="s">
        <v>26</v>
      </c>
      <c r="R4" s="4">
        <v>0</v>
      </c>
      <c r="S4" s="4">
        <v>23</v>
      </c>
      <c r="T4" s="4">
        <v>11</v>
      </c>
      <c r="U4" s="4">
        <v>78</v>
      </c>
      <c r="V4" s="96">
        <f>IF(ISERROR(VLOOKUP($S$4,'TAR FIN'!$A$1:$O$86,15,0)),0,VLOOKUP($S$4,'TAR FIN'!$A$1:$O$86,15,0))*(1-0.06)</f>
        <v>15.312599999999998</v>
      </c>
      <c r="W4" s="96">
        <f>IF(ISERROR(VLOOKUP($T$4,'TAR FIN'!$A$1:$O$86,15,0)),0,VLOOKUP($T$4,'TAR FIN'!$A$1:$O$86,15,0))*(1-0.06)</f>
        <v>66.984400000000008</v>
      </c>
      <c r="X4" s="96">
        <f>IF(ISERROR(VLOOKUP($U$4,'TAR FIN'!$A$1:$O$86,15,0)),0,VLOOKUP($U$4,'TAR FIN'!$A$1:$O$86,15,0))*(1-0.06)</f>
        <v>279.47139999999996</v>
      </c>
      <c r="Y4" s="96">
        <f ca="1">('TUSD BE'!$AM$6+'TUSD BF'!$AM$6+'TUSD CVA'!$AM$6)*1*(1-0.03)</f>
        <v>20.50538631981113</v>
      </c>
      <c r="Z4" s="96">
        <f ca="1">('TUSD BE'!$AM$7+'TUSD BF'!$AM$7+'TUSD CVA'!$AM$7)*1*(1-0.03)</f>
        <v>92.9409846595331</v>
      </c>
      <c r="AA4" s="96">
        <f>('TE BE'!$AB$6+'TE BF'!$AB$6+'TE CVA'!$AB$6)*1*(1-0.03)</f>
        <v>228.27969443963337</v>
      </c>
      <c r="AB4" s="96">
        <f>(SUBSIDIO!$J$4*SUBSIDIO!$V$4)*(0.06)/(1-0.06)</f>
        <v>239.46299999999997</v>
      </c>
      <c r="AC4" s="96">
        <f>((SUBSIDIO!$L$4*SUBSIDIO!$W$4)+(SUBSIDIO!$N$4*SUBSIDIO!$X$4))*(0.06)/(1-0.06)</f>
        <v>2165.8426337999995</v>
      </c>
      <c r="AD4" s="96">
        <f ca="1">(SUBSIDIO!$J$4*SUBSIDIO!$Y$4)*(0.03)/(1-0.03)</f>
        <v>155.37586541300183</v>
      </c>
      <c r="AE4" s="96">
        <f ca="1">((SUBSIDIO!$L$4*SUBSIDIO!$Z$4)+(SUBSIDIO!$N$4*SUBSIDIO!$AA$4))*(0.03)/(1-0.03)</f>
        <v>972.99068320494621</v>
      </c>
      <c r="AF4" s="4" t="s">
        <v>646</v>
      </c>
      <c r="AH4" s="84" t="s">
        <v>654</v>
      </c>
      <c r="AI4" s="85">
        <f t="shared" si="0"/>
        <v>0</v>
      </c>
      <c r="AJ4" s="85">
        <f t="shared" si="1"/>
        <v>0</v>
      </c>
    </row>
    <row r="5" spans="1:36" ht="11.25" customHeight="1" x14ac:dyDescent="0.25">
      <c r="A5" s="4" t="s">
        <v>21</v>
      </c>
      <c r="B5" s="4" t="s">
        <v>38</v>
      </c>
      <c r="C5" s="4" t="s">
        <v>50</v>
      </c>
      <c r="D5" s="4" t="s">
        <v>48</v>
      </c>
      <c r="E5" s="4" t="s">
        <v>49</v>
      </c>
      <c r="F5" s="4" t="s">
        <v>25</v>
      </c>
      <c r="G5" s="4" t="s">
        <v>25</v>
      </c>
      <c r="H5" s="4" t="s">
        <v>34</v>
      </c>
      <c r="I5" s="5">
        <v>44470</v>
      </c>
      <c r="J5" s="6">
        <v>245</v>
      </c>
      <c r="K5" s="97">
        <v>245</v>
      </c>
      <c r="L5" s="6">
        <v>100.089</v>
      </c>
      <c r="M5" s="96">
        <v>100.089</v>
      </c>
      <c r="N5" s="6">
        <v>100.089</v>
      </c>
      <c r="O5" s="96">
        <v>100.089</v>
      </c>
      <c r="P5" s="6">
        <v>0</v>
      </c>
      <c r="Q5" s="4" t="s">
        <v>26</v>
      </c>
      <c r="R5" s="4">
        <v>0</v>
      </c>
      <c r="S5" s="4">
        <v>23</v>
      </c>
      <c r="T5" s="4">
        <v>11</v>
      </c>
      <c r="U5" s="4">
        <v>78</v>
      </c>
      <c r="V5" s="96">
        <f>IF(ISERROR(VLOOKUP($S$5,'TAR FIN'!$A$1:$O$86,15,0)),0,VLOOKUP($S$5,'TAR FIN'!$A$1:$O$86,15,0))*(1-0.06)</f>
        <v>15.312599999999998</v>
      </c>
      <c r="W5" s="96">
        <f>IF(ISERROR(VLOOKUP($T$5,'TAR FIN'!$A$1:$O$86,15,0)),0,VLOOKUP($T$5,'TAR FIN'!$A$1:$O$86,15,0))*(1-0.06)</f>
        <v>66.984400000000008</v>
      </c>
      <c r="X5" s="96">
        <f>IF(ISERROR(VLOOKUP($U$5,'TAR FIN'!$A$1:$O$86,15,0)),0,VLOOKUP($U$5,'TAR FIN'!$A$1:$O$86,15,0))*(1-0.06)</f>
        <v>279.47139999999996</v>
      </c>
      <c r="Y5" s="96">
        <f ca="1">('TUSD BE'!$AM$6+'TUSD BF'!$AM$6+'TUSD CVA'!$AM$6)*1*(1-0.03)</f>
        <v>20.50538631981113</v>
      </c>
      <c r="Z5" s="96">
        <f ca="1">('TUSD BE'!$AM$7+'TUSD BF'!$AM$7+'TUSD CVA'!$AM$7)*1*(1-0.03)</f>
        <v>92.9409846595331</v>
      </c>
      <c r="AA5" s="96">
        <f>('TE BE'!$AB$6+'TE BF'!$AB$6+'TE CVA'!$AB$6)*1*(1-0.03)</f>
        <v>228.27969443963337</v>
      </c>
      <c r="AB5" s="96">
        <f>(SUBSIDIO!$J$5*SUBSIDIO!$V$5)*(0.06)/(1-0.06)</f>
        <v>239.46299999999997</v>
      </c>
      <c r="AC5" s="96">
        <f>((SUBSIDIO!$L$5*SUBSIDIO!$W$5)+(SUBSIDIO!$N$5*SUBSIDIO!$X$5))*(0.06)/(1-0.06)</f>
        <v>2213.3881637999998</v>
      </c>
      <c r="AD5" s="96">
        <f ca="1">(SUBSIDIO!$J$5*SUBSIDIO!$Y$5)*(0.03)/(1-0.03)</f>
        <v>155.37586541300183</v>
      </c>
      <c r="AE5" s="96">
        <f ca="1">((SUBSIDIO!$L$5*SUBSIDIO!$Z$5)+(SUBSIDIO!$N$5*SUBSIDIO!$AA$5))*(0.03)/(1-0.03)</f>
        <v>994.35020258834459</v>
      </c>
      <c r="AF5" s="4" t="s">
        <v>646</v>
      </c>
      <c r="AH5" s="84" t="s">
        <v>646</v>
      </c>
      <c r="AI5" s="85">
        <f t="shared" si="0"/>
        <v>101801.36513400001</v>
      </c>
      <c r="AJ5" s="85">
        <f t="shared" ca="1" si="1"/>
        <v>45778.793574730909</v>
      </c>
    </row>
    <row r="6" spans="1:36" ht="11.25" customHeight="1" x14ac:dyDescent="0.25">
      <c r="A6" s="4" t="s">
        <v>21</v>
      </c>
      <c r="B6" s="4" t="s">
        <v>38</v>
      </c>
      <c r="C6" s="4" t="s">
        <v>50</v>
      </c>
      <c r="D6" s="4" t="s">
        <v>48</v>
      </c>
      <c r="E6" s="4" t="s">
        <v>49</v>
      </c>
      <c r="F6" s="4" t="s">
        <v>25</v>
      </c>
      <c r="G6" s="4" t="s">
        <v>25</v>
      </c>
      <c r="H6" s="4" t="s">
        <v>34</v>
      </c>
      <c r="I6" s="5">
        <v>44501</v>
      </c>
      <c r="J6" s="6">
        <v>245</v>
      </c>
      <c r="K6" s="97">
        <v>245</v>
      </c>
      <c r="L6" s="6">
        <v>111.02800000000001</v>
      </c>
      <c r="M6" s="96">
        <v>111.02800000000001</v>
      </c>
      <c r="N6" s="6">
        <v>111.02800000000001</v>
      </c>
      <c r="O6" s="96">
        <v>111.02800000000001</v>
      </c>
      <c r="P6" s="6">
        <v>0</v>
      </c>
      <c r="Q6" s="4" t="s">
        <v>26</v>
      </c>
      <c r="R6" s="4">
        <v>0</v>
      </c>
      <c r="S6" s="4">
        <v>23</v>
      </c>
      <c r="T6" s="4">
        <v>11</v>
      </c>
      <c r="U6" s="4">
        <v>78</v>
      </c>
      <c r="V6" s="96">
        <f>IF(ISERROR(VLOOKUP($S$6,'TAR FIN'!$A$1:$O$86,15,0)),0,VLOOKUP($S$6,'TAR FIN'!$A$1:$O$86,15,0))*(1-0.06)</f>
        <v>15.312599999999998</v>
      </c>
      <c r="W6" s="96">
        <f>IF(ISERROR(VLOOKUP($T$6,'TAR FIN'!$A$1:$O$86,15,0)),0,VLOOKUP($T$6,'TAR FIN'!$A$1:$O$86,15,0))*(1-0.06)</f>
        <v>66.984400000000008</v>
      </c>
      <c r="X6" s="96">
        <f>IF(ISERROR(VLOOKUP($U$6,'TAR FIN'!$A$1:$O$86,15,0)),0,VLOOKUP($U$6,'TAR FIN'!$A$1:$O$86,15,0))*(1-0.06)</f>
        <v>279.47139999999996</v>
      </c>
      <c r="Y6" s="96">
        <f ca="1">('TUSD BE'!$AM$6+'TUSD BF'!$AM$6+'TUSD CVA'!$AM$6)*1*(1-0.03)</f>
        <v>20.50538631981113</v>
      </c>
      <c r="Z6" s="96">
        <f ca="1">('TUSD BE'!$AM$7+'TUSD BF'!$AM$7+'TUSD CVA'!$AM$7)*1*(1-0.03)</f>
        <v>92.9409846595331</v>
      </c>
      <c r="AA6" s="96">
        <f>('TE BE'!$AB$6+'TE BF'!$AB$6+'TE CVA'!$AB$6)*1*(1-0.03)</f>
        <v>228.27969443963337</v>
      </c>
      <c r="AB6" s="96">
        <f>(SUBSIDIO!$J$6*SUBSIDIO!$V$6)*(0.06)/(1-0.06)</f>
        <v>239.46299999999997</v>
      </c>
      <c r="AC6" s="96">
        <f>((SUBSIDIO!$L$6*SUBSIDIO!$W$6)+(SUBSIDIO!$N$6*SUBSIDIO!$X$6))*(0.06)/(1-0.06)</f>
        <v>2455.2953975999999</v>
      </c>
      <c r="AD6" s="96">
        <f ca="1">(SUBSIDIO!$J$6*SUBSIDIO!$Y$6)*(0.03)/(1-0.03)</f>
        <v>155.37586541300183</v>
      </c>
      <c r="AE6" s="96">
        <f ca="1">((SUBSIDIO!$L$6*SUBSIDIO!$Z$6)+(SUBSIDIO!$N$6*SUBSIDIO!$AA$6))*(0.03)/(1-0.03)</f>
        <v>1103.0254502790388</v>
      </c>
      <c r="AF6" s="4" t="s">
        <v>646</v>
      </c>
      <c r="AH6" s="84" t="s">
        <v>649</v>
      </c>
      <c r="AI6" s="85">
        <f t="shared" si="0"/>
        <v>163025.6383508</v>
      </c>
      <c r="AJ6" s="85">
        <f t="shared" ca="1" si="1"/>
        <v>73555.486242172919</v>
      </c>
    </row>
    <row r="7" spans="1:36" ht="11.25" customHeight="1" x14ac:dyDescent="0.25">
      <c r="A7" s="4" t="s">
        <v>21</v>
      </c>
      <c r="B7" s="4" t="s">
        <v>38</v>
      </c>
      <c r="C7" s="4" t="s">
        <v>50</v>
      </c>
      <c r="D7" s="4" t="s">
        <v>48</v>
      </c>
      <c r="E7" s="4" t="s">
        <v>49</v>
      </c>
      <c r="F7" s="4" t="s">
        <v>25</v>
      </c>
      <c r="G7" s="4" t="s">
        <v>25</v>
      </c>
      <c r="H7" s="4" t="s">
        <v>34</v>
      </c>
      <c r="I7" s="5">
        <v>44531</v>
      </c>
      <c r="J7" s="6">
        <v>245</v>
      </c>
      <c r="K7" s="97">
        <v>245</v>
      </c>
      <c r="L7" s="6">
        <v>113.598</v>
      </c>
      <c r="M7" s="96">
        <v>113.598</v>
      </c>
      <c r="N7" s="6">
        <v>113.598</v>
      </c>
      <c r="O7" s="96">
        <v>113.598</v>
      </c>
      <c r="P7" s="6">
        <v>0</v>
      </c>
      <c r="Q7" s="4" t="s">
        <v>26</v>
      </c>
      <c r="R7" s="4">
        <v>0</v>
      </c>
      <c r="S7" s="4">
        <v>23</v>
      </c>
      <c r="T7" s="4">
        <v>11</v>
      </c>
      <c r="U7" s="4">
        <v>78</v>
      </c>
      <c r="V7" s="96">
        <f>IF(ISERROR(VLOOKUP($S$7,'TAR FIN'!$A$1:$O$86,15,0)),0,VLOOKUP($S$7,'TAR FIN'!$A$1:$O$86,15,0))*(1-0.06)</f>
        <v>15.312599999999998</v>
      </c>
      <c r="W7" s="96">
        <f>IF(ISERROR(VLOOKUP($T$7,'TAR FIN'!$A$1:$O$86,15,0)),0,VLOOKUP($T$7,'TAR FIN'!$A$1:$O$86,15,0))*(1-0.06)</f>
        <v>66.984400000000008</v>
      </c>
      <c r="X7" s="96">
        <f>IF(ISERROR(VLOOKUP($U$7,'TAR FIN'!$A$1:$O$86,15,0)),0,VLOOKUP($U$7,'TAR FIN'!$A$1:$O$86,15,0))*(1-0.06)</f>
        <v>279.47139999999996</v>
      </c>
      <c r="Y7" s="96">
        <f ca="1">('TUSD BE'!$AM$6+'TUSD BF'!$AM$6+'TUSD CVA'!$AM$6)*1*(1-0.03)</f>
        <v>20.50538631981113</v>
      </c>
      <c r="Z7" s="96">
        <f ca="1">('TUSD BE'!$AM$7+'TUSD BF'!$AM$7+'TUSD CVA'!$AM$7)*1*(1-0.03)</f>
        <v>92.9409846595331</v>
      </c>
      <c r="AA7" s="96">
        <f>('TE BE'!$AB$6+'TE BF'!$AB$6+'TE CVA'!$AB$6)*1*(1-0.03)</f>
        <v>228.27969443963337</v>
      </c>
      <c r="AB7" s="96">
        <f>(SUBSIDIO!$J$7*SUBSIDIO!$V$7)*(0.06)/(1-0.06)</f>
        <v>239.46299999999997</v>
      </c>
      <c r="AC7" s="96">
        <f>((SUBSIDIO!$L$7*SUBSIDIO!$W$7)+(SUBSIDIO!$N$7*SUBSIDIO!$X$7))*(0.06)/(1-0.06)</f>
        <v>2512.1288915999994</v>
      </c>
      <c r="AD7" s="96">
        <f ca="1">(SUBSIDIO!$J$7*SUBSIDIO!$Y$7)*(0.03)/(1-0.03)</f>
        <v>155.37586541300183</v>
      </c>
      <c r="AE7" s="96">
        <f ca="1">((SUBSIDIO!$L$7*SUBSIDIO!$Z$7)+(SUBSIDIO!$N$7*SUBSIDIO!$AA$7))*(0.03)/(1-0.03)</f>
        <v>1128.5575269373335</v>
      </c>
      <c r="AF7" s="4" t="s">
        <v>646</v>
      </c>
      <c r="AH7" s="84" t="s">
        <v>650</v>
      </c>
      <c r="AI7" s="85">
        <f t="shared" si="0"/>
        <v>47205.421564000011</v>
      </c>
      <c r="AJ7" s="85">
        <f t="shared" ca="1" si="1"/>
        <v>42298.270952894309</v>
      </c>
    </row>
    <row r="8" spans="1:36" ht="11.25" customHeight="1" x14ac:dyDescent="0.25">
      <c r="A8" s="4" t="s">
        <v>21</v>
      </c>
      <c r="B8" s="4" t="s">
        <v>38</v>
      </c>
      <c r="C8" s="4" t="s">
        <v>50</v>
      </c>
      <c r="D8" s="4" t="s">
        <v>48</v>
      </c>
      <c r="E8" s="4" t="s">
        <v>49</v>
      </c>
      <c r="F8" s="4" t="s">
        <v>25</v>
      </c>
      <c r="G8" s="4" t="s">
        <v>25</v>
      </c>
      <c r="H8" s="4" t="s">
        <v>34</v>
      </c>
      <c r="I8" s="5">
        <v>44562</v>
      </c>
      <c r="J8" s="6">
        <v>245</v>
      </c>
      <c r="K8" s="97">
        <v>245</v>
      </c>
      <c r="L8" s="6">
        <v>114.22799999999999</v>
      </c>
      <c r="M8" s="96">
        <v>114.22799999999999</v>
      </c>
      <c r="N8" s="6">
        <v>114.22799999999999</v>
      </c>
      <c r="O8" s="96">
        <v>114.22799999999999</v>
      </c>
      <c r="P8" s="6">
        <v>0</v>
      </c>
      <c r="Q8" s="4" t="s">
        <v>26</v>
      </c>
      <c r="R8" s="4">
        <v>0</v>
      </c>
      <c r="S8" s="4">
        <v>23</v>
      </c>
      <c r="T8" s="4">
        <v>11</v>
      </c>
      <c r="U8" s="4">
        <v>78</v>
      </c>
      <c r="V8" s="96">
        <f>IF(ISERROR(VLOOKUP($S$8,'TAR FIN'!$A$1:$O$86,15,0)),0,VLOOKUP($S$8,'TAR FIN'!$A$1:$O$86,15,0))*(1-0.06)</f>
        <v>15.312599999999998</v>
      </c>
      <c r="W8" s="96">
        <f>IF(ISERROR(VLOOKUP($T$8,'TAR FIN'!$A$1:$O$86,15,0)),0,VLOOKUP($T$8,'TAR FIN'!$A$1:$O$86,15,0))*(1-0.06)</f>
        <v>66.984400000000008</v>
      </c>
      <c r="X8" s="96">
        <f>IF(ISERROR(VLOOKUP($U$8,'TAR FIN'!$A$1:$O$86,15,0)),0,VLOOKUP($U$8,'TAR FIN'!$A$1:$O$86,15,0))*(1-0.06)</f>
        <v>279.47139999999996</v>
      </c>
      <c r="Y8" s="96">
        <f ca="1">('TUSD BE'!$AM$6+'TUSD BF'!$AM$6+'TUSD CVA'!$AM$6)*1*(1-0.03)</f>
        <v>20.50538631981113</v>
      </c>
      <c r="Z8" s="96">
        <f ca="1">('TUSD BE'!$AM$7+'TUSD BF'!$AM$7+'TUSD CVA'!$AM$7)*1*(1-0.03)</f>
        <v>92.9409846595331</v>
      </c>
      <c r="AA8" s="96">
        <f>('TE BE'!$AB$6+'TE BF'!$AB$6+'TE CVA'!$AB$6)*1*(1-0.03)</f>
        <v>228.27969443963337</v>
      </c>
      <c r="AB8" s="96">
        <f>(SUBSIDIO!$J$8*SUBSIDIO!$V$8)*(0.06)/(1-0.06)</f>
        <v>239.46299999999997</v>
      </c>
      <c r="AC8" s="96">
        <f>((SUBSIDIO!$L$8*SUBSIDIO!$W$8)+(SUBSIDIO!$N$8*SUBSIDIO!$X$8))*(0.06)/(1-0.06)</f>
        <v>2526.0608375999996</v>
      </c>
      <c r="AD8" s="96">
        <f ca="1">(SUBSIDIO!$J$8*SUBSIDIO!$Y$8)*(0.03)/(1-0.03)</f>
        <v>155.37586541300183</v>
      </c>
      <c r="AE8" s="96">
        <f ca="1">((SUBSIDIO!$L$8*SUBSIDIO!$Z$8)+(SUBSIDIO!$N$8*SUBSIDIO!$AA$8))*(0.03)/(1-0.03)</f>
        <v>1134.8163628496779</v>
      </c>
      <c r="AF8" s="4" t="s">
        <v>646</v>
      </c>
      <c r="AH8" s="84" t="s">
        <v>651</v>
      </c>
      <c r="AI8" s="85">
        <f t="shared" si="0"/>
        <v>249161.42329999979</v>
      </c>
      <c r="AJ8" s="85">
        <f t="shared" ca="1" si="1"/>
        <v>201380.10102111314</v>
      </c>
    </row>
    <row r="9" spans="1:36" ht="11.25" customHeight="1" x14ac:dyDescent="0.25">
      <c r="A9" s="4" t="s">
        <v>21</v>
      </c>
      <c r="B9" s="4" t="s">
        <v>38</v>
      </c>
      <c r="C9" s="4" t="s">
        <v>50</v>
      </c>
      <c r="D9" s="4" t="s">
        <v>48</v>
      </c>
      <c r="E9" s="4" t="s">
        <v>49</v>
      </c>
      <c r="F9" s="4" t="s">
        <v>25</v>
      </c>
      <c r="G9" s="4" t="s">
        <v>25</v>
      </c>
      <c r="H9" s="4" t="s">
        <v>34</v>
      </c>
      <c r="I9" s="5">
        <v>44593</v>
      </c>
      <c r="J9" s="6">
        <v>245</v>
      </c>
      <c r="K9" s="97">
        <v>245</v>
      </c>
      <c r="L9" s="6">
        <v>103.28400000000001</v>
      </c>
      <c r="M9" s="96">
        <v>103.28400000000001</v>
      </c>
      <c r="N9" s="6">
        <v>103.28400000000001</v>
      </c>
      <c r="O9" s="96">
        <v>103.28400000000001</v>
      </c>
      <c r="P9" s="6">
        <v>0</v>
      </c>
      <c r="Q9" s="4" t="s">
        <v>26</v>
      </c>
      <c r="R9" s="4">
        <v>0</v>
      </c>
      <c r="S9" s="4">
        <v>23</v>
      </c>
      <c r="T9" s="4">
        <v>11</v>
      </c>
      <c r="U9" s="4">
        <v>78</v>
      </c>
      <c r="V9" s="96">
        <f>IF(ISERROR(VLOOKUP($S$9,'TAR FIN'!$A$1:$O$86,15,0)),0,VLOOKUP($S$9,'TAR FIN'!$A$1:$O$86,15,0))*(1-0.06)</f>
        <v>15.312599999999998</v>
      </c>
      <c r="W9" s="96">
        <f>IF(ISERROR(VLOOKUP($T$9,'TAR FIN'!$A$1:$O$86,15,0)),0,VLOOKUP($T$9,'TAR FIN'!$A$1:$O$86,15,0))*(1-0.06)</f>
        <v>66.984400000000008</v>
      </c>
      <c r="X9" s="96">
        <f>IF(ISERROR(VLOOKUP($U$9,'TAR FIN'!$A$1:$O$86,15,0)),0,VLOOKUP($U$9,'TAR FIN'!$A$1:$O$86,15,0))*(1-0.06)</f>
        <v>279.47139999999996</v>
      </c>
      <c r="Y9" s="96">
        <f ca="1">('TUSD BE'!$AM$6+'TUSD BF'!$AM$6+'TUSD CVA'!$AM$6)*1*(1-0.03)</f>
        <v>20.50538631981113</v>
      </c>
      <c r="Z9" s="96">
        <f ca="1">('TUSD BE'!$AM$7+'TUSD BF'!$AM$7+'TUSD CVA'!$AM$7)*1*(1-0.03)</f>
        <v>92.9409846595331</v>
      </c>
      <c r="AA9" s="96">
        <f>('TE BE'!$AB$6+'TE BF'!$AB$6+'TE CVA'!$AB$6)*1*(1-0.03)</f>
        <v>228.27969443963337</v>
      </c>
      <c r="AB9" s="96">
        <f>(SUBSIDIO!$J$9*SUBSIDIO!$V$9)*(0.06)/(1-0.06)</f>
        <v>239.46299999999997</v>
      </c>
      <c r="AC9" s="96">
        <f>((SUBSIDIO!$L$9*SUBSIDIO!$W$9)+(SUBSIDIO!$N$9*SUBSIDIO!$X$9))*(0.06)/(1-0.06)</f>
        <v>2284.0430327999998</v>
      </c>
      <c r="AD9" s="96">
        <f ca="1">(SUBSIDIO!$J$9*SUBSIDIO!$Y$9)*(0.03)/(1-0.03)</f>
        <v>155.37586541300183</v>
      </c>
      <c r="AE9" s="96">
        <f ca="1">((SUBSIDIO!$L$9*SUBSIDIO!$Z$9)+(SUBSIDIO!$N$9*SUBSIDIO!$AA$9))*(0.03)/(1-0.03)</f>
        <v>1026.0914418580921</v>
      </c>
      <c r="AF9" s="4" t="s">
        <v>646</v>
      </c>
      <c r="AH9" s="84" t="s">
        <v>655</v>
      </c>
      <c r="AI9" s="85">
        <f t="shared" si="0"/>
        <v>0</v>
      </c>
      <c r="AJ9" s="85">
        <f t="shared" si="1"/>
        <v>0</v>
      </c>
    </row>
    <row r="10" spans="1:36" ht="11.25" customHeight="1" x14ac:dyDescent="0.25">
      <c r="A10" s="4" t="s">
        <v>21</v>
      </c>
      <c r="B10" s="4" t="s">
        <v>38</v>
      </c>
      <c r="C10" s="4" t="s">
        <v>50</v>
      </c>
      <c r="D10" s="4" t="s">
        <v>48</v>
      </c>
      <c r="E10" s="4" t="s">
        <v>49</v>
      </c>
      <c r="F10" s="4" t="s">
        <v>25</v>
      </c>
      <c r="G10" s="4" t="s">
        <v>25</v>
      </c>
      <c r="H10" s="4" t="s">
        <v>34</v>
      </c>
      <c r="I10" s="5">
        <v>44621</v>
      </c>
      <c r="J10" s="6">
        <v>245</v>
      </c>
      <c r="K10" s="97">
        <v>245</v>
      </c>
      <c r="L10" s="6">
        <v>114.107</v>
      </c>
      <c r="M10" s="96">
        <v>114.107</v>
      </c>
      <c r="N10" s="6">
        <v>114.107</v>
      </c>
      <c r="O10" s="96">
        <v>114.107</v>
      </c>
      <c r="P10" s="6">
        <v>0</v>
      </c>
      <c r="Q10" s="4" t="s">
        <v>26</v>
      </c>
      <c r="R10" s="4">
        <v>0</v>
      </c>
      <c r="S10" s="4">
        <v>23</v>
      </c>
      <c r="T10" s="4">
        <v>11</v>
      </c>
      <c r="U10" s="4">
        <v>78</v>
      </c>
      <c r="V10" s="96">
        <f>IF(ISERROR(VLOOKUP($S$10,'TAR FIN'!$A$1:$O$86,15,0)),0,VLOOKUP($S$10,'TAR FIN'!$A$1:$O$86,15,0))*(1-0.06)</f>
        <v>15.312599999999998</v>
      </c>
      <c r="W10" s="96">
        <f>IF(ISERROR(VLOOKUP($T$10,'TAR FIN'!$A$1:$O$86,15,0)),0,VLOOKUP($T$10,'TAR FIN'!$A$1:$O$86,15,0))*(1-0.06)</f>
        <v>66.984400000000008</v>
      </c>
      <c r="X10" s="96">
        <f>IF(ISERROR(VLOOKUP($U$10,'TAR FIN'!$A$1:$O$86,15,0)),0,VLOOKUP($U$10,'TAR FIN'!$A$1:$O$86,15,0))*(1-0.06)</f>
        <v>279.47139999999996</v>
      </c>
      <c r="Y10" s="96">
        <f ca="1">('TUSD BE'!$AM$6+'TUSD BF'!$AM$6+'TUSD CVA'!$AM$6)*1*(1-0.03)</f>
        <v>20.50538631981113</v>
      </c>
      <c r="Z10" s="96">
        <f ca="1">('TUSD BE'!$AM$7+'TUSD BF'!$AM$7+'TUSD CVA'!$AM$7)*1*(1-0.03)</f>
        <v>92.9409846595331</v>
      </c>
      <c r="AA10" s="96">
        <f>('TE BE'!$AB$6+'TE BF'!$AB$6+'TE CVA'!$AB$6)*1*(1-0.03)</f>
        <v>228.27969443963337</v>
      </c>
      <c r="AB10" s="96">
        <f>(SUBSIDIO!$J$10*SUBSIDIO!$V$10)*(0.06)/(1-0.06)</f>
        <v>239.46299999999997</v>
      </c>
      <c r="AC10" s="96">
        <f>((SUBSIDIO!$L$10*SUBSIDIO!$W$10)+(SUBSIDIO!$N$10*SUBSIDIO!$X$10))*(0.06)/(1-0.06)</f>
        <v>2523.3850193999997</v>
      </c>
      <c r="AD10" s="96">
        <f ca="1">(SUBSIDIO!$J$10*SUBSIDIO!$Y$10)*(0.03)/(1-0.03)</f>
        <v>155.37586541300183</v>
      </c>
      <c r="AE10" s="96">
        <f ca="1">((SUBSIDIO!$L$10*SUBSIDIO!$Z$10)+(SUBSIDIO!$N$10*SUBSIDIO!$AA$10))*(0.03)/(1-0.03)</f>
        <v>1133.6142689681008</v>
      </c>
      <c r="AF10" s="4" t="s">
        <v>646</v>
      </c>
    </row>
    <row r="11" spans="1:36" ht="11.25" customHeight="1" x14ac:dyDescent="0.25">
      <c r="A11" s="4" t="s">
        <v>21</v>
      </c>
      <c r="B11" s="4" t="s">
        <v>38</v>
      </c>
      <c r="C11" s="4" t="s">
        <v>50</v>
      </c>
      <c r="D11" s="4" t="s">
        <v>48</v>
      </c>
      <c r="E11" s="4" t="s">
        <v>49</v>
      </c>
      <c r="F11" s="4" t="s">
        <v>25</v>
      </c>
      <c r="G11" s="4" t="s">
        <v>25</v>
      </c>
      <c r="H11" s="4" t="s">
        <v>34</v>
      </c>
      <c r="I11" s="5">
        <v>44652</v>
      </c>
      <c r="J11" s="6">
        <v>245</v>
      </c>
      <c r="K11" s="97">
        <v>245</v>
      </c>
      <c r="L11" s="6">
        <v>111.289</v>
      </c>
      <c r="M11" s="96">
        <v>111.289</v>
      </c>
      <c r="N11" s="6">
        <v>111.289</v>
      </c>
      <c r="O11" s="96">
        <v>111.289</v>
      </c>
      <c r="P11" s="6">
        <v>0</v>
      </c>
      <c r="Q11" s="4" t="s">
        <v>26</v>
      </c>
      <c r="R11" s="4">
        <v>0</v>
      </c>
      <c r="S11" s="4">
        <v>23</v>
      </c>
      <c r="T11" s="4">
        <v>11</v>
      </c>
      <c r="U11" s="4">
        <v>78</v>
      </c>
      <c r="V11" s="96">
        <f>IF(ISERROR(VLOOKUP($S$11,'TAR FIN'!$A$1:$O$86,15,0)),0,VLOOKUP($S$11,'TAR FIN'!$A$1:$O$86,15,0))*(1-0.06)</f>
        <v>15.312599999999998</v>
      </c>
      <c r="W11" s="96">
        <f>IF(ISERROR(VLOOKUP($T$11,'TAR FIN'!$A$1:$O$86,15,0)),0,VLOOKUP($T$11,'TAR FIN'!$A$1:$O$86,15,0))*(1-0.06)</f>
        <v>66.984400000000008</v>
      </c>
      <c r="X11" s="96">
        <f>IF(ISERROR(VLOOKUP($U$11,'TAR FIN'!$A$1:$O$86,15,0)),0,VLOOKUP($U$11,'TAR FIN'!$A$1:$O$86,15,0))*(1-0.06)</f>
        <v>279.47139999999996</v>
      </c>
      <c r="Y11" s="96">
        <f ca="1">('TUSD BE'!$AM$6+'TUSD BF'!$AM$6+'TUSD CVA'!$AM$6)*1*(1-0.03)</f>
        <v>20.50538631981113</v>
      </c>
      <c r="Z11" s="96">
        <f ca="1">('TUSD BE'!$AM$7+'TUSD BF'!$AM$7+'TUSD CVA'!$AM$7)*1*(1-0.03)</f>
        <v>92.9409846595331</v>
      </c>
      <c r="AA11" s="96">
        <f>('TE BE'!$AB$6+'TE BF'!$AB$6+'TE CVA'!$AB$6)*1*(1-0.03)</f>
        <v>228.27969443963337</v>
      </c>
      <c r="AB11" s="96">
        <f>(SUBSIDIO!$J$11*SUBSIDIO!$V$11)*(0.06)/(1-0.06)</f>
        <v>239.46299999999997</v>
      </c>
      <c r="AC11" s="96">
        <f>((SUBSIDIO!$L$11*SUBSIDIO!$W$11)+(SUBSIDIO!$N$11*SUBSIDIO!$X$11))*(0.06)/(1-0.06)</f>
        <v>2461.0672037999998</v>
      </c>
      <c r="AD11" s="96">
        <f ca="1">(SUBSIDIO!$J$11*SUBSIDIO!$Y$11)*(0.03)/(1-0.03)</f>
        <v>155.37586541300183</v>
      </c>
      <c r="AE11" s="96">
        <f ca="1">((SUBSIDIO!$L$11*SUBSIDIO!$Z$11)+(SUBSIDIO!$N$11*SUBSIDIO!$AA$11))*(0.03)/(1-0.03)</f>
        <v>1105.6183965855816</v>
      </c>
      <c r="AF11" s="4" t="s">
        <v>646</v>
      </c>
    </row>
    <row r="12" spans="1:36" ht="11.25" customHeight="1" x14ac:dyDescent="0.25">
      <c r="A12" s="4" t="s">
        <v>21</v>
      </c>
      <c r="B12" s="4" t="s">
        <v>38</v>
      </c>
      <c r="C12" s="4" t="s">
        <v>50</v>
      </c>
      <c r="D12" s="4" t="s">
        <v>48</v>
      </c>
      <c r="E12" s="4" t="s">
        <v>49</v>
      </c>
      <c r="F12" s="4" t="s">
        <v>25</v>
      </c>
      <c r="G12" s="4" t="s">
        <v>25</v>
      </c>
      <c r="H12" s="4" t="s">
        <v>34</v>
      </c>
      <c r="I12" s="5">
        <v>44682</v>
      </c>
      <c r="J12" s="6">
        <v>245</v>
      </c>
      <c r="K12" s="97">
        <v>245</v>
      </c>
      <c r="L12" s="6">
        <v>104.895</v>
      </c>
      <c r="M12" s="96">
        <v>104.895</v>
      </c>
      <c r="N12" s="6">
        <v>104.895</v>
      </c>
      <c r="O12" s="96">
        <v>104.895</v>
      </c>
      <c r="P12" s="6">
        <v>0</v>
      </c>
      <c r="Q12" s="4" t="s">
        <v>26</v>
      </c>
      <c r="R12" s="4">
        <v>0</v>
      </c>
      <c r="S12" s="4">
        <v>23</v>
      </c>
      <c r="T12" s="4">
        <v>11</v>
      </c>
      <c r="U12" s="4">
        <v>78</v>
      </c>
      <c r="V12" s="96">
        <f>IF(ISERROR(VLOOKUP($S$12,'TAR FIN'!$A$1:$O$86,15,0)),0,VLOOKUP($S$12,'TAR FIN'!$A$1:$O$86,15,0))*(1-0.06)</f>
        <v>15.312599999999998</v>
      </c>
      <c r="W12" s="96">
        <f>IF(ISERROR(VLOOKUP($T$12,'TAR FIN'!$A$1:$O$86,15,0)),0,VLOOKUP($T$12,'TAR FIN'!$A$1:$O$86,15,0))*(1-0.06)</f>
        <v>66.984400000000008</v>
      </c>
      <c r="X12" s="96">
        <f>IF(ISERROR(VLOOKUP($U$12,'TAR FIN'!$A$1:$O$86,15,0)),0,VLOOKUP($U$12,'TAR FIN'!$A$1:$O$86,15,0))*(1-0.06)</f>
        <v>279.47139999999996</v>
      </c>
      <c r="Y12" s="96">
        <f ca="1">('TUSD BE'!$AM$6+'TUSD BF'!$AM$6+'TUSD CVA'!$AM$6)*1*(1-0.03)</f>
        <v>20.50538631981113</v>
      </c>
      <c r="Z12" s="96">
        <f ca="1">('TUSD BE'!$AM$7+'TUSD BF'!$AM$7+'TUSD CVA'!$AM$7)*1*(1-0.03)</f>
        <v>92.9409846595331</v>
      </c>
      <c r="AA12" s="96">
        <f>('TE BE'!$AB$6+'TE BF'!$AB$6+'TE CVA'!$AB$6)*1*(1-0.03)</f>
        <v>228.27969443963337</v>
      </c>
      <c r="AB12" s="96">
        <f>(SUBSIDIO!$J$12*SUBSIDIO!$V$12)*(0.06)/(1-0.06)</f>
        <v>239.46299999999997</v>
      </c>
      <c r="AC12" s="96">
        <f>((SUBSIDIO!$L$12*SUBSIDIO!$W$12)+(SUBSIDIO!$N$12*SUBSIDIO!$X$12))*(0.06)/(1-0.06)</f>
        <v>2319.6690089999997</v>
      </c>
      <c r="AD12" s="96">
        <f ca="1">(SUBSIDIO!$J$12*SUBSIDIO!$Y$12)*(0.03)/(1-0.03)</f>
        <v>155.37586541300183</v>
      </c>
      <c r="AE12" s="96">
        <f ca="1">((SUBSIDIO!$L$12*SUBSIDIO!$Z$12)+(SUBSIDIO!$N$12*SUBSIDIO!$AA$12))*(0.03)/(1-0.03)</f>
        <v>1042.0961794053731</v>
      </c>
      <c r="AF12" s="4" t="s">
        <v>646</v>
      </c>
    </row>
    <row r="13" spans="1:36" ht="11.25" customHeight="1" x14ac:dyDescent="0.25">
      <c r="A13" s="4" t="s">
        <v>55</v>
      </c>
      <c r="B13" s="4" t="s">
        <v>38</v>
      </c>
      <c r="C13" s="4" t="s">
        <v>50</v>
      </c>
      <c r="D13" s="4" t="s">
        <v>48</v>
      </c>
      <c r="E13" s="4" t="s">
        <v>49</v>
      </c>
      <c r="F13" s="4" t="s">
        <v>25</v>
      </c>
      <c r="G13" s="4" t="s">
        <v>25</v>
      </c>
      <c r="H13" s="4" t="s">
        <v>34</v>
      </c>
      <c r="I13" s="5">
        <v>44713</v>
      </c>
      <c r="J13" s="6">
        <v>245</v>
      </c>
      <c r="K13" s="97">
        <v>245</v>
      </c>
      <c r="L13" s="6">
        <v>104.895</v>
      </c>
      <c r="M13" s="96">
        <v>104.895</v>
      </c>
      <c r="N13" s="6">
        <v>104.895</v>
      </c>
      <c r="O13" s="96">
        <v>104.895</v>
      </c>
      <c r="P13" s="6">
        <v>0</v>
      </c>
      <c r="Q13" s="4" t="s">
        <v>26</v>
      </c>
      <c r="R13" s="4">
        <v>0</v>
      </c>
      <c r="S13" s="4">
        <v>23</v>
      </c>
      <c r="T13" s="4">
        <v>11</v>
      </c>
      <c r="U13" s="4">
        <v>78</v>
      </c>
      <c r="V13" s="96">
        <f>IF(ISERROR(VLOOKUP($S$13,'TAR FIN'!$A$1:$O$86,15,0)),0,VLOOKUP($S$13,'TAR FIN'!$A$1:$O$86,15,0))*(1-0.06)</f>
        <v>15.312599999999998</v>
      </c>
      <c r="W13" s="96">
        <f>IF(ISERROR(VLOOKUP($T$13,'TAR FIN'!$A$1:$O$86,15,0)),0,VLOOKUP($T$13,'TAR FIN'!$A$1:$O$86,15,0))*(1-0.06)</f>
        <v>66.984400000000008</v>
      </c>
      <c r="X13" s="96">
        <f>IF(ISERROR(VLOOKUP($U$13,'TAR FIN'!$A$1:$O$86,15,0)),0,VLOOKUP($U$13,'TAR FIN'!$A$1:$O$86,15,0))*(1-0.06)</f>
        <v>279.47139999999996</v>
      </c>
      <c r="Y13" s="96">
        <f ca="1">('TUSD BE'!$AM$6+'TUSD BF'!$AM$6+'TUSD CVA'!$AM$6)*1*(1-0.03)</f>
        <v>20.50538631981113</v>
      </c>
      <c r="Z13" s="96">
        <f ca="1">('TUSD BE'!$AM$7+'TUSD BF'!$AM$7+'TUSD CVA'!$AM$7)*1*(1-0.03)</f>
        <v>92.9409846595331</v>
      </c>
      <c r="AA13" s="96">
        <f>('TE BE'!$AB$6+'TE BF'!$AB$6+'TE CVA'!$AB$6)*1*(1-0.03)</f>
        <v>228.27969443963337</v>
      </c>
      <c r="AB13" s="96">
        <f>(SUBSIDIO!$J$13*SUBSIDIO!$V$13)*(0.06)/(1-0.06)</f>
        <v>239.46299999999997</v>
      </c>
      <c r="AC13" s="96">
        <f>((SUBSIDIO!$L$13*SUBSIDIO!$W$13)+(SUBSIDIO!$N$13*SUBSIDIO!$X$13))*(0.06)/(1-0.06)</f>
        <v>2319.6690089999997</v>
      </c>
      <c r="AD13" s="96">
        <f ca="1">(SUBSIDIO!$J$13*SUBSIDIO!$Y$13)*(0.03)/(1-0.03)</f>
        <v>155.37586541300183</v>
      </c>
      <c r="AE13" s="96">
        <f ca="1">((SUBSIDIO!$L$13*SUBSIDIO!$Z$13)+(SUBSIDIO!$N$13*SUBSIDIO!$AA$13))*(0.03)/(1-0.03)</f>
        <v>1042.0961794053731</v>
      </c>
      <c r="AF13" s="4" t="s">
        <v>646</v>
      </c>
    </row>
    <row r="14" spans="1:36" ht="11.25" customHeight="1" x14ac:dyDescent="0.25">
      <c r="A14" s="4" t="s">
        <v>21</v>
      </c>
      <c r="B14" s="4" t="s">
        <v>38</v>
      </c>
      <c r="C14" s="4" t="s">
        <v>50</v>
      </c>
      <c r="D14" s="4" t="s">
        <v>48</v>
      </c>
      <c r="E14" s="4" t="s">
        <v>49</v>
      </c>
      <c r="F14" s="4" t="s">
        <v>25</v>
      </c>
      <c r="G14" s="4" t="s">
        <v>25</v>
      </c>
      <c r="H14" s="4" t="s">
        <v>33</v>
      </c>
      <c r="I14" s="5">
        <v>44378</v>
      </c>
      <c r="J14" s="6">
        <v>245</v>
      </c>
      <c r="K14" s="97">
        <v>245</v>
      </c>
      <c r="L14" s="6">
        <v>10.843</v>
      </c>
      <c r="M14" s="96">
        <v>10.843</v>
      </c>
      <c r="N14" s="6">
        <v>10.843</v>
      </c>
      <c r="O14" s="96">
        <v>10.843</v>
      </c>
      <c r="P14" s="6">
        <v>0</v>
      </c>
      <c r="Q14" s="4" t="s">
        <v>26</v>
      </c>
      <c r="R14" s="4">
        <v>0</v>
      </c>
      <c r="S14" s="4">
        <v>1</v>
      </c>
      <c r="T14" s="4">
        <v>11</v>
      </c>
      <c r="U14" s="4">
        <v>66</v>
      </c>
      <c r="V14" s="96">
        <f>IF(ISERROR(VLOOKUP($S$14,'TAR FIN'!$A$1:$O$86,15,0)),0,VLOOKUP($S$14,'TAR FIN'!$A$1:$O$86,15,0))*(1-0.06)</f>
        <v>20.303999999999998</v>
      </c>
      <c r="W14" s="96">
        <f>IF(ISERROR(VLOOKUP($T$14,'TAR FIN'!$A$1:$O$86,15,0)),0,VLOOKUP($T$14,'TAR FIN'!$A$1:$O$86,15,0))*(1-0.06)</f>
        <v>66.984400000000008</v>
      </c>
      <c r="X14" s="96">
        <f>IF(ISERROR(VLOOKUP($U$14,'TAR FIN'!$A$1:$O$86,15,0)),0,VLOOKUP($U$14,'TAR FIN'!$A$1:$O$86,15,0))*(1-0.06)</f>
        <v>473.59079999999994</v>
      </c>
      <c r="Y14" s="96">
        <f ca="1">('TUSD BE'!$AM$5+'TUSD BF'!$AM$5+'TUSD CVA'!$AM$5)*1*(1-0.03)</f>
        <v>21.2163537178483</v>
      </c>
      <c r="Z14" s="96">
        <f ca="1">('TUSD BE'!$AM$7+'TUSD BF'!$AM$7+'TUSD CVA'!$AM$7)*1*(1-0.03)</f>
        <v>92.9409846595331</v>
      </c>
      <c r="AA14" s="96">
        <f>('TE BE'!$AB$5+'TE BF'!$AB$5+'TE CVA'!$AB$5)*1*(1-0.03)</f>
        <v>386.0761412470477</v>
      </c>
      <c r="AB14" s="96">
        <f>(SUBSIDIO!$J$14*SUBSIDIO!$V$14)*(0.06)/(1-0.06)</f>
        <v>317.52</v>
      </c>
      <c r="AC14" s="96">
        <f>((SUBSIDIO!$L$14*SUBSIDIO!$W$14)+(SUBSIDIO!$N$14*SUBSIDIO!$X$14))*(0.06)/(1-0.06)</f>
        <v>374.13554639999995</v>
      </c>
      <c r="AD14" s="96">
        <f ca="1">(SUBSIDIO!$J$14*SUBSIDIO!$Y$14)*(0.03)/(1-0.03)</f>
        <v>160.76309260431444</v>
      </c>
      <c r="AE14" s="96">
        <f ca="1">((SUBSIDIO!$L$14*SUBSIDIO!$Z$14)+(SUBSIDIO!$N$14*SUBSIDIO!$AA$14))*(0.03)/(1-0.03)</f>
        <v>160.63864008881615</v>
      </c>
      <c r="AF14" s="4" t="s">
        <v>646</v>
      </c>
    </row>
    <row r="15" spans="1:36" ht="11.25" customHeight="1" x14ac:dyDescent="0.25">
      <c r="A15" s="4" t="s">
        <v>21</v>
      </c>
      <c r="B15" s="4" t="s">
        <v>38</v>
      </c>
      <c r="C15" s="4" t="s">
        <v>50</v>
      </c>
      <c r="D15" s="4" t="s">
        <v>48</v>
      </c>
      <c r="E15" s="4" t="s">
        <v>49</v>
      </c>
      <c r="F15" s="4" t="s">
        <v>25</v>
      </c>
      <c r="G15" s="4" t="s">
        <v>25</v>
      </c>
      <c r="H15" s="4" t="s">
        <v>33</v>
      </c>
      <c r="I15" s="5">
        <v>44409</v>
      </c>
      <c r="J15" s="6">
        <v>245</v>
      </c>
      <c r="K15" s="97">
        <v>245</v>
      </c>
      <c r="L15" s="6">
        <v>11.622999999999999</v>
      </c>
      <c r="M15" s="96">
        <v>11.622999999999999</v>
      </c>
      <c r="N15" s="6">
        <v>11.622999999999999</v>
      </c>
      <c r="O15" s="96">
        <v>11.622999999999999</v>
      </c>
      <c r="P15" s="6">
        <v>0</v>
      </c>
      <c r="Q15" s="4" t="s">
        <v>26</v>
      </c>
      <c r="R15" s="4">
        <v>0</v>
      </c>
      <c r="S15" s="4">
        <v>1</v>
      </c>
      <c r="T15" s="4">
        <v>11</v>
      </c>
      <c r="U15" s="4">
        <v>66</v>
      </c>
      <c r="V15" s="96">
        <f>IF(ISERROR(VLOOKUP($S$15,'TAR FIN'!$A$1:$O$86,15,0)),0,VLOOKUP($S$15,'TAR FIN'!$A$1:$O$86,15,0))*(1-0.06)</f>
        <v>20.303999999999998</v>
      </c>
      <c r="W15" s="96">
        <f>IF(ISERROR(VLOOKUP($T$15,'TAR FIN'!$A$1:$O$86,15,0)),0,VLOOKUP($T$15,'TAR FIN'!$A$1:$O$86,15,0))*(1-0.06)</f>
        <v>66.984400000000008</v>
      </c>
      <c r="X15" s="96">
        <f>IF(ISERROR(VLOOKUP($U$15,'TAR FIN'!$A$1:$O$86,15,0)),0,VLOOKUP($U$15,'TAR FIN'!$A$1:$O$86,15,0))*(1-0.06)</f>
        <v>473.59079999999994</v>
      </c>
      <c r="Y15" s="96">
        <f ca="1">('TUSD BE'!$AM$5+'TUSD BF'!$AM$5+'TUSD CVA'!$AM$5)*1*(1-0.03)</f>
        <v>21.2163537178483</v>
      </c>
      <c r="Z15" s="96">
        <f ca="1">('TUSD BE'!$AM$7+'TUSD BF'!$AM$7+'TUSD CVA'!$AM$7)*1*(1-0.03)</f>
        <v>92.9409846595331</v>
      </c>
      <c r="AA15" s="96">
        <f>('TE BE'!$AB$5+'TE BF'!$AB$5+'TE CVA'!$AB$5)*1*(1-0.03)</f>
        <v>386.0761412470477</v>
      </c>
      <c r="AB15" s="96">
        <f>(SUBSIDIO!$J$15*SUBSIDIO!$V$15)*(0.06)/(1-0.06)</f>
        <v>317.52</v>
      </c>
      <c r="AC15" s="96">
        <f>((SUBSIDIO!$L$15*SUBSIDIO!$W$15)+(SUBSIDIO!$N$15*SUBSIDIO!$X$15))*(0.06)/(1-0.06)</f>
        <v>401.0492903999999</v>
      </c>
      <c r="AD15" s="96">
        <f ca="1">(SUBSIDIO!$J$15*SUBSIDIO!$Y$15)*(0.03)/(1-0.03)</f>
        <v>160.76309260431444</v>
      </c>
      <c r="AE15" s="96">
        <f ca="1">((SUBSIDIO!$L$15*SUBSIDIO!$Z$15)+(SUBSIDIO!$N$15*SUBSIDIO!$AA$15))*(0.03)/(1-0.03)</f>
        <v>172.19431096120169</v>
      </c>
      <c r="AF15" s="4" t="s">
        <v>646</v>
      </c>
    </row>
    <row r="16" spans="1:36" ht="11.25" customHeight="1" x14ac:dyDescent="0.25">
      <c r="A16" s="4" t="s">
        <v>21</v>
      </c>
      <c r="B16" s="4" t="s">
        <v>38</v>
      </c>
      <c r="C16" s="4" t="s">
        <v>50</v>
      </c>
      <c r="D16" s="4" t="s">
        <v>48</v>
      </c>
      <c r="E16" s="4" t="s">
        <v>49</v>
      </c>
      <c r="F16" s="4" t="s">
        <v>25</v>
      </c>
      <c r="G16" s="4" t="s">
        <v>25</v>
      </c>
      <c r="H16" s="4" t="s">
        <v>33</v>
      </c>
      <c r="I16" s="5">
        <v>44440</v>
      </c>
      <c r="J16" s="6">
        <v>245</v>
      </c>
      <c r="K16" s="97">
        <v>245</v>
      </c>
      <c r="L16" s="6">
        <v>11.743</v>
      </c>
      <c r="M16" s="96">
        <v>11.743</v>
      </c>
      <c r="N16" s="6">
        <v>11.743</v>
      </c>
      <c r="O16" s="96">
        <v>11.743</v>
      </c>
      <c r="P16" s="6">
        <v>0</v>
      </c>
      <c r="Q16" s="4" t="s">
        <v>26</v>
      </c>
      <c r="R16" s="4">
        <v>0</v>
      </c>
      <c r="S16" s="4">
        <v>1</v>
      </c>
      <c r="T16" s="4">
        <v>11</v>
      </c>
      <c r="U16" s="4">
        <v>66</v>
      </c>
      <c r="V16" s="96">
        <f>IF(ISERROR(VLOOKUP($S$16,'TAR FIN'!$A$1:$O$86,15,0)),0,VLOOKUP($S$16,'TAR FIN'!$A$1:$O$86,15,0))*(1-0.06)</f>
        <v>20.303999999999998</v>
      </c>
      <c r="W16" s="96">
        <f>IF(ISERROR(VLOOKUP($T$16,'TAR FIN'!$A$1:$O$86,15,0)),0,VLOOKUP($T$16,'TAR FIN'!$A$1:$O$86,15,0))*(1-0.06)</f>
        <v>66.984400000000008</v>
      </c>
      <c r="X16" s="96">
        <f>IF(ISERROR(VLOOKUP($U$16,'TAR FIN'!$A$1:$O$86,15,0)),0,VLOOKUP($U$16,'TAR FIN'!$A$1:$O$86,15,0))*(1-0.06)</f>
        <v>473.59079999999994</v>
      </c>
      <c r="Y16" s="96">
        <f ca="1">('TUSD BE'!$AM$5+'TUSD BF'!$AM$5+'TUSD CVA'!$AM$5)*1*(1-0.03)</f>
        <v>21.2163537178483</v>
      </c>
      <c r="Z16" s="96">
        <f ca="1">('TUSD BE'!$AM$7+'TUSD BF'!$AM$7+'TUSD CVA'!$AM$7)*1*(1-0.03)</f>
        <v>92.9409846595331</v>
      </c>
      <c r="AA16" s="96">
        <f>('TE BE'!$AB$5+'TE BF'!$AB$5+'TE CVA'!$AB$5)*1*(1-0.03)</f>
        <v>386.0761412470477</v>
      </c>
      <c r="AB16" s="96">
        <f>(SUBSIDIO!$J$16*SUBSIDIO!$V$16)*(0.06)/(1-0.06)</f>
        <v>317.52</v>
      </c>
      <c r="AC16" s="96">
        <f>((SUBSIDIO!$L$16*SUBSIDIO!$W$16)+(SUBSIDIO!$N$16*SUBSIDIO!$X$16))*(0.06)/(1-0.06)</f>
        <v>405.18986640000003</v>
      </c>
      <c r="AD16" s="96">
        <f ca="1">(SUBSIDIO!$J$16*SUBSIDIO!$Y$16)*(0.03)/(1-0.03)</f>
        <v>160.76309260431444</v>
      </c>
      <c r="AE16" s="96">
        <f ca="1">((SUBSIDIO!$L$16*SUBSIDIO!$Z$16)+(SUBSIDIO!$N$16*SUBSIDIO!$AA$16))*(0.03)/(1-0.03)</f>
        <v>173.97210648003025</v>
      </c>
      <c r="AF16" s="4" t="s">
        <v>646</v>
      </c>
    </row>
    <row r="17" spans="1:32" ht="11.25" customHeight="1" x14ac:dyDescent="0.25">
      <c r="A17" s="4" t="s">
        <v>21</v>
      </c>
      <c r="B17" s="4" t="s">
        <v>38</v>
      </c>
      <c r="C17" s="4" t="s">
        <v>50</v>
      </c>
      <c r="D17" s="4" t="s">
        <v>48</v>
      </c>
      <c r="E17" s="4" t="s">
        <v>49</v>
      </c>
      <c r="F17" s="4" t="s">
        <v>25</v>
      </c>
      <c r="G17" s="4" t="s">
        <v>25</v>
      </c>
      <c r="H17" s="4" t="s">
        <v>33</v>
      </c>
      <c r="I17" s="5">
        <v>44470</v>
      </c>
      <c r="J17" s="6">
        <v>245</v>
      </c>
      <c r="K17" s="97">
        <v>245</v>
      </c>
      <c r="L17" s="6">
        <v>10.788</v>
      </c>
      <c r="M17" s="96">
        <v>10.788</v>
      </c>
      <c r="N17" s="6">
        <v>10.788</v>
      </c>
      <c r="O17" s="96">
        <v>10.788</v>
      </c>
      <c r="P17" s="6">
        <v>0</v>
      </c>
      <c r="Q17" s="4" t="s">
        <v>26</v>
      </c>
      <c r="R17" s="4">
        <v>0</v>
      </c>
      <c r="S17" s="4">
        <v>1</v>
      </c>
      <c r="T17" s="4">
        <v>11</v>
      </c>
      <c r="U17" s="4">
        <v>66</v>
      </c>
      <c r="V17" s="96">
        <f>IF(ISERROR(VLOOKUP($S$17,'TAR FIN'!$A$1:$O$86,15,0)),0,VLOOKUP($S$17,'TAR FIN'!$A$1:$O$86,15,0))*(1-0.06)</f>
        <v>20.303999999999998</v>
      </c>
      <c r="W17" s="96">
        <f>IF(ISERROR(VLOOKUP($T$17,'TAR FIN'!$A$1:$O$86,15,0)),0,VLOOKUP($T$17,'TAR FIN'!$A$1:$O$86,15,0))*(1-0.06)</f>
        <v>66.984400000000008</v>
      </c>
      <c r="X17" s="96">
        <f>IF(ISERROR(VLOOKUP($U$17,'TAR FIN'!$A$1:$O$86,15,0)),0,VLOOKUP($U$17,'TAR FIN'!$A$1:$O$86,15,0))*(1-0.06)</f>
        <v>473.59079999999994</v>
      </c>
      <c r="Y17" s="96">
        <f ca="1">('TUSD BE'!$AM$5+'TUSD BF'!$AM$5+'TUSD CVA'!$AM$5)*1*(1-0.03)</f>
        <v>21.2163537178483</v>
      </c>
      <c r="Z17" s="96">
        <f ca="1">('TUSD BE'!$AM$7+'TUSD BF'!$AM$7+'TUSD CVA'!$AM$7)*1*(1-0.03)</f>
        <v>92.9409846595331</v>
      </c>
      <c r="AA17" s="96">
        <f>('TE BE'!$AB$5+'TE BF'!$AB$5+'TE CVA'!$AB$5)*1*(1-0.03)</f>
        <v>386.0761412470477</v>
      </c>
      <c r="AB17" s="96">
        <f>(SUBSIDIO!$J$17*SUBSIDIO!$V$17)*(0.06)/(1-0.06)</f>
        <v>317.52</v>
      </c>
      <c r="AC17" s="96">
        <f>((SUBSIDIO!$L$17*SUBSIDIO!$W$17)+(SUBSIDIO!$N$17*SUBSIDIO!$X$17))*(0.06)/(1-0.06)</f>
        <v>372.23778240000001</v>
      </c>
      <c r="AD17" s="96">
        <f ca="1">(SUBSIDIO!$J$17*SUBSIDIO!$Y$17)*(0.03)/(1-0.03)</f>
        <v>160.76309260431444</v>
      </c>
      <c r="AE17" s="96">
        <f ca="1">((SUBSIDIO!$L$17*SUBSIDIO!$Z$17)+(SUBSIDIO!$N$17*SUBSIDIO!$AA$17))*(0.03)/(1-0.03)</f>
        <v>159.82381714268644</v>
      </c>
      <c r="AF17" s="4" t="s">
        <v>646</v>
      </c>
    </row>
    <row r="18" spans="1:32" ht="11.25" customHeight="1" x14ac:dyDescent="0.25">
      <c r="A18" s="4" t="s">
        <v>21</v>
      </c>
      <c r="B18" s="4" t="s">
        <v>38</v>
      </c>
      <c r="C18" s="4" t="s">
        <v>50</v>
      </c>
      <c r="D18" s="4" t="s">
        <v>48</v>
      </c>
      <c r="E18" s="4" t="s">
        <v>49</v>
      </c>
      <c r="F18" s="4" t="s">
        <v>25</v>
      </c>
      <c r="G18" s="4" t="s">
        <v>25</v>
      </c>
      <c r="H18" s="4" t="s">
        <v>33</v>
      </c>
      <c r="I18" s="5">
        <v>44501</v>
      </c>
      <c r="J18" s="6">
        <v>245</v>
      </c>
      <c r="K18" s="97">
        <v>245</v>
      </c>
      <c r="L18" s="6">
        <v>11.489000000000001</v>
      </c>
      <c r="M18" s="96">
        <v>11.489000000000001</v>
      </c>
      <c r="N18" s="6">
        <v>11.489000000000001</v>
      </c>
      <c r="O18" s="96">
        <v>11.489000000000001</v>
      </c>
      <c r="P18" s="6">
        <v>0</v>
      </c>
      <c r="Q18" s="4" t="s">
        <v>26</v>
      </c>
      <c r="R18" s="4">
        <v>0</v>
      </c>
      <c r="S18" s="4">
        <v>1</v>
      </c>
      <c r="T18" s="4">
        <v>11</v>
      </c>
      <c r="U18" s="4">
        <v>66</v>
      </c>
      <c r="V18" s="96">
        <f>IF(ISERROR(VLOOKUP($S$18,'TAR FIN'!$A$1:$O$86,15,0)),0,VLOOKUP($S$18,'TAR FIN'!$A$1:$O$86,15,0))*(1-0.06)</f>
        <v>20.303999999999998</v>
      </c>
      <c r="W18" s="96">
        <f>IF(ISERROR(VLOOKUP($T$18,'TAR FIN'!$A$1:$O$86,15,0)),0,VLOOKUP($T$18,'TAR FIN'!$A$1:$O$86,15,0))*(1-0.06)</f>
        <v>66.984400000000008</v>
      </c>
      <c r="X18" s="96">
        <f>IF(ISERROR(VLOOKUP($U$18,'TAR FIN'!$A$1:$O$86,15,0)),0,VLOOKUP($U$18,'TAR FIN'!$A$1:$O$86,15,0))*(1-0.06)</f>
        <v>473.59079999999994</v>
      </c>
      <c r="Y18" s="96">
        <f ca="1">('TUSD BE'!$AM$5+'TUSD BF'!$AM$5+'TUSD CVA'!$AM$5)*1*(1-0.03)</f>
        <v>21.2163537178483</v>
      </c>
      <c r="Z18" s="96">
        <f ca="1">('TUSD BE'!$AM$7+'TUSD BF'!$AM$7+'TUSD CVA'!$AM$7)*1*(1-0.03)</f>
        <v>92.9409846595331</v>
      </c>
      <c r="AA18" s="96">
        <f>('TE BE'!$AB$5+'TE BF'!$AB$5+'TE CVA'!$AB$5)*1*(1-0.03)</f>
        <v>386.0761412470477</v>
      </c>
      <c r="AB18" s="96">
        <f>(SUBSIDIO!$J$18*SUBSIDIO!$V$18)*(0.06)/(1-0.06)</f>
        <v>317.52</v>
      </c>
      <c r="AC18" s="96">
        <f>((SUBSIDIO!$L$18*SUBSIDIO!$W$18)+(SUBSIDIO!$N$18*SUBSIDIO!$X$18))*(0.06)/(1-0.06)</f>
        <v>396.42564720000001</v>
      </c>
      <c r="AD18" s="96">
        <f ca="1">(SUBSIDIO!$J$18*SUBSIDIO!$Y$18)*(0.03)/(1-0.03)</f>
        <v>160.76309260431444</v>
      </c>
      <c r="AE18" s="96">
        <f ca="1">((SUBSIDIO!$L$18*SUBSIDIO!$Z$18)+(SUBSIDIO!$N$18*SUBSIDIO!$AA$18))*(0.03)/(1-0.03)</f>
        <v>170.20910596517652</v>
      </c>
      <c r="AF18" s="4" t="s">
        <v>646</v>
      </c>
    </row>
    <row r="19" spans="1:32" ht="11.25" customHeight="1" x14ac:dyDescent="0.25">
      <c r="A19" s="4" t="s">
        <v>21</v>
      </c>
      <c r="B19" s="4" t="s">
        <v>38</v>
      </c>
      <c r="C19" s="4" t="s">
        <v>50</v>
      </c>
      <c r="D19" s="4" t="s">
        <v>48</v>
      </c>
      <c r="E19" s="4" t="s">
        <v>49</v>
      </c>
      <c r="F19" s="4" t="s">
        <v>25</v>
      </c>
      <c r="G19" s="4" t="s">
        <v>25</v>
      </c>
      <c r="H19" s="4" t="s">
        <v>33</v>
      </c>
      <c r="I19" s="5">
        <v>44531</v>
      </c>
      <c r="J19" s="6">
        <v>245</v>
      </c>
      <c r="K19" s="97">
        <v>245</v>
      </c>
      <c r="L19" s="6">
        <v>12.214</v>
      </c>
      <c r="M19" s="96">
        <v>12.214</v>
      </c>
      <c r="N19" s="6">
        <v>12.214</v>
      </c>
      <c r="O19" s="96">
        <v>12.214</v>
      </c>
      <c r="P19" s="6">
        <v>0</v>
      </c>
      <c r="Q19" s="4" t="s">
        <v>26</v>
      </c>
      <c r="R19" s="4">
        <v>0</v>
      </c>
      <c r="S19" s="4">
        <v>1</v>
      </c>
      <c r="T19" s="4">
        <v>11</v>
      </c>
      <c r="U19" s="4">
        <v>66</v>
      </c>
      <c r="V19" s="96">
        <f>IF(ISERROR(VLOOKUP($S$19,'TAR FIN'!$A$1:$O$86,15,0)),0,VLOOKUP($S$19,'TAR FIN'!$A$1:$O$86,15,0))*(1-0.06)</f>
        <v>20.303999999999998</v>
      </c>
      <c r="W19" s="96">
        <f>IF(ISERROR(VLOOKUP($T$19,'TAR FIN'!$A$1:$O$86,15,0)),0,VLOOKUP($T$19,'TAR FIN'!$A$1:$O$86,15,0))*(1-0.06)</f>
        <v>66.984400000000008</v>
      </c>
      <c r="X19" s="96">
        <f>IF(ISERROR(VLOOKUP($U$19,'TAR FIN'!$A$1:$O$86,15,0)),0,VLOOKUP($U$19,'TAR FIN'!$A$1:$O$86,15,0))*(1-0.06)</f>
        <v>473.59079999999994</v>
      </c>
      <c r="Y19" s="96">
        <f ca="1">('TUSD BE'!$AM$5+'TUSD BF'!$AM$5+'TUSD CVA'!$AM$5)*1*(1-0.03)</f>
        <v>21.2163537178483</v>
      </c>
      <c r="Z19" s="96">
        <f ca="1">('TUSD BE'!$AM$7+'TUSD BF'!$AM$7+'TUSD CVA'!$AM$7)*1*(1-0.03)</f>
        <v>92.9409846595331</v>
      </c>
      <c r="AA19" s="96">
        <f>('TE BE'!$AB$5+'TE BF'!$AB$5+'TE CVA'!$AB$5)*1*(1-0.03)</f>
        <v>386.0761412470477</v>
      </c>
      <c r="AB19" s="96">
        <f>(SUBSIDIO!$J$19*SUBSIDIO!$V$19)*(0.06)/(1-0.06)</f>
        <v>317.52</v>
      </c>
      <c r="AC19" s="96">
        <f>((SUBSIDIO!$L$19*SUBSIDIO!$W$19)+(SUBSIDIO!$N$19*SUBSIDIO!$X$19))*(0.06)/(1-0.06)</f>
        <v>421.44162720000003</v>
      </c>
      <c r="AD19" s="96">
        <f ca="1">(SUBSIDIO!$J$19*SUBSIDIO!$Y$19)*(0.03)/(1-0.03)</f>
        <v>160.76309260431444</v>
      </c>
      <c r="AE19" s="96">
        <f ca="1">((SUBSIDIO!$L$19*SUBSIDIO!$Z$19)+(SUBSIDIO!$N$19*SUBSIDIO!$AA$19))*(0.03)/(1-0.03)</f>
        <v>180.94995389143233</v>
      </c>
      <c r="AF19" s="4" t="s">
        <v>646</v>
      </c>
    </row>
    <row r="20" spans="1:32" ht="11.25" customHeight="1" x14ac:dyDescent="0.25">
      <c r="A20" s="4" t="s">
        <v>21</v>
      </c>
      <c r="B20" s="4" t="s">
        <v>38</v>
      </c>
      <c r="C20" s="4" t="s">
        <v>50</v>
      </c>
      <c r="D20" s="4" t="s">
        <v>48</v>
      </c>
      <c r="E20" s="4" t="s">
        <v>49</v>
      </c>
      <c r="F20" s="4" t="s">
        <v>25</v>
      </c>
      <c r="G20" s="4" t="s">
        <v>25</v>
      </c>
      <c r="H20" s="4" t="s">
        <v>33</v>
      </c>
      <c r="I20" s="5">
        <v>44562</v>
      </c>
      <c r="J20" s="6">
        <v>245</v>
      </c>
      <c r="K20" s="97">
        <v>245</v>
      </c>
      <c r="L20" s="6">
        <v>11.095000000000001</v>
      </c>
      <c r="M20" s="96">
        <v>11.095000000000001</v>
      </c>
      <c r="N20" s="6">
        <v>11.095000000000001</v>
      </c>
      <c r="O20" s="96">
        <v>11.095000000000001</v>
      </c>
      <c r="P20" s="6">
        <v>0</v>
      </c>
      <c r="Q20" s="4" t="s">
        <v>26</v>
      </c>
      <c r="R20" s="4">
        <v>0</v>
      </c>
      <c r="S20" s="4">
        <v>1</v>
      </c>
      <c r="T20" s="4">
        <v>11</v>
      </c>
      <c r="U20" s="4">
        <v>66</v>
      </c>
      <c r="V20" s="96">
        <f>IF(ISERROR(VLOOKUP($S$20,'TAR FIN'!$A$1:$O$86,15,0)),0,VLOOKUP($S$20,'TAR FIN'!$A$1:$O$86,15,0))*(1-0.06)</f>
        <v>20.303999999999998</v>
      </c>
      <c r="W20" s="96">
        <f>IF(ISERROR(VLOOKUP($T$20,'TAR FIN'!$A$1:$O$86,15,0)),0,VLOOKUP($T$20,'TAR FIN'!$A$1:$O$86,15,0))*(1-0.06)</f>
        <v>66.984400000000008</v>
      </c>
      <c r="X20" s="96">
        <f>IF(ISERROR(VLOOKUP($U$20,'TAR FIN'!$A$1:$O$86,15,0)),0,VLOOKUP($U$20,'TAR FIN'!$A$1:$O$86,15,0))*(1-0.06)</f>
        <v>473.59079999999994</v>
      </c>
      <c r="Y20" s="96">
        <f ca="1">('TUSD BE'!$AM$5+'TUSD BF'!$AM$5+'TUSD CVA'!$AM$5)*1*(1-0.03)</f>
        <v>21.2163537178483</v>
      </c>
      <c r="Z20" s="96">
        <f ca="1">('TUSD BE'!$AM$7+'TUSD BF'!$AM$7+'TUSD CVA'!$AM$7)*1*(1-0.03)</f>
        <v>92.9409846595331</v>
      </c>
      <c r="AA20" s="96">
        <f>('TE BE'!$AB$5+'TE BF'!$AB$5+'TE CVA'!$AB$5)*1*(1-0.03)</f>
        <v>386.0761412470477</v>
      </c>
      <c r="AB20" s="96">
        <f>(SUBSIDIO!$J$20*SUBSIDIO!$V$20)*(0.06)/(1-0.06)</f>
        <v>317.52</v>
      </c>
      <c r="AC20" s="96">
        <f>((SUBSIDIO!$L$20*SUBSIDIO!$W$20)+(SUBSIDIO!$N$20*SUBSIDIO!$X$20))*(0.06)/(1-0.06)</f>
        <v>382.83075600000001</v>
      </c>
      <c r="AD20" s="96">
        <f ca="1">(SUBSIDIO!$J$20*SUBSIDIO!$Y$20)*(0.03)/(1-0.03)</f>
        <v>160.76309260431444</v>
      </c>
      <c r="AE20" s="96">
        <f ca="1">((SUBSIDIO!$L$20*SUBSIDIO!$Z$20)+(SUBSIDIO!$N$20*SUBSIDIO!$AA$20))*(0.03)/(1-0.03)</f>
        <v>164.37201067835613</v>
      </c>
      <c r="AF20" s="4" t="s">
        <v>646</v>
      </c>
    </row>
    <row r="21" spans="1:32" ht="11.25" customHeight="1" x14ac:dyDescent="0.25">
      <c r="A21" s="4" t="s">
        <v>21</v>
      </c>
      <c r="B21" s="4" t="s">
        <v>38</v>
      </c>
      <c r="C21" s="4" t="s">
        <v>50</v>
      </c>
      <c r="D21" s="4" t="s">
        <v>48</v>
      </c>
      <c r="E21" s="4" t="s">
        <v>49</v>
      </c>
      <c r="F21" s="4" t="s">
        <v>25</v>
      </c>
      <c r="G21" s="4" t="s">
        <v>25</v>
      </c>
      <c r="H21" s="4" t="s">
        <v>33</v>
      </c>
      <c r="I21" s="5">
        <v>44593</v>
      </c>
      <c r="J21" s="6">
        <v>245</v>
      </c>
      <c r="K21" s="97">
        <v>245</v>
      </c>
      <c r="L21" s="6">
        <v>10.555</v>
      </c>
      <c r="M21" s="96">
        <v>10.555</v>
      </c>
      <c r="N21" s="6">
        <v>10.555</v>
      </c>
      <c r="O21" s="96">
        <v>10.555</v>
      </c>
      <c r="P21" s="6">
        <v>0</v>
      </c>
      <c r="Q21" s="4" t="s">
        <v>26</v>
      </c>
      <c r="R21" s="4">
        <v>0</v>
      </c>
      <c r="S21" s="4">
        <v>1</v>
      </c>
      <c r="T21" s="4">
        <v>11</v>
      </c>
      <c r="U21" s="4">
        <v>66</v>
      </c>
      <c r="V21" s="96">
        <f>IF(ISERROR(VLOOKUP($S$21,'TAR FIN'!$A$1:$O$86,15,0)),0,VLOOKUP($S$21,'TAR FIN'!$A$1:$O$86,15,0))*(1-0.06)</f>
        <v>20.303999999999998</v>
      </c>
      <c r="W21" s="96">
        <f>IF(ISERROR(VLOOKUP($T$21,'TAR FIN'!$A$1:$O$86,15,0)),0,VLOOKUP($T$21,'TAR FIN'!$A$1:$O$86,15,0))*(1-0.06)</f>
        <v>66.984400000000008</v>
      </c>
      <c r="X21" s="96">
        <f>IF(ISERROR(VLOOKUP($U$21,'TAR FIN'!$A$1:$O$86,15,0)),0,VLOOKUP($U$21,'TAR FIN'!$A$1:$O$86,15,0))*(1-0.06)</f>
        <v>473.59079999999994</v>
      </c>
      <c r="Y21" s="96">
        <f ca="1">('TUSD BE'!$AM$5+'TUSD BF'!$AM$5+'TUSD CVA'!$AM$5)*1*(1-0.03)</f>
        <v>21.2163537178483</v>
      </c>
      <c r="Z21" s="96">
        <f ca="1">('TUSD BE'!$AM$7+'TUSD BF'!$AM$7+'TUSD CVA'!$AM$7)*1*(1-0.03)</f>
        <v>92.9409846595331</v>
      </c>
      <c r="AA21" s="96">
        <f>('TE BE'!$AB$5+'TE BF'!$AB$5+'TE CVA'!$AB$5)*1*(1-0.03)</f>
        <v>386.0761412470477</v>
      </c>
      <c r="AB21" s="96">
        <f>(SUBSIDIO!$J$21*SUBSIDIO!$V$21)*(0.06)/(1-0.06)</f>
        <v>317.52</v>
      </c>
      <c r="AC21" s="96">
        <f>((SUBSIDIO!$L$21*SUBSIDIO!$W$21)+(SUBSIDIO!$N$21*SUBSIDIO!$X$21))*(0.06)/(1-0.06)</f>
        <v>364.19816399999991</v>
      </c>
      <c r="AD21" s="96">
        <f ca="1">(SUBSIDIO!$J$21*SUBSIDIO!$Y$21)*(0.03)/(1-0.03)</f>
        <v>160.76309260431444</v>
      </c>
      <c r="AE21" s="96">
        <f ca="1">((SUBSIDIO!$L$21*SUBSIDIO!$Z$21)+(SUBSIDIO!$N$21*SUBSIDIO!$AA$21))*(0.03)/(1-0.03)</f>
        <v>156.37193084362764</v>
      </c>
      <c r="AF21" s="4" t="s">
        <v>646</v>
      </c>
    </row>
    <row r="22" spans="1:32" ht="11.25" customHeight="1" x14ac:dyDescent="0.25">
      <c r="A22" s="4" t="s">
        <v>21</v>
      </c>
      <c r="B22" s="4" t="s">
        <v>38</v>
      </c>
      <c r="C22" s="4" t="s">
        <v>50</v>
      </c>
      <c r="D22" s="4" t="s">
        <v>48</v>
      </c>
      <c r="E22" s="4" t="s">
        <v>49</v>
      </c>
      <c r="F22" s="4" t="s">
        <v>25</v>
      </c>
      <c r="G22" s="4" t="s">
        <v>25</v>
      </c>
      <c r="H22" s="4" t="s">
        <v>33</v>
      </c>
      <c r="I22" s="5">
        <v>44621</v>
      </c>
      <c r="J22" s="6">
        <v>245</v>
      </c>
      <c r="K22" s="97">
        <v>245</v>
      </c>
      <c r="L22" s="6">
        <v>12.113</v>
      </c>
      <c r="M22" s="96">
        <v>12.113</v>
      </c>
      <c r="N22" s="6">
        <v>12.113</v>
      </c>
      <c r="O22" s="96">
        <v>12.113</v>
      </c>
      <c r="P22" s="6">
        <v>0</v>
      </c>
      <c r="Q22" s="4" t="s">
        <v>26</v>
      </c>
      <c r="R22" s="4">
        <v>0</v>
      </c>
      <c r="S22" s="4">
        <v>1</v>
      </c>
      <c r="T22" s="4">
        <v>11</v>
      </c>
      <c r="U22" s="4">
        <v>66</v>
      </c>
      <c r="V22" s="96">
        <f>IF(ISERROR(VLOOKUP($S$22,'TAR FIN'!$A$1:$O$86,15,0)),0,VLOOKUP($S$22,'TAR FIN'!$A$1:$O$86,15,0))*(1-0.06)</f>
        <v>20.303999999999998</v>
      </c>
      <c r="W22" s="96">
        <f>IF(ISERROR(VLOOKUP($T$22,'TAR FIN'!$A$1:$O$86,15,0)),0,VLOOKUP($T$22,'TAR FIN'!$A$1:$O$86,15,0))*(1-0.06)</f>
        <v>66.984400000000008</v>
      </c>
      <c r="X22" s="96">
        <f>IF(ISERROR(VLOOKUP($U$22,'TAR FIN'!$A$1:$O$86,15,0)),0,VLOOKUP($U$22,'TAR FIN'!$A$1:$O$86,15,0))*(1-0.06)</f>
        <v>473.59079999999994</v>
      </c>
      <c r="Y22" s="96">
        <f ca="1">('TUSD BE'!$AM$5+'TUSD BF'!$AM$5+'TUSD CVA'!$AM$5)*1*(1-0.03)</f>
        <v>21.2163537178483</v>
      </c>
      <c r="Z22" s="96">
        <f ca="1">('TUSD BE'!$AM$7+'TUSD BF'!$AM$7+'TUSD CVA'!$AM$7)*1*(1-0.03)</f>
        <v>92.9409846595331</v>
      </c>
      <c r="AA22" s="96">
        <f>('TE BE'!$AB$5+'TE BF'!$AB$5+'TE CVA'!$AB$5)*1*(1-0.03)</f>
        <v>386.0761412470477</v>
      </c>
      <c r="AB22" s="96">
        <f>(SUBSIDIO!$J$22*SUBSIDIO!$V$22)*(0.06)/(1-0.06)</f>
        <v>317.52</v>
      </c>
      <c r="AC22" s="96">
        <f>((SUBSIDIO!$L$22*SUBSIDIO!$W$22)+(SUBSIDIO!$N$22*SUBSIDIO!$X$22))*(0.06)/(1-0.06)</f>
        <v>417.95664239999991</v>
      </c>
      <c r="AD22" s="96">
        <f ca="1">(SUBSIDIO!$J$22*SUBSIDIO!$Y$22)*(0.03)/(1-0.03)</f>
        <v>160.76309260431444</v>
      </c>
      <c r="AE22" s="96">
        <f ca="1">((SUBSIDIO!$L$22*SUBSIDIO!$Z$22)+(SUBSIDIO!$N$22*SUBSIDIO!$AA$22))*(0.03)/(1-0.03)</f>
        <v>179.45364266308493</v>
      </c>
      <c r="AF22" s="4" t="s">
        <v>646</v>
      </c>
    </row>
    <row r="23" spans="1:32" ht="11.25" customHeight="1" x14ac:dyDescent="0.25">
      <c r="A23" s="4" t="s">
        <v>21</v>
      </c>
      <c r="B23" s="4" t="s">
        <v>38</v>
      </c>
      <c r="C23" s="4" t="s">
        <v>50</v>
      </c>
      <c r="D23" s="4" t="s">
        <v>48</v>
      </c>
      <c r="E23" s="4" t="s">
        <v>49</v>
      </c>
      <c r="F23" s="4" t="s">
        <v>25</v>
      </c>
      <c r="G23" s="4" t="s">
        <v>25</v>
      </c>
      <c r="H23" s="4" t="s">
        <v>33</v>
      </c>
      <c r="I23" s="5">
        <v>44652</v>
      </c>
      <c r="J23" s="6">
        <v>245</v>
      </c>
      <c r="K23" s="97">
        <v>245</v>
      </c>
      <c r="L23" s="6">
        <v>9.4809999999999999</v>
      </c>
      <c r="M23" s="96">
        <v>9.4809999999999999</v>
      </c>
      <c r="N23" s="6">
        <v>9.4809999999999999</v>
      </c>
      <c r="O23" s="96">
        <v>9.4809999999999999</v>
      </c>
      <c r="P23" s="6">
        <v>0</v>
      </c>
      <c r="Q23" s="4" t="s">
        <v>26</v>
      </c>
      <c r="R23" s="4">
        <v>0</v>
      </c>
      <c r="S23" s="4">
        <v>1</v>
      </c>
      <c r="T23" s="4">
        <v>11</v>
      </c>
      <c r="U23" s="4">
        <v>66</v>
      </c>
      <c r="V23" s="96">
        <f>IF(ISERROR(VLOOKUP($S$23,'TAR FIN'!$A$1:$O$86,15,0)),0,VLOOKUP($S$23,'TAR FIN'!$A$1:$O$86,15,0))*(1-0.06)</f>
        <v>20.303999999999998</v>
      </c>
      <c r="W23" s="96">
        <f>IF(ISERROR(VLOOKUP($T$23,'TAR FIN'!$A$1:$O$86,15,0)),0,VLOOKUP($T$23,'TAR FIN'!$A$1:$O$86,15,0))*(1-0.06)</f>
        <v>66.984400000000008</v>
      </c>
      <c r="X23" s="96">
        <f>IF(ISERROR(VLOOKUP($U$23,'TAR FIN'!$A$1:$O$86,15,0)),0,VLOOKUP($U$23,'TAR FIN'!$A$1:$O$86,15,0))*(1-0.06)</f>
        <v>473.59079999999994</v>
      </c>
      <c r="Y23" s="96">
        <f ca="1">('TUSD BE'!$AM$5+'TUSD BF'!$AM$5+'TUSD CVA'!$AM$5)*1*(1-0.03)</f>
        <v>21.2163537178483</v>
      </c>
      <c r="Z23" s="96">
        <f ca="1">('TUSD BE'!$AM$7+'TUSD BF'!$AM$7+'TUSD CVA'!$AM$7)*1*(1-0.03)</f>
        <v>92.9409846595331</v>
      </c>
      <c r="AA23" s="96">
        <f>('TE BE'!$AB$5+'TE BF'!$AB$5+'TE CVA'!$AB$5)*1*(1-0.03)</f>
        <v>386.0761412470477</v>
      </c>
      <c r="AB23" s="96">
        <f>(SUBSIDIO!$J$23*SUBSIDIO!$V$23)*(0.06)/(1-0.06)</f>
        <v>317.52</v>
      </c>
      <c r="AC23" s="96">
        <f>((SUBSIDIO!$L$23*SUBSIDIO!$W$23)+(SUBSIDIO!$N$23*SUBSIDIO!$X$23))*(0.06)/(1-0.06)</f>
        <v>327.14000879999992</v>
      </c>
      <c r="AD23" s="96">
        <f ca="1">(SUBSIDIO!$J$23*SUBSIDIO!$Y$23)*(0.03)/(1-0.03)</f>
        <v>160.76309260431444</v>
      </c>
      <c r="AE23" s="96">
        <f ca="1">((SUBSIDIO!$L$23*SUBSIDIO!$Z$23)+(SUBSIDIO!$N$23*SUBSIDIO!$AA$23))*(0.03)/(1-0.03)</f>
        <v>140.46066095011213</v>
      </c>
      <c r="AF23" s="4" t="s">
        <v>646</v>
      </c>
    </row>
    <row r="24" spans="1:32" ht="11.25" customHeight="1" x14ac:dyDescent="0.25">
      <c r="A24" s="4" t="s">
        <v>21</v>
      </c>
      <c r="B24" s="4" t="s">
        <v>38</v>
      </c>
      <c r="C24" s="4" t="s">
        <v>50</v>
      </c>
      <c r="D24" s="4" t="s">
        <v>48</v>
      </c>
      <c r="E24" s="4" t="s">
        <v>49</v>
      </c>
      <c r="F24" s="4" t="s">
        <v>25</v>
      </c>
      <c r="G24" s="4" t="s">
        <v>25</v>
      </c>
      <c r="H24" s="4" t="s">
        <v>33</v>
      </c>
      <c r="I24" s="5">
        <v>44682</v>
      </c>
      <c r="J24" s="6">
        <v>245</v>
      </c>
      <c r="K24" s="97">
        <v>245</v>
      </c>
      <c r="L24" s="6">
        <v>11.755000000000001</v>
      </c>
      <c r="M24" s="96">
        <v>11.755000000000001</v>
      </c>
      <c r="N24" s="6">
        <v>11.755000000000001</v>
      </c>
      <c r="O24" s="96">
        <v>11.755000000000001</v>
      </c>
      <c r="P24" s="6">
        <v>0</v>
      </c>
      <c r="Q24" s="4" t="s">
        <v>26</v>
      </c>
      <c r="R24" s="4">
        <v>0</v>
      </c>
      <c r="S24" s="4">
        <v>1</v>
      </c>
      <c r="T24" s="4">
        <v>11</v>
      </c>
      <c r="U24" s="4">
        <v>66</v>
      </c>
      <c r="V24" s="96">
        <f>IF(ISERROR(VLOOKUP($S$24,'TAR FIN'!$A$1:$O$86,15,0)),0,VLOOKUP($S$24,'TAR FIN'!$A$1:$O$86,15,0))*(1-0.06)</f>
        <v>20.303999999999998</v>
      </c>
      <c r="W24" s="96">
        <f>IF(ISERROR(VLOOKUP($T$24,'TAR FIN'!$A$1:$O$86,15,0)),0,VLOOKUP($T$24,'TAR FIN'!$A$1:$O$86,15,0))*(1-0.06)</f>
        <v>66.984400000000008</v>
      </c>
      <c r="X24" s="96">
        <f>IF(ISERROR(VLOOKUP($U$24,'TAR FIN'!$A$1:$O$86,15,0)),0,VLOOKUP($U$24,'TAR FIN'!$A$1:$O$86,15,0))*(1-0.06)</f>
        <v>473.59079999999994</v>
      </c>
      <c r="Y24" s="96">
        <f ca="1">('TUSD BE'!$AM$5+'TUSD BF'!$AM$5+'TUSD CVA'!$AM$5)*1*(1-0.03)</f>
        <v>21.2163537178483</v>
      </c>
      <c r="Z24" s="96">
        <f ca="1">('TUSD BE'!$AM$7+'TUSD BF'!$AM$7+'TUSD CVA'!$AM$7)*1*(1-0.03)</f>
        <v>92.9409846595331</v>
      </c>
      <c r="AA24" s="96">
        <f>('TE BE'!$AB$5+'TE BF'!$AB$5+'TE CVA'!$AB$5)*1*(1-0.03)</f>
        <v>386.0761412470477</v>
      </c>
      <c r="AB24" s="96">
        <f>(SUBSIDIO!$J$24*SUBSIDIO!$V$24)*(0.06)/(1-0.06)</f>
        <v>317.52</v>
      </c>
      <c r="AC24" s="96">
        <f>((SUBSIDIO!$L$24*SUBSIDIO!$W$24)+(SUBSIDIO!$N$24*SUBSIDIO!$X$24))*(0.06)/(1-0.06)</f>
        <v>405.60392400000001</v>
      </c>
      <c r="AD24" s="96">
        <f ca="1">(SUBSIDIO!$J$24*SUBSIDIO!$Y$24)*(0.03)/(1-0.03)</f>
        <v>160.76309260431444</v>
      </c>
      <c r="AE24" s="96">
        <f ca="1">((SUBSIDIO!$L$24*SUBSIDIO!$Z$24)+(SUBSIDIO!$N$24*SUBSIDIO!$AA$24))*(0.03)/(1-0.03)</f>
        <v>174.14988603191316</v>
      </c>
      <c r="AF24" s="4" t="s">
        <v>646</v>
      </c>
    </row>
    <row r="25" spans="1:32" ht="11.25" customHeight="1" x14ac:dyDescent="0.25">
      <c r="A25" s="4" t="s">
        <v>55</v>
      </c>
      <c r="B25" s="4" t="s">
        <v>38</v>
      </c>
      <c r="C25" s="4" t="s">
        <v>50</v>
      </c>
      <c r="D25" s="4" t="s">
        <v>48</v>
      </c>
      <c r="E25" s="4" t="s">
        <v>49</v>
      </c>
      <c r="F25" s="4" t="s">
        <v>25</v>
      </c>
      <c r="G25" s="4" t="s">
        <v>25</v>
      </c>
      <c r="H25" s="4" t="s">
        <v>33</v>
      </c>
      <c r="I25" s="5">
        <v>44713</v>
      </c>
      <c r="J25" s="6">
        <v>245</v>
      </c>
      <c r="K25" s="97">
        <v>245</v>
      </c>
      <c r="L25" s="6">
        <v>11.755000000000001</v>
      </c>
      <c r="M25" s="96">
        <v>11.755000000000001</v>
      </c>
      <c r="N25" s="6">
        <v>11.755000000000001</v>
      </c>
      <c r="O25" s="96">
        <v>11.755000000000001</v>
      </c>
      <c r="P25" s="6">
        <v>0</v>
      </c>
      <c r="Q25" s="4" t="s">
        <v>26</v>
      </c>
      <c r="R25" s="4">
        <v>0</v>
      </c>
      <c r="S25" s="4">
        <v>1</v>
      </c>
      <c r="T25" s="4">
        <v>11</v>
      </c>
      <c r="U25" s="4">
        <v>66</v>
      </c>
      <c r="V25" s="96">
        <f>IF(ISERROR(VLOOKUP($S$25,'TAR FIN'!$A$1:$O$86,15,0)),0,VLOOKUP($S$25,'TAR FIN'!$A$1:$O$86,15,0))*(1-0.06)</f>
        <v>20.303999999999998</v>
      </c>
      <c r="W25" s="96">
        <f>IF(ISERROR(VLOOKUP($T$25,'TAR FIN'!$A$1:$O$86,15,0)),0,VLOOKUP($T$25,'TAR FIN'!$A$1:$O$86,15,0))*(1-0.06)</f>
        <v>66.984400000000008</v>
      </c>
      <c r="X25" s="96">
        <f>IF(ISERROR(VLOOKUP($U$25,'TAR FIN'!$A$1:$O$86,15,0)),0,VLOOKUP($U$25,'TAR FIN'!$A$1:$O$86,15,0))*(1-0.06)</f>
        <v>473.59079999999994</v>
      </c>
      <c r="Y25" s="96">
        <f ca="1">('TUSD BE'!$AM$5+'TUSD BF'!$AM$5+'TUSD CVA'!$AM$5)*1*(1-0.03)</f>
        <v>21.2163537178483</v>
      </c>
      <c r="Z25" s="96">
        <f ca="1">('TUSD BE'!$AM$7+'TUSD BF'!$AM$7+'TUSD CVA'!$AM$7)*1*(1-0.03)</f>
        <v>92.9409846595331</v>
      </c>
      <c r="AA25" s="96">
        <f>('TE BE'!$AB$5+'TE BF'!$AB$5+'TE CVA'!$AB$5)*1*(1-0.03)</f>
        <v>386.0761412470477</v>
      </c>
      <c r="AB25" s="96">
        <f>(SUBSIDIO!$J$25*SUBSIDIO!$V$25)*(0.06)/(1-0.06)</f>
        <v>317.52</v>
      </c>
      <c r="AC25" s="96">
        <f>((SUBSIDIO!$L$25*SUBSIDIO!$W$25)+(SUBSIDIO!$N$25*SUBSIDIO!$X$25))*(0.06)/(1-0.06)</f>
        <v>405.60392400000001</v>
      </c>
      <c r="AD25" s="96">
        <f ca="1">(SUBSIDIO!$J$25*SUBSIDIO!$Y$25)*(0.03)/(1-0.03)</f>
        <v>160.76309260431444</v>
      </c>
      <c r="AE25" s="96">
        <f ca="1">((SUBSIDIO!$L$25*SUBSIDIO!$Z$25)+(SUBSIDIO!$N$25*SUBSIDIO!$AA$25))*(0.03)/(1-0.03)</f>
        <v>174.14988603191316</v>
      </c>
      <c r="AF25" s="4" t="s">
        <v>646</v>
      </c>
    </row>
    <row r="26" spans="1:32" ht="11.25" customHeight="1" x14ac:dyDescent="0.25">
      <c r="A26" s="4" t="s">
        <v>21</v>
      </c>
      <c r="B26" s="4" t="s">
        <v>38</v>
      </c>
      <c r="C26" s="4" t="s">
        <v>58</v>
      </c>
      <c r="D26" s="4" t="s">
        <v>25</v>
      </c>
      <c r="E26" s="4" t="s">
        <v>25</v>
      </c>
      <c r="F26" s="4" t="s">
        <v>25</v>
      </c>
      <c r="G26" s="4" t="s">
        <v>59</v>
      </c>
      <c r="H26" s="4" t="s">
        <v>25</v>
      </c>
      <c r="I26" s="5">
        <v>44378</v>
      </c>
      <c r="J26" s="6">
        <v>900</v>
      </c>
      <c r="K26" s="6">
        <v>450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60</v>
      </c>
      <c r="R26" s="4">
        <v>30634</v>
      </c>
      <c r="S26" s="4">
        <v>5</v>
      </c>
      <c r="T26" s="4">
        <v>0</v>
      </c>
      <c r="U26" s="4">
        <v>0</v>
      </c>
      <c r="V26" s="6">
        <f>IF(ISERROR(VLOOKUP($S$26,'TAR FIN'!$A$1:$O$86,15,0)),0,VLOOKUP($S$26,'TAR FIN'!$A$1:$O$86,15,0))</f>
        <v>5.65</v>
      </c>
      <c r="W26" s="6">
        <f>IF(ISERROR(VLOOKUP($T$26,'TAR FIN'!$A$1:$O$86,15,0)),0,VLOOKUP($T$26,'TAR FIN'!$A$1:$O$86,15,0))</f>
        <v>0</v>
      </c>
      <c r="X26" s="6">
        <f>IF(ISERROR(VLOOKUP($U$26,'TAR FIN'!$A$1:$O$86,15,0)),0,VLOOKUP($U$26,'TAR FIN'!$A$1:$O$86,15,0))</f>
        <v>0</v>
      </c>
      <c r="Y26" s="6">
        <f ca="1">('TUSD BE'!$AM$9+'TUSD BF'!$AM$9+'TUSD CVA'!$AM$9)*1</f>
        <v>5.5779170347181353</v>
      </c>
      <c r="Z26" s="6"/>
      <c r="AA26" s="6"/>
      <c r="AB26" s="6">
        <f t="shared" ref="AB26:AB65" si="2">(J26-K26)*V26</f>
        <v>2542.5</v>
      </c>
      <c r="AC26" s="6">
        <f t="shared" ref="AC26:AC33" si="3">(L26-M26)*W26+(N26-O26)*X26</f>
        <v>0</v>
      </c>
      <c r="AD26" s="6">
        <f t="shared" ref="AD26:AD65" ca="1" si="4">(J26-K26)*Y26</f>
        <v>2510.0626656231607</v>
      </c>
      <c r="AE26" s="6">
        <f t="shared" ref="AE26:AE33" si="5">(L26-M26)*Z26+(N26-O26)*AA26</f>
        <v>0</v>
      </c>
      <c r="AF26" s="4" t="s">
        <v>647</v>
      </c>
    </row>
    <row r="27" spans="1:32" ht="11.25" customHeight="1" x14ac:dyDescent="0.25">
      <c r="A27" s="4" t="s">
        <v>21</v>
      </c>
      <c r="B27" s="4" t="s">
        <v>38</v>
      </c>
      <c r="C27" s="4" t="s">
        <v>58</v>
      </c>
      <c r="D27" s="4" t="s">
        <v>25</v>
      </c>
      <c r="E27" s="4" t="s">
        <v>25</v>
      </c>
      <c r="F27" s="4" t="s">
        <v>25</v>
      </c>
      <c r="G27" s="4" t="s">
        <v>61</v>
      </c>
      <c r="H27" s="4" t="s">
        <v>25</v>
      </c>
      <c r="I27" s="5">
        <v>44378</v>
      </c>
      <c r="J27" s="6">
        <v>780</v>
      </c>
      <c r="K27" s="6">
        <v>390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60</v>
      </c>
      <c r="R27" s="4">
        <v>2430</v>
      </c>
      <c r="S27" s="4">
        <v>5</v>
      </c>
      <c r="T27" s="4">
        <v>0</v>
      </c>
      <c r="U27" s="4">
        <v>0</v>
      </c>
      <c r="V27" s="6">
        <f>IF(ISERROR(VLOOKUP($S$27,'TAR FIN'!$A$1:$O$86,15,0)),0,VLOOKUP($S$27,'TAR FIN'!$A$1:$O$86,15,0))</f>
        <v>5.65</v>
      </c>
      <c r="W27" s="6">
        <f>IF(ISERROR(VLOOKUP($T$27,'TAR FIN'!$A$1:$O$86,15,0)),0,VLOOKUP($T$27,'TAR FIN'!$A$1:$O$86,15,0))</f>
        <v>0</v>
      </c>
      <c r="X27" s="6">
        <f>IF(ISERROR(VLOOKUP($U$27,'TAR FIN'!$A$1:$O$86,15,0)),0,VLOOKUP($U$27,'TAR FIN'!$A$1:$O$86,15,0))</f>
        <v>0</v>
      </c>
      <c r="Y27" s="6">
        <f ca="1">('TUSD BE'!$AM$9+'TUSD BF'!$AM$9+'TUSD CVA'!$AM$9)*1</f>
        <v>5.5779170347181353</v>
      </c>
      <c r="Z27" s="6"/>
      <c r="AA27" s="6"/>
      <c r="AB27" s="6">
        <f t="shared" si="2"/>
        <v>2203.5</v>
      </c>
      <c r="AC27" s="6">
        <f t="shared" si="3"/>
        <v>0</v>
      </c>
      <c r="AD27" s="6">
        <f t="shared" ca="1" si="4"/>
        <v>2175.3876435400725</v>
      </c>
      <c r="AE27" s="6">
        <f t="shared" si="5"/>
        <v>0</v>
      </c>
      <c r="AF27" s="4" t="s">
        <v>647</v>
      </c>
    </row>
    <row r="28" spans="1:32" ht="11.25" customHeight="1" x14ac:dyDescent="0.25">
      <c r="A28" s="4" t="s">
        <v>21</v>
      </c>
      <c r="B28" s="4" t="s">
        <v>38</v>
      </c>
      <c r="C28" s="4" t="s">
        <v>58</v>
      </c>
      <c r="D28" s="4" t="s">
        <v>25</v>
      </c>
      <c r="E28" s="4" t="s">
        <v>25</v>
      </c>
      <c r="F28" s="4" t="s">
        <v>25</v>
      </c>
      <c r="G28" s="4" t="s">
        <v>59</v>
      </c>
      <c r="H28" s="4" t="s">
        <v>25</v>
      </c>
      <c r="I28" s="5">
        <v>44409</v>
      </c>
      <c r="J28" s="6">
        <v>900</v>
      </c>
      <c r="K28" s="6">
        <v>450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60</v>
      </c>
      <c r="R28" s="4">
        <v>30634</v>
      </c>
      <c r="S28" s="4">
        <v>5</v>
      </c>
      <c r="T28" s="4">
        <v>0</v>
      </c>
      <c r="U28" s="4">
        <v>0</v>
      </c>
      <c r="V28" s="6">
        <f>IF(ISERROR(VLOOKUP($S$28,'TAR FIN'!$A$1:$O$86,15,0)),0,VLOOKUP($S$28,'TAR FIN'!$A$1:$O$86,15,0))</f>
        <v>5.65</v>
      </c>
      <c r="W28" s="6">
        <f>IF(ISERROR(VLOOKUP($T$28,'TAR FIN'!$A$1:$O$86,15,0)),0,VLOOKUP($T$28,'TAR FIN'!$A$1:$O$86,15,0))</f>
        <v>0</v>
      </c>
      <c r="X28" s="6">
        <f>IF(ISERROR(VLOOKUP($U$28,'TAR FIN'!$A$1:$O$86,15,0)),0,VLOOKUP($U$28,'TAR FIN'!$A$1:$O$86,15,0))</f>
        <v>0</v>
      </c>
      <c r="Y28" s="6">
        <f ca="1">('TUSD BE'!$AM$9+'TUSD BF'!$AM$9+'TUSD CVA'!$AM$9)*1</f>
        <v>5.5779170347181353</v>
      </c>
      <c r="Z28" s="6"/>
      <c r="AA28" s="6"/>
      <c r="AB28" s="6">
        <f t="shared" si="2"/>
        <v>2542.5</v>
      </c>
      <c r="AC28" s="6">
        <f t="shared" si="3"/>
        <v>0</v>
      </c>
      <c r="AD28" s="6">
        <f t="shared" ca="1" si="4"/>
        <v>2510.0626656231607</v>
      </c>
      <c r="AE28" s="6">
        <f t="shared" si="5"/>
        <v>0</v>
      </c>
      <c r="AF28" s="4" t="s">
        <v>647</v>
      </c>
    </row>
    <row r="29" spans="1:32" ht="11.25" customHeight="1" x14ac:dyDescent="0.25">
      <c r="A29" s="4" t="s">
        <v>21</v>
      </c>
      <c r="B29" s="4" t="s">
        <v>38</v>
      </c>
      <c r="C29" s="4" t="s">
        <v>58</v>
      </c>
      <c r="D29" s="4" t="s">
        <v>25</v>
      </c>
      <c r="E29" s="4" t="s">
        <v>25</v>
      </c>
      <c r="F29" s="4" t="s">
        <v>25</v>
      </c>
      <c r="G29" s="4" t="s">
        <v>61</v>
      </c>
      <c r="H29" s="4" t="s">
        <v>25</v>
      </c>
      <c r="I29" s="5">
        <v>44409</v>
      </c>
      <c r="J29" s="6">
        <v>780</v>
      </c>
      <c r="K29" s="6">
        <v>390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60</v>
      </c>
      <c r="R29" s="4">
        <v>2430</v>
      </c>
      <c r="S29" s="4">
        <v>5</v>
      </c>
      <c r="T29" s="4">
        <v>0</v>
      </c>
      <c r="U29" s="4">
        <v>0</v>
      </c>
      <c r="V29" s="6">
        <f>IF(ISERROR(VLOOKUP($S$29,'TAR FIN'!$A$1:$O$86,15,0)),0,VLOOKUP($S$29,'TAR FIN'!$A$1:$O$86,15,0))</f>
        <v>5.65</v>
      </c>
      <c r="W29" s="6">
        <f>IF(ISERROR(VLOOKUP($T$29,'TAR FIN'!$A$1:$O$86,15,0)),0,VLOOKUP($T$29,'TAR FIN'!$A$1:$O$86,15,0))</f>
        <v>0</v>
      </c>
      <c r="X29" s="6">
        <f>IF(ISERROR(VLOOKUP($U$29,'TAR FIN'!$A$1:$O$86,15,0)),0,VLOOKUP($U$29,'TAR FIN'!$A$1:$O$86,15,0))</f>
        <v>0</v>
      </c>
      <c r="Y29" s="6">
        <f ca="1">('TUSD BE'!$AM$9+'TUSD BF'!$AM$9+'TUSD CVA'!$AM$9)*1</f>
        <v>5.5779170347181353</v>
      </c>
      <c r="Z29" s="6"/>
      <c r="AA29" s="6"/>
      <c r="AB29" s="6">
        <f t="shared" si="2"/>
        <v>2203.5</v>
      </c>
      <c r="AC29" s="6">
        <f t="shared" si="3"/>
        <v>0</v>
      </c>
      <c r="AD29" s="6">
        <f t="shared" ca="1" si="4"/>
        <v>2175.3876435400725</v>
      </c>
      <c r="AE29" s="6">
        <f t="shared" si="5"/>
        <v>0</v>
      </c>
      <c r="AF29" s="4" t="s">
        <v>647</v>
      </c>
    </row>
    <row r="30" spans="1:32" ht="11.25" customHeight="1" x14ac:dyDescent="0.25">
      <c r="A30" s="4" t="s">
        <v>21</v>
      </c>
      <c r="B30" s="4" t="s">
        <v>38</v>
      </c>
      <c r="C30" s="4" t="s">
        <v>58</v>
      </c>
      <c r="D30" s="4" t="s">
        <v>25</v>
      </c>
      <c r="E30" s="4" t="s">
        <v>25</v>
      </c>
      <c r="F30" s="4" t="s">
        <v>25</v>
      </c>
      <c r="G30" s="4" t="s">
        <v>59</v>
      </c>
      <c r="H30" s="4" t="s">
        <v>25</v>
      </c>
      <c r="I30" s="5">
        <v>44440</v>
      </c>
      <c r="J30" s="6">
        <v>961</v>
      </c>
      <c r="K30" s="6">
        <v>480.5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60</v>
      </c>
      <c r="R30" s="4">
        <v>30634</v>
      </c>
      <c r="S30" s="4">
        <v>5</v>
      </c>
      <c r="T30" s="4">
        <v>0</v>
      </c>
      <c r="U30" s="4">
        <v>0</v>
      </c>
      <c r="V30" s="6">
        <f>IF(ISERROR(VLOOKUP($S$30,'TAR FIN'!$A$1:$O$86,15,0)),0,VLOOKUP($S$30,'TAR FIN'!$A$1:$O$86,15,0))</f>
        <v>5.65</v>
      </c>
      <c r="W30" s="6">
        <f>IF(ISERROR(VLOOKUP($T$30,'TAR FIN'!$A$1:$O$86,15,0)),0,VLOOKUP($T$30,'TAR FIN'!$A$1:$O$86,15,0))</f>
        <v>0</v>
      </c>
      <c r="X30" s="6">
        <f>IF(ISERROR(VLOOKUP($U$30,'TAR FIN'!$A$1:$O$86,15,0)),0,VLOOKUP($U$30,'TAR FIN'!$A$1:$O$86,15,0))</f>
        <v>0</v>
      </c>
      <c r="Y30" s="6">
        <f ca="1">('TUSD BE'!$AM$9+'TUSD BF'!$AM$9+'TUSD CVA'!$AM$9)*1</f>
        <v>5.5779170347181353</v>
      </c>
      <c r="Z30" s="6"/>
      <c r="AA30" s="6"/>
      <c r="AB30" s="6">
        <f t="shared" si="2"/>
        <v>2714.8250000000003</v>
      </c>
      <c r="AC30" s="6">
        <f t="shared" si="3"/>
        <v>0</v>
      </c>
      <c r="AD30" s="6">
        <f t="shared" ca="1" si="4"/>
        <v>2680.1891351820641</v>
      </c>
      <c r="AE30" s="6">
        <f t="shared" si="5"/>
        <v>0</v>
      </c>
      <c r="AF30" s="4" t="s">
        <v>647</v>
      </c>
    </row>
    <row r="31" spans="1:32" ht="11.25" customHeight="1" x14ac:dyDescent="0.25">
      <c r="A31" s="4" t="s">
        <v>21</v>
      </c>
      <c r="B31" s="4" t="s">
        <v>38</v>
      </c>
      <c r="C31" s="4" t="s">
        <v>58</v>
      </c>
      <c r="D31" s="4" t="s">
        <v>25</v>
      </c>
      <c r="E31" s="4" t="s">
        <v>25</v>
      </c>
      <c r="F31" s="4" t="s">
        <v>25</v>
      </c>
      <c r="G31" s="4" t="s">
        <v>61</v>
      </c>
      <c r="H31" s="4" t="s">
        <v>25</v>
      </c>
      <c r="I31" s="5">
        <v>44440</v>
      </c>
      <c r="J31" s="6">
        <v>780</v>
      </c>
      <c r="K31" s="6">
        <v>390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60</v>
      </c>
      <c r="R31" s="4">
        <v>2430</v>
      </c>
      <c r="S31" s="4">
        <v>5</v>
      </c>
      <c r="T31" s="4">
        <v>0</v>
      </c>
      <c r="U31" s="4">
        <v>0</v>
      </c>
      <c r="V31" s="6">
        <f>IF(ISERROR(VLOOKUP($S$31,'TAR FIN'!$A$1:$O$86,15,0)),0,VLOOKUP($S$31,'TAR FIN'!$A$1:$O$86,15,0))</f>
        <v>5.65</v>
      </c>
      <c r="W31" s="6">
        <f>IF(ISERROR(VLOOKUP($T$31,'TAR FIN'!$A$1:$O$86,15,0)),0,VLOOKUP($T$31,'TAR FIN'!$A$1:$O$86,15,0))</f>
        <v>0</v>
      </c>
      <c r="X31" s="6">
        <f>IF(ISERROR(VLOOKUP($U$31,'TAR FIN'!$A$1:$O$86,15,0)),0,VLOOKUP($U$31,'TAR FIN'!$A$1:$O$86,15,0))</f>
        <v>0</v>
      </c>
      <c r="Y31" s="6">
        <f ca="1">('TUSD BE'!$AM$9+'TUSD BF'!$AM$9+'TUSD CVA'!$AM$9)*1</f>
        <v>5.5779170347181353</v>
      </c>
      <c r="Z31" s="6"/>
      <c r="AA31" s="6"/>
      <c r="AB31" s="6">
        <f t="shared" si="2"/>
        <v>2203.5</v>
      </c>
      <c r="AC31" s="6">
        <f t="shared" si="3"/>
        <v>0</v>
      </c>
      <c r="AD31" s="6">
        <f t="shared" ca="1" si="4"/>
        <v>2175.3876435400725</v>
      </c>
      <c r="AE31" s="6">
        <f t="shared" si="5"/>
        <v>0</v>
      </c>
      <c r="AF31" s="4" t="s">
        <v>647</v>
      </c>
    </row>
    <row r="32" spans="1:32" ht="11.25" customHeight="1" x14ac:dyDescent="0.25">
      <c r="A32" s="4" t="s">
        <v>21</v>
      </c>
      <c r="B32" s="4" t="s">
        <v>38</v>
      </c>
      <c r="C32" s="4" t="s">
        <v>58</v>
      </c>
      <c r="D32" s="4" t="s">
        <v>25</v>
      </c>
      <c r="E32" s="4" t="s">
        <v>25</v>
      </c>
      <c r="F32" s="4" t="s">
        <v>25</v>
      </c>
      <c r="G32" s="4" t="s">
        <v>59</v>
      </c>
      <c r="H32" s="4" t="s">
        <v>25</v>
      </c>
      <c r="I32" s="5">
        <v>44470</v>
      </c>
      <c r="J32" s="6">
        <v>963</v>
      </c>
      <c r="K32" s="6">
        <v>481.5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60</v>
      </c>
      <c r="R32" s="4">
        <v>30634</v>
      </c>
      <c r="S32" s="4">
        <v>5</v>
      </c>
      <c r="T32" s="4">
        <v>0</v>
      </c>
      <c r="U32" s="4">
        <v>0</v>
      </c>
      <c r="V32" s="6">
        <f>IF(ISERROR(VLOOKUP($S$32,'TAR FIN'!$A$1:$O$86,15,0)),0,VLOOKUP($S$32,'TAR FIN'!$A$1:$O$86,15,0))</f>
        <v>5.65</v>
      </c>
      <c r="W32" s="6">
        <f>IF(ISERROR(VLOOKUP($T$32,'TAR FIN'!$A$1:$O$86,15,0)),0,VLOOKUP($T$32,'TAR FIN'!$A$1:$O$86,15,0))</f>
        <v>0</v>
      </c>
      <c r="X32" s="6">
        <f>IF(ISERROR(VLOOKUP($U$32,'TAR FIN'!$A$1:$O$86,15,0)),0,VLOOKUP($U$32,'TAR FIN'!$A$1:$O$86,15,0))</f>
        <v>0</v>
      </c>
      <c r="Y32" s="6">
        <f ca="1">('TUSD BE'!$AM$9+'TUSD BF'!$AM$9+'TUSD CVA'!$AM$9)*1</f>
        <v>5.5779170347181353</v>
      </c>
      <c r="Z32" s="6"/>
      <c r="AA32" s="6"/>
      <c r="AB32" s="6">
        <f t="shared" si="2"/>
        <v>2720.4750000000004</v>
      </c>
      <c r="AC32" s="6">
        <f t="shared" si="3"/>
        <v>0</v>
      </c>
      <c r="AD32" s="6">
        <f t="shared" ca="1" si="4"/>
        <v>2685.7670522167823</v>
      </c>
      <c r="AE32" s="6">
        <f t="shared" si="5"/>
        <v>0</v>
      </c>
      <c r="AF32" s="4" t="s">
        <v>647</v>
      </c>
    </row>
    <row r="33" spans="1:32" ht="11.25" customHeight="1" x14ac:dyDescent="0.25">
      <c r="A33" s="4" t="s">
        <v>21</v>
      </c>
      <c r="B33" s="4" t="s">
        <v>38</v>
      </c>
      <c r="C33" s="4" t="s">
        <v>58</v>
      </c>
      <c r="D33" s="4" t="s">
        <v>25</v>
      </c>
      <c r="E33" s="4" t="s">
        <v>25</v>
      </c>
      <c r="F33" s="4" t="s">
        <v>25</v>
      </c>
      <c r="G33" s="4" t="s">
        <v>61</v>
      </c>
      <c r="H33" s="4" t="s">
        <v>25</v>
      </c>
      <c r="I33" s="5">
        <v>44470</v>
      </c>
      <c r="J33" s="6">
        <v>780</v>
      </c>
      <c r="K33" s="6">
        <v>390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60</v>
      </c>
      <c r="R33" s="4">
        <v>2430</v>
      </c>
      <c r="S33" s="4">
        <v>5</v>
      </c>
      <c r="T33" s="4">
        <v>0</v>
      </c>
      <c r="U33" s="4">
        <v>0</v>
      </c>
      <c r="V33" s="6">
        <f>IF(ISERROR(VLOOKUP($S$33,'TAR FIN'!$A$1:$O$86,15,0)),0,VLOOKUP($S$33,'TAR FIN'!$A$1:$O$86,15,0))</f>
        <v>5.65</v>
      </c>
      <c r="W33" s="6">
        <f>IF(ISERROR(VLOOKUP($T$33,'TAR FIN'!$A$1:$O$86,15,0)),0,VLOOKUP($T$33,'TAR FIN'!$A$1:$O$86,15,0))</f>
        <v>0</v>
      </c>
      <c r="X33" s="6">
        <f>IF(ISERROR(VLOOKUP($U$33,'TAR FIN'!$A$1:$O$86,15,0)),0,VLOOKUP($U$33,'TAR FIN'!$A$1:$O$86,15,0))</f>
        <v>0</v>
      </c>
      <c r="Y33" s="6">
        <f ca="1">('TUSD BE'!$AM$9+'TUSD BF'!$AM$9+'TUSD CVA'!$AM$9)*1</f>
        <v>5.5779170347181353</v>
      </c>
      <c r="Z33" s="6"/>
      <c r="AA33" s="6"/>
      <c r="AB33" s="6">
        <f t="shared" si="2"/>
        <v>2203.5</v>
      </c>
      <c r="AC33" s="6">
        <f t="shared" si="3"/>
        <v>0</v>
      </c>
      <c r="AD33" s="6">
        <f t="shared" ca="1" si="4"/>
        <v>2175.3876435400725</v>
      </c>
      <c r="AE33" s="6">
        <f t="shared" si="5"/>
        <v>0</v>
      </c>
      <c r="AF33" s="4" t="s">
        <v>647</v>
      </c>
    </row>
    <row r="34" spans="1:32" ht="11.25" customHeight="1" x14ac:dyDescent="0.25">
      <c r="A34" s="4" t="s">
        <v>21</v>
      </c>
      <c r="B34" s="4" t="s">
        <v>38</v>
      </c>
      <c r="C34" s="4" t="s">
        <v>58</v>
      </c>
      <c r="D34" s="4" t="s">
        <v>25</v>
      </c>
      <c r="E34" s="4" t="s">
        <v>25</v>
      </c>
      <c r="F34" s="4" t="s">
        <v>25</v>
      </c>
      <c r="G34" s="4" t="s">
        <v>59</v>
      </c>
      <c r="H34" s="4" t="s">
        <v>25</v>
      </c>
      <c r="I34" s="5">
        <v>44501</v>
      </c>
      <c r="J34" s="6">
        <v>952</v>
      </c>
      <c r="K34" s="6">
        <v>476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60</v>
      </c>
      <c r="R34" s="4">
        <v>30634</v>
      </c>
      <c r="S34" s="4">
        <v>5</v>
      </c>
      <c r="T34" s="4">
        <v>0</v>
      </c>
      <c r="U34" s="4">
        <v>0</v>
      </c>
      <c r="V34" s="6">
        <f>IF(ISERROR(VLOOKUP($S$34,'TAR FIN'!$A$1:$O$86,15,0)),0,VLOOKUP($S$34,'TAR FIN'!$A$1:$O$86,15,0))</f>
        <v>5.65</v>
      </c>
      <c r="W34" s="6">
        <f>IF(ISERROR(VLOOKUP($T$34,'TAR FIN'!$A$1:$O$86,15,0)),0,VLOOKUP($T$34,'TAR FIN'!$A$1:$O$86,15,0))</f>
        <v>0</v>
      </c>
      <c r="X34" s="6">
        <f>IF(ISERROR(VLOOKUP($U$34,'TAR FIN'!$A$1:$O$86,15,0)),0,VLOOKUP($U$34,'TAR FIN'!$A$1:$O$86,15,0))</f>
        <v>0</v>
      </c>
      <c r="Y34" s="6">
        <f ca="1">('TUSD BE'!$AM$9+'TUSD BF'!$AM$9+'TUSD CVA'!$AM$9)*1</f>
        <v>5.5779170347181353</v>
      </c>
      <c r="Z34" s="6"/>
      <c r="AA34" s="6"/>
      <c r="AB34" s="6">
        <f t="shared" si="2"/>
        <v>2689.4</v>
      </c>
      <c r="AC34" s="6">
        <f t="shared" ref="AC34:AC65" si="6">(L34-M34)*W34+(N34-O34)*X34</f>
        <v>0</v>
      </c>
      <c r="AD34" s="6">
        <f t="shared" ca="1" si="4"/>
        <v>2655.0885085258324</v>
      </c>
      <c r="AE34" s="6">
        <f t="shared" ref="AE34:AE65" si="7">(L34-M34)*Z34+(N34-O34)*AA34</f>
        <v>0</v>
      </c>
      <c r="AF34" s="4" t="s">
        <v>647</v>
      </c>
    </row>
    <row r="35" spans="1:32" ht="11.25" customHeight="1" x14ac:dyDescent="0.25">
      <c r="A35" s="4" t="s">
        <v>21</v>
      </c>
      <c r="B35" s="4" t="s">
        <v>38</v>
      </c>
      <c r="C35" s="4" t="s">
        <v>58</v>
      </c>
      <c r="D35" s="4" t="s">
        <v>25</v>
      </c>
      <c r="E35" s="4" t="s">
        <v>25</v>
      </c>
      <c r="F35" s="4" t="s">
        <v>25</v>
      </c>
      <c r="G35" s="4" t="s">
        <v>61</v>
      </c>
      <c r="H35" s="4" t="s">
        <v>25</v>
      </c>
      <c r="I35" s="5">
        <v>44501</v>
      </c>
      <c r="J35" s="6">
        <v>780</v>
      </c>
      <c r="K35" s="6">
        <v>390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60</v>
      </c>
      <c r="R35" s="4">
        <v>2430</v>
      </c>
      <c r="S35" s="4">
        <v>5</v>
      </c>
      <c r="T35" s="4">
        <v>0</v>
      </c>
      <c r="U35" s="4">
        <v>0</v>
      </c>
      <c r="V35" s="6">
        <f>IF(ISERROR(VLOOKUP($S$35,'TAR FIN'!$A$1:$O$86,15,0)),0,VLOOKUP($S$35,'TAR FIN'!$A$1:$O$86,15,0))</f>
        <v>5.65</v>
      </c>
      <c r="W35" s="6">
        <f>IF(ISERROR(VLOOKUP($T$35,'TAR FIN'!$A$1:$O$86,15,0)),0,VLOOKUP($T$35,'TAR FIN'!$A$1:$O$86,15,0))</f>
        <v>0</v>
      </c>
      <c r="X35" s="6">
        <f>IF(ISERROR(VLOOKUP($U$35,'TAR FIN'!$A$1:$O$86,15,0)),0,VLOOKUP($U$35,'TAR FIN'!$A$1:$O$86,15,0))</f>
        <v>0</v>
      </c>
      <c r="Y35" s="6">
        <f ca="1">('TUSD BE'!$AM$9+'TUSD BF'!$AM$9+'TUSD CVA'!$AM$9)*1</f>
        <v>5.5779170347181353</v>
      </c>
      <c r="Z35" s="6"/>
      <c r="AA35" s="6"/>
      <c r="AB35" s="6">
        <f t="shared" si="2"/>
        <v>2203.5</v>
      </c>
      <c r="AC35" s="6">
        <f t="shared" si="6"/>
        <v>0</v>
      </c>
      <c r="AD35" s="6">
        <f t="shared" ca="1" si="4"/>
        <v>2175.3876435400725</v>
      </c>
      <c r="AE35" s="6">
        <f t="shared" si="7"/>
        <v>0</v>
      </c>
      <c r="AF35" s="4" t="s">
        <v>647</v>
      </c>
    </row>
    <row r="36" spans="1:32" ht="11.25" customHeight="1" x14ac:dyDescent="0.25">
      <c r="A36" s="4" t="s">
        <v>21</v>
      </c>
      <c r="B36" s="4" t="s">
        <v>38</v>
      </c>
      <c r="C36" s="4" t="s">
        <v>58</v>
      </c>
      <c r="D36" s="4" t="s">
        <v>25</v>
      </c>
      <c r="E36" s="4" t="s">
        <v>25</v>
      </c>
      <c r="F36" s="4" t="s">
        <v>25</v>
      </c>
      <c r="G36" s="4" t="s">
        <v>59</v>
      </c>
      <c r="H36" s="4" t="s">
        <v>25</v>
      </c>
      <c r="I36" s="5">
        <v>44531</v>
      </c>
      <c r="J36" s="6">
        <v>900</v>
      </c>
      <c r="K36" s="6">
        <v>450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60</v>
      </c>
      <c r="R36" s="4">
        <v>30634</v>
      </c>
      <c r="S36" s="4">
        <v>5</v>
      </c>
      <c r="T36" s="4">
        <v>0</v>
      </c>
      <c r="U36" s="4">
        <v>0</v>
      </c>
      <c r="V36" s="6">
        <f>IF(ISERROR(VLOOKUP($S$36,'TAR FIN'!$A$1:$O$86,15,0)),0,VLOOKUP($S$36,'TAR FIN'!$A$1:$O$86,15,0))</f>
        <v>5.65</v>
      </c>
      <c r="W36" s="6">
        <f>IF(ISERROR(VLOOKUP($T$36,'TAR FIN'!$A$1:$O$86,15,0)),0,VLOOKUP($T$36,'TAR FIN'!$A$1:$O$86,15,0))</f>
        <v>0</v>
      </c>
      <c r="X36" s="6">
        <f>IF(ISERROR(VLOOKUP($U$36,'TAR FIN'!$A$1:$O$86,15,0)),0,VLOOKUP($U$36,'TAR FIN'!$A$1:$O$86,15,0))</f>
        <v>0</v>
      </c>
      <c r="Y36" s="6">
        <f ca="1">('TUSD BE'!$AM$9+'TUSD BF'!$AM$9+'TUSD CVA'!$AM$9)*1</f>
        <v>5.5779170347181353</v>
      </c>
      <c r="Z36" s="6"/>
      <c r="AA36" s="6"/>
      <c r="AB36" s="6">
        <f t="shared" si="2"/>
        <v>2542.5</v>
      </c>
      <c r="AC36" s="6">
        <f t="shared" si="6"/>
        <v>0</v>
      </c>
      <c r="AD36" s="6">
        <f t="shared" ca="1" si="4"/>
        <v>2510.0626656231607</v>
      </c>
      <c r="AE36" s="6">
        <f t="shared" si="7"/>
        <v>0</v>
      </c>
      <c r="AF36" s="4" t="s">
        <v>647</v>
      </c>
    </row>
    <row r="37" spans="1:32" ht="11.25" customHeight="1" x14ac:dyDescent="0.25">
      <c r="A37" s="4" t="s">
        <v>21</v>
      </c>
      <c r="B37" s="4" t="s">
        <v>38</v>
      </c>
      <c r="C37" s="4" t="s">
        <v>58</v>
      </c>
      <c r="D37" s="4" t="s">
        <v>25</v>
      </c>
      <c r="E37" s="4" t="s">
        <v>25</v>
      </c>
      <c r="F37" s="4" t="s">
        <v>25</v>
      </c>
      <c r="G37" s="4" t="s">
        <v>61</v>
      </c>
      <c r="H37" s="4" t="s">
        <v>25</v>
      </c>
      <c r="I37" s="5">
        <v>44531</v>
      </c>
      <c r="J37" s="6">
        <v>780</v>
      </c>
      <c r="K37" s="6">
        <v>390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60</v>
      </c>
      <c r="R37" s="4">
        <v>2430</v>
      </c>
      <c r="S37" s="4">
        <v>5</v>
      </c>
      <c r="T37" s="4">
        <v>0</v>
      </c>
      <c r="U37" s="4">
        <v>0</v>
      </c>
      <c r="V37" s="6">
        <f>IF(ISERROR(VLOOKUP($S$37,'TAR FIN'!$A$1:$O$86,15,0)),0,VLOOKUP($S$37,'TAR FIN'!$A$1:$O$86,15,0))</f>
        <v>5.65</v>
      </c>
      <c r="W37" s="6">
        <f>IF(ISERROR(VLOOKUP($T$37,'TAR FIN'!$A$1:$O$86,15,0)),0,VLOOKUP($T$37,'TAR FIN'!$A$1:$O$86,15,0))</f>
        <v>0</v>
      </c>
      <c r="X37" s="6">
        <f>IF(ISERROR(VLOOKUP($U$37,'TAR FIN'!$A$1:$O$86,15,0)),0,VLOOKUP($U$37,'TAR FIN'!$A$1:$O$86,15,0))</f>
        <v>0</v>
      </c>
      <c r="Y37" s="6">
        <f ca="1">('TUSD BE'!$AM$9+'TUSD BF'!$AM$9+'TUSD CVA'!$AM$9)*1</f>
        <v>5.5779170347181353</v>
      </c>
      <c r="Z37" s="6"/>
      <c r="AA37" s="6"/>
      <c r="AB37" s="6">
        <f t="shared" si="2"/>
        <v>2203.5</v>
      </c>
      <c r="AC37" s="6">
        <f t="shared" si="6"/>
        <v>0</v>
      </c>
      <c r="AD37" s="6">
        <f t="shared" ca="1" si="4"/>
        <v>2175.3876435400725</v>
      </c>
      <c r="AE37" s="6">
        <f t="shared" si="7"/>
        <v>0</v>
      </c>
      <c r="AF37" s="4" t="s">
        <v>647</v>
      </c>
    </row>
    <row r="38" spans="1:32" ht="11.25" customHeight="1" x14ac:dyDescent="0.25">
      <c r="A38" s="4" t="s">
        <v>21</v>
      </c>
      <c r="B38" s="4" t="s">
        <v>38</v>
      </c>
      <c r="C38" s="4" t="s">
        <v>58</v>
      </c>
      <c r="D38" s="4" t="s">
        <v>25</v>
      </c>
      <c r="E38" s="4" t="s">
        <v>25</v>
      </c>
      <c r="F38" s="4" t="s">
        <v>25</v>
      </c>
      <c r="G38" s="4" t="s">
        <v>59</v>
      </c>
      <c r="H38" s="4" t="s">
        <v>25</v>
      </c>
      <c r="I38" s="5">
        <v>44562</v>
      </c>
      <c r="J38" s="6">
        <v>900</v>
      </c>
      <c r="K38" s="6">
        <v>450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60</v>
      </c>
      <c r="R38" s="4">
        <v>30634</v>
      </c>
      <c r="S38" s="4">
        <v>5</v>
      </c>
      <c r="T38" s="4">
        <v>0</v>
      </c>
      <c r="U38" s="4">
        <v>0</v>
      </c>
      <c r="V38" s="6">
        <f>IF(ISERROR(VLOOKUP($S$38,'TAR FIN'!$A$1:$O$86,15,0)),0,VLOOKUP($S$38,'TAR FIN'!$A$1:$O$86,15,0))</f>
        <v>5.65</v>
      </c>
      <c r="W38" s="6">
        <f>IF(ISERROR(VLOOKUP($T$38,'TAR FIN'!$A$1:$O$86,15,0)),0,VLOOKUP($T$38,'TAR FIN'!$A$1:$O$86,15,0))</f>
        <v>0</v>
      </c>
      <c r="X38" s="6">
        <f>IF(ISERROR(VLOOKUP($U$38,'TAR FIN'!$A$1:$O$86,15,0)),0,VLOOKUP($U$38,'TAR FIN'!$A$1:$O$86,15,0))</f>
        <v>0</v>
      </c>
      <c r="Y38" s="6">
        <f ca="1">('TUSD BE'!$AM$9+'TUSD BF'!$AM$9+'TUSD CVA'!$AM$9)*1</f>
        <v>5.5779170347181353</v>
      </c>
      <c r="Z38" s="6"/>
      <c r="AA38" s="6"/>
      <c r="AB38" s="6">
        <f t="shared" si="2"/>
        <v>2542.5</v>
      </c>
      <c r="AC38" s="6">
        <f t="shared" si="6"/>
        <v>0</v>
      </c>
      <c r="AD38" s="6">
        <f t="shared" ca="1" si="4"/>
        <v>2510.0626656231607</v>
      </c>
      <c r="AE38" s="6">
        <f t="shared" si="7"/>
        <v>0</v>
      </c>
      <c r="AF38" s="4" t="s">
        <v>647</v>
      </c>
    </row>
    <row r="39" spans="1:32" ht="11.25" customHeight="1" x14ac:dyDescent="0.25">
      <c r="A39" s="4" t="s">
        <v>21</v>
      </c>
      <c r="B39" s="4" t="s">
        <v>38</v>
      </c>
      <c r="C39" s="4" t="s">
        <v>58</v>
      </c>
      <c r="D39" s="4" t="s">
        <v>25</v>
      </c>
      <c r="E39" s="4" t="s">
        <v>25</v>
      </c>
      <c r="F39" s="4" t="s">
        <v>25</v>
      </c>
      <c r="G39" s="4" t="s">
        <v>61</v>
      </c>
      <c r="H39" s="4" t="s">
        <v>25</v>
      </c>
      <c r="I39" s="5">
        <v>44562</v>
      </c>
      <c r="J39" s="6">
        <v>780</v>
      </c>
      <c r="K39" s="6">
        <v>390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60</v>
      </c>
      <c r="R39" s="4">
        <v>2430</v>
      </c>
      <c r="S39" s="4">
        <v>5</v>
      </c>
      <c r="T39" s="4">
        <v>0</v>
      </c>
      <c r="U39" s="4">
        <v>0</v>
      </c>
      <c r="V39" s="6">
        <f>IF(ISERROR(VLOOKUP($S$39,'TAR FIN'!$A$1:$O$86,15,0)),0,VLOOKUP($S$39,'TAR FIN'!$A$1:$O$86,15,0))</f>
        <v>5.65</v>
      </c>
      <c r="W39" s="6">
        <f>IF(ISERROR(VLOOKUP($T$39,'TAR FIN'!$A$1:$O$86,15,0)),0,VLOOKUP($T$39,'TAR FIN'!$A$1:$O$86,15,0))</f>
        <v>0</v>
      </c>
      <c r="X39" s="6">
        <f>IF(ISERROR(VLOOKUP($U$39,'TAR FIN'!$A$1:$O$86,15,0)),0,VLOOKUP($U$39,'TAR FIN'!$A$1:$O$86,15,0))</f>
        <v>0</v>
      </c>
      <c r="Y39" s="6">
        <f ca="1">('TUSD BE'!$AM$9+'TUSD BF'!$AM$9+'TUSD CVA'!$AM$9)*1</f>
        <v>5.5779170347181353</v>
      </c>
      <c r="Z39" s="6"/>
      <c r="AA39" s="6"/>
      <c r="AB39" s="6">
        <f t="shared" si="2"/>
        <v>2203.5</v>
      </c>
      <c r="AC39" s="6">
        <f t="shared" si="6"/>
        <v>0</v>
      </c>
      <c r="AD39" s="6">
        <f t="shared" ca="1" si="4"/>
        <v>2175.3876435400725</v>
      </c>
      <c r="AE39" s="6">
        <f t="shared" si="7"/>
        <v>0</v>
      </c>
      <c r="AF39" s="4" t="s">
        <v>647</v>
      </c>
    </row>
    <row r="40" spans="1:32" ht="11.25" customHeight="1" x14ac:dyDescent="0.25">
      <c r="A40" s="4" t="s">
        <v>21</v>
      </c>
      <c r="B40" s="4" t="s">
        <v>38</v>
      </c>
      <c r="C40" s="4" t="s">
        <v>58</v>
      </c>
      <c r="D40" s="4" t="s">
        <v>25</v>
      </c>
      <c r="E40" s="4" t="s">
        <v>25</v>
      </c>
      <c r="F40" s="4" t="s">
        <v>25</v>
      </c>
      <c r="G40" s="4" t="s">
        <v>59</v>
      </c>
      <c r="H40" s="4" t="s">
        <v>25</v>
      </c>
      <c r="I40" s="5">
        <v>44593</v>
      </c>
      <c r="J40" s="6">
        <v>900</v>
      </c>
      <c r="K40" s="6">
        <v>450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60</v>
      </c>
      <c r="R40" s="4">
        <v>30634</v>
      </c>
      <c r="S40" s="4">
        <v>5</v>
      </c>
      <c r="T40" s="4">
        <v>0</v>
      </c>
      <c r="U40" s="4">
        <v>0</v>
      </c>
      <c r="V40" s="6">
        <f>IF(ISERROR(VLOOKUP($S$40,'TAR FIN'!$A$1:$O$86,15,0)),0,VLOOKUP($S$40,'TAR FIN'!$A$1:$O$86,15,0))</f>
        <v>5.65</v>
      </c>
      <c r="W40" s="6">
        <f>IF(ISERROR(VLOOKUP($T$40,'TAR FIN'!$A$1:$O$86,15,0)),0,VLOOKUP($T$40,'TAR FIN'!$A$1:$O$86,15,0))</f>
        <v>0</v>
      </c>
      <c r="X40" s="6">
        <f>IF(ISERROR(VLOOKUP($U$40,'TAR FIN'!$A$1:$O$86,15,0)),0,VLOOKUP($U$40,'TAR FIN'!$A$1:$O$86,15,0))</f>
        <v>0</v>
      </c>
      <c r="Y40" s="6">
        <f ca="1">('TUSD BE'!$AM$9+'TUSD BF'!$AM$9+'TUSD CVA'!$AM$9)*1</f>
        <v>5.5779170347181353</v>
      </c>
      <c r="Z40" s="6"/>
      <c r="AA40" s="6"/>
      <c r="AB40" s="6">
        <f t="shared" si="2"/>
        <v>2542.5</v>
      </c>
      <c r="AC40" s="6">
        <f t="shared" si="6"/>
        <v>0</v>
      </c>
      <c r="AD40" s="6">
        <f t="shared" ca="1" si="4"/>
        <v>2510.0626656231607</v>
      </c>
      <c r="AE40" s="6">
        <f t="shared" si="7"/>
        <v>0</v>
      </c>
      <c r="AF40" s="4" t="s">
        <v>647</v>
      </c>
    </row>
    <row r="41" spans="1:32" ht="11.25" customHeight="1" x14ac:dyDescent="0.25">
      <c r="A41" s="4" t="s">
        <v>21</v>
      </c>
      <c r="B41" s="4" t="s">
        <v>38</v>
      </c>
      <c r="C41" s="4" t="s">
        <v>58</v>
      </c>
      <c r="D41" s="4" t="s">
        <v>25</v>
      </c>
      <c r="E41" s="4" t="s">
        <v>25</v>
      </c>
      <c r="F41" s="4" t="s">
        <v>25</v>
      </c>
      <c r="G41" s="4" t="s">
        <v>61</v>
      </c>
      <c r="H41" s="4" t="s">
        <v>25</v>
      </c>
      <c r="I41" s="5">
        <v>44593</v>
      </c>
      <c r="J41" s="6">
        <v>780</v>
      </c>
      <c r="K41" s="6">
        <v>390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60</v>
      </c>
      <c r="R41" s="4">
        <v>2430</v>
      </c>
      <c r="S41" s="4">
        <v>5</v>
      </c>
      <c r="T41" s="4">
        <v>0</v>
      </c>
      <c r="U41" s="4">
        <v>0</v>
      </c>
      <c r="V41" s="6">
        <f>IF(ISERROR(VLOOKUP($S$41,'TAR FIN'!$A$1:$O$86,15,0)),0,VLOOKUP($S$41,'TAR FIN'!$A$1:$O$86,15,0))</f>
        <v>5.65</v>
      </c>
      <c r="W41" s="6">
        <f>IF(ISERROR(VLOOKUP($T$41,'TAR FIN'!$A$1:$O$86,15,0)),0,VLOOKUP($T$41,'TAR FIN'!$A$1:$O$86,15,0))</f>
        <v>0</v>
      </c>
      <c r="X41" s="6">
        <f>IF(ISERROR(VLOOKUP($U$41,'TAR FIN'!$A$1:$O$86,15,0)),0,VLOOKUP($U$41,'TAR FIN'!$A$1:$O$86,15,0))</f>
        <v>0</v>
      </c>
      <c r="Y41" s="6">
        <f ca="1">('TUSD BE'!$AM$9+'TUSD BF'!$AM$9+'TUSD CVA'!$AM$9)*1</f>
        <v>5.5779170347181353</v>
      </c>
      <c r="Z41" s="6"/>
      <c r="AA41" s="6"/>
      <c r="AB41" s="6">
        <f t="shared" si="2"/>
        <v>2203.5</v>
      </c>
      <c r="AC41" s="6">
        <f t="shared" si="6"/>
        <v>0</v>
      </c>
      <c r="AD41" s="6">
        <f t="shared" ca="1" si="4"/>
        <v>2175.3876435400725</v>
      </c>
      <c r="AE41" s="6">
        <f t="shared" si="7"/>
        <v>0</v>
      </c>
      <c r="AF41" s="4" t="s">
        <v>647</v>
      </c>
    </row>
    <row r="42" spans="1:32" ht="11.25" customHeight="1" x14ac:dyDescent="0.25">
      <c r="A42" s="4" t="s">
        <v>21</v>
      </c>
      <c r="B42" s="4" t="s">
        <v>38</v>
      </c>
      <c r="C42" s="4" t="s">
        <v>58</v>
      </c>
      <c r="D42" s="4" t="s">
        <v>25</v>
      </c>
      <c r="E42" s="4" t="s">
        <v>25</v>
      </c>
      <c r="F42" s="4" t="s">
        <v>25</v>
      </c>
      <c r="G42" s="4" t="s">
        <v>59</v>
      </c>
      <c r="H42" s="4" t="s">
        <v>25</v>
      </c>
      <c r="I42" s="5">
        <v>44621</v>
      </c>
      <c r="J42" s="6">
        <v>900</v>
      </c>
      <c r="K42" s="6">
        <v>450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60</v>
      </c>
      <c r="R42" s="4">
        <v>30634</v>
      </c>
      <c r="S42" s="4">
        <v>5</v>
      </c>
      <c r="T42" s="4">
        <v>0</v>
      </c>
      <c r="U42" s="4">
        <v>0</v>
      </c>
      <c r="V42" s="6">
        <f>IF(ISERROR(VLOOKUP($S$42,'TAR FIN'!$A$1:$O$86,15,0)),0,VLOOKUP($S$42,'TAR FIN'!$A$1:$O$86,15,0))</f>
        <v>5.65</v>
      </c>
      <c r="W42" s="6">
        <f>IF(ISERROR(VLOOKUP($T$42,'TAR FIN'!$A$1:$O$86,15,0)),0,VLOOKUP($T$42,'TAR FIN'!$A$1:$O$86,15,0))</f>
        <v>0</v>
      </c>
      <c r="X42" s="6">
        <f>IF(ISERROR(VLOOKUP($U$42,'TAR FIN'!$A$1:$O$86,15,0)),0,VLOOKUP($U$42,'TAR FIN'!$A$1:$O$86,15,0))</f>
        <v>0</v>
      </c>
      <c r="Y42" s="6">
        <f ca="1">('TUSD BE'!$AM$9+'TUSD BF'!$AM$9+'TUSD CVA'!$AM$9)*1</f>
        <v>5.5779170347181353</v>
      </c>
      <c r="Z42" s="6"/>
      <c r="AA42" s="6"/>
      <c r="AB42" s="6">
        <f t="shared" si="2"/>
        <v>2542.5</v>
      </c>
      <c r="AC42" s="6">
        <f t="shared" si="6"/>
        <v>0</v>
      </c>
      <c r="AD42" s="6">
        <f t="shared" ca="1" si="4"/>
        <v>2510.0626656231607</v>
      </c>
      <c r="AE42" s="6">
        <f t="shared" si="7"/>
        <v>0</v>
      </c>
      <c r="AF42" s="4" t="s">
        <v>647</v>
      </c>
    </row>
    <row r="43" spans="1:32" ht="11.25" customHeight="1" x14ac:dyDescent="0.25">
      <c r="A43" s="4" t="s">
        <v>21</v>
      </c>
      <c r="B43" s="4" t="s">
        <v>38</v>
      </c>
      <c r="C43" s="4" t="s">
        <v>58</v>
      </c>
      <c r="D43" s="4" t="s">
        <v>25</v>
      </c>
      <c r="E43" s="4" t="s">
        <v>25</v>
      </c>
      <c r="F43" s="4" t="s">
        <v>25</v>
      </c>
      <c r="G43" s="4" t="s">
        <v>61</v>
      </c>
      <c r="H43" s="4" t="s">
        <v>25</v>
      </c>
      <c r="I43" s="5">
        <v>44621</v>
      </c>
      <c r="J43" s="6">
        <v>780</v>
      </c>
      <c r="K43" s="6">
        <v>390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60</v>
      </c>
      <c r="R43" s="4">
        <v>2430</v>
      </c>
      <c r="S43" s="4">
        <v>5</v>
      </c>
      <c r="T43" s="4">
        <v>0</v>
      </c>
      <c r="U43" s="4">
        <v>0</v>
      </c>
      <c r="V43" s="6">
        <f>IF(ISERROR(VLOOKUP($S$43,'TAR FIN'!$A$1:$O$86,15,0)),0,VLOOKUP($S$43,'TAR FIN'!$A$1:$O$86,15,0))</f>
        <v>5.65</v>
      </c>
      <c r="W43" s="6">
        <f>IF(ISERROR(VLOOKUP($T$43,'TAR FIN'!$A$1:$O$86,15,0)),0,VLOOKUP($T$43,'TAR FIN'!$A$1:$O$86,15,0))</f>
        <v>0</v>
      </c>
      <c r="X43" s="6">
        <f>IF(ISERROR(VLOOKUP($U$43,'TAR FIN'!$A$1:$O$86,15,0)),0,VLOOKUP($U$43,'TAR FIN'!$A$1:$O$86,15,0))</f>
        <v>0</v>
      </c>
      <c r="Y43" s="6">
        <f ca="1">('TUSD BE'!$AM$9+'TUSD BF'!$AM$9+'TUSD CVA'!$AM$9)*1</f>
        <v>5.5779170347181353</v>
      </c>
      <c r="Z43" s="6"/>
      <c r="AA43" s="6"/>
      <c r="AB43" s="6">
        <f t="shared" si="2"/>
        <v>2203.5</v>
      </c>
      <c r="AC43" s="6">
        <f t="shared" si="6"/>
        <v>0</v>
      </c>
      <c r="AD43" s="6">
        <f t="shared" ca="1" si="4"/>
        <v>2175.3876435400725</v>
      </c>
      <c r="AE43" s="6">
        <f t="shared" si="7"/>
        <v>0</v>
      </c>
      <c r="AF43" s="4" t="s">
        <v>647</v>
      </c>
    </row>
    <row r="44" spans="1:32" ht="11.25" customHeight="1" x14ac:dyDescent="0.25">
      <c r="A44" s="4" t="s">
        <v>21</v>
      </c>
      <c r="B44" s="4" t="s">
        <v>38</v>
      </c>
      <c r="C44" s="4" t="s">
        <v>58</v>
      </c>
      <c r="D44" s="4" t="s">
        <v>25</v>
      </c>
      <c r="E44" s="4" t="s">
        <v>25</v>
      </c>
      <c r="F44" s="4" t="s">
        <v>25</v>
      </c>
      <c r="G44" s="4" t="s">
        <v>59</v>
      </c>
      <c r="H44" s="4" t="s">
        <v>25</v>
      </c>
      <c r="I44" s="5">
        <v>44652</v>
      </c>
      <c r="J44" s="6">
        <v>945</v>
      </c>
      <c r="K44" s="6">
        <v>472.5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60</v>
      </c>
      <c r="R44" s="4">
        <v>30634</v>
      </c>
      <c r="S44" s="4">
        <v>5</v>
      </c>
      <c r="T44" s="4">
        <v>0</v>
      </c>
      <c r="U44" s="4">
        <v>0</v>
      </c>
      <c r="V44" s="6">
        <f>IF(ISERROR(VLOOKUP($S$44,'TAR FIN'!$A$1:$O$86,15,0)),0,VLOOKUP($S$44,'TAR FIN'!$A$1:$O$86,15,0))</f>
        <v>5.65</v>
      </c>
      <c r="W44" s="6">
        <f>IF(ISERROR(VLOOKUP($T$44,'TAR FIN'!$A$1:$O$86,15,0)),0,VLOOKUP($T$44,'TAR FIN'!$A$1:$O$86,15,0))</f>
        <v>0</v>
      </c>
      <c r="X44" s="6">
        <f>IF(ISERROR(VLOOKUP($U$44,'TAR FIN'!$A$1:$O$86,15,0)),0,VLOOKUP($U$44,'TAR FIN'!$A$1:$O$86,15,0))</f>
        <v>0</v>
      </c>
      <c r="Y44" s="6">
        <f ca="1">('TUSD BE'!$AM$9+'TUSD BF'!$AM$9+'TUSD CVA'!$AM$9)*1</f>
        <v>5.5779170347181353</v>
      </c>
      <c r="Z44" s="6"/>
      <c r="AA44" s="6"/>
      <c r="AB44" s="6">
        <f t="shared" si="2"/>
        <v>2669.625</v>
      </c>
      <c r="AC44" s="6">
        <f t="shared" si="6"/>
        <v>0</v>
      </c>
      <c r="AD44" s="6">
        <f t="shared" ca="1" si="4"/>
        <v>2635.5657989043189</v>
      </c>
      <c r="AE44" s="6">
        <f t="shared" si="7"/>
        <v>0</v>
      </c>
      <c r="AF44" s="4" t="s">
        <v>647</v>
      </c>
    </row>
    <row r="45" spans="1:32" ht="11.25" customHeight="1" x14ac:dyDescent="0.25">
      <c r="A45" s="4" t="s">
        <v>21</v>
      </c>
      <c r="B45" s="4" t="s">
        <v>38</v>
      </c>
      <c r="C45" s="4" t="s">
        <v>58</v>
      </c>
      <c r="D45" s="4" t="s">
        <v>25</v>
      </c>
      <c r="E45" s="4" t="s">
        <v>25</v>
      </c>
      <c r="F45" s="4" t="s">
        <v>25</v>
      </c>
      <c r="G45" s="4" t="s">
        <v>61</v>
      </c>
      <c r="H45" s="4" t="s">
        <v>25</v>
      </c>
      <c r="I45" s="5">
        <v>44652</v>
      </c>
      <c r="J45" s="6">
        <v>780</v>
      </c>
      <c r="K45" s="6">
        <v>390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60</v>
      </c>
      <c r="R45" s="4">
        <v>2430</v>
      </c>
      <c r="S45" s="4">
        <v>5</v>
      </c>
      <c r="T45" s="4">
        <v>0</v>
      </c>
      <c r="U45" s="4">
        <v>0</v>
      </c>
      <c r="V45" s="6">
        <f>IF(ISERROR(VLOOKUP($S$45,'TAR FIN'!$A$1:$O$86,15,0)),0,VLOOKUP($S$45,'TAR FIN'!$A$1:$O$86,15,0))</f>
        <v>5.65</v>
      </c>
      <c r="W45" s="6">
        <f>IF(ISERROR(VLOOKUP($T$45,'TAR FIN'!$A$1:$O$86,15,0)),0,VLOOKUP($T$45,'TAR FIN'!$A$1:$O$86,15,0))</f>
        <v>0</v>
      </c>
      <c r="X45" s="6">
        <f>IF(ISERROR(VLOOKUP($U$45,'TAR FIN'!$A$1:$O$86,15,0)),0,VLOOKUP($U$45,'TAR FIN'!$A$1:$O$86,15,0))</f>
        <v>0</v>
      </c>
      <c r="Y45" s="6">
        <f ca="1">('TUSD BE'!$AM$9+'TUSD BF'!$AM$9+'TUSD CVA'!$AM$9)*1</f>
        <v>5.5779170347181353</v>
      </c>
      <c r="Z45" s="6"/>
      <c r="AA45" s="6"/>
      <c r="AB45" s="6">
        <f t="shared" si="2"/>
        <v>2203.5</v>
      </c>
      <c r="AC45" s="6">
        <f t="shared" si="6"/>
        <v>0</v>
      </c>
      <c r="AD45" s="6">
        <f t="shared" ca="1" si="4"/>
        <v>2175.3876435400725</v>
      </c>
      <c r="AE45" s="6">
        <f t="shared" si="7"/>
        <v>0</v>
      </c>
      <c r="AF45" s="4" t="s">
        <v>647</v>
      </c>
    </row>
    <row r="46" spans="1:32" ht="11.25" customHeight="1" x14ac:dyDescent="0.25">
      <c r="A46" s="4" t="s">
        <v>21</v>
      </c>
      <c r="B46" s="4" t="s">
        <v>38</v>
      </c>
      <c r="C46" s="4" t="s">
        <v>58</v>
      </c>
      <c r="D46" s="4" t="s">
        <v>25</v>
      </c>
      <c r="E46" s="4" t="s">
        <v>25</v>
      </c>
      <c r="F46" s="4" t="s">
        <v>25</v>
      </c>
      <c r="G46" s="4" t="s">
        <v>59</v>
      </c>
      <c r="H46" s="4" t="s">
        <v>25</v>
      </c>
      <c r="I46" s="5">
        <v>44682</v>
      </c>
      <c r="J46" s="6">
        <v>1075</v>
      </c>
      <c r="K46" s="6">
        <v>537.5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60</v>
      </c>
      <c r="R46" s="4">
        <v>30634</v>
      </c>
      <c r="S46" s="4">
        <v>5</v>
      </c>
      <c r="T46" s="4">
        <v>0</v>
      </c>
      <c r="U46" s="4">
        <v>0</v>
      </c>
      <c r="V46" s="6">
        <f>IF(ISERROR(VLOOKUP($S$46,'TAR FIN'!$A$1:$O$86,15,0)),0,VLOOKUP($S$46,'TAR FIN'!$A$1:$O$86,15,0))</f>
        <v>5.65</v>
      </c>
      <c r="W46" s="6">
        <f>IF(ISERROR(VLOOKUP($T$46,'TAR FIN'!$A$1:$O$86,15,0)),0,VLOOKUP($T$46,'TAR FIN'!$A$1:$O$86,15,0))</f>
        <v>0</v>
      </c>
      <c r="X46" s="6">
        <f>IF(ISERROR(VLOOKUP($U$46,'TAR FIN'!$A$1:$O$86,15,0)),0,VLOOKUP($U$46,'TAR FIN'!$A$1:$O$86,15,0))</f>
        <v>0</v>
      </c>
      <c r="Y46" s="6">
        <f ca="1">('TUSD BE'!$AM$9+'TUSD BF'!$AM$9+'TUSD CVA'!$AM$9)*1</f>
        <v>5.5779170347181353</v>
      </c>
      <c r="Z46" s="6"/>
      <c r="AA46" s="6"/>
      <c r="AB46" s="6">
        <f t="shared" si="2"/>
        <v>3036.875</v>
      </c>
      <c r="AC46" s="6">
        <f t="shared" si="6"/>
        <v>0</v>
      </c>
      <c r="AD46" s="6">
        <f t="shared" ca="1" si="4"/>
        <v>2998.1304061609976</v>
      </c>
      <c r="AE46" s="6">
        <f t="shared" si="7"/>
        <v>0</v>
      </c>
      <c r="AF46" s="4" t="s">
        <v>647</v>
      </c>
    </row>
    <row r="47" spans="1:32" ht="11.25" customHeight="1" x14ac:dyDescent="0.25">
      <c r="A47" s="4" t="s">
        <v>21</v>
      </c>
      <c r="B47" s="4" t="s">
        <v>38</v>
      </c>
      <c r="C47" s="4" t="s">
        <v>58</v>
      </c>
      <c r="D47" s="4" t="s">
        <v>25</v>
      </c>
      <c r="E47" s="4" t="s">
        <v>25</v>
      </c>
      <c r="F47" s="4" t="s">
        <v>25</v>
      </c>
      <c r="G47" s="4" t="s">
        <v>61</v>
      </c>
      <c r="H47" s="4" t="s">
        <v>25</v>
      </c>
      <c r="I47" s="5">
        <v>44682</v>
      </c>
      <c r="J47" s="6">
        <v>780</v>
      </c>
      <c r="K47" s="6">
        <v>390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60</v>
      </c>
      <c r="R47" s="4">
        <v>2430</v>
      </c>
      <c r="S47" s="4">
        <v>5</v>
      </c>
      <c r="T47" s="4">
        <v>0</v>
      </c>
      <c r="U47" s="4">
        <v>0</v>
      </c>
      <c r="V47" s="6">
        <f>IF(ISERROR(VLOOKUP($S$47,'TAR FIN'!$A$1:$O$86,15,0)),0,VLOOKUP($S$47,'TAR FIN'!$A$1:$O$86,15,0))</f>
        <v>5.65</v>
      </c>
      <c r="W47" s="6">
        <f>IF(ISERROR(VLOOKUP($T$47,'TAR FIN'!$A$1:$O$86,15,0)),0,VLOOKUP($T$47,'TAR FIN'!$A$1:$O$86,15,0))</f>
        <v>0</v>
      </c>
      <c r="X47" s="6">
        <f>IF(ISERROR(VLOOKUP($U$47,'TAR FIN'!$A$1:$O$86,15,0)),0,VLOOKUP($U$47,'TAR FIN'!$A$1:$O$86,15,0))</f>
        <v>0</v>
      </c>
      <c r="Y47" s="6">
        <f ca="1">('TUSD BE'!$AM$9+'TUSD BF'!$AM$9+'TUSD CVA'!$AM$9)*1</f>
        <v>5.5779170347181353</v>
      </c>
      <c r="Z47" s="6"/>
      <c r="AA47" s="6"/>
      <c r="AB47" s="6">
        <f t="shared" si="2"/>
        <v>2203.5</v>
      </c>
      <c r="AC47" s="6">
        <f t="shared" si="6"/>
        <v>0</v>
      </c>
      <c r="AD47" s="6">
        <f t="shared" ca="1" si="4"/>
        <v>2175.3876435400725</v>
      </c>
      <c r="AE47" s="6">
        <f t="shared" si="7"/>
        <v>0</v>
      </c>
      <c r="AF47" s="4" t="s">
        <v>647</v>
      </c>
    </row>
    <row r="48" spans="1:32" ht="11.25" customHeight="1" x14ac:dyDescent="0.25">
      <c r="A48" s="4" t="s">
        <v>55</v>
      </c>
      <c r="B48" s="4" t="s">
        <v>38</v>
      </c>
      <c r="C48" s="4" t="s">
        <v>58</v>
      </c>
      <c r="D48" s="4" t="s">
        <v>25</v>
      </c>
      <c r="E48" s="4" t="s">
        <v>25</v>
      </c>
      <c r="F48" s="4" t="s">
        <v>25</v>
      </c>
      <c r="G48" s="4" t="s">
        <v>59</v>
      </c>
      <c r="H48" s="4" t="s">
        <v>25</v>
      </c>
      <c r="I48" s="5">
        <v>44713</v>
      </c>
      <c r="J48" s="6">
        <v>1075</v>
      </c>
      <c r="K48" s="6">
        <v>537.5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60</v>
      </c>
      <c r="R48" s="4">
        <v>30634</v>
      </c>
      <c r="S48" s="4">
        <v>5</v>
      </c>
      <c r="T48" s="4">
        <v>0</v>
      </c>
      <c r="U48" s="4">
        <v>0</v>
      </c>
      <c r="V48" s="6">
        <f>IF(ISERROR(VLOOKUP($S$48,'TAR FIN'!$A$1:$O$86,15,0)),0,VLOOKUP($S$48,'TAR FIN'!$A$1:$O$86,15,0))</f>
        <v>5.65</v>
      </c>
      <c r="W48" s="6">
        <f>IF(ISERROR(VLOOKUP($T$48,'TAR FIN'!$A$1:$O$86,15,0)),0,VLOOKUP($T$48,'TAR FIN'!$A$1:$O$86,15,0))</f>
        <v>0</v>
      </c>
      <c r="X48" s="6">
        <f>IF(ISERROR(VLOOKUP($U$48,'TAR FIN'!$A$1:$O$86,15,0)),0,VLOOKUP($U$48,'TAR FIN'!$A$1:$O$86,15,0))</f>
        <v>0</v>
      </c>
      <c r="Y48" s="6">
        <f ca="1">('TUSD BE'!$AM$9+'TUSD BF'!$AM$9+'TUSD CVA'!$AM$9)*1</f>
        <v>5.5779170347181353</v>
      </c>
      <c r="Z48" s="6"/>
      <c r="AA48" s="6"/>
      <c r="AB48" s="6">
        <f t="shared" si="2"/>
        <v>3036.875</v>
      </c>
      <c r="AC48" s="6">
        <f t="shared" si="6"/>
        <v>0</v>
      </c>
      <c r="AD48" s="6">
        <f t="shared" ca="1" si="4"/>
        <v>2998.1304061609976</v>
      </c>
      <c r="AE48" s="6">
        <f t="shared" si="7"/>
        <v>0</v>
      </c>
      <c r="AF48" s="4" t="s">
        <v>647</v>
      </c>
    </row>
    <row r="49" spans="1:32" ht="11.25" customHeight="1" x14ac:dyDescent="0.25">
      <c r="A49" s="4" t="s">
        <v>55</v>
      </c>
      <c r="B49" s="4" t="s">
        <v>38</v>
      </c>
      <c r="C49" s="4" t="s">
        <v>58</v>
      </c>
      <c r="D49" s="4" t="s">
        <v>25</v>
      </c>
      <c r="E49" s="4" t="s">
        <v>25</v>
      </c>
      <c r="F49" s="4" t="s">
        <v>25</v>
      </c>
      <c r="G49" s="4" t="s">
        <v>61</v>
      </c>
      <c r="H49" s="4" t="s">
        <v>25</v>
      </c>
      <c r="I49" s="5">
        <v>44713</v>
      </c>
      <c r="J49" s="6">
        <v>780</v>
      </c>
      <c r="K49" s="6">
        <v>390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60</v>
      </c>
      <c r="R49" s="4">
        <v>2430</v>
      </c>
      <c r="S49" s="4">
        <v>5</v>
      </c>
      <c r="T49" s="4">
        <v>0</v>
      </c>
      <c r="U49" s="4">
        <v>0</v>
      </c>
      <c r="V49" s="6">
        <f>IF(ISERROR(VLOOKUP($S$49,'TAR FIN'!$A$1:$O$86,15,0)),0,VLOOKUP($S$49,'TAR FIN'!$A$1:$O$86,15,0))</f>
        <v>5.65</v>
      </c>
      <c r="W49" s="6">
        <f>IF(ISERROR(VLOOKUP($T$49,'TAR FIN'!$A$1:$O$86,15,0)),0,VLOOKUP($T$49,'TAR FIN'!$A$1:$O$86,15,0))</f>
        <v>0</v>
      </c>
      <c r="X49" s="6">
        <f>IF(ISERROR(VLOOKUP($U$49,'TAR FIN'!$A$1:$O$86,15,0)),0,VLOOKUP($U$49,'TAR FIN'!$A$1:$O$86,15,0))</f>
        <v>0</v>
      </c>
      <c r="Y49" s="6">
        <f ca="1">('TUSD BE'!$AM$9+'TUSD BF'!$AM$9+'TUSD CVA'!$AM$9)*1</f>
        <v>5.5779170347181353</v>
      </c>
      <c r="Z49" s="6"/>
      <c r="AA49" s="6"/>
      <c r="AB49" s="6">
        <f t="shared" si="2"/>
        <v>2203.5</v>
      </c>
      <c r="AC49" s="6">
        <f t="shared" si="6"/>
        <v>0</v>
      </c>
      <c r="AD49" s="6">
        <f t="shared" ca="1" si="4"/>
        <v>2175.3876435400725</v>
      </c>
      <c r="AE49" s="6">
        <f t="shared" si="7"/>
        <v>0</v>
      </c>
      <c r="AF49" s="4" t="s">
        <v>647</v>
      </c>
    </row>
    <row r="50" spans="1:32" ht="11.25" customHeight="1" x14ac:dyDescent="0.25">
      <c r="A50" s="4" t="s">
        <v>21</v>
      </c>
      <c r="B50" s="4" t="s">
        <v>38</v>
      </c>
      <c r="C50" s="4" t="s">
        <v>39</v>
      </c>
      <c r="D50" s="4" t="s">
        <v>37</v>
      </c>
      <c r="E50" s="4" t="s">
        <v>25</v>
      </c>
      <c r="F50" s="4" t="s">
        <v>56</v>
      </c>
      <c r="G50" s="4" t="s">
        <v>25</v>
      </c>
      <c r="H50" s="4" t="s">
        <v>34</v>
      </c>
      <c r="I50" s="5">
        <v>44378</v>
      </c>
      <c r="J50" s="6">
        <v>0</v>
      </c>
      <c r="K50" s="6">
        <v>0</v>
      </c>
      <c r="L50" s="6">
        <v>3583.413</v>
      </c>
      <c r="M50" s="6">
        <v>3583.413</v>
      </c>
      <c r="N50" s="6">
        <v>0</v>
      </c>
      <c r="O50" s="6">
        <v>0</v>
      </c>
      <c r="P50" s="6">
        <v>0</v>
      </c>
      <c r="Q50" s="4" t="s">
        <v>57</v>
      </c>
      <c r="R50" s="4">
        <v>0</v>
      </c>
      <c r="S50" s="4">
        <v>0</v>
      </c>
      <c r="T50" s="4">
        <v>17</v>
      </c>
      <c r="U50" s="4">
        <v>0</v>
      </c>
      <c r="V50" s="6">
        <f>IF(ISERROR(VLOOKUP($S$50,'TAR FIN'!$A$1:$O$86,15,0)),0,VLOOKUP($S$50,'TAR FIN'!$A$1:$O$86,15,0))</f>
        <v>0</v>
      </c>
      <c r="W50" s="6">
        <f>IF(ISERROR(VLOOKUP($T$50,'TAR FIN'!$A$1:$O$86,15,0)),0,VLOOKUP($T$50,'TAR FIN'!$A$1:$O$86,15,0))</f>
        <v>71.260000000000005</v>
      </c>
      <c r="X50" s="6">
        <f>IF(ISERROR(VLOOKUP($U$50,'TAR FIN'!$A$1:$O$86,15,0)),0,VLOOKUP($U$50,'TAR FIN'!$A$1:$O$86,15,0))</f>
        <v>0</v>
      </c>
      <c r="Y50" s="6"/>
      <c r="Z50" s="6">
        <f ca="1">('TUSD BE'!$AM$12+'TUSD BF'!$AM$12+'TUSD CVA'!$AM$12)*1</f>
        <v>95.815448102611441</v>
      </c>
      <c r="AA50" s="6"/>
      <c r="AB50" s="6">
        <f t="shared" si="2"/>
        <v>0</v>
      </c>
      <c r="AC50" s="6">
        <f t="shared" si="6"/>
        <v>0</v>
      </c>
      <c r="AD50" s="6">
        <f t="shared" si="4"/>
        <v>0</v>
      </c>
      <c r="AE50" s="6">
        <f t="shared" ca="1" si="7"/>
        <v>0</v>
      </c>
      <c r="AF50" s="4" t="s">
        <v>648</v>
      </c>
    </row>
    <row r="51" spans="1:32" ht="11.25" customHeight="1" x14ac:dyDescent="0.25">
      <c r="A51" s="4" t="s">
        <v>21</v>
      </c>
      <c r="B51" s="4" t="s">
        <v>38</v>
      </c>
      <c r="C51" s="4" t="s">
        <v>39</v>
      </c>
      <c r="D51" s="4" t="s">
        <v>37</v>
      </c>
      <c r="E51" s="4" t="s">
        <v>25</v>
      </c>
      <c r="F51" s="4" t="s">
        <v>56</v>
      </c>
      <c r="G51" s="4" t="s">
        <v>25</v>
      </c>
      <c r="H51" s="4" t="s">
        <v>34</v>
      </c>
      <c r="I51" s="5">
        <v>44409</v>
      </c>
      <c r="J51" s="6">
        <v>0</v>
      </c>
      <c r="K51" s="6">
        <v>0</v>
      </c>
      <c r="L51" s="6">
        <v>3805.9349999999999</v>
      </c>
      <c r="M51" s="6">
        <v>3805.9349999999999</v>
      </c>
      <c r="N51" s="6">
        <v>0</v>
      </c>
      <c r="O51" s="6">
        <v>0</v>
      </c>
      <c r="P51" s="6">
        <v>0</v>
      </c>
      <c r="Q51" s="4" t="s">
        <v>57</v>
      </c>
      <c r="R51" s="4">
        <v>0</v>
      </c>
      <c r="S51" s="4">
        <v>0</v>
      </c>
      <c r="T51" s="4">
        <v>17</v>
      </c>
      <c r="U51" s="4">
        <v>0</v>
      </c>
      <c r="V51" s="6">
        <f>IF(ISERROR(VLOOKUP($S$51,'TAR FIN'!$A$1:$O$86,15,0)),0,VLOOKUP($S$51,'TAR FIN'!$A$1:$O$86,15,0))</f>
        <v>0</v>
      </c>
      <c r="W51" s="6">
        <f>IF(ISERROR(VLOOKUP($T$51,'TAR FIN'!$A$1:$O$86,15,0)),0,VLOOKUP($T$51,'TAR FIN'!$A$1:$O$86,15,0))</f>
        <v>71.260000000000005</v>
      </c>
      <c r="X51" s="6">
        <f>IF(ISERROR(VLOOKUP($U$51,'TAR FIN'!$A$1:$O$86,15,0)),0,VLOOKUP($U$51,'TAR FIN'!$A$1:$O$86,15,0))</f>
        <v>0</v>
      </c>
      <c r="Y51" s="6"/>
      <c r="Z51" s="6">
        <f ca="1">('TUSD BE'!$AM$12+'TUSD BF'!$AM$12+'TUSD CVA'!$AM$12)*1</f>
        <v>95.815448102611441</v>
      </c>
      <c r="AA51" s="6"/>
      <c r="AB51" s="6">
        <f t="shared" si="2"/>
        <v>0</v>
      </c>
      <c r="AC51" s="6">
        <f t="shared" si="6"/>
        <v>0</v>
      </c>
      <c r="AD51" s="6">
        <f t="shared" si="4"/>
        <v>0</v>
      </c>
      <c r="AE51" s="6">
        <f t="shared" ca="1" si="7"/>
        <v>0</v>
      </c>
      <c r="AF51" s="4" t="s">
        <v>648</v>
      </c>
    </row>
    <row r="52" spans="1:32" ht="11.25" customHeight="1" x14ac:dyDescent="0.25">
      <c r="A52" s="4" t="s">
        <v>21</v>
      </c>
      <c r="B52" s="4" t="s">
        <v>38</v>
      </c>
      <c r="C52" s="4" t="s">
        <v>39</v>
      </c>
      <c r="D52" s="4" t="s">
        <v>37</v>
      </c>
      <c r="E52" s="4" t="s">
        <v>25</v>
      </c>
      <c r="F52" s="4" t="s">
        <v>56</v>
      </c>
      <c r="G52" s="4" t="s">
        <v>25</v>
      </c>
      <c r="H52" s="4" t="s">
        <v>34</v>
      </c>
      <c r="I52" s="5">
        <v>44440</v>
      </c>
      <c r="J52" s="6">
        <v>0</v>
      </c>
      <c r="K52" s="6">
        <v>0</v>
      </c>
      <c r="L52" s="6">
        <v>3521.2339999999999</v>
      </c>
      <c r="M52" s="6">
        <v>3521.2339999999999</v>
      </c>
      <c r="N52" s="6">
        <v>0</v>
      </c>
      <c r="O52" s="6">
        <v>0</v>
      </c>
      <c r="P52" s="6">
        <v>0</v>
      </c>
      <c r="Q52" s="4" t="s">
        <v>57</v>
      </c>
      <c r="R52" s="4">
        <v>0</v>
      </c>
      <c r="S52" s="4">
        <v>0</v>
      </c>
      <c r="T52" s="4">
        <v>17</v>
      </c>
      <c r="U52" s="4">
        <v>0</v>
      </c>
      <c r="V52" s="6">
        <f>IF(ISERROR(VLOOKUP($S$52,'TAR FIN'!$A$1:$O$86,15,0)),0,VLOOKUP($S$52,'TAR FIN'!$A$1:$O$86,15,0))</f>
        <v>0</v>
      </c>
      <c r="W52" s="6">
        <f>IF(ISERROR(VLOOKUP($T$52,'TAR FIN'!$A$1:$O$86,15,0)),0,VLOOKUP($T$52,'TAR FIN'!$A$1:$O$86,15,0))</f>
        <v>71.260000000000005</v>
      </c>
      <c r="X52" s="6">
        <f>IF(ISERROR(VLOOKUP($U$52,'TAR FIN'!$A$1:$O$86,15,0)),0,VLOOKUP($U$52,'TAR FIN'!$A$1:$O$86,15,0))</f>
        <v>0</v>
      </c>
      <c r="Y52" s="6"/>
      <c r="Z52" s="6">
        <f ca="1">('TUSD BE'!$AM$12+'TUSD BF'!$AM$12+'TUSD CVA'!$AM$12)*1</f>
        <v>95.815448102611441</v>
      </c>
      <c r="AA52" s="6"/>
      <c r="AB52" s="6">
        <f t="shared" si="2"/>
        <v>0</v>
      </c>
      <c r="AC52" s="6">
        <f t="shared" si="6"/>
        <v>0</v>
      </c>
      <c r="AD52" s="6">
        <f t="shared" si="4"/>
        <v>0</v>
      </c>
      <c r="AE52" s="6">
        <f t="shared" ca="1" si="7"/>
        <v>0</v>
      </c>
      <c r="AF52" s="4" t="s">
        <v>648</v>
      </c>
    </row>
    <row r="53" spans="1:32" ht="11.25" customHeight="1" x14ac:dyDescent="0.25">
      <c r="A53" s="4" t="s">
        <v>21</v>
      </c>
      <c r="B53" s="4" t="s">
        <v>38</v>
      </c>
      <c r="C53" s="4" t="s">
        <v>39</v>
      </c>
      <c r="D53" s="4" t="s">
        <v>37</v>
      </c>
      <c r="E53" s="4" t="s">
        <v>25</v>
      </c>
      <c r="F53" s="4" t="s">
        <v>56</v>
      </c>
      <c r="G53" s="4" t="s">
        <v>25</v>
      </c>
      <c r="H53" s="4" t="s">
        <v>34</v>
      </c>
      <c r="I53" s="5">
        <v>44470</v>
      </c>
      <c r="J53" s="6">
        <v>0</v>
      </c>
      <c r="K53" s="6">
        <v>0</v>
      </c>
      <c r="L53" s="6">
        <v>3488.46</v>
      </c>
      <c r="M53" s="6">
        <v>3488.46</v>
      </c>
      <c r="N53" s="6">
        <v>0</v>
      </c>
      <c r="O53" s="6">
        <v>0</v>
      </c>
      <c r="P53" s="6">
        <v>0</v>
      </c>
      <c r="Q53" s="4" t="s">
        <v>57</v>
      </c>
      <c r="R53" s="4">
        <v>0</v>
      </c>
      <c r="S53" s="4">
        <v>0</v>
      </c>
      <c r="T53" s="4">
        <v>17</v>
      </c>
      <c r="U53" s="4">
        <v>0</v>
      </c>
      <c r="V53" s="6">
        <f>IF(ISERROR(VLOOKUP($S$53,'TAR FIN'!$A$1:$O$86,15,0)),0,VLOOKUP($S$53,'TAR FIN'!$A$1:$O$86,15,0))</f>
        <v>0</v>
      </c>
      <c r="W53" s="6">
        <f>IF(ISERROR(VLOOKUP($T$53,'TAR FIN'!$A$1:$O$86,15,0)),0,VLOOKUP($T$53,'TAR FIN'!$A$1:$O$86,15,0))</f>
        <v>71.260000000000005</v>
      </c>
      <c r="X53" s="6">
        <f>IF(ISERROR(VLOOKUP($U$53,'TAR FIN'!$A$1:$O$86,15,0)),0,VLOOKUP($U$53,'TAR FIN'!$A$1:$O$86,15,0))</f>
        <v>0</v>
      </c>
      <c r="Y53" s="6"/>
      <c r="Z53" s="6">
        <f ca="1">('TUSD BE'!$AM$12+'TUSD BF'!$AM$12+'TUSD CVA'!$AM$12)*1</f>
        <v>95.815448102611441</v>
      </c>
      <c r="AA53" s="6"/>
      <c r="AB53" s="6">
        <f t="shared" si="2"/>
        <v>0</v>
      </c>
      <c r="AC53" s="6">
        <f t="shared" si="6"/>
        <v>0</v>
      </c>
      <c r="AD53" s="6">
        <f t="shared" si="4"/>
        <v>0</v>
      </c>
      <c r="AE53" s="6">
        <f t="shared" ca="1" si="7"/>
        <v>0</v>
      </c>
      <c r="AF53" s="4" t="s">
        <v>648</v>
      </c>
    </row>
    <row r="54" spans="1:32" ht="11.25" customHeight="1" x14ac:dyDescent="0.25">
      <c r="A54" s="4" t="s">
        <v>21</v>
      </c>
      <c r="B54" s="4" t="s">
        <v>38</v>
      </c>
      <c r="C54" s="4" t="s">
        <v>39</v>
      </c>
      <c r="D54" s="4" t="s">
        <v>37</v>
      </c>
      <c r="E54" s="4" t="s">
        <v>25</v>
      </c>
      <c r="F54" s="4" t="s">
        <v>56</v>
      </c>
      <c r="G54" s="4" t="s">
        <v>25</v>
      </c>
      <c r="H54" s="4" t="s">
        <v>34</v>
      </c>
      <c r="I54" s="5">
        <v>44501</v>
      </c>
      <c r="J54" s="6">
        <v>0</v>
      </c>
      <c r="K54" s="6">
        <v>0</v>
      </c>
      <c r="L54" s="6">
        <v>3759.0949999999998</v>
      </c>
      <c r="M54" s="6">
        <v>3759.0949999999998</v>
      </c>
      <c r="N54" s="6">
        <v>0</v>
      </c>
      <c r="O54" s="6">
        <v>0</v>
      </c>
      <c r="P54" s="6">
        <v>0</v>
      </c>
      <c r="Q54" s="4" t="s">
        <v>57</v>
      </c>
      <c r="R54" s="4">
        <v>0</v>
      </c>
      <c r="S54" s="4">
        <v>0</v>
      </c>
      <c r="T54" s="4">
        <v>17</v>
      </c>
      <c r="U54" s="4">
        <v>0</v>
      </c>
      <c r="V54" s="6">
        <f>IF(ISERROR(VLOOKUP($S$54,'TAR FIN'!$A$1:$O$86,15,0)),0,VLOOKUP($S$54,'TAR FIN'!$A$1:$O$86,15,0))</f>
        <v>0</v>
      </c>
      <c r="W54" s="6">
        <f>IF(ISERROR(VLOOKUP($T$54,'TAR FIN'!$A$1:$O$86,15,0)),0,VLOOKUP($T$54,'TAR FIN'!$A$1:$O$86,15,0))</f>
        <v>71.260000000000005</v>
      </c>
      <c r="X54" s="6">
        <f>IF(ISERROR(VLOOKUP($U$54,'TAR FIN'!$A$1:$O$86,15,0)),0,VLOOKUP($U$54,'TAR FIN'!$A$1:$O$86,15,0))</f>
        <v>0</v>
      </c>
      <c r="Y54" s="6"/>
      <c r="Z54" s="6">
        <f ca="1">('TUSD BE'!$AM$12+'TUSD BF'!$AM$12+'TUSD CVA'!$AM$12)*1</f>
        <v>95.815448102611441</v>
      </c>
      <c r="AA54" s="6"/>
      <c r="AB54" s="6">
        <f t="shared" si="2"/>
        <v>0</v>
      </c>
      <c r="AC54" s="6">
        <f t="shared" si="6"/>
        <v>0</v>
      </c>
      <c r="AD54" s="6">
        <f t="shared" si="4"/>
        <v>0</v>
      </c>
      <c r="AE54" s="6">
        <f t="shared" ca="1" si="7"/>
        <v>0</v>
      </c>
      <c r="AF54" s="4" t="s">
        <v>648</v>
      </c>
    </row>
    <row r="55" spans="1:32" ht="11.25" customHeight="1" x14ac:dyDescent="0.25">
      <c r="A55" s="4" t="s">
        <v>21</v>
      </c>
      <c r="B55" s="4" t="s">
        <v>38</v>
      </c>
      <c r="C55" s="4" t="s">
        <v>39</v>
      </c>
      <c r="D55" s="4" t="s">
        <v>37</v>
      </c>
      <c r="E55" s="4" t="s">
        <v>25</v>
      </c>
      <c r="F55" s="4" t="s">
        <v>56</v>
      </c>
      <c r="G55" s="4" t="s">
        <v>25</v>
      </c>
      <c r="H55" s="4" t="s">
        <v>34</v>
      </c>
      <c r="I55" s="5">
        <v>44531</v>
      </c>
      <c r="J55" s="6">
        <v>0</v>
      </c>
      <c r="K55" s="6">
        <v>0</v>
      </c>
      <c r="L55" s="6">
        <v>3501.3580000000002</v>
      </c>
      <c r="M55" s="6">
        <v>3501.3580000000002</v>
      </c>
      <c r="N55" s="6">
        <v>0</v>
      </c>
      <c r="O55" s="6">
        <v>0</v>
      </c>
      <c r="P55" s="6">
        <v>0</v>
      </c>
      <c r="Q55" s="4" t="s">
        <v>57</v>
      </c>
      <c r="R55" s="4">
        <v>0</v>
      </c>
      <c r="S55" s="4">
        <v>0</v>
      </c>
      <c r="T55" s="4">
        <v>17</v>
      </c>
      <c r="U55" s="4">
        <v>0</v>
      </c>
      <c r="V55" s="6">
        <f>IF(ISERROR(VLOOKUP($S$55,'TAR FIN'!$A$1:$O$86,15,0)),0,VLOOKUP($S$55,'TAR FIN'!$A$1:$O$86,15,0))</f>
        <v>0</v>
      </c>
      <c r="W55" s="6">
        <f>IF(ISERROR(VLOOKUP($T$55,'TAR FIN'!$A$1:$O$86,15,0)),0,VLOOKUP($T$55,'TAR FIN'!$A$1:$O$86,15,0))</f>
        <v>71.260000000000005</v>
      </c>
      <c r="X55" s="6">
        <f>IF(ISERROR(VLOOKUP($U$55,'TAR FIN'!$A$1:$O$86,15,0)),0,VLOOKUP($U$55,'TAR FIN'!$A$1:$O$86,15,0))</f>
        <v>0</v>
      </c>
      <c r="Y55" s="6"/>
      <c r="Z55" s="6">
        <f ca="1">('TUSD BE'!$AM$12+'TUSD BF'!$AM$12+'TUSD CVA'!$AM$12)*1</f>
        <v>95.815448102611441</v>
      </c>
      <c r="AA55" s="6"/>
      <c r="AB55" s="6">
        <f t="shared" si="2"/>
        <v>0</v>
      </c>
      <c r="AC55" s="6">
        <f t="shared" si="6"/>
        <v>0</v>
      </c>
      <c r="AD55" s="6">
        <f t="shared" si="4"/>
        <v>0</v>
      </c>
      <c r="AE55" s="6">
        <f t="shared" ca="1" si="7"/>
        <v>0</v>
      </c>
      <c r="AF55" s="4" t="s">
        <v>648</v>
      </c>
    </row>
    <row r="56" spans="1:32" ht="11.25" customHeight="1" x14ac:dyDescent="0.25">
      <c r="A56" s="4" t="s">
        <v>21</v>
      </c>
      <c r="B56" s="4" t="s">
        <v>38</v>
      </c>
      <c r="C56" s="4" t="s">
        <v>39</v>
      </c>
      <c r="D56" s="4" t="s">
        <v>37</v>
      </c>
      <c r="E56" s="4" t="s">
        <v>25</v>
      </c>
      <c r="F56" s="4" t="s">
        <v>56</v>
      </c>
      <c r="G56" s="4" t="s">
        <v>25</v>
      </c>
      <c r="H56" s="4" t="s">
        <v>34</v>
      </c>
      <c r="I56" s="5">
        <v>44562</v>
      </c>
      <c r="J56" s="6">
        <v>0</v>
      </c>
      <c r="K56" s="6">
        <v>0</v>
      </c>
      <c r="L56" s="6">
        <v>3808.7330000000002</v>
      </c>
      <c r="M56" s="6">
        <v>3808.7330000000002</v>
      </c>
      <c r="N56" s="6">
        <v>0</v>
      </c>
      <c r="O56" s="6">
        <v>0</v>
      </c>
      <c r="P56" s="6">
        <v>0</v>
      </c>
      <c r="Q56" s="4" t="s">
        <v>57</v>
      </c>
      <c r="R56" s="4">
        <v>0</v>
      </c>
      <c r="S56" s="4">
        <v>0</v>
      </c>
      <c r="T56" s="4">
        <v>17</v>
      </c>
      <c r="U56" s="4">
        <v>0</v>
      </c>
      <c r="V56" s="6">
        <f>IF(ISERROR(VLOOKUP($S$56,'TAR FIN'!$A$1:$O$86,15,0)),0,VLOOKUP($S$56,'TAR FIN'!$A$1:$O$86,15,0))</f>
        <v>0</v>
      </c>
      <c r="W56" s="6">
        <f>IF(ISERROR(VLOOKUP($T$56,'TAR FIN'!$A$1:$O$86,15,0)),0,VLOOKUP($T$56,'TAR FIN'!$A$1:$O$86,15,0))</f>
        <v>71.260000000000005</v>
      </c>
      <c r="X56" s="6">
        <f>IF(ISERROR(VLOOKUP($U$56,'TAR FIN'!$A$1:$O$86,15,0)),0,VLOOKUP($U$56,'TAR FIN'!$A$1:$O$86,15,0))</f>
        <v>0</v>
      </c>
      <c r="Y56" s="6"/>
      <c r="Z56" s="6">
        <f ca="1">('TUSD BE'!$AM$12+'TUSD BF'!$AM$12+'TUSD CVA'!$AM$12)*1</f>
        <v>95.815448102611441</v>
      </c>
      <c r="AA56" s="6"/>
      <c r="AB56" s="6">
        <f t="shared" si="2"/>
        <v>0</v>
      </c>
      <c r="AC56" s="6">
        <f t="shared" si="6"/>
        <v>0</v>
      </c>
      <c r="AD56" s="6">
        <f t="shared" si="4"/>
        <v>0</v>
      </c>
      <c r="AE56" s="6">
        <f t="shared" ca="1" si="7"/>
        <v>0</v>
      </c>
      <c r="AF56" s="4" t="s">
        <v>648</v>
      </c>
    </row>
    <row r="57" spans="1:32" ht="11.25" customHeight="1" x14ac:dyDescent="0.25">
      <c r="A57" s="4" t="s">
        <v>21</v>
      </c>
      <c r="B57" s="4" t="s">
        <v>38</v>
      </c>
      <c r="C57" s="4" t="s">
        <v>39</v>
      </c>
      <c r="D57" s="4" t="s">
        <v>37</v>
      </c>
      <c r="E57" s="4" t="s">
        <v>25</v>
      </c>
      <c r="F57" s="4" t="s">
        <v>56</v>
      </c>
      <c r="G57" s="4" t="s">
        <v>25</v>
      </c>
      <c r="H57" s="4" t="s">
        <v>34</v>
      </c>
      <c r="I57" s="5">
        <v>44593</v>
      </c>
      <c r="J57" s="6">
        <v>0</v>
      </c>
      <c r="K57" s="6">
        <v>0</v>
      </c>
      <c r="L57" s="6">
        <v>3887.973</v>
      </c>
      <c r="M57" s="6">
        <v>3887.973</v>
      </c>
      <c r="N57" s="6">
        <v>0</v>
      </c>
      <c r="O57" s="6">
        <v>0</v>
      </c>
      <c r="P57" s="6">
        <v>0</v>
      </c>
      <c r="Q57" s="4" t="s">
        <v>57</v>
      </c>
      <c r="R57" s="4">
        <v>0</v>
      </c>
      <c r="S57" s="4">
        <v>0</v>
      </c>
      <c r="T57" s="4">
        <v>17</v>
      </c>
      <c r="U57" s="4">
        <v>0</v>
      </c>
      <c r="V57" s="6">
        <f>IF(ISERROR(VLOOKUP($S$57,'TAR FIN'!$A$1:$O$86,15,0)),0,VLOOKUP($S$57,'TAR FIN'!$A$1:$O$86,15,0))</f>
        <v>0</v>
      </c>
      <c r="W57" s="6">
        <f>IF(ISERROR(VLOOKUP($T$57,'TAR FIN'!$A$1:$O$86,15,0)),0,VLOOKUP($T$57,'TAR FIN'!$A$1:$O$86,15,0))</f>
        <v>71.260000000000005</v>
      </c>
      <c r="X57" s="6">
        <f>IF(ISERROR(VLOOKUP($U$57,'TAR FIN'!$A$1:$O$86,15,0)),0,VLOOKUP($U$57,'TAR FIN'!$A$1:$O$86,15,0))</f>
        <v>0</v>
      </c>
      <c r="Y57" s="6"/>
      <c r="Z57" s="6">
        <f ca="1">('TUSD BE'!$AM$12+'TUSD BF'!$AM$12+'TUSD CVA'!$AM$12)*1</f>
        <v>95.815448102611441</v>
      </c>
      <c r="AA57" s="6"/>
      <c r="AB57" s="6">
        <f t="shared" si="2"/>
        <v>0</v>
      </c>
      <c r="AC57" s="6">
        <f t="shared" si="6"/>
        <v>0</v>
      </c>
      <c r="AD57" s="6">
        <f t="shared" si="4"/>
        <v>0</v>
      </c>
      <c r="AE57" s="6">
        <f t="shared" ca="1" si="7"/>
        <v>0</v>
      </c>
      <c r="AF57" s="4" t="s">
        <v>648</v>
      </c>
    </row>
    <row r="58" spans="1:32" ht="11.25" customHeight="1" x14ac:dyDescent="0.25">
      <c r="A58" s="4" t="s">
        <v>21</v>
      </c>
      <c r="B58" s="4" t="s">
        <v>38</v>
      </c>
      <c r="C58" s="4" t="s">
        <v>39</v>
      </c>
      <c r="D58" s="4" t="s">
        <v>37</v>
      </c>
      <c r="E58" s="4" t="s">
        <v>25</v>
      </c>
      <c r="F58" s="4" t="s">
        <v>56</v>
      </c>
      <c r="G58" s="4" t="s">
        <v>25</v>
      </c>
      <c r="H58" s="4" t="s">
        <v>34</v>
      </c>
      <c r="I58" s="5">
        <v>44621</v>
      </c>
      <c r="J58" s="6">
        <v>0</v>
      </c>
      <c r="K58" s="6">
        <v>0</v>
      </c>
      <c r="L58" s="6">
        <v>4502.0200000000004</v>
      </c>
      <c r="M58" s="6">
        <v>4502.0200000000004</v>
      </c>
      <c r="N58" s="6">
        <v>0</v>
      </c>
      <c r="O58" s="6">
        <v>0</v>
      </c>
      <c r="P58" s="6">
        <v>0</v>
      </c>
      <c r="Q58" s="4" t="s">
        <v>57</v>
      </c>
      <c r="R58" s="4">
        <v>0</v>
      </c>
      <c r="S58" s="4">
        <v>0</v>
      </c>
      <c r="T58" s="4">
        <v>17</v>
      </c>
      <c r="U58" s="4">
        <v>0</v>
      </c>
      <c r="V58" s="6">
        <f>IF(ISERROR(VLOOKUP($S$58,'TAR FIN'!$A$1:$O$86,15,0)),0,VLOOKUP($S$58,'TAR FIN'!$A$1:$O$86,15,0))</f>
        <v>0</v>
      </c>
      <c r="W58" s="6">
        <f>IF(ISERROR(VLOOKUP($T$58,'TAR FIN'!$A$1:$O$86,15,0)),0,VLOOKUP($T$58,'TAR FIN'!$A$1:$O$86,15,0))</f>
        <v>71.260000000000005</v>
      </c>
      <c r="X58" s="6">
        <f>IF(ISERROR(VLOOKUP($U$58,'TAR FIN'!$A$1:$O$86,15,0)),0,VLOOKUP($U$58,'TAR FIN'!$A$1:$O$86,15,0))</f>
        <v>0</v>
      </c>
      <c r="Y58" s="6"/>
      <c r="Z58" s="6">
        <f ca="1">('TUSD BE'!$AM$12+'TUSD BF'!$AM$12+'TUSD CVA'!$AM$12)*1</f>
        <v>95.815448102611441</v>
      </c>
      <c r="AA58" s="6"/>
      <c r="AB58" s="6">
        <f t="shared" si="2"/>
        <v>0</v>
      </c>
      <c r="AC58" s="6">
        <f t="shared" si="6"/>
        <v>0</v>
      </c>
      <c r="AD58" s="6">
        <f t="shared" si="4"/>
        <v>0</v>
      </c>
      <c r="AE58" s="6">
        <f t="shared" ca="1" si="7"/>
        <v>0</v>
      </c>
      <c r="AF58" s="4" t="s">
        <v>648</v>
      </c>
    </row>
    <row r="59" spans="1:32" ht="11.25" customHeight="1" x14ac:dyDescent="0.25">
      <c r="A59" s="4" t="s">
        <v>21</v>
      </c>
      <c r="B59" s="4" t="s">
        <v>38</v>
      </c>
      <c r="C59" s="4" t="s">
        <v>39</v>
      </c>
      <c r="D59" s="4" t="s">
        <v>37</v>
      </c>
      <c r="E59" s="4" t="s">
        <v>25</v>
      </c>
      <c r="F59" s="4" t="s">
        <v>56</v>
      </c>
      <c r="G59" s="4" t="s">
        <v>25</v>
      </c>
      <c r="H59" s="4" t="s">
        <v>34</v>
      </c>
      <c r="I59" s="5">
        <v>44652</v>
      </c>
      <c r="J59" s="6">
        <v>0</v>
      </c>
      <c r="K59" s="6">
        <v>0</v>
      </c>
      <c r="L59" s="6">
        <v>4039.2190000000001</v>
      </c>
      <c r="M59" s="6">
        <v>4039.2190000000001</v>
      </c>
      <c r="N59" s="6">
        <v>0</v>
      </c>
      <c r="O59" s="6">
        <v>0</v>
      </c>
      <c r="P59" s="6">
        <v>0</v>
      </c>
      <c r="Q59" s="4" t="s">
        <v>57</v>
      </c>
      <c r="R59" s="4">
        <v>0</v>
      </c>
      <c r="S59" s="4">
        <v>0</v>
      </c>
      <c r="T59" s="4">
        <v>17</v>
      </c>
      <c r="U59" s="4">
        <v>0</v>
      </c>
      <c r="V59" s="6">
        <f>IF(ISERROR(VLOOKUP($S$59,'TAR FIN'!$A$1:$O$86,15,0)),0,VLOOKUP($S$59,'TAR FIN'!$A$1:$O$86,15,0))</f>
        <v>0</v>
      </c>
      <c r="W59" s="6">
        <f>IF(ISERROR(VLOOKUP($T$59,'TAR FIN'!$A$1:$O$86,15,0)),0,VLOOKUP($T$59,'TAR FIN'!$A$1:$O$86,15,0))</f>
        <v>71.260000000000005</v>
      </c>
      <c r="X59" s="6">
        <f>IF(ISERROR(VLOOKUP($U$59,'TAR FIN'!$A$1:$O$86,15,0)),0,VLOOKUP($U$59,'TAR FIN'!$A$1:$O$86,15,0))</f>
        <v>0</v>
      </c>
      <c r="Y59" s="6"/>
      <c r="Z59" s="6">
        <f ca="1">('TUSD BE'!$AM$12+'TUSD BF'!$AM$12+'TUSD CVA'!$AM$12)*1</f>
        <v>95.815448102611441</v>
      </c>
      <c r="AA59" s="6"/>
      <c r="AB59" s="6">
        <f t="shared" si="2"/>
        <v>0</v>
      </c>
      <c r="AC59" s="6">
        <f t="shared" si="6"/>
        <v>0</v>
      </c>
      <c r="AD59" s="6">
        <f t="shared" si="4"/>
        <v>0</v>
      </c>
      <c r="AE59" s="6">
        <f t="shared" ca="1" si="7"/>
        <v>0</v>
      </c>
      <c r="AF59" s="4" t="s">
        <v>648</v>
      </c>
    </row>
    <row r="60" spans="1:32" ht="11.25" customHeight="1" x14ac:dyDescent="0.25">
      <c r="A60" s="4" t="s">
        <v>21</v>
      </c>
      <c r="B60" s="4" t="s">
        <v>38</v>
      </c>
      <c r="C60" s="4" t="s">
        <v>39</v>
      </c>
      <c r="D60" s="4" t="s">
        <v>37</v>
      </c>
      <c r="E60" s="4" t="s">
        <v>25</v>
      </c>
      <c r="F60" s="4" t="s">
        <v>56</v>
      </c>
      <c r="G60" s="4" t="s">
        <v>25</v>
      </c>
      <c r="H60" s="4" t="s">
        <v>34</v>
      </c>
      <c r="I60" s="5">
        <v>44682</v>
      </c>
      <c r="J60" s="6">
        <v>0</v>
      </c>
      <c r="K60" s="6">
        <v>0</v>
      </c>
      <c r="L60" s="6">
        <v>4380.7709999999997</v>
      </c>
      <c r="M60" s="6">
        <v>4380.7709999999997</v>
      </c>
      <c r="N60" s="6">
        <v>0</v>
      </c>
      <c r="O60" s="6">
        <v>0</v>
      </c>
      <c r="P60" s="6">
        <v>0</v>
      </c>
      <c r="Q60" s="4" t="s">
        <v>57</v>
      </c>
      <c r="R60" s="4">
        <v>0</v>
      </c>
      <c r="S60" s="4">
        <v>0</v>
      </c>
      <c r="T60" s="4">
        <v>17</v>
      </c>
      <c r="U60" s="4">
        <v>0</v>
      </c>
      <c r="V60" s="6">
        <f>IF(ISERROR(VLOOKUP($S$60,'TAR FIN'!$A$1:$O$86,15,0)),0,VLOOKUP($S$60,'TAR FIN'!$A$1:$O$86,15,0))</f>
        <v>0</v>
      </c>
      <c r="W60" s="6">
        <f>IF(ISERROR(VLOOKUP($T$60,'TAR FIN'!$A$1:$O$86,15,0)),0,VLOOKUP($T$60,'TAR FIN'!$A$1:$O$86,15,0))</f>
        <v>71.260000000000005</v>
      </c>
      <c r="X60" s="6">
        <f>IF(ISERROR(VLOOKUP($U$60,'TAR FIN'!$A$1:$O$86,15,0)),0,VLOOKUP($U$60,'TAR FIN'!$A$1:$O$86,15,0))</f>
        <v>0</v>
      </c>
      <c r="Y60" s="6"/>
      <c r="Z60" s="6">
        <f ca="1">('TUSD BE'!$AM$12+'TUSD BF'!$AM$12+'TUSD CVA'!$AM$12)*1</f>
        <v>95.815448102611441</v>
      </c>
      <c r="AA60" s="6"/>
      <c r="AB60" s="6">
        <f t="shared" si="2"/>
        <v>0</v>
      </c>
      <c r="AC60" s="6">
        <f t="shared" si="6"/>
        <v>0</v>
      </c>
      <c r="AD60" s="6">
        <f t="shared" si="4"/>
        <v>0</v>
      </c>
      <c r="AE60" s="6">
        <f t="shared" ca="1" si="7"/>
        <v>0</v>
      </c>
      <c r="AF60" s="4" t="s">
        <v>648</v>
      </c>
    </row>
    <row r="61" spans="1:32" ht="11.25" customHeight="1" x14ac:dyDescent="0.25">
      <c r="A61" s="4" t="s">
        <v>55</v>
      </c>
      <c r="B61" s="4" t="s">
        <v>38</v>
      </c>
      <c r="C61" s="4" t="s">
        <v>39</v>
      </c>
      <c r="D61" s="4" t="s">
        <v>37</v>
      </c>
      <c r="E61" s="4" t="s">
        <v>25</v>
      </c>
      <c r="F61" s="4" t="s">
        <v>56</v>
      </c>
      <c r="G61" s="4" t="s">
        <v>25</v>
      </c>
      <c r="H61" s="4" t="s">
        <v>34</v>
      </c>
      <c r="I61" s="5">
        <v>44713</v>
      </c>
      <c r="J61" s="6">
        <v>0</v>
      </c>
      <c r="K61" s="6">
        <v>0</v>
      </c>
      <c r="L61" s="6">
        <v>4380.7709999999997</v>
      </c>
      <c r="M61" s="6">
        <v>4380.7709999999997</v>
      </c>
      <c r="N61" s="6">
        <v>0</v>
      </c>
      <c r="O61" s="6">
        <v>0</v>
      </c>
      <c r="P61" s="6">
        <v>0</v>
      </c>
      <c r="Q61" s="4" t="s">
        <v>57</v>
      </c>
      <c r="R61" s="4">
        <v>0</v>
      </c>
      <c r="S61" s="4">
        <v>0</v>
      </c>
      <c r="T61" s="4">
        <v>17</v>
      </c>
      <c r="U61" s="4">
        <v>0</v>
      </c>
      <c r="V61" s="6">
        <f>IF(ISERROR(VLOOKUP($S$61,'TAR FIN'!$A$1:$O$86,15,0)),0,VLOOKUP($S$61,'TAR FIN'!$A$1:$O$86,15,0))</f>
        <v>0</v>
      </c>
      <c r="W61" s="6">
        <f>IF(ISERROR(VLOOKUP($T$61,'TAR FIN'!$A$1:$O$86,15,0)),0,VLOOKUP($T$61,'TAR FIN'!$A$1:$O$86,15,0))</f>
        <v>71.260000000000005</v>
      </c>
      <c r="X61" s="6">
        <f>IF(ISERROR(VLOOKUP($U$61,'TAR FIN'!$A$1:$O$86,15,0)),0,VLOOKUP($U$61,'TAR FIN'!$A$1:$O$86,15,0))</f>
        <v>0</v>
      </c>
      <c r="Y61" s="6"/>
      <c r="Z61" s="6">
        <f ca="1">('TUSD BE'!$AM$12+'TUSD BF'!$AM$12+'TUSD CVA'!$AM$12)*1</f>
        <v>95.815448102611441</v>
      </c>
      <c r="AA61" s="6"/>
      <c r="AB61" s="6">
        <f t="shared" si="2"/>
        <v>0</v>
      </c>
      <c r="AC61" s="6">
        <f t="shared" si="6"/>
        <v>0</v>
      </c>
      <c r="AD61" s="6">
        <f t="shared" si="4"/>
        <v>0</v>
      </c>
      <c r="AE61" s="6">
        <f t="shared" ca="1" si="7"/>
        <v>0</v>
      </c>
      <c r="AF61" s="4" t="s">
        <v>648</v>
      </c>
    </row>
    <row r="62" spans="1:32" ht="11.25" customHeight="1" x14ac:dyDescent="0.25">
      <c r="A62" s="4" t="s">
        <v>21</v>
      </c>
      <c r="B62" s="4" t="s">
        <v>38</v>
      </c>
      <c r="C62" s="4" t="s">
        <v>39</v>
      </c>
      <c r="D62" s="4" t="s">
        <v>37</v>
      </c>
      <c r="E62" s="4" t="s">
        <v>25</v>
      </c>
      <c r="F62" s="4" t="s">
        <v>56</v>
      </c>
      <c r="G62" s="4" t="s">
        <v>25</v>
      </c>
      <c r="H62" s="4" t="s">
        <v>25</v>
      </c>
      <c r="I62" s="5">
        <v>44378</v>
      </c>
      <c r="J62" s="6">
        <v>10417</v>
      </c>
      <c r="K62" s="6">
        <v>5208.5</v>
      </c>
      <c r="L62" s="6">
        <v>0</v>
      </c>
      <c r="M62" s="6">
        <v>0</v>
      </c>
      <c r="N62" s="6">
        <v>0</v>
      </c>
      <c r="O62" s="6">
        <v>0</v>
      </c>
      <c r="P62" s="6">
        <v>6</v>
      </c>
      <c r="Q62" s="4" t="s">
        <v>57</v>
      </c>
      <c r="R62" s="4">
        <v>0</v>
      </c>
      <c r="S62" s="4">
        <v>19</v>
      </c>
      <c r="T62" s="4">
        <v>0</v>
      </c>
      <c r="U62" s="4">
        <v>0</v>
      </c>
      <c r="V62" s="6">
        <f>IF(ISERROR(VLOOKUP($S$62,'TAR FIN'!$A$1:$O$86,15,0)),0,VLOOKUP($S$62,'TAR FIN'!$A$1:$O$86,15,0))</f>
        <v>16.29</v>
      </c>
      <c r="W62" s="6">
        <f>IF(ISERROR(VLOOKUP($T$62,'TAR FIN'!$A$1:$O$86,15,0)),0,VLOOKUP($T$62,'TAR FIN'!$A$1:$O$86,15,0))</f>
        <v>0</v>
      </c>
      <c r="X62" s="6">
        <f>IF(ISERROR(VLOOKUP($U$62,'TAR FIN'!$A$1:$O$86,15,0)),0,VLOOKUP($U$62,'TAR FIN'!$A$1:$O$86,15,0))</f>
        <v>0</v>
      </c>
      <c r="Y62" s="6">
        <f ca="1">('TUSD BE'!$AM$10+'TUSD BF'!$AM$10+'TUSD CVA'!$AM$10)*1</f>
        <v>21.139573525578484</v>
      </c>
      <c r="Z62" s="6"/>
      <c r="AA62" s="6"/>
      <c r="AB62" s="6">
        <f t="shared" si="2"/>
        <v>84846.464999999997</v>
      </c>
      <c r="AC62" s="6">
        <f t="shared" si="6"/>
        <v>0</v>
      </c>
      <c r="AD62" s="6">
        <f t="shared" ca="1" si="4"/>
        <v>110105.46870797554</v>
      </c>
      <c r="AE62" s="6">
        <f t="shared" si="7"/>
        <v>0</v>
      </c>
      <c r="AF62" s="4" t="s">
        <v>648</v>
      </c>
    </row>
    <row r="63" spans="1:32" ht="11.25" customHeight="1" x14ac:dyDescent="0.25">
      <c r="A63" s="4" t="s">
        <v>21</v>
      </c>
      <c r="B63" s="4" t="s">
        <v>38</v>
      </c>
      <c r="C63" s="4" t="s">
        <v>39</v>
      </c>
      <c r="D63" s="4" t="s">
        <v>37</v>
      </c>
      <c r="E63" s="4" t="s">
        <v>25</v>
      </c>
      <c r="F63" s="4" t="s">
        <v>56</v>
      </c>
      <c r="G63" s="4" t="s">
        <v>25</v>
      </c>
      <c r="H63" s="4" t="s">
        <v>25</v>
      </c>
      <c r="I63" s="5">
        <v>44409</v>
      </c>
      <c r="J63" s="6">
        <v>10895</v>
      </c>
      <c r="K63" s="6">
        <v>5447.5</v>
      </c>
      <c r="L63" s="6">
        <v>0</v>
      </c>
      <c r="M63" s="6">
        <v>0</v>
      </c>
      <c r="N63" s="6">
        <v>0</v>
      </c>
      <c r="O63" s="6">
        <v>0</v>
      </c>
      <c r="P63" s="6">
        <v>7</v>
      </c>
      <c r="Q63" s="4" t="s">
        <v>57</v>
      </c>
      <c r="R63" s="4">
        <v>0</v>
      </c>
      <c r="S63" s="4">
        <v>19</v>
      </c>
      <c r="T63" s="4">
        <v>0</v>
      </c>
      <c r="U63" s="4">
        <v>0</v>
      </c>
      <c r="V63" s="6">
        <f>IF(ISERROR(VLOOKUP($S$63,'TAR FIN'!$A$1:$O$86,15,0)),0,VLOOKUP($S$63,'TAR FIN'!$A$1:$O$86,15,0))</f>
        <v>16.29</v>
      </c>
      <c r="W63" s="6">
        <f>IF(ISERROR(VLOOKUP($T$63,'TAR FIN'!$A$1:$O$86,15,0)),0,VLOOKUP($T$63,'TAR FIN'!$A$1:$O$86,15,0))</f>
        <v>0</v>
      </c>
      <c r="X63" s="6">
        <f>IF(ISERROR(VLOOKUP($U$63,'TAR FIN'!$A$1:$O$86,15,0)),0,VLOOKUP($U$63,'TAR FIN'!$A$1:$O$86,15,0))</f>
        <v>0</v>
      </c>
      <c r="Y63" s="6">
        <f ca="1">('TUSD BE'!$AM$10+'TUSD BF'!$AM$10+'TUSD CVA'!$AM$10)*1</f>
        <v>21.139573525578484</v>
      </c>
      <c r="Z63" s="6"/>
      <c r="AA63" s="6"/>
      <c r="AB63" s="6">
        <f t="shared" si="2"/>
        <v>88739.774999999994</v>
      </c>
      <c r="AC63" s="6">
        <f t="shared" si="6"/>
        <v>0</v>
      </c>
      <c r="AD63" s="6">
        <f t="shared" ca="1" si="4"/>
        <v>115157.82678058879</v>
      </c>
      <c r="AE63" s="6">
        <f t="shared" si="7"/>
        <v>0</v>
      </c>
      <c r="AF63" s="4" t="s">
        <v>648</v>
      </c>
    </row>
    <row r="64" spans="1:32" ht="11.25" customHeight="1" x14ac:dyDescent="0.25">
      <c r="A64" s="4" t="s">
        <v>21</v>
      </c>
      <c r="B64" s="4" t="s">
        <v>38</v>
      </c>
      <c r="C64" s="4" t="s">
        <v>39</v>
      </c>
      <c r="D64" s="4" t="s">
        <v>37</v>
      </c>
      <c r="E64" s="4" t="s">
        <v>25</v>
      </c>
      <c r="F64" s="4" t="s">
        <v>56</v>
      </c>
      <c r="G64" s="4" t="s">
        <v>25</v>
      </c>
      <c r="H64" s="4" t="s">
        <v>25</v>
      </c>
      <c r="I64" s="5">
        <v>44440</v>
      </c>
      <c r="J64" s="6">
        <v>10925</v>
      </c>
      <c r="K64" s="6">
        <v>5462.5</v>
      </c>
      <c r="L64" s="6">
        <v>0</v>
      </c>
      <c r="M64" s="6">
        <v>0</v>
      </c>
      <c r="N64" s="6">
        <v>0</v>
      </c>
      <c r="O64" s="6">
        <v>0</v>
      </c>
      <c r="P64" s="6">
        <v>7</v>
      </c>
      <c r="Q64" s="4" t="s">
        <v>57</v>
      </c>
      <c r="R64" s="4">
        <v>0</v>
      </c>
      <c r="S64" s="4">
        <v>19</v>
      </c>
      <c r="T64" s="4">
        <v>0</v>
      </c>
      <c r="U64" s="4">
        <v>0</v>
      </c>
      <c r="V64" s="6">
        <f>IF(ISERROR(VLOOKUP($S$64,'TAR FIN'!$A$1:$O$86,15,0)),0,VLOOKUP($S$64,'TAR FIN'!$A$1:$O$86,15,0))</f>
        <v>16.29</v>
      </c>
      <c r="W64" s="6">
        <f>IF(ISERROR(VLOOKUP($T$64,'TAR FIN'!$A$1:$O$86,15,0)),0,VLOOKUP($T$64,'TAR FIN'!$A$1:$O$86,15,0))</f>
        <v>0</v>
      </c>
      <c r="X64" s="6">
        <f>IF(ISERROR(VLOOKUP($U$64,'TAR FIN'!$A$1:$O$86,15,0)),0,VLOOKUP($U$64,'TAR FIN'!$A$1:$O$86,15,0))</f>
        <v>0</v>
      </c>
      <c r="Y64" s="6">
        <f ca="1">('TUSD BE'!$AM$10+'TUSD BF'!$AM$10+'TUSD CVA'!$AM$10)*1</f>
        <v>21.139573525578484</v>
      </c>
      <c r="Z64" s="6"/>
      <c r="AA64" s="6"/>
      <c r="AB64" s="6">
        <f t="shared" si="2"/>
        <v>88984.125</v>
      </c>
      <c r="AC64" s="6">
        <f t="shared" si="6"/>
        <v>0</v>
      </c>
      <c r="AD64" s="6">
        <f t="shared" ca="1" si="4"/>
        <v>115474.92038347248</v>
      </c>
      <c r="AE64" s="6">
        <f t="shared" si="7"/>
        <v>0</v>
      </c>
      <c r="AF64" s="4" t="s">
        <v>648</v>
      </c>
    </row>
    <row r="65" spans="1:32" ht="11.25" customHeight="1" x14ac:dyDescent="0.25">
      <c r="A65" s="4" t="s">
        <v>21</v>
      </c>
      <c r="B65" s="4" t="s">
        <v>38</v>
      </c>
      <c r="C65" s="4" t="s">
        <v>39</v>
      </c>
      <c r="D65" s="4" t="s">
        <v>37</v>
      </c>
      <c r="E65" s="4" t="s">
        <v>25</v>
      </c>
      <c r="F65" s="4" t="s">
        <v>56</v>
      </c>
      <c r="G65" s="4" t="s">
        <v>25</v>
      </c>
      <c r="H65" s="4" t="s">
        <v>25</v>
      </c>
      <c r="I65" s="5">
        <v>44470</v>
      </c>
      <c r="J65" s="6">
        <v>10895</v>
      </c>
      <c r="K65" s="6">
        <v>5447.5</v>
      </c>
      <c r="L65" s="6">
        <v>0</v>
      </c>
      <c r="M65" s="6">
        <v>0</v>
      </c>
      <c r="N65" s="6">
        <v>0</v>
      </c>
      <c r="O65" s="6">
        <v>0</v>
      </c>
      <c r="P65" s="6">
        <v>7</v>
      </c>
      <c r="Q65" s="4" t="s">
        <v>57</v>
      </c>
      <c r="R65" s="4">
        <v>0</v>
      </c>
      <c r="S65" s="4">
        <v>19</v>
      </c>
      <c r="T65" s="4">
        <v>0</v>
      </c>
      <c r="U65" s="4">
        <v>0</v>
      </c>
      <c r="V65" s="6">
        <f>IF(ISERROR(VLOOKUP($S$65,'TAR FIN'!$A$1:$O$86,15,0)),0,VLOOKUP($S$65,'TAR FIN'!$A$1:$O$86,15,0))</f>
        <v>16.29</v>
      </c>
      <c r="W65" s="6">
        <f>IF(ISERROR(VLOOKUP($T$65,'TAR FIN'!$A$1:$O$86,15,0)),0,VLOOKUP($T$65,'TAR FIN'!$A$1:$O$86,15,0))</f>
        <v>0</v>
      </c>
      <c r="X65" s="6">
        <f>IF(ISERROR(VLOOKUP($U$65,'TAR FIN'!$A$1:$O$86,15,0)),0,VLOOKUP($U$65,'TAR FIN'!$A$1:$O$86,15,0))</f>
        <v>0</v>
      </c>
      <c r="Y65" s="6">
        <f ca="1">('TUSD BE'!$AM$10+'TUSD BF'!$AM$10+'TUSD CVA'!$AM$10)*1</f>
        <v>21.139573525578484</v>
      </c>
      <c r="Z65" s="6"/>
      <c r="AA65" s="6"/>
      <c r="AB65" s="6">
        <f t="shared" si="2"/>
        <v>88739.774999999994</v>
      </c>
      <c r="AC65" s="6">
        <f t="shared" si="6"/>
        <v>0</v>
      </c>
      <c r="AD65" s="6">
        <f t="shared" ca="1" si="4"/>
        <v>115157.82678058879</v>
      </c>
      <c r="AE65" s="6">
        <f t="shared" si="7"/>
        <v>0</v>
      </c>
      <c r="AF65" s="4" t="s">
        <v>648</v>
      </c>
    </row>
    <row r="66" spans="1:32" ht="11.25" customHeight="1" x14ac:dyDescent="0.25">
      <c r="A66" s="4" t="s">
        <v>21</v>
      </c>
      <c r="B66" s="4" t="s">
        <v>38</v>
      </c>
      <c r="C66" s="4" t="s">
        <v>39</v>
      </c>
      <c r="D66" s="4" t="s">
        <v>37</v>
      </c>
      <c r="E66" s="4" t="s">
        <v>25</v>
      </c>
      <c r="F66" s="4" t="s">
        <v>56</v>
      </c>
      <c r="G66" s="4" t="s">
        <v>25</v>
      </c>
      <c r="H66" s="4" t="s">
        <v>25</v>
      </c>
      <c r="I66" s="5">
        <v>44501</v>
      </c>
      <c r="J66" s="6">
        <v>11405</v>
      </c>
      <c r="K66" s="6">
        <v>5702.5</v>
      </c>
      <c r="L66" s="6">
        <v>0</v>
      </c>
      <c r="M66" s="6">
        <v>0</v>
      </c>
      <c r="N66" s="6">
        <v>0</v>
      </c>
      <c r="O66" s="6">
        <v>0</v>
      </c>
      <c r="P66" s="6">
        <v>8</v>
      </c>
      <c r="Q66" s="4" t="s">
        <v>57</v>
      </c>
      <c r="R66" s="4">
        <v>0</v>
      </c>
      <c r="S66" s="4">
        <v>19</v>
      </c>
      <c r="T66" s="4">
        <v>0</v>
      </c>
      <c r="U66" s="4">
        <v>0</v>
      </c>
      <c r="V66" s="6">
        <f>IF(ISERROR(VLOOKUP($S$66,'TAR FIN'!$A$1:$O$86,15,0)),0,VLOOKUP($S$66,'TAR FIN'!$A$1:$O$86,15,0))</f>
        <v>16.29</v>
      </c>
      <c r="W66" s="6">
        <f>IF(ISERROR(VLOOKUP($T$66,'TAR FIN'!$A$1:$O$86,15,0)),0,VLOOKUP($T$66,'TAR FIN'!$A$1:$O$86,15,0))</f>
        <v>0</v>
      </c>
      <c r="X66" s="6">
        <f>IF(ISERROR(VLOOKUP($U$66,'TAR FIN'!$A$1:$O$86,15,0)),0,VLOOKUP($U$66,'TAR FIN'!$A$1:$O$86,15,0))</f>
        <v>0</v>
      </c>
      <c r="Y66" s="6">
        <f ca="1">('TUSD BE'!$AM$10+'TUSD BF'!$AM$10+'TUSD CVA'!$AM$10)*1</f>
        <v>21.139573525578484</v>
      </c>
      <c r="Z66" s="6"/>
      <c r="AA66" s="6"/>
      <c r="AB66" s="6">
        <f t="shared" ref="AB66:AB97" si="8">(J66-K66)*V66</f>
        <v>92893.724999999991</v>
      </c>
      <c r="AC66" s="6">
        <f t="shared" ref="AC66:AC97" si="9">(L66-M66)*W66+(N66-O66)*X66</f>
        <v>0</v>
      </c>
      <c r="AD66" s="6">
        <f t="shared" ref="AD66:AD97" ca="1" si="10">(J66-K66)*Y66</f>
        <v>120548.4180296113</v>
      </c>
      <c r="AE66" s="6">
        <f t="shared" ref="AE66:AE97" si="11">(L66-M66)*Z66+(N66-O66)*AA66</f>
        <v>0</v>
      </c>
      <c r="AF66" s="4" t="s">
        <v>648</v>
      </c>
    </row>
    <row r="67" spans="1:32" ht="11.25" customHeight="1" x14ac:dyDescent="0.25">
      <c r="A67" s="4" t="s">
        <v>21</v>
      </c>
      <c r="B67" s="4" t="s">
        <v>38</v>
      </c>
      <c r="C67" s="4" t="s">
        <v>39</v>
      </c>
      <c r="D67" s="4" t="s">
        <v>37</v>
      </c>
      <c r="E67" s="4" t="s">
        <v>25</v>
      </c>
      <c r="F67" s="4" t="s">
        <v>56</v>
      </c>
      <c r="G67" s="4" t="s">
        <v>25</v>
      </c>
      <c r="H67" s="4" t="s">
        <v>25</v>
      </c>
      <c r="I67" s="5">
        <v>44531</v>
      </c>
      <c r="J67" s="6">
        <v>11395</v>
      </c>
      <c r="K67" s="6">
        <v>5697.5</v>
      </c>
      <c r="L67" s="6">
        <v>0</v>
      </c>
      <c r="M67" s="6">
        <v>0</v>
      </c>
      <c r="N67" s="6">
        <v>0</v>
      </c>
      <c r="O67" s="6">
        <v>0</v>
      </c>
      <c r="P67" s="6">
        <v>8</v>
      </c>
      <c r="Q67" s="4" t="s">
        <v>57</v>
      </c>
      <c r="R67" s="4">
        <v>0</v>
      </c>
      <c r="S67" s="4">
        <v>19</v>
      </c>
      <c r="T67" s="4">
        <v>0</v>
      </c>
      <c r="U67" s="4">
        <v>0</v>
      </c>
      <c r="V67" s="6">
        <f>IF(ISERROR(VLOOKUP($S$67,'TAR FIN'!$A$1:$O$86,15,0)),0,VLOOKUP($S$67,'TAR FIN'!$A$1:$O$86,15,0))</f>
        <v>16.29</v>
      </c>
      <c r="W67" s="6">
        <f>IF(ISERROR(VLOOKUP($T$67,'TAR FIN'!$A$1:$O$86,15,0)),0,VLOOKUP($T$67,'TAR FIN'!$A$1:$O$86,15,0))</f>
        <v>0</v>
      </c>
      <c r="X67" s="6">
        <f>IF(ISERROR(VLOOKUP($U$67,'TAR FIN'!$A$1:$O$86,15,0)),0,VLOOKUP($U$67,'TAR FIN'!$A$1:$O$86,15,0))</f>
        <v>0</v>
      </c>
      <c r="Y67" s="6">
        <f ca="1">('TUSD BE'!$AM$10+'TUSD BF'!$AM$10+'TUSD CVA'!$AM$10)*1</f>
        <v>21.139573525578484</v>
      </c>
      <c r="Z67" s="6"/>
      <c r="AA67" s="6"/>
      <c r="AB67" s="6">
        <f t="shared" si="8"/>
        <v>92812.274999999994</v>
      </c>
      <c r="AC67" s="6">
        <f t="shared" si="9"/>
        <v>0</v>
      </c>
      <c r="AD67" s="6">
        <f t="shared" ca="1" si="10"/>
        <v>120442.72016198341</v>
      </c>
      <c r="AE67" s="6">
        <f t="shared" si="11"/>
        <v>0</v>
      </c>
      <c r="AF67" s="4" t="s">
        <v>648</v>
      </c>
    </row>
    <row r="68" spans="1:32" ht="11.25" customHeight="1" x14ac:dyDescent="0.25">
      <c r="A68" s="4" t="s">
        <v>21</v>
      </c>
      <c r="B68" s="4" t="s">
        <v>38</v>
      </c>
      <c r="C68" s="4" t="s">
        <v>39</v>
      </c>
      <c r="D68" s="4" t="s">
        <v>37</v>
      </c>
      <c r="E68" s="4" t="s">
        <v>25</v>
      </c>
      <c r="F68" s="4" t="s">
        <v>56</v>
      </c>
      <c r="G68" s="4" t="s">
        <v>25</v>
      </c>
      <c r="H68" s="4" t="s">
        <v>25</v>
      </c>
      <c r="I68" s="5">
        <v>44562</v>
      </c>
      <c r="J68" s="6">
        <v>11448</v>
      </c>
      <c r="K68" s="6">
        <v>5724</v>
      </c>
      <c r="L68" s="6">
        <v>0</v>
      </c>
      <c r="M68" s="6">
        <v>0</v>
      </c>
      <c r="N68" s="6">
        <v>0</v>
      </c>
      <c r="O68" s="6">
        <v>0</v>
      </c>
      <c r="P68" s="6">
        <v>8</v>
      </c>
      <c r="Q68" s="4" t="s">
        <v>57</v>
      </c>
      <c r="R68" s="4">
        <v>0</v>
      </c>
      <c r="S68" s="4">
        <v>19</v>
      </c>
      <c r="T68" s="4">
        <v>0</v>
      </c>
      <c r="U68" s="4">
        <v>0</v>
      </c>
      <c r="V68" s="6">
        <f>IF(ISERROR(VLOOKUP($S$68,'TAR FIN'!$A$1:$O$86,15,0)),0,VLOOKUP($S$68,'TAR FIN'!$A$1:$O$86,15,0))</f>
        <v>16.29</v>
      </c>
      <c r="W68" s="6">
        <f>IF(ISERROR(VLOOKUP($T$68,'TAR FIN'!$A$1:$O$86,15,0)),0,VLOOKUP($T$68,'TAR FIN'!$A$1:$O$86,15,0))</f>
        <v>0</v>
      </c>
      <c r="X68" s="6">
        <f>IF(ISERROR(VLOOKUP($U$68,'TAR FIN'!$A$1:$O$86,15,0)),0,VLOOKUP($U$68,'TAR FIN'!$A$1:$O$86,15,0))</f>
        <v>0</v>
      </c>
      <c r="Y68" s="6">
        <f ca="1">('TUSD BE'!$AM$10+'TUSD BF'!$AM$10+'TUSD CVA'!$AM$10)*1</f>
        <v>21.139573525578484</v>
      </c>
      <c r="Z68" s="6"/>
      <c r="AA68" s="6"/>
      <c r="AB68" s="6">
        <f t="shared" si="8"/>
        <v>93243.959999999992</v>
      </c>
      <c r="AC68" s="6">
        <f t="shared" si="9"/>
        <v>0</v>
      </c>
      <c r="AD68" s="6">
        <f t="shared" ca="1" si="10"/>
        <v>121002.91886041124</v>
      </c>
      <c r="AE68" s="6">
        <f t="shared" si="11"/>
        <v>0</v>
      </c>
      <c r="AF68" s="4" t="s">
        <v>648</v>
      </c>
    </row>
    <row r="69" spans="1:32" ht="11.25" customHeight="1" x14ac:dyDescent="0.25">
      <c r="A69" s="4" t="s">
        <v>21</v>
      </c>
      <c r="B69" s="4" t="s">
        <v>38</v>
      </c>
      <c r="C69" s="4" t="s">
        <v>39</v>
      </c>
      <c r="D69" s="4" t="s">
        <v>37</v>
      </c>
      <c r="E69" s="4" t="s">
        <v>25</v>
      </c>
      <c r="F69" s="4" t="s">
        <v>56</v>
      </c>
      <c r="G69" s="4" t="s">
        <v>25</v>
      </c>
      <c r="H69" s="4" t="s">
        <v>25</v>
      </c>
      <c r="I69" s="5">
        <v>44593</v>
      </c>
      <c r="J69" s="6">
        <v>12306</v>
      </c>
      <c r="K69" s="6">
        <v>6153</v>
      </c>
      <c r="L69" s="6">
        <v>0</v>
      </c>
      <c r="M69" s="6">
        <v>0</v>
      </c>
      <c r="N69" s="6">
        <v>0</v>
      </c>
      <c r="O69" s="6">
        <v>0</v>
      </c>
      <c r="P69" s="6">
        <v>9</v>
      </c>
      <c r="Q69" s="4" t="s">
        <v>57</v>
      </c>
      <c r="R69" s="4">
        <v>0</v>
      </c>
      <c r="S69" s="4">
        <v>19</v>
      </c>
      <c r="T69" s="4">
        <v>0</v>
      </c>
      <c r="U69" s="4">
        <v>0</v>
      </c>
      <c r="V69" s="6">
        <f>IF(ISERROR(VLOOKUP($S$69,'TAR FIN'!$A$1:$O$86,15,0)),0,VLOOKUP($S$69,'TAR FIN'!$A$1:$O$86,15,0))</f>
        <v>16.29</v>
      </c>
      <c r="W69" s="6">
        <f>IF(ISERROR(VLOOKUP($T$69,'TAR FIN'!$A$1:$O$86,15,0)),0,VLOOKUP($T$69,'TAR FIN'!$A$1:$O$86,15,0))</f>
        <v>0</v>
      </c>
      <c r="X69" s="6">
        <f>IF(ISERROR(VLOOKUP($U$69,'TAR FIN'!$A$1:$O$86,15,0)),0,VLOOKUP($U$69,'TAR FIN'!$A$1:$O$86,15,0))</f>
        <v>0</v>
      </c>
      <c r="Y69" s="6">
        <f ca="1">('TUSD BE'!$AM$10+'TUSD BF'!$AM$10+'TUSD CVA'!$AM$10)*1</f>
        <v>21.139573525578484</v>
      </c>
      <c r="Z69" s="6"/>
      <c r="AA69" s="6"/>
      <c r="AB69" s="6">
        <f t="shared" si="8"/>
        <v>100232.37</v>
      </c>
      <c r="AC69" s="6">
        <f t="shared" si="9"/>
        <v>0</v>
      </c>
      <c r="AD69" s="6">
        <f t="shared" ca="1" si="10"/>
        <v>130071.79590288442</v>
      </c>
      <c r="AE69" s="6">
        <f t="shared" si="11"/>
        <v>0</v>
      </c>
      <c r="AF69" s="4" t="s">
        <v>648</v>
      </c>
    </row>
    <row r="70" spans="1:32" ht="11.25" customHeight="1" x14ac:dyDescent="0.25">
      <c r="A70" s="4" t="s">
        <v>21</v>
      </c>
      <c r="B70" s="4" t="s">
        <v>38</v>
      </c>
      <c r="C70" s="4" t="s">
        <v>39</v>
      </c>
      <c r="D70" s="4" t="s">
        <v>37</v>
      </c>
      <c r="E70" s="4" t="s">
        <v>25</v>
      </c>
      <c r="F70" s="4" t="s">
        <v>56</v>
      </c>
      <c r="G70" s="4" t="s">
        <v>25</v>
      </c>
      <c r="H70" s="4" t="s">
        <v>25</v>
      </c>
      <c r="I70" s="5">
        <v>44621</v>
      </c>
      <c r="J70" s="6">
        <v>12381</v>
      </c>
      <c r="K70" s="6">
        <v>6190.5</v>
      </c>
      <c r="L70" s="6">
        <v>0</v>
      </c>
      <c r="M70" s="6">
        <v>0</v>
      </c>
      <c r="N70" s="6">
        <v>0</v>
      </c>
      <c r="O70" s="6">
        <v>0</v>
      </c>
      <c r="P70" s="6">
        <v>9</v>
      </c>
      <c r="Q70" s="4" t="s">
        <v>57</v>
      </c>
      <c r="R70" s="4">
        <v>0</v>
      </c>
      <c r="S70" s="4">
        <v>19</v>
      </c>
      <c r="T70" s="4">
        <v>0</v>
      </c>
      <c r="U70" s="4">
        <v>0</v>
      </c>
      <c r="V70" s="6">
        <f>IF(ISERROR(VLOOKUP($S$70,'TAR FIN'!$A$1:$O$86,15,0)),0,VLOOKUP($S$70,'TAR FIN'!$A$1:$O$86,15,0))</f>
        <v>16.29</v>
      </c>
      <c r="W70" s="6">
        <f>IF(ISERROR(VLOOKUP($T$70,'TAR FIN'!$A$1:$O$86,15,0)),0,VLOOKUP($T$70,'TAR FIN'!$A$1:$O$86,15,0))</f>
        <v>0</v>
      </c>
      <c r="X70" s="6">
        <f>IF(ISERROR(VLOOKUP($U$70,'TAR FIN'!$A$1:$O$86,15,0)),0,VLOOKUP($U$70,'TAR FIN'!$A$1:$O$86,15,0))</f>
        <v>0</v>
      </c>
      <c r="Y70" s="6">
        <f ca="1">('TUSD BE'!$AM$10+'TUSD BF'!$AM$10+'TUSD CVA'!$AM$10)*1</f>
        <v>21.139573525578484</v>
      </c>
      <c r="Z70" s="6"/>
      <c r="AA70" s="6"/>
      <c r="AB70" s="6">
        <f t="shared" si="8"/>
        <v>100843.245</v>
      </c>
      <c r="AC70" s="6">
        <f t="shared" si="9"/>
        <v>0</v>
      </c>
      <c r="AD70" s="6">
        <f t="shared" ca="1" si="10"/>
        <v>130864.52991009361</v>
      </c>
      <c r="AE70" s="6">
        <f t="shared" si="11"/>
        <v>0</v>
      </c>
      <c r="AF70" s="4" t="s">
        <v>648</v>
      </c>
    </row>
    <row r="71" spans="1:32" ht="11.25" customHeight="1" x14ac:dyDescent="0.25">
      <c r="A71" s="4" t="s">
        <v>21</v>
      </c>
      <c r="B71" s="4" t="s">
        <v>38</v>
      </c>
      <c r="C71" s="4" t="s">
        <v>39</v>
      </c>
      <c r="D71" s="4" t="s">
        <v>37</v>
      </c>
      <c r="E71" s="4" t="s">
        <v>25</v>
      </c>
      <c r="F71" s="4" t="s">
        <v>56</v>
      </c>
      <c r="G71" s="4" t="s">
        <v>25</v>
      </c>
      <c r="H71" s="4" t="s">
        <v>25</v>
      </c>
      <c r="I71" s="5">
        <v>44652</v>
      </c>
      <c r="J71" s="6">
        <v>12368</v>
      </c>
      <c r="K71" s="6">
        <v>6184</v>
      </c>
      <c r="L71" s="6">
        <v>0</v>
      </c>
      <c r="M71" s="6">
        <v>0</v>
      </c>
      <c r="N71" s="6">
        <v>0</v>
      </c>
      <c r="O71" s="6">
        <v>0</v>
      </c>
      <c r="P71" s="6">
        <v>9</v>
      </c>
      <c r="Q71" s="4" t="s">
        <v>57</v>
      </c>
      <c r="R71" s="4">
        <v>0</v>
      </c>
      <c r="S71" s="4">
        <v>19</v>
      </c>
      <c r="T71" s="4">
        <v>0</v>
      </c>
      <c r="U71" s="4">
        <v>0</v>
      </c>
      <c r="V71" s="6">
        <f>IF(ISERROR(VLOOKUP($S$71,'TAR FIN'!$A$1:$O$86,15,0)),0,VLOOKUP($S$71,'TAR FIN'!$A$1:$O$86,15,0))</f>
        <v>16.29</v>
      </c>
      <c r="W71" s="6">
        <f>IF(ISERROR(VLOOKUP($T$71,'TAR FIN'!$A$1:$O$86,15,0)),0,VLOOKUP($T$71,'TAR FIN'!$A$1:$O$86,15,0))</f>
        <v>0</v>
      </c>
      <c r="X71" s="6">
        <f>IF(ISERROR(VLOOKUP($U$71,'TAR FIN'!$A$1:$O$86,15,0)),0,VLOOKUP($U$71,'TAR FIN'!$A$1:$O$86,15,0))</f>
        <v>0</v>
      </c>
      <c r="Y71" s="6">
        <f ca="1">('TUSD BE'!$AM$10+'TUSD BF'!$AM$10+'TUSD CVA'!$AM$10)*1</f>
        <v>21.139573525578484</v>
      </c>
      <c r="Z71" s="6"/>
      <c r="AA71" s="6"/>
      <c r="AB71" s="6">
        <f t="shared" si="8"/>
        <v>100737.36</v>
      </c>
      <c r="AC71" s="6">
        <f t="shared" si="9"/>
        <v>0</v>
      </c>
      <c r="AD71" s="6">
        <f t="shared" ca="1" si="10"/>
        <v>130727.12268217735</v>
      </c>
      <c r="AE71" s="6">
        <f t="shared" si="11"/>
        <v>0</v>
      </c>
      <c r="AF71" s="4" t="s">
        <v>648</v>
      </c>
    </row>
    <row r="72" spans="1:32" ht="11.25" customHeight="1" x14ac:dyDescent="0.25">
      <c r="A72" s="4" t="s">
        <v>21</v>
      </c>
      <c r="B72" s="4" t="s">
        <v>38</v>
      </c>
      <c r="C72" s="4" t="s">
        <v>39</v>
      </c>
      <c r="D72" s="4" t="s">
        <v>37</v>
      </c>
      <c r="E72" s="4" t="s">
        <v>25</v>
      </c>
      <c r="F72" s="4" t="s">
        <v>56</v>
      </c>
      <c r="G72" s="4" t="s">
        <v>25</v>
      </c>
      <c r="H72" s="4" t="s">
        <v>25</v>
      </c>
      <c r="I72" s="5">
        <v>44682</v>
      </c>
      <c r="J72" s="6">
        <v>12339</v>
      </c>
      <c r="K72" s="6">
        <v>6169.5</v>
      </c>
      <c r="L72" s="6">
        <v>0</v>
      </c>
      <c r="M72" s="6">
        <v>0</v>
      </c>
      <c r="N72" s="6">
        <v>0</v>
      </c>
      <c r="O72" s="6">
        <v>0</v>
      </c>
      <c r="P72" s="6">
        <v>9</v>
      </c>
      <c r="Q72" s="4" t="s">
        <v>57</v>
      </c>
      <c r="R72" s="4">
        <v>0</v>
      </c>
      <c r="S72" s="4">
        <v>19</v>
      </c>
      <c r="T72" s="4">
        <v>0</v>
      </c>
      <c r="U72" s="4">
        <v>0</v>
      </c>
      <c r="V72" s="6">
        <f>IF(ISERROR(VLOOKUP($S$72,'TAR FIN'!$A$1:$O$86,15,0)),0,VLOOKUP($S$72,'TAR FIN'!$A$1:$O$86,15,0))</f>
        <v>16.29</v>
      </c>
      <c r="W72" s="6">
        <f>IF(ISERROR(VLOOKUP($T$72,'TAR FIN'!$A$1:$O$86,15,0)),0,VLOOKUP($T$72,'TAR FIN'!$A$1:$O$86,15,0))</f>
        <v>0</v>
      </c>
      <c r="X72" s="6">
        <f>IF(ISERROR(VLOOKUP($U$72,'TAR FIN'!$A$1:$O$86,15,0)),0,VLOOKUP($U$72,'TAR FIN'!$A$1:$O$86,15,0))</f>
        <v>0</v>
      </c>
      <c r="Y72" s="6">
        <f ca="1">('TUSD BE'!$AM$10+'TUSD BF'!$AM$10+'TUSD CVA'!$AM$10)*1</f>
        <v>21.139573525578484</v>
      </c>
      <c r="Z72" s="6"/>
      <c r="AA72" s="6"/>
      <c r="AB72" s="6">
        <f t="shared" si="8"/>
        <v>100501.155</v>
      </c>
      <c r="AC72" s="6">
        <f t="shared" si="9"/>
        <v>0</v>
      </c>
      <c r="AD72" s="6">
        <f t="shared" ca="1" si="10"/>
        <v>130420.59886605646</v>
      </c>
      <c r="AE72" s="6">
        <f t="shared" si="11"/>
        <v>0</v>
      </c>
      <c r="AF72" s="4" t="s">
        <v>648</v>
      </c>
    </row>
    <row r="73" spans="1:32" ht="11.25" customHeight="1" x14ac:dyDescent="0.25">
      <c r="A73" s="4" t="s">
        <v>55</v>
      </c>
      <c r="B73" s="4" t="s">
        <v>38</v>
      </c>
      <c r="C73" s="4" t="s">
        <v>39</v>
      </c>
      <c r="D73" s="4" t="s">
        <v>37</v>
      </c>
      <c r="E73" s="4" t="s">
        <v>25</v>
      </c>
      <c r="F73" s="4" t="s">
        <v>56</v>
      </c>
      <c r="G73" s="4" t="s">
        <v>25</v>
      </c>
      <c r="H73" s="4" t="s">
        <v>25</v>
      </c>
      <c r="I73" s="5">
        <v>44713</v>
      </c>
      <c r="J73" s="6">
        <v>12339</v>
      </c>
      <c r="K73" s="6">
        <v>6169.5</v>
      </c>
      <c r="L73" s="6">
        <v>0</v>
      </c>
      <c r="M73" s="6">
        <v>0</v>
      </c>
      <c r="N73" s="6">
        <v>0</v>
      </c>
      <c r="O73" s="6">
        <v>0</v>
      </c>
      <c r="P73" s="6">
        <v>9</v>
      </c>
      <c r="Q73" s="4" t="s">
        <v>57</v>
      </c>
      <c r="R73" s="4">
        <v>0</v>
      </c>
      <c r="S73" s="4">
        <v>19</v>
      </c>
      <c r="T73" s="4">
        <v>0</v>
      </c>
      <c r="U73" s="4">
        <v>0</v>
      </c>
      <c r="V73" s="6">
        <f>IF(ISERROR(VLOOKUP($S$73,'TAR FIN'!$A$1:$O$86,15,0)),0,VLOOKUP($S$73,'TAR FIN'!$A$1:$O$86,15,0))</f>
        <v>16.29</v>
      </c>
      <c r="W73" s="6">
        <f>IF(ISERROR(VLOOKUP($T$73,'TAR FIN'!$A$1:$O$86,15,0)),0,VLOOKUP($T$73,'TAR FIN'!$A$1:$O$86,15,0))</f>
        <v>0</v>
      </c>
      <c r="X73" s="6">
        <f>IF(ISERROR(VLOOKUP($U$73,'TAR FIN'!$A$1:$O$86,15,0)),0,VLOOKUP($U$73,'TAR FIN'!$A$1:$O$86,15,0))</f>
        <v>0</v>
      </c>
      <c r="Y73" s="6">
        <f ca="1">('TUSD BE'!$AM$10+'TUSD BF'!$AM$10+'TUSD CVA'!$AM$10)*1</f>
        <v>21.139573525578484</v>
      </c>
      <c r="Z73" s="6"/>
      <c r="AA73" s="6"/>
      <c r="AB73" s="6">
        <f t="shared" si="8"/>
        <v>100501.155</v>
      </c>
      <c r="AC73" s="6">
        <f t="shared" si="9"/>
        <v>0</v>
      </c>
      <c r="AD73" s="6">
        <f t="shared" ca="1" si="10"/>
        <v>130420.59886605646</v>
      </c>
      <c r="AE73" s="6">
        <f t="shared" si="11"/>
        <v>0</v>
      </c>
      <c r="AF73" s="4" t="s">
        <v>648</v>
      </c>
    </row>
    <row r="74" spans="1:32" ht="11.25" customHeight="1" x14ac:dyDescent="0.25">
      <c r="A74" s="4" t="s">
        <v>21</v>
      </c>
      <c r="B74" s="4" t="s">
        <v>38</v>
      </c>
      <c r="C74" s="4" t="s">
        <v>39</v>
      </c>
      <c r="D74" s="4" t="s">
        <v>37</v>
      </c>
      <c r="E74" s="4" t="s">
        <v>25</v>
      </c>
      <c r="F74" s="4" t="s">
        <v>56</v>
      </c>
      <c r="G74" s="4" t="s">
        <v>25</v>
      </c>
      <c r="H74" s="4" t="s">
        <v>33</v>
      </c>
      <c r="I74" s="5">
        <v>44378</v>
      </c>
      <c r="J74" s="6">
        <v>0</v>
      </c>
      <c r="K74" s="6">
        <v>0</v>
      </c>
      <c r="L74" s="6">
        <v>400.85399999999998</v>
      </c>
      <c r="M74" s="6">
        <v>222.99508019999999</v>
      </c>
      <c r="N74" s="6">
        <v>0</v>
      </c>
      <c r="O74" s="6">
        <v>0</v>
      </c>
      <c r="P74" s="6">
        <v>0</v>
      </c>
      <c r="Q74" s="4" t="s">
        <v>57</v>
      </c>
      <c r="R74" s="4">
        <v>0</v>
      </c>
      <c r="S74" s="4">
        <v>0</v>
      </c>
      <c r="T74" s="4">
        <v>21</v>
      </c>
      <c r="U74" s="4">
        <v>0</v>
      </c>
      <c r="V74" s="6">
        <f>IF(ISERROR(VLOOKUP($S$74,'TAR FIN'!$A$1:$O$86,15,0)),0,VLOOKUP($S$74,'TAR FIN'!$A$1:$O$86,15,0))</f>
        <v>0</v>
      </c>
      <c r="W74" s="6">
        <f>IF(ISERROR(VLOOKUP($T$74,'TAR FIN'!$A$1:$O$86,15,0)),0,VLOOKUP($T$74,'TAR FIN'!$A$1:$O$86,15,0))</f>
        <v>596.78</v>
      </c>
      <c r="X74" s="6">
        <f>IF(ISERROR(VLOOKUP($U$74,'TAR FIN'!$A$1:$O$86,15,0)),0,VLOOKUP($U$74,'TAR FIN'!$A$1:$O$86,15,0))</f>
        <v>0</v>
      </c>
      <c r="Y74" s="6"/>
      <c r="Z74" s="6">
        <f ca="1">('TUSD BE'!$AM$11+'TUSD BF'!$AM$11+'TUSD CVA'!$AM$11)*1</f>
        <v>625.67033946440574</v>
      </c>
      <c r="AA74" s="6"/>
      <c r="AB74" s="6">
        <f t="shared" si="8"/>
        <v>0</v>
      </c>
      <c r="AC74" s="6">
        <f t="shared" si="9"/>
        <v>106142.646158244</v>
      </c>
      <c r="AD74" s="6">
        <f t="shared" si="10"/>
        <v>0</v>
      </c>
      <c r="AE74" s="6">
        <f t="shared" ca="1" si="11"/>
        <v>111281.05072803851</v>
      </c>
      <c r="AF74" s="4" t="s">
        <v>648</v>
      </c>
    </row>
    <row r="75" spans="1:32" ht="11.25" customHeight="1" x14ac:dyDescent="0.25">
      <c r="A75" s="4" t="s">
        <v>21</v>
      </c>
      <c r="B75" s="4" t="s">
        <v>38</v>
      </c>
      <c r="C75" s="4" t="s">
        <v>39</v>
      </c>
      <c r="D75" s="4" t="s">
        <v>37</v>
      </c>
      <c r="E75" s="4" t="s">
        <v>25</v>
      </c>
      <c r="F75" s="4" t="s">
        <v>56</v>
      </c>
      <c r="G75" s="4" t="s">
        <v>25</v>
      </c>
      <c r="H75" s="4" t="s">
        <v>33</v>
      </c>
      <c r="I75" s="5">
        <v>44409</v>
      </c>
      <c r="J75" s="6">
        <v>0</v>
      </c>
      <c r="K75" s="6">
        <v>0</v>
      </c>
      <c r="L75" s="6">
        <v>417.75700000000001</v>
      </c>
      <c r="M75" s="6">
        <v>233.8185929</v>
      </c>
      <c r="N75" s="6">
        <v>0</v>
      </c>
      <c r="O75" s="6">
        <v>0</v>
      </c>
      <c r="P75" s="6">
        <v>0</v>
      </c>
      <c r="Q75" s="4" t="s">
        <v>57</v>
      </c>
      <c r="R75" s="4">
        <v>0</v>
      </c>
      <c r="S75" s="4">
        <v>0</v>
      </c>
      <c r="T75" s="4">
        <v>21</v>
      </c>
      <c r="U75" s="4">
        <v>0</v>
      </c>
      <c r="V75" s="6">
        <f>IF(ISERROR(VLOOKUP($S$75,'TAR FIN'!$A$1:$O$86,15,0)),0,VLOOKUP($S$75,'TAR FIN'!$A$1:$O$86,15,0))</f>
        <v>0</v>
      </c>
      <c r="W75" s="6">
        <f>IF(ISERROR(VLOOKUP($T$75,'TAR FIN'!$A$1:$O$86,15,0)),0,VLOOKUP($T$75,'TAR FIN'!$A$1:$O$86,15,0))</f>
        <v>596.78</v>
      </c>
      <c r="X75" s="6">
        <f>IF(ISERROR(VLOOKUP($U$75,'TAR FIN'!$A$1:$O$86,15,0)),0,VLOOKUP($U$75,'TAR FIN'!$A$1:$O$86,15,0))</f>
        <v>0</v>
      </c>
      <c r="Y75" s="6"/>
      <c r="Z75" s="6">
        <f ca="1">('TUSD BE'!$AM$11+'TUSD BF'!$AM$11+'TUSD CVA'!$AM$11)*1</f>
        <v>625.67033946440574</v>
      </c>
      <c r="AA75" s="6"/>
      <c r="AB75" s="6">
        <f t="shared" si="8"/>
        <v>0</v>
      </c>
      <c r="AC75" s="6">
        <f t="shared" si="9"/>
        <v>109770.762589138</v>
      </c>
      <c r="AD75" s="6">
        <f t="shared" si="10"/>
        <v>0</v>
      </c>
      <c r="AE75" s="6">
        <f t="shared" ca="1" si="11"/>
        <v>115084.80561079907</v>
      </c>
      <c r="AF75" s="4" t="s">
        <v>648</v>
      </c>
    </row>
    <row r="76" spans="1:32" ht="11.25" customHeight="1" x14ac:dyDescent="0.25">
      <c r="A76" s="4" t="s">
        <v>21</v>
      </c>
      <c r="B76" s="4" t="s">
        <v>38</v>
      </c>
      <c r="C76" s="4" t="s">
        <v>39</v>
      </c>
      <c r="D76" s="4" t="s">
        <v>37</v>
      </c>
      <c r="E76" s="4" t="s">
        <v>25</v>
      </c>
      <c r="F76" s="4" t="s">
        <v>56</v>
      </c>
      <c r="G76" s="4" t="s">
        <v>25</v>
      </c>
      <c r="H76" s="4" t="s">
        <v>33</v>
      </c>
      <c r="I76" s="5">
        <v>44440</v>
      </c>
      <c r="J76" s="6">
        <v>0</v>
      </c>
      <c r="K76" s="6">
        <v>0</v>
      </c>
      <c r="L76" s="6">
        <v>380.99599999999998</v>
      </c>
      <c r="M76" s="6">
        <v>213.24346120000001</v>
      </c>
      <c r="N76" s="6">
        <v>0</v>
      </c>
      <c r="O76" s="6">
        <v>0</v>
      </c>
      <c r="P76" s="6">
        <v>0</v>
      </c>
      <c r="Q76" s="4" t="s">
        <v>57</v>
      </c>
      <c r="R76" s="4">
        <v>0</v>
      </c>
      <c r="S76" s="4">
        <v>0</v>
      </c>
      <c r="T76" s="4">
        <v>21</v>
      </c>
      <c r="U76" s="4">
        <v>0</v>
      </c>
      <c r="V76" s="6">
        <f>IF(ISERROR(VLOOKUP($S$76,'TAR FIN'!$A$1:$O$86,15,0)),0,VLOOKUP($S$76,'TAR FIN'!$A$1:$O$86,15,0))</f>
        <v>0</v>
      </c>
      <c r="W76" s="6">
        <f>IF(ISERROR(VLOOKUP($T$76,'TAR FIN'!$A$1:$O$86,15,0)),0,VLOOKUP($T$76,'TAR FIN'!$A$1:$O$86,15,0))</f>
        <v>596.78</v>
      </c>
      <c r="X76" s="6">
        <f>IF(ISERROR(VLOOKUP($U$76,'TAR FIN'!$A$1:$O$86,15,0)),0,VLOOKUP($U$76,'TAR FIN'!$A$1:$O$86,15,0))</f>
        <v>0</v>
      </c>
      <c r="Y76" s="6"/>
      <c r="Z76" s="6">
        <f ca="1">('TUSD BE'!$AM$11+'TUSD BF'!$AM$11+'TUSD CVA'!$AM$11)*1</f>
        <v>625.67033946440574</v>
      </c>
      <c r="AA76" s="6"/>
      <c r="AB76" s="6">
        <f t="shared" si="8"/>
        <v>0</v>
      </c>
      <c r="AC76" s="6">
        <f t="shared" si="9"/>
        <v>100111.36010506397</v>
      </c>
      <c r="AD76" s="6">
        <f t="shared" si="10"/>
        <v>0</v>
      </c>
      <c r="AE76" s="6">
        <f t="shared" ca="1" si="11"/>
        <v>104957.78789701188</v>
      </c>
      <c r="AF76" s="4" t="s">
        <v>648</v>
      </c>
    </row>
    <row r="77" spans="1:32" ht="11.25" customHeight="1" x14ac:dyDescent="0.25">
      <c r="A77" s="4" t="s">
        <v>21</v>
      </c>
      <c r="B77" s="4" t="s">
        <v>38</v>
      </c>
      <c r="C77" s="4" t="s">
        <v>39</v>
      </c>
      <c r="D77" s="4" t="s">
        <v>37</v>
      </c>
      <c r="E77" s="4" t="s">
        <v>25</v>
      </c>
      <c r="F77" s="4" t="s">
        <v>56</v>
      </c>
      <c r="G77" s="4" t="s">
        <v>25</v>
      </c>
      <c r="H77" s="4" t="s">
        <v>33</v>
      </c>
      <c r="I77" s="5">
        <v>44470</v>
      </c>
      <c r="J77" s="6">
        <v>0</v>
      </c>
      <c r="K77" s="6">
        <v>0</v>
      </c>
      <c r="L77" s="6">
        <v>352.47500000000002</v>
      </c>
      <c r="M77" s="6">
        <v>197.2802575</v>
      </c>
      <c r="N77" s="6">
        <v>0</v>
      </c>
      <c r="O77" s="6">
        <v>0</v>
      </c>
      <c r="P77" s="6">
        <v>0</v>
      </c>
      <c r="Q77" s="4" t="s">
        <v>57</v>
      </c>
      <c r="R77" s="4">
        <v>0</v>
      </c>
      <c r="S77" s="4">
        <v>0</v>
      </c>
      <c r="T77" s="4">
        <v>21</v>
      </c>
      <c r="U77" s="4">
        <v>0</v>
      </c>
      <c r="V77" s="6">
        <f>IF(ISERROR(VLOOKUP($S$77,'TAR FIN'!$A$1:$O$86,15,0)),0,VLOOKUP($S$77,'TAR FIN'!$A$1:$O$86,15,0))</f>
        <v>0</v>
      </c>
      <c r="W77" s="6">
        <f>IF(ISERROR(VLOOKUP($T$77,'TAR FIN'!$A$1:$O$86,15,0)),0,VLOOKUP($T$77,'TAR FIN'!$A$1:$O$86,15,0))</f>
        <v>596.78</v>
      </c>
      <c r="X77" s="6">
        <f>IF(ISERROR(VLOOKUP($U$77,'TAR FIN'!$A$1:$O$86,15,0)),0,VLOOKUP($U$77,'TAR FIN'!$A$1:$O$86,15,0))</f>
        <v>0</v>
      </c>
      <c r="Y77" s="6"/>
      <c r="Z77" s="6">
        <f ca="1">('TUSD BE'!$AM$11+'TUSD BF'!$AM$11+'TUSD CVA'!$AM$11)*1</f>
        <v>625.67033946440574</v>
      </c>
      <c r="AA77" s="6"/>
      <c r="AB77" s="6">
        <f t="shared" si="8"/>
        <v>0</v>
      </c>
      <c r="AC77" s="6">
        <f t="shared" si="9"/>
        <v>92617.11842915001</v>
      </c>
      <c r="AD77" s="6">
        <f t="shared" si="10"/>
        <v>0</v>
      </c>
      <c r="AE77" s="6">
        <f t="shared" ca="1" si="11"/>
        <v>97100.74722306605</v>
      </c>
      <c r="AF77" s="4" t="s">
        <v>648</v>
      </c>
    </row>
    <row r="78" spans="1:32" ht="11.25" customHeight="1" x14ac:dyDescent="0.25">
      <c r="A78" s="4" t="s">
        <v>21</v>
      </c>
      <c r="B78" s="4" t="s">
        <v>38</v>
      </c>
      <c r="C78" s="4" t="s">
        <v>39</v>
      </c>
      <c r="D78" s="4" t="s">
        <v>37</v>
      </c>
      <c r="E78" s="4" t="s">
        <v>25</v>
      </c>
      <c r="F78" s="4" t="s">
        <v>56</v>
      </c>
      <c r="G78" s="4" t="s">
        <v>25</v>
      </c>
      <c r="H78" s="4" t="s">
        <v>33</v>
      </c>
      <c r="I78" s="5">
        <v>44501</v>
      </c>
      <c r="J78" s="6">
        <v>0</v>
      </c>
      <c r="K78" s="6">
        <v>0</v>
      </c>
      <c r="L78" s="6">
        <v>395.25299999999999</v>
      </c>
      <c r="M78" s="6">
        <v>221.2231041</v>
      </c>
      <c r="N78" s="6">
        <v>0</v>
      </c>
      <c r="O78" s="6">
        <v>0</v>
      </c>
      <c r="P78" s="6">
        <v>0</v>
      </c>
      <c r="Q78" s="4" t="s">
        <v>57</v>
      </c>
      <c r="R78" s="4">
        <v>0</v>
      </c>
      <c r="S78" s="4">
        <v>0</v>
      </c>
      <c r="T78" s="4">
        <v>21</v>
      </c>
      <c r="U78" s="4">
        <v>0</v>
      </c>
      <c r="V78" s="6">
        <f>IF(ISERROR(VLOOKUP($S$78,'TAR FIN'!$A$1:$O$86,15,0)),0,VLOOKUP($S$78,'TAR FIN'!$A$1:$O$86,15,0))</f>
        <v>0</v>
      </c>
      <c r="W78" s="6">
        <f>IF(ISERROR(VLOOKUP($T$78,'TAR FIN'!$A$1:$O$86,15,0)),0,VLOOKUP($T$78,'TAR FIN'!$A$1:$O$86,15,0))</f>
        <v>596.78</v>
      </c>
      <c r="X78" s="6">
        <f>IF(ISERROR(VLOOKUP($U$78,'TAR FIN'!$A$1:$O$86,15,0)),0,VLOOKUP($U$78,'TAR FIN'!$A$1:$O$86,15,0))</f>
        <v>0</v>
      </c>
      <c r="Y78" s="6"/>
      <c r="Z78" s="6">
        <f ca="1">('TUSD BE'!$AM$11+'TUSD BF'!$AM$11+'TUSD CVA'!$AM$11)*1</f>
        <v>625.67033946440574</v>
      </c>
      <c r="AA78" s="6"/>
      <c r="AB78" s="6">
        <f t="shared" si="8"/>
        <v>0</v>
      </c>
      <c r="AC78" s="6">
        <f t="shared" si="9"/>
        <v>103857.56127520198</v>
      </c>
      <c r="AD78" s="6">
        <f t="shared" si="10"/>
        <v>0</v>
      </c>
      <c r="AE78" s="6">
        <f t="shared" ca="1" si="11"/>
        <v>108885.34404470818</v>
      </c>
      <c r="AF78" s="4" t="s">
        <v>648</v>
      </c>
    </row>
    <row r="79" spans="1:32" ht="11.25" customHeight="1" x14ac:dyDescent="0.25">
      <c r="A79" s="4" t="s">
        <v>21</v>
      </c>
      <c r="B79" s="4" t="s">
        <v>38</v>
      </c>
      <c r="C79" s="4" t="s">
        <v>39</v>
      </c>
      <c r="D79" s="4" t="s">
        <v>37</v>
      </c>
      <c r="E79" s="4" t="s">
        <v>25</v>
      </c>
      <c r="F79" s="4" t="s">
        <v>56</v>
      </c>
      <c r="G79" s="4" t="s">
        <v>25</v>
      </c>
      <c r="H79" s="4" t="s">
        <v>33</v>
      </c>
      <c r="I79" s="5">
        <v>44531</v>
      </c>
      <c r="J79" s="6">
        <v>0</v>
      </c>
      <c r="K79" s="6">
        <v>0</v>
      </c>
      <c r="L79" s="6">
        <v>383.084</v>
      </c>
      <c r="M79" s="6">
        <v>214.41211480000001</v>
      </c>
      <c r="N79" s="6">
        <v>0</v>
      </c>
      <c r="O79" s="6">
        <v>0</v>
      </c>
      <c r="P79" s="6">
        <v>0</v>
      </c>
      <c r="Q79" s="4" t="s">
        <v>57</v>
      </c>
      <c r="R79" s="4">
        <v>0</v>
      </c>
      <c r="S79" s="4">
        <v>0</v>
      </c>
      <c r="T79" s="4">
        <v>21</v>
      </c>
      <c r="U79" s="4">
        <v>0</v>
      </c>
      <c r="V79" s="6">
        <f>IF(ISERROR(VLOOKUP($S$79,'TAR FIN'!$A$1:$O$86,15,0)),0,VLOOKUP($S$79,'TAR FIN'!$A$1:$O$86,15,0))</f>
        <v>0</v>
      </c>
      <c r="W79" s="6">
        <f>IF(ISERROR(VLOOKUP($T$79,'TAR FIN'!$A$1:$O$86,15,0)),0,VLOOKUP($T$79,'TAR FIN'!$A$1:$O$86,15,0))</f>
        <v>596.78</v>
      </c>
      <c r="X79" s="6">
        <f>IF(ISERROR(VLOOKUP($U$79,'TAR FIN'!$A$1:$O$86,15,0)),0,VLOOKUP($U$79,'TAR FIN'!$A$1:$O$86,15,0))</f>
        <v>0</v>
      </c>
      <c r="Y79" s="6"/>
      <c r="Z79" s="6">
        <f ca="1">('TUSD BE'!$AM$11+'TUSD BF'!$AM$11+'TUSD CVA'!$AM$11)*1</f>
        <v>625.67033946440574</v>
      </c>
      <c r="AA79" s="6"/>
      <c r="AB79" s="6">
        <f t="shared" si="8"/>
        <v>0</v>
      </c>
      <c r="AC79" s="6">
        <f t="shared" si="9"/>
        <v>100660.00764965599</v>
      </c>
      <c r="AD79" s="6">
        <f t="shared" si="10"/>
        <v>0</v>
      </c>
      <c r="AE79" s="6">
        <f t="shared" ca="1" si="11"/>
        <v>105532.99567118527</v>
      </c>
      <c r="AF79" s="4" t="s">
        <v>648</v>
      </c>
    </row>
    <row r="80" spans="1:32" ht="11.25" customHeight="1" x14ac:dyDescent="0.25">
      <c r="A80" s="4" t="s">
        <v>21</v>
      </c>
      <c r="B80" s="4" t="s">
        <v>38</v>
      </c>
      <c r="C80" s="4" t="s">
        <v>39</v>
      </c>
      <c r="D80" s="4" t="s">
        <v>37</v>
      </c>
      <c r="E80" s="4" t="s">
        <v>25</v>
      </c>
      <c r="F80" s="4" t="s">
        <v>56</v>
      </c>
      <c r="G80" s="4" t="s">
        <v>25</v>
      </c>
      <c r="H80" s="4" t="s">
        <v>33</v>
      </c>
      <c r="I80" s="5">
        <v>44562</v>
      </c>
      <c r="J80" s="6">
        <v>0</v>
      </c>
      <c r="K80" s="6">
        <v>0</v>
      </c>
      <c r="L80" s="6">
        <v>410.00799999999998</v>
      </c>
      <c r="M80" s="6">
        <v>229.48147760000001</v>
      </c>
      <c r="N80" s="6">
        <v>0</v>
      </c>
      <c r="O80" s="6">
        <v>0</v>
      </c>
      <c r="P80" s="6">
        <v>0</v>
      </c>
      <c r="Q80" s="4" t="s">
        <v>57</v>
      </c>
      <c r="R80" s="4">
        <v>0</v>
      </c>
      <c r="S80" s="4">
        <v>0</v>
      </c>
      <c r="T80" s="4">
        <v>21</v>
      </c>
      <c r="U80" s="4">
        <v>0</v>
      </c>
      <c r="V80" s="6">
        <f>IF(ISERROR(VLOOKUP($S$80,'TAR FIN'!$A$1:$O$86,15,0)),0,VLOOKUP($S$80,'TAR FIN'!$A$1:$O$86,15,0))</f>
        <v>0</v>
      </c>
      <c r="W80" s="6">
        <f>IF(ISERROR(VLOOKUP($T$80,'TAR FIN'!$A$1:$O$86,15,0)),0,VLOOKUP($T$80,'TAR FIN'!$A$1:$O$86,15,0))</f>
        <v>596.78</v>
      </c>
      <c r="X80" s="6">
        <f>IF(ISERROR(VLOOKUP($U$80,'TAR FIN'!$A$1:$O$86,15,0)),0,VLOOKUP($U$80,'TAR FIN'!$A$1:$O$86,15,0))</f>
        <v>0</v>
      </c>
      <c r="Y80" s="6"/>
      <c r="Z80" s="6">
        <f ca="1">('TUSD BE'!$AM$11+'TUSD BF'!$AM$11+'TUSD CVA'!$AM$11)*1</f>
        <v>625.67033946440574</v>
      </c>
      <c r="AA80" s="6"/>
      <c r="AB80" s="6">
        <f t="shared" si="8"/>
        <v>0</v>
      </c>
      <c r="AC80" s="6">
        <f t="shared" si="9"/>
        <v>107734.61803787199</v>
      </c>
      <c r="AD80" s="6">
        <f t="shared" si="10"/>
        <v>0</v>
      </c>
      <c r="AE80" s="6">
        <f t="shared" ca="1" si="11"/>
        <v>112950.09055233664</v>
      </c>
      <c r="AF80" s="4" t="s">
        <v>648</v>
      </c>
    </row>
    <row r="81" spans="1:32" ht="11.25" customHeight="1" x14ac:dyDescent="0.25">
      <c r="A81" s="4" t="s">
        <v>21</v>
      </c>
      <c r="B81" s="4" t="s">
        <v>38</v>
      </c>
      <c r="C81" s="4" t="s">
        <v>39</v>
      </c>
      <c r="D81" s="4" t="s">
        <v>37</v>
      </c>
      <c r="E81" s="4" t="s">
        <v>25</v>
      </c>
      <c r="F81" s="4" t="s">
        <v>56</v>
      </c>
      <c r="G81" s="4" t="s">
        <v>25</v>
      </c>
      <c r="H81" s="4" t="s">
        <v>33</v>
      </c>
      <c r="I81" s="5">
        <v>44593</v>
      </c>
      <c r="J81" s="6">
        <v>0</v>
      </c>
      <c r="K81" s="6">
        <v>0</v>
      </c>
      <c r="L81" s="6">
        <v>428.41199999999998</v>
      </c>
      <c r="M81" s="6">
        <v>239.7821964</v>
      </c>
      <c r="N81" s="6">
        <v>0</v>
      </c>
      <c r="O81" s="6">
        <v>0</v>
      </c>
      <c r="P81" s="6">
        <v>0</v>
      </c>
      <c r="Q81" s="4" t="s">
        <v>57</v>
      </c>
      <c r="R81" s="4">
        <v>0</v>
      </c>
      <c r="S81" s="4">
        <v>0</v>
      </c>
      <c r="T81" s="4">
        <v>21</v>
      </c>
      <c r="U81" s="4">
        <v>0</v>
      </c>
      <c r="V81" s="6">
        <f>IF(ISERROR(VLOOKUP($S$81,'TAR FIN'!$A$1:$O$86,15,0)),0,VLOOKUP($S$81,'TAR FIN'!$A$1:$O$86,15,0))</f>
        <v>0</v>
      </c>
      <c r="W81" s="6">
        <f>IF(ISERROR(VLOOKUP($T$81,'TAR FIN'!$A$1:$O$86,15,0)),0,VLOOKUP($T$81,'TAR FIN'!$A$1:$O$86,15,0))</f>
        <v>596.78</v>
      </c>
      <c r="X81" s="6">
        <f>IF(ISERROR(VLOOKUP($U$81,'TAR FIN'!$A$1:$O$86,15,0)),0,VLOOKUP($U$81,'TAR FIN'!$A$1:$O$86,15,0))</f>
        <v>0</v>
      </c>
      <c r="Y81" s="6"/>
      <c r="Z81" s="6">
        <f ca="1">('TUSD BE'!$AM$11+'TUSD BF'!$AM$11+'TUSD CVA'!$AM$11)*1</f>
        <v>625.67033946440574</v>
      </c>
      <c r="AA81" s="6"/>
      <c r="AB81" s="6">
        <f t="shared" si="8"/>
        <v>0</v>
      </c>
      <c r="AC81" s="6">
        <f t="shared" si="9"/>
        <v>112570.49419240798</v>
      </c>
      <c r="AD81" s="6">
        <f t="shared" si="10"/>
        <v>0</v>
      </c>
      <c r="AE81" s="6">
        <f t="shared" ca="1" si="11"/>
        <v>118020.07325151617</v>
      </c>
      <c r="AF81" s="4" t="s">
        <v>648</v>
      </c>
    </row>
    <row r="82" spans="1:32" ht="11.25" customHeight="1" x14ac:dyDescent="0.25">
      <c r="A82" s="4" t="s">
        <v>21</v>
      </c>
      <c r="B82" s="4" t="s">
        <v>38</v>
      </c>
      <c r="C82" s="4" t="s">
        <v>39</v>
      </c>
      <c r="D82" s="4" t="s">
        <v>37</v>
      </c>
      <c r="E82" s="4" t="s">
        <v>25</v>
      </c>
      <c r="F82" s="4" t="s">
        <v>56</v>
      </c>
      <c r="G82" s="4" t="s">
        <v>25</v>
      </c>
      <c r="H82" s="4" t="s">
        <v>33</v>
      </c>
      <c r="I82" s="5">
        <v>44621</v>
      </c>
      <c r="J82" s="6">
        <v>0</v>
      </c>
      <c r="K82" s="6">
        <v>0</v>
      </c>
      <c r="L82" s="6">
        <v>492.738</v>
      </c>
      <c r="M82" s="6">
        <v>275.78545860000003</v>
      </c>
      <c r="N82" s="6">
        <v>0</v>
      </c>
      <c r="O82" s="6">
        <v>0</v>
      </c>
      <c r="P82" s="6">
        <v>0</v>
      </c>
      <c r="Q82" s="4" t="s">
        <v>57</v>
      </c>
      <c r="R82" s="4">
        <v>0</v>
      </c>
      <c r="S82" s="4">
        <v>0</v>
      </c>
      <c r="T82" s="4">
        <v>21</v>
      </c>
      <c r="U82" s="4">
        <v>0</v>
      </c>
      <c r="V82" s="6">
        <f>IF(ISERROR(VLOOKUP($S$82,'TAR FIN'!$A$1:$O$86,15,0)),0,VLOOKUP($S$82,'TAR FIN'!$A$1:$O$86,15,0))</f>
        <v>0</v>
      </c>
      <c r="W82" s="6">
        <f>IF(ISERROR(VLOOKUP($T$82,'TAR FIN'!$A$1:$O$86,15,0)),0,VLOOKUP($T$82,'TAR FIN'!$A$1:$O$86,15,0))</f>
        <v>596.78</v>
      </c>
      <c r="X82" s="6">
        <f>IF(ISERROR(VLOOKUP($U$82,'TAR FIN'!$A$1:$O$86,15,0)),0,VLOOKUP($U$82,'TAR FIN'!$A$1:$O$86,15,0))</f>
        <v>0</v>
      </c>
      <c r="Y82" s="6"/>
      <c r="Z82" s="6">
        <f ca="1">('TUSD BE'!$AM$11+'TUSD BF'!$AM$11+'TUSD CVA'!$AM$11)*1</f>
        <v>625.67033946440574</v>
      </c>
      <c r="AA82" s="6"/>
      <c r="AB82" s="6">
        <f t="shared" si="8"/>
        <v>0</v>
      </c>
      <c r="AC82" s="6">
        <f t="shared" si="9"/>
        <v>129472.93765669198</v>
      </c>
      <c r="AD82" s="6">
        <f t="shared" si="10"/>
        <v>0</v>
      </c>
      <c r="AE82" s="6">
        <f t="shared" ca="1" si="11"/>
        <v>135740.77022540351</v>
      </c>
      <c r="AF82" s="4" t="s">
        <v>648</v>
      </c>
    </row>
    <row r="83" spans="1:32" ht="11.25" customHeight="1" x14ac:dyDescent="0.25">
      <c r="A83" s="4" t="s">
        <v>21</v>
      </c>
      <c r="B83" s="4" t="s">
        <v>38</v>
      </c>
      <c r="C83" s="4" t="s">
        <v>39</v>
      </c>
      <c r="D83" s="4" t="s">
        <v>37</v>
      </c>
      <c r="E83" s="4" t="s">
        <v>25</v>
      </c>
      <c r="F83" s="4" t="s">
        <v>56</v>
      </c>
      <c r="G83" s="4" t="s">
        <v>25</v>
      </c>
      <c r="H83" s="4" t="s">
        <v>33</v>
      </c>
      <c r="I83" s="5">
        <v>44652</v>
      </c>
      <c r="J83" s="6">
        <v>0</v>
      </c>
      <c r="K83" s="6">
        <v>0</v>
      </c>
      <c r="L83" s="6">
        <v>423.49700000000001</v>
      </c>
      <c r="M83" s="6">
        <v>237.03127090000001</v>
      </c>
      <c r="N83" s="6">
        <v>0</v>
      </c>
      <c r="O83" s="6">
        <v>0</v>
      </c>
      <c r="P83" s="6">
        <v>0</v>
      </c>
      <c r="Q83" s="4" t="s">
        <v>57</v>
      </c>
      <c r="R83" s="4">
        <v>0</v>
      </c>
      <c r="S83" s="4">
        <v>0</v>
      </c>
      <c r="T83" s="4">
        <v>21</v>
      </c>
      <c r="U83" s="4">
        <v>0</v>
      </c>
      <c r="V83" s="6">
        <f>IF(ISERROR(VLOOKUP($S$83,'TAR FIN'!$A$1:$O$86,15,0)),0,VLOOKUP($S$83,'TAR FIN'!$A$1:$O$86,15,0))</f>
        <v>0</v>
      </c>
      <c r="W83" s="6">
        <f>IF(ISERROR(VLOOKUP($T$83,'TAR FIN'!$A$1:$O$86,15,0)),0,VLOOKUP($T$83,'TAR FIN'!$A$1:$O$86,15,0))</f>
        <v>596.78</v>
      </c>
      <c r="X83" s="6">
        <f>IF(ISERROR(VLOOKUP($U$83,'TAR FIN'!$A$1:$O$86,15,0)),0,VLOOKUP($U$83,'TAR FIN'!$A$1:$O$86,15,0))</f>
        <v>0</v>
      </c>
      <c r="Y83" s="6"/>
      <c r="Z83" s="6">
        <f ca="1">('TUSD BE'!$AM$11+'TUSD BF'!$AM$11+'TUSD CVA'!$AM$11)*1</f>
        <v>625.67033946440574</v>
      </c>
      <c r="AA83" s="6"/>
      <c r="AB83" s="6">
        <f t="shared" si="8"/>
        <v>0</v>
      </c>
      <c r="AC83" s="6">
        <f t="shared" si="9"/>
        <v>111279.017812298</v>
      </c>
      <c r="AD83" s="6">
        <f t="shared" si="10"/>
        <v>0</v>
      </c>
      <c r="AE83" s="6">
        <f t="shared" ca="1" si="11"/>
        <v>116666.07602447493</v>
      </c>
      <c r="AF83" s="4" t="s">
        <v>648</v>
      </c>
    </row>
    <row r="84" spans="1:32" ht="11.25" customHeight="1" x14ac:dyDescent="0.25">
      <c r="A84" s="4" t="s">
        <v>21</v>
      </c>
      <c r="B84" s="4" t="s">
        <v>38</v>
      </c>
      <c r="C84" s="4" t="s">
        <v>39</v>
      </c>
      <c r="D84" s="4" t="s">
        <v>37</v>
      </c>
      <c r="E84" s="4" t="s">
        <v>25</v>
      </c>
      <c r="F84" s="4" t="s">
        <v>56</v>
      </c>
      <c r="G84" s="4" t="s">
        <v>25</v>
      </c>
      <c r="H84" s="4" t="s">
        <v>33</v>
      </c>
      <c r="I84" s="5">
        <v>44682</v>
      </c>
      <c r="J84" s="6">
        <v>0</v>
      </c>
      <c r="K84" s="6">
        <v>0</v>
      </c>
      <c r="L84" s="6">
        <v>495.89800000000002</v>
      </c>
      <c r="M84" s="6">
        <v>277.5541106</v>
      </c>
      <c r="N84" s="6">
        <v>0</v>
      </c>
      <c r="O84" s="6">
        <v>0</v>
      </c>
      <c r="P84" s="6">
        <v>0</v>
      </c>
      <c r="Q84" s="4" t="s">
        <v>57</v>
      </c>
      <c r="R84" s="4">
        <v>0</v>
      </c>
      <c r="S84" s="4">
        <v>0</v>
      </c>
      <c r="T84" s="4">
        <v>21</v>
      </c>
      <c r="U84" s="4">
        <v>0</v>
      </c>
      <c r="V84" s="6">
        <f>IF(ISERROR(VLOOKUP($S$84,'TAR FIN'!$A$1:$O$86,15,0)),0,VLOOKUP($S$84,'TAR FIN'!$A$1:$O$86,15,0))</f>
        <v>0</v>
      </c>
      <c r="W84" s="6">
        <f>IF(ISERROR(VLOOKUP($T$84,'TAR FIN'!$A$1:$O$86,15,0)),0,VLOOKUP($T$84,'TAR FIN'!$A$1:$O$86,15,0))</f>
        <v>596.78</v>
      </c>
      <c r="X84" s="6">
        <f>IF(ISERROR(VLOOKUP($U$84,'TAR FIN'!$A$1:$O$86,15,0)),0,VLOOKUP($U$84,'TAR FIN'!$A$1:$O$86,15,0))</f>
        <v>0</v>
      </c>
      <c r="Y84" s="6"/>
      <c r="Z84" s="6">
        <f ca="1">('TUSD BE'!$AM$11+'TUSD BF'!$AM$11+'TUSD CVA'!$AM$11)*1</f>
        <v>625.67033946440574</v>
      </c>
      <c r="AA84" s="6"/>
      <c r="AB84" s="6">
        <f t="shared" si="8"/>
        <v>0</v>
      </c>
      <c r="AC84" s="6">
        <f t="shared" si="9"/>
        <v>130303.26631613201</v>
      </c>
      <c r="AD84" s="6">
        <f t="shared" si="10"/>
        <v>0</v>
      </c>
      <c r="AE84" s="6">
        <f t="shared" ca="1" si="11"/>
        <v>136611.29540087667</v>
      </c>
      <c r="AF84" s="4" t="s">
        <v>648</v>
      </c>
    </row>
    <row r="85" spans="1:32" ht="11.25" customHeight="1" x14ac:dyDescent="0.25">
      <c r="A85" s="4" t="s">
        <v>55</v>
      </c>
      <c r="B85" s="4" t="s">
        <v>38</v>
      </c>
      <c r="C85" s="4" t="s">
        <v>39</v>
      </c>
      <c r="D85" s="4" t="s">
        <v>37</v>
      </c>
      <c r="E85" s="4" t="s">
        <v>25</v>
      </c>
      <c r="F85" s="4" t="s">
        <v>56</v>
      </c>
      <c r="G85" s="4" t="s">
        <v>25</v>
      </c>
      <c r="H85" s="4" t="s">
        <v>33</v>
      </c>
      <c r="I85" s="5">
        <v>44713</v>
      </c>
      <c r="J85" s="6">
        <v>0</v>
      </c>
      <c r="K85" s="6">
        <v>0</v>
      </c>
      <c r="L85" s="6">
        <v>495.89800000000002</v>
      </c>
      <c r="M85" s="6">
        <v>277.5541106</v>
      </c>
      <c r="N85" s="6">
        <v>0</v>
      </c>
      <c r="O85" s="6">
        <v>0</v>
      </c>
      <c r="P85" s="6">
        <v>0</v>
      </c>
      <c r="Q85" s="4" t="s">
        <v>57</v>
      </c>
      <c r="R85" s="4">
        <v>0</v>
      </c>
      <c r="S85" s="4">
        <v>0</v>
      </c>
      <c r="T85" s="4">
        <v>21</v>
      </c>
      <c r="U85" s="4">
        <v>0</v>
      </c>
      <c r="V85" s="6">
        <f>IF(ISERROR(VLOOKUP($S$85,'TAR FIN'!$A$1:$O$86,15,0)),0,VLOOKUP($S$85,'TAR FIN'!$A$1:$O$86,15,0))</f>
        <v>0</v>
      </c>
      <c r="W85" s="6">
        <f>IF(ISERROR(VLOOKUP($T$85,'TAR FIN'!$A$1:$O$86,15,0)),0,VLOOKUP($T$85,'TAR FIN'!$A$1:$O$86,15,0))</f>
        <v>596.78</v>
      </c>
      <c r="X85" s="6">
        <f>IF(ISERROR(VLOOKUP($U$85,'TAR FIN'!$A$1:$O$86,15,0)),0,VLOOKUP($U$85,'TAR FIN'!$A$1:$O$86,15,0))</f>
        <v>0</v>
      </c>
      <c r="Y85" s="6"/>
      <c r="Z85" s="6">
        <f ca="1">('TUSD BE'!$AM$11+'TUSD BF'!$AM$11+'TUSD CVA'!$AM$11)*1</f>
        <v>625.67033946440574</v>
      </c>
      <c r="AA85" s="6"/>
      <c r="AB85" s="6">
        <f t="shared" si="8"/>
        <v>0</v>
      </c>
      <c r="AC85" s="6">
        <f t="shared" si="9"/>
        <v>130303.26631613201</v>
      </c>
      <c r="AD85" s="6">
        <f t="shared" si="10"/>
        <v>0</v>
      </c>
      <c r="AE85" s="6">
        <f t="shared" ca="1" si="11"/>
        <v>136611.29540087667</v>
      </c>
      <c r="AF85" s="4" t="s">
        <v>648</v>
      </c>
    </row>
    <row r="86" spans="1:32" ht="11.25" customHeight="1" x14ac:dyDescent="0.25">
      <c r="A86" s="4" t="s">
        <v>21</v>
      </c>
      <c r="B86" s="4" t="s">
        <v>38</v>
      </c>
      <c r="C86" s="4" t="s">
        <v>39</v>
      </c>
      <c r="D86" s="4" t="s">
        <v>43</v>
      </c>
      <c r="E86" s="4" t="s">
        <v>52</v>
      </c>
      <c r="F86" s="4" t="s">
        <v>54</v>
      </c>
      <c r="G86" s="4" t="s">
        <v>25</v>
      </c>
      <c r="H86" s="4" t="s">
        <v>34</v>
      </c>
      <c r="I86" s="5">
        <v>44378</v>
      </c>
      <c r="J86" s="6">
        <v>0</v>
      </c>
      <c r="K86" s="6">
        <v>0</v>
      </c>
      <c r="L86" s="6">
        <v>0.152</v>
      </c>
      <c r="M86" s="6">
        <v>4.5600000000000002E-2</v>
      </c>
      <c r="N86" s="6">
        <v>0.152</v>
      </c>
      <c r="O86" s="6">
        <v>4.5600000000000002E-2</v>
      </c>
      <c r="P86" s="6">
        <v>0</v>
      </c>
      <c r="Q86" s="4" t="s">
        <v>26</v>
      </c>
      <c r="R86" s="4">
        <v>0</v>
      </c>
      <c r="S86" s="4">
        <v>0</v>
      </c>
      <c r="T86" s="4">
        <v>17</v>
      </c>
      <c r="U86" s="4">
        <v>78</v>
      </c>
      <c r="V86" s="6">
        <f>IF(ISERROR(VLOOKUP($S$86,'TAR FIN'!$A$1:$O$86,15,0)),0,VLOOKUP($S$86,'TAR FIN'!$A$1:$O$86,15,0))</f>
        <v>0</v>
      </c>
      <c r="W86" s="6">
        <f>IF(ISERROR(VLOOKUP($T$86,'TAR FIN'!$A$1:$O$86,15,0)),0,VLOOKUP($T$86,'TAR FIN'!$A$1:$O$86,15,0))</f>
        <v>71.260000000000005</v>
      </c>
      <c r="X86" s="6">
        <f>IF(ISERROR(VLOOKUP($U$86,'TAR FIN'!$A$1:$O$86,15,0)),0,VLOOKUP($U$86,'TAR FIN'!$A$1:$O$86,15,0))</f>
        <v>297.31</v>
      </c>
      <c r="Y86" s="6"/>
      <c r="Z86" s="6">
        <f ca="1">('TUSD BE'!$AM$12+'TUSD BF'!$AM$12+'TUSD CVA'!$AM$12)*1</f>
        <v>95.815448102611441</v>
      </c>
      <c r="AA86" s="6">
        <f>('TE BE'!$AB$6+'TE BF'!$AB$6+'TE CVA'!$AB$6)*1</f>
        <v>235.33989117487977</v>
      </c>
      <c r="AB86" s="6">
        <f t="shared" si="8"/>
        <v>0</v>
      </c>
      <c r="AC86" s="6">
        <f t="shared" si="9"/>
        <v>39.215848000000001</v>
      </c>
      <c r="AD86" s="6">
        <f t="shared" si="10"/>
        <v>0</v>
      </c>
      <c r="AE86" s="6">
        <f t="shared" ca="1" si="11"/>
        <v>35.234928099125064</v>
      </c>
      <c r="AF86" s="4" t="s">
        <v>650</v>
      </c>
    </row>
    <row r="87" spans="1:32" ht="11.25" customHeight="1" x14ac:dyDescent="0.25">
      <c r="A87" s="4" t="s">
        <v>21</v>
      </c>
      <c r="B87" s="4" t="s">
        <v>38</v>
      </c>
      <c r="C87" s="4" t="s">
        <v>39</v>
      </c>
      <c r="D87" s="4" t="s">
        <v>43</v>
      </c>
      <c r="E87" s="4" t="s">
        <v>52</v>
      </c>
      <c r="F87" s="4" t="s">
        <v>54</v>
      </c>
      <c r="G87" s="4" t="s">
        <v>25</v>
      </c>
      <c r="H87" s="4" t="s">
        <v>34</v>
      </c>
      <c r="I87" s="5">
        <v>44409</v>
      </c>
      <c r="J87" s="6">
        <v>0</v>
      </c>
      <c r="K87" s="6">
        <v>0</v>
      </c>
      <c r="L87" s="6">
        <v>0.182</v>
      </c>
      <c r="M87" s="6">
        <v>5.4600000000000003E-2</v>
      </c>
      <c r="N87" s="6">
        <v>0.182</v>
      </c>
      <c r="O87" s="6">
        <v>5.4600000000000003E-2</v>
      </c>
      <c r="P87" s="6">
        <v>0</v>
      </c>
      <c r="Q87" s="4" t="s">
        <v>26</v>
      </c>
      <c r="R87" s="4">
        <v>0</v>
      </c>
      <c r="S87" s="4">
        <v>0</v>
      </c>
      <c r="T87" s="4">
        <v>17</v>
      </c>
      <c r="U87" s="4">
        <v>78</v>
      </c>
      <c r="V87" s="6">
        <f>IF(ISERROR(VLOOKUP($S$87,'TAR FIN'!$A$1:$O$86,15,0)),0,VLOOKUP($S$87,'TAR FIN'!$A$1:$O$86,15,0))</f>
        <v>0</v>
      </c>
      <c r="W87" s="6">
        <f>IF(ISERROR(VLOOKUP($T$87,'TAR FIN'!$A$1:$O$86,15,0)),0,VLOOKUP($T$87,'TAR FIN'!$A$1:$O$86,15,0))</f>
        <v>71.260000000000005</v>
      </c>
      <c r="X87" s="6">
        <f>IF(ISERROR(VLOOKUP($U$87,'TAR FIN'!$A$1:$O$86,15,0)),0,VLOOKUP($U$87,'TAR FIN'!$A$1:$O$86,15,0))</f>
        <v>297.31</v>
      </c>
      <c r="Y87" s="6"/>
      <c r="Z87" s="6">
        <f ca="1">('TUSD BE'!$AM$12+'TUSD BF'!$AM$12+'TUSD CVA'!$AM$12)*1</f>
        <v>95.815448102611441</v>
      </c>
      <c r="AA87" s="6">
        <f>('TE BE'!$AB$6+'TE BF'!$AB$6+'TE CVA'!$AB$6)*1</f>
        <v>235.33989117487977</v>
      </c>
      <c r="AB87" s="6">
        <f t="shared" si="8"/>
        <v>0</v>
      </c>
      <c r="AC87" s="6">
        <f t="shared" si="9"/>
        <v>46.955818000000001</v>
      </c>
      <c r="AD87" s="6">
        <f t="shared" si="10"/>
        <v>0</v>
      </c>
      <c r="AE87" s="6">
        <f t="shared" ca="1" si="11"/>
        <v>42.189190223952373</v>
      </c>
      <c r="AF87" s="4" t="s">
        <v>650</v>
      </c>
    </row>
    <row r="88" spans="1:32" ht="11.25" customHeight="1" x14ac:dyDescent="0.25">
      <c r="A88" s="4" t="s">
        <v>21</v>
      </c>
      <c r="B88" s="4" t="s">
        <v>38</v>
      </c>
      <c r="C88" s="4" t="s">
        <v>39</v>
      </c>
      <c r="D88" s="4" t="s">
        <v>43</v>
      </c>
      <c r="E88" s="4" t="s">
        <v>52</v>
      </c>
      <c r="F88" s="4" t="s">
        <v>54</v>
      </c>
      <c r="G88" s="4" t="s">
        <v>25</v>
      </c>
      <c r="H88" s="4" t="s">
        <v>34</v>
      </c>
      <c r="I88" s="5">
        <v>44440</v>
      </c>
      <c r="J88" s="6">
        <v>0</v>
      </c>
      <c r="K88" s="6">
        <v>0</v>
      </c>
      <c r="L88" s="6">
        <v>0.06</v>
      </c>
      <c r="M88" s="6">
        <v>1.7999999999999999E-2</v>
      </c>
      <c r="N88" s="6">
        <v>0.06</v>
      </c>
      <c r="O88" s="6">
        <v>1.7999999999999999E-2</v>
      </c>
      <c r="P88" s="6">
        <v>0</v>
      </c>
      <c r="Q88" s="4" t="s">
        <v>26</v>
      </c>
      <c r="R88" s="4">
        <v>0</v>
      </c>
      <c r="S88" s="4">
        <v>0</v>
      </c>
      <c r="T88" s="4">
        <v>17</v>
      </c>
      <c r="U88" s="4">
        <v>78</v>
      </c>
      <c r="V88" s="6">
        <f>IF(ISERROR(VLOOKUP($S$88,'TAR FIN'!$A$1:$O$86,15,0)),0,VLOOKUP($S$88,'TAR FIN'!$A$1:$O$86,15,0))</f>
        <v>0</v>
      </c>
      <c r="W88" s="6">
        <f>IF(ISERROR(VLOOKUP($T$88,'TAR FIN'!$A$1:$O$86,15,0)),0,VLOOKUP($T$88,'TAR FIN'!$A$1:$O$86,15,0))</f>
        <v>71.260000000000005</v>
      </c>
      <c r="X88" s="6">
        <f>IF(ISERROR(VLOOKUP($U$88,'TAR FIN'!$A$1:$O$86,15,0)),0,VLOOKUP($U$88,'TAR FIN'!$A$1:$O$86,15,0))</f>
        <v>297.31</v>
      </c>
      <c r="Y88" s="6"/>
      <c r="Z88" s="6">
        <f ca="1">('TUSD BE'!$AM$12+'TUSD BF'!$AM$12+'TUSD CVA'!$AM$12)*1</f>
        <v>95.815448102611441</v>
      </c>
      <c r="AA88" s="6">
        <f>('TE BE'!$AB$6+'TE BF'!$AB$6+'TE CVA'!$AB$6)*1</f>
        <v>235.33989117487977</v>
      </c>
      <c r="AB88" s="6">
        <f t="shared" si="8"/>
        <v>0</v>
      </c>
      <c r="AC88" s="6">
        <f t="shared" si="9"/>
        <v>15.479939999999999</v>
      </c>
      <c r="AD88" s="6">
        <f t="shared" si="10"/>
        <v>0</v>
      </c>
      <c r="AE88" s="6">
        <f t="shared" ca="1" si="11"/>
        <v>13.908524249654629</v>
      </c>
      <c r="AF88" s="4" t="s">
        <v>650</v>
      </c>
    </row>
    <row r="89" spans="1:32" ht="11.25" customHeight="1" x14ac:dyDescent="0.25">
      <c r="A89" s="4" t="s">
        <v>21</v>
      </c>
      <c r="B89" s="4" t="s">
        <v>38</v>
      </c>
      <c r="C89" s="4" t="s">
        <v>39</v>
      </c>
      <c r="D89" s="4" t="s">
        <v>43</v>
      </c>
      <c r="E89" s="4" t="s">
        <v>52</v>
      </c>
      <c r="F89" s="4" t="s">
        <v>54</v>
      </c>
      <c r="G89" s="4" t="s">
        <v>25</v>
      </c>
      <c r="H89" s="4" t="s">
        <v>34</v>
      </c>
      <c r="I89" s="5">
        <v>44470</v>
      </c>
      <c r="J89" s="6">
        <v>0</v>
      </c>
      <c r="K89" s="6">
        <v>0</v>
      </c>
      <c r="L89" s="6">
        <v>7.3</v>
      </c>
      <c r="M89" s="6">
        <v>2.19</v>
      </c>
      <c r="N89" s="6">
        <v>7.3</v>
      </c>
      <c r="O89" s="6">
        <v>2.19</v>
      </c>
      <c r="P89" s="6">
        <v>0</v>
      </c>
      <c r="Q89" s="4" t="s">
        <v>26</v>
      </c>
      <c r="R89" s="4">
        <v>0</v>
      </c>
      <c r="S89" s="4">
        <v>0</v>
      </c>
      <c r="T89" s="4">
        <v>17</v>
      </c>
      <c r="U89" s="4">
        <v>78</v>
      </c>
      <c r="V89" s="6">
        <f>IF(ISERROR(VLOOKUP($S$89,'TAR FIN'!$A$1:$O$86,15,0)),0,VLOOKUP($S$89,'TAR FIN'!$A$1:$O$86,15,0))</f>
        <v>0</v>
      </c>
      <c r="W89" s="6">
        <f>IF(ISERROR(VLOOKUP($T$89,'TAR FIN'!$A$1:$O$86,15,0)),0,VLOOKUP($T$89,'TAR FIN'!$A$1:$O$86,15,0))</f>
        <v>71.260000000000005</v>
      </c>
      <c r="X89" s="6">
        <f>IF(ISERROR(VLOOKUP($U$89,'TAR FIN'!$A$1:$O$86,15,0)),0,VLOOKUP($U$89,'TAR FIN'!$A$1:$O$86,15,0))</f>
        <v>297.31</v>
      </c>
      <c r="Y89" s="6"/>
      <c r="Z89" s="6">
        <f ca="1">('TUSD BE'!$AM$12+'TUSD BF'!$AM$12+'TUSD CVA'!$AM$12)*1</f>
        <v>95.815448102611441</v>
      </c>
      <c r="AA89" s="6">
        <f>('TE BE'!$AB$6+'TE BF'!$AB$6+'TE CVA'!$AB$6)*1</f>
        <v>235.33989117487977</v>
      </c>
      <c r="AB89" s="6">
        <f t="shared" si="8"/>
        <v>0</v>
      </c>
      <c r="AC89" s="6">
        <f t="shared" si="9"/>
        <v>1883.3926999999999</v>
      </c>
      <c r="AD89" s="6">
        <f t="shared" si="10"/>
        <v>0</v>
      </c>
      <c r="AE89" s="6">
        <f t="shared" ca="1" si="11"/>
        <v>1692.2037837079799</v>
      </c>
      <c r="AF89" s="4" t="s">
        <v>650</v>
      </c>
    </row>
    <row r="90" spans="1:32" ht="11.25" customHeight="1" x14ac:dyDescent="0.25">
      <c r="A90" s="4" t="s">
        <v>21</v>
      </c>
      <c r="B90" s="4" t="s">
        <v>38</v>
      </c>
      <c r="C90" s="4" t="s">
        <v>39</v>
      </c>
      <c r="D90" s="4" t="s">
        <v>43</v>
      </c>
      <c r="E90" s="4" t="s">
        <v>52</v>
      </c>
      <c r="F90" s="4" t="s">
        <v>54</v>
      </c>
      <c r="G90" s="4" t="s">
        <v>25</v>
      </c>
      <c r="H90" s="4" t="s">
        <v>34</v>
      </c>
      <c r="I90" s="5">
        <v>44501</v>
      </c>
      <c r="J90" s="6">
        <v>0</v>
      </c>
      <c r="K90" s="6">
        <v>0</v>
      </c>
      <c r="L90" s="6">
        <v>28.536999999999999</v>
      </c>
      <c r="M90" s="6">
        <v>8.5610999999999997</v>
      </c>
      <c r="N90" s="6">
        <v>28.536999999999999</v>
      </c>
      <c r="O90" s="6">
        <v>8.5610999999999997</v>
      </c>
      <c r="P90" s="6">
        <v>0</v>
      </c>
      <c r="Q90" s="4" t="s">
        <v>26</v>
      </c>
      <c r="R90" s="4">
        <v>0</v>
      </c>
      <c r="S90" s="4">
        <v>0</v>
      </c>
      <c r="T90" s="4">
        <v>17</v>
      </c>
      <c r="U90" s="4">
        <v>78</v>
      </c>
      <c r="V90" s="6">
        <f>IF(ISERROR(VLOOKUP($S$90,'TAR FIN'!$A$1:$O$86,15,0)),0,VLOOKUP($S$90,'TAR FIN'!$A$1:$O$86,15,0))</f>
        <v>0</v>
      </c>
      <c r="W90" s="6">
        <f>IF(ISERROR(VLOOKUP($T$90,'TAR FIN'!$A$1:$O$86,15,0)),0,VLOOKUP($T$90,'TAR FIN'!$A$1:$O$86,15,0))</f>
        <v>71.260000000000005</v>
      </c>
      <c r="X90" s="6">
        <f>IF(ISERROR(VLOOKUP($U$90,'TAR FIN'!$A$1:$O$86,15,0)),0,VLOOKUP($U$90,'TAR FIN'!$A$1:$O$86,15,0))</f>
        <v>297.31</v>
      </c>
      <c r="Y90" s="6"/>
      <c r="Z90" s="6">
        <f ca="1">('TUSD BE'!$AM$12+'TUSD BF'!$AM$12+'TUSD CVA'!$AM$12)*1</f>
        <v>95.815448102611441</v>
      </c>
      <c r="AA90" s="6">
        <f>('TE BE'!$AB$6+'TE BF'!$AB$6+'TE CVA'!$AB$6)*1</f>
        <v>235.33989117487977</v>
      </c>
      <c r="AB90" s="6">
        <f t="shared" si="8"/>
        <v>0</v>
      </c>
      <c r="AC90" s="6">
        <f t="shared" si="9"/>
        <v>7362.5174630000001</v>
      </c>
      <c r="AD90" s="6">
        <f t="shared" si="10"/>
        <v>0</v>
      </c>
      <c r="AE90" s="6">
        <f t="shared" ca="1" si="11"/>
        <v>6615.125941873237</v>
      </c>
      <c r="AF90" s="4" t="s">
        <v>650</v>
      </c>
    </row>
    <row r="91" spans="1:32" ht="11.25" customHeight="1" x14ac:dyDescent="0.25">
      <c r="A91" s="4" t="s">
        <v>21</v>
      </c>
      <c r="B91" s="4" t="s">
        <v>38</v>
      </c>
      <c r="C91" s="4" t="s">
        <v>39</v>
      </c>
      <c r="D91" s="4" t="s">
        <v>43</v>
      </c>
      <c r="E91" s="4" t="s">
        <v>52</v>
      </c>
      <c r="F91" s="4" t="s">
        <v>54</v>
      </c>
      <c r="G91" s="4" t="s">
        <v>25</v>
      </c>
      <c r="H91" s="4" t="s">
        <v>34</v>
      </c>
      <c r="I91" s="5">
        <v>44531</v>
      </c>
      <c r="J91" s="6">
        <v>0</v>
      </c>
      <c r="K91" s="6">
        <v>0</v>
      </c>
      <c r="L91" s="6">
        <v>63.548999999999999</v>
      </c>
      <c r="M91" s="6">
        <v>19.064699999999998</v>
      </c>
      <c r="N91" s="6">
        <v>63.548999999999999</v>
      </c>
      <c r="O91" s="6">
        <v>19.064699999999998</v>
      </c>
      <c r="P91" s="6">
        <v>0</v>
      </c>
      <c r="Q91" s="4" t="s">
        <v>26</v>
      </c>
      <c r="R91" s="4">
        <v>0</v>
      </c>
      <c r="S91" s="4">
        <v>0</v>
      </c>
      <c r="T91" s="4">
        <v>17</v>
      </c>
      <c r="U91" s="4">
        <v>78</v>
      </c>
      <c r="V91" s="6">
        <f>IF(ISERROR(VLOOKUP($S$91,'TAR FIN'!$A$1:$O$86,15,0)),0,VLOOKUP($S$91,'TAR FIN'!$A$1:$O$86,15,0))</f>
        <v>0</v>
      </c>
      <c r="W91" s="6">
        <f>IF(ISERROR(VLOOKUP($T$91,'TAR FIN'!$A$1:$O$86,15,0)),0,VLOOKUP($T$91,'TAR FIN'!$A$1:$O$86,15,0))</f>
        <v>71.260000000000005</v>
      </c>
      <c r="X91" s="6">
        <f>IF(ISERROR(VLOOKUP($U$91,'TAR FIN'!$A$1:$O$86,15,0)),0,VLOOKUP($U$91,'TAR FIN'!$A$1:$O$86,15,0))</f>
        <v>297.31</v>
      </c>
      <c r="Y91" s="6"/>
      <c r="Z91" s="6">
        <f ca="1">('TUSD BE'!$AM$12+'TUSD BF'!$AM$12+'TUSD CVA'!$AM$12)*1</f>
        <v>95.815448102611441</v>
      </c>
      <c r="AA91" s="6">
        <f>('TE BE'!$AB$6+'TE BF'!$AB$6+'TE CVA'!$AB$6)*1</f>
        <v>235.33989117487977</v>
      </c>
      <c r="AB91" s="6">
        <f t="shared" si="8"/>
        <v>0</v>
      </c>
      <c r="AC91" s="6">
        <f t="shared" si="9"/>
        <v>16395.578451000001</v>
      </c>
      <c r="AD91" s="6">
        <f t="shared" si="10"/>
        <v>0</v>
      </c>
      <c r="AE91" s="6">
        <f t="shared" ca="1" si="11"/>
        <v>14731.213459021703</v>
      </c>
      <c r="AF91" s="4" t="s">
        <v>650</v>
      </c>
    </row>
    <row r="92" spans="1:32" ht="11.25" customHeight="1" x14ac:dyDescent="0.25">
      <c r="A92" s="4" t="s">
        <v>21</v>
      </c>
      <c r="B92" s="4" t="s">
        <v>38</v>
      </c>
      <c r="C92" s="4" t="s">
        <v>39</v>
      </c>
      <c r="D92" s="4" t="s">
        <v>43</v>
      </c>
      <c r="E92" s="4" t="s">
        <v>52</v>
      </c>
      <c r="F92" s="4" t="s">
        <v>54</v>
      </c>
      <c r="G92" s="4" t="s">
        <v>25</v>
      </c>
      <c r="H92" s="4" t="s">
        <v>34</v>
      </c>
      <c r="I92" s="5">
        <v>44562</v>
      </c>
      <c r="J92" s="6">
        <v>0</v>
      </c>
      <c r="K92" s="6">
        <v>0</v>
      </c>
      <c r="L92" s="6">
        <v>37.036999999999999</v>
      </c>
      <c r="M92" s="6">
        <v>11.1111</v>
      </c>
      <c r="N92" s="6">
        <v>37.036999999999999</v>
      </c>
      <c r="O92" s="6">
        <v>11.1111</v>
      </c>
      <c r="P92" s="6">
        <v>0</v>
      </c>
      <c r="Q92" s="4" t="s">
        <v>26</v>
      </c>
      <c r="R92" s="4">
        <v>0</v>
      </c>
      <c r="S92" s="4">
        <v>0</v>
      </c>
      <c r="T92" s="4">
        <v>17</v>
      </c>
      <c r="U92" s="4">
        <v>78</v>
      </c>
      <c r="V92" s="6">
        <f>IF(ISERROR(VLOOKUP($S$92,'TAR FIN'!$A$1:$O$86,15,0)),0,VLOOKUP($S$92,'TAR FIN'!$A$1:$O$86,15,0))</f>
        <v>0</v>
      </c>
      <c r="W92" s="6">
        <f>IF(ISERROR(VLOOKUP($T$92,'TAR FIN'!$A$1:$O$86,15,0)),0,VLOOKUP($T$92,'TAR FIN'!$A$1:$O$86,15,0))</f>
        <v>71.260000000000005</v>
      </c>
      <c r="X92" s="6">
        <f>IF(ISERROR(VLOOKUP($U$92,'TAR FIN'!$A$1:$O$86,15,0)),0,VLOOKUP($U$92,'TAR FIN'!$A$1:$O$86,15,0))</f>
        <v>297.31</v>
      </c>
      <c r="Y92" s="6"/>
      <c r="Z92" s="6">
        <f ca="1">('TUSD BE'!$AM$12+'TUSD BF'!$AM$12+'TUSD CVA'!$AM$12)*1</f>
        <v>95.815448102611441</v>
      </c>
      <c r="AA92" s="6">
        <f>('TE BE'!$AB$6+'TE BF'!$AB$6+'TE CVA'!$AB$6)*1</f>
        <v>235.33989117487977</v>
      </c>
      <c r="AB92" s="6">
        <f t="shared" si="8"/>
        <v>0</v>
      </c>
      <c r="AC92" s="6">
        <f t="shared" si="9"/>
        <v>9555.5089630000002</v>
      </c>
      <c r="AD92" s="6">
        <f t="shared" si="10"/>
        <v>0</v>
      </c>
      <c r="AE92" s="6">
        <f t="shared" ca="1" si="11"/>
        <v>8585.5002105743079</v>
      </c>
      <c r="AF92" s="4" t="s">
        <v>650</v>
      </c>
    </row>
    <row r="93" spans="1:32" ht="11.25" customHeight="1" x14ac:dyDescent="0.25">
      <c r="A93" s="4" t="s">
        <v>21</v>
      </c>
      <c r="B93" s="4" t="s">
        <v>38</v>
      </c>
      <c r="C93" s="4" t="s">
        <v>39</v>
      </c>
      <c r="D93" s="4" t="s">
        <v>43</v>
      </c>
      <c r="E93" s="4" t="s">
        <v>52</v>
      </c>
      <c r="F93" s="4" t="s">
        <v>54</v>
      </c>
      <c r="G93" s="4" t="s">
        <v>25</v>
      </c>
      <c r="H93" s="4" t="s">
        <v>34</v>
      </c>
      <c r="I93" s="5">
        <v>44593</v>
      </c>
      <c r="J93" s="6">
        <v>0</v>
      </c>
      <c r="K93" s="6">
        <v>0</v>
      </c>
      <c r="L93" s="6">
        <v>32.451999999999998</v>
      </c>
      <c r="M93" s="6">
        <v>9.7355999999999998</v>
      </c>
      <c r="N93" s="6">
        <v>32.451999999999998</v>
      </c>
      <c r="O93" s="6">
        <v>9.7355999999999998</v>
      </c>
      <c r="P93" s="6">
        <v>0</v>
      </c>
      <c r="Q93" s="4" t="s">
        <v>26</v>
      </c>
      <c r="R93" s="4">
        <v>0</v>
      </c>
      <c r="S93" s="4">
        <v>0</v>
      </c>
      <c r="T93" s="4">
        <v>17</v>
      </c>
      <c r="U93" s="4">
        <v>78</v>
      </c>
      <c r="V93" s="6">
        <f>IF(ISERROR(VLOOKUP($S$93,'TAR FIN'!$A$1:$O$86,15,0)),0,VLOOKUP($S$93,'TAR FIN'!$A$1:$O$86,15,0))</f>
        <v>0</v>
      </c>
      <c r="W93" s="6">
        <f>IF(ISERROR(VLOOKUP($T$93,'TAR FIN'!$A$1:$O$86,15,0)),0,VLOOKUP($T$93,'TAR FIN'!$A$1:$O$86,15,0))</f>
        <v>71.260000000000005</v>
      </c>
      <c r="X93" s="6">
        <f>IF(ISERROR(VLOOKUP($U$93,'TAR FIN'!$A$1:$O$86,15,0)),0,VLOOKUP($U$93,'TAR FIN'!$A$1:$O$86,15,0))</f>
        <v>297.31</v>
      </c>
      <c r="Y93" s="6"/>
      <c r="Z93" s="6">
        <f ca="1">('TUSD BE'!$AM$12+'TUSD BF'!$AM$12+'TUSD CVA'!$AM$12)*1</f>
        <v>95.815448102611441</v>
      </c>
      <c r="AA93" s="6">
        <f>('TE BE'!$AB$6+'TE BF'!$AB$6+'TE CVA'!$AB$6)*1</f>
        <v>235.33989117487977</v>
      </c>
      <c r="AB93" s="6">
        <f t="shared" si="8"/>
        <v>0</v>
      </c>
      <c r="AC93" s="6">
        <f t="shared" si="9"/>
        <v>8372.5835480000005</v>
      </c>
      <c r="AD93" s="6">
        <f t="shared" si="10"/>
        <v>0</v>
      </c>
      <c r="AE93" s="6">
        <f t="shared" ca="1" si="11"/>
        <v>7522.6571491632012</v>
      </c>
      <c r="AF93" s="4" t="s">
        <v>650</v>
      </c>
    </row>
    <row r="94" spans="1:32" ht="11.25" customHeight="1" x14ac:dyDescent="0.25">
      <c r="A94" s="4" t="s">
        <v>21</v>
      </c>
      <c r="B94" s="4" t="s">
        <v>38</v>
      </c>
      <c r="C94" s="4" t="s">
        <v>39</v>
      </c>
      <c r="D94" s="4" t="s">
        <v>43</v>
      </c>
      <c r="E94" s="4" t="s">
        <v>52</v>
      </c>
      <c r="F94" s="4" t="s">
        <v>54</v>
      </c>
      <c r="G94" s="4" t="s">
        <v>25</v>
      </c>
      <c r="H94" s="4" t="s">
        <v>34</v>
      </c>
      <c r="I94" s="5">
        <v>44621</v>
      </c>
      <c r="J94" s="6">
        <v>0</v>
      </c>
      <c r="K94" s="6">
        <v>0</v>
      </c>
      <c r="L94" s="6">
        <v>0.38200000000000001</v>
      </c>
      <c r="M94" s="6">
        <v>0.11459999999999999</v>
      </c>
      <c r="N94" s="6">
        <v>0.38200000000000001</v>
      </c>
      <c r="O94" s="6">
        <v>0.11459999999999999</v>
      </c>
      <c r="P94" s="6">
        <v>0</v>
      </c>
      <c r="Q94" s="4" t="s">
        <v>26</v>
      </c>
      <c r="R94" s="4">
        <v>0</v>
      </c>
      <c r="S94" s="4">
        <v>0</v>
      </c>
      <c r="T94" s="4">
        <v>17</v>
      </c>
      <c r="U94" s="4">
        <v>78</v>
      </c>
      <c r="V94" s="6">
        <f>IF(ISERROR(VLOOKUP($S$94,'TAR FIN'!$A$1:$O$86,15,0)),0,VLOOKUP($S$94,'TAR FIN'!$A$1:$O$86,15,0))</f>
        <v>0</v>
      </c>
      <c r="W94" s="6">
        <f>IF(ISERROR(VLOOKUP($T$94,'TAR FIN'!$A$1:$O$86,15,0)),0,VLOOKUP($T$94,'TAR FIN'!$A$1:$O$86,15,0))</f>
        <v>71.260000000000005</v>
      </c>
      <c r="X94" s="6">
        <f>IF(ISERROR(VLOOKUP($U$94,'TAR FIN'!$A$1:$O$86,15,0)),0,VLOOKUP($U$94,'TAR FIN'!$A$1:$O$86,15,0))</f>
        <v>297.31</v>
      </c>
      <c r="Y94" s="6"/>
      <c r="Z94" s="6">
        <f ca="1">('TUSD BE'!$AM$12+'TUSD BF'!$AM$12+'TUSD CVA'!$AM$12)*1</f>
        <v>95.815448102611441</v>
      </c>
      <c r="AA94" s="6">
        <f>('TE BE'!$AB$6+'TE BF'!$AB$6+'TE CVA'!$AB$6)*1</f>
        <v>235.33989117487977</v>
      </c>
      <c r="AB94" s="6">
        <f t="shared" si="8"/>
        <v>0</v>
      </c>
      <c r="AC94" s="6">
        <f t="shared" si="9"/>
        <v>98.55561800000001</v>
      </c>
      <c r="AD94" s="6">
        <f t="shared" si="10"/>
        <v>0</v>
      </c>
      <c r="AE94" s="6">
        <f t="shared" ca="1" si="11"/>
        <v>88.550937722801166</v>
      </c>
      <c r="AF94" s="4" t="s">
        <v>650</v>
      </c>
    </row>
    <row r="95" spans="1:32" ht="11.25" customHeight="1" x14ac:dyDescent="0.25">
      <c r="A95" s="4" t="s">
        <v>21</v>
      </c>
      <c r="B95" s="4" t="s">
        <v>38</v>
      </c>
      <c r="C95" s="4" t="s">
        <v>39</v>
      </c>
      <c r="D95" s="4" t="s">
        <v>43</v>
      </c>
      <c r="E95" s="4" t="s">
        <v>52</v>
      </c>
      <c r="F95" s="4" t="s">
        <v>54</v>
      </c>
      <c r="G95" s="4" t="s">
        <v>25</v>
      </c>
      <c r="H95" s="4" t="s">
        <v>34</v>
      </c>
      <c r="I95" s="5">
        <v>44652</v>
      </c>
      <c r="J95" s="6">
        <v>0</v>
      </c>
      <c r="K95" s="6">
        <v>0</v>
      </c>
      <c r="L95" s="6">
        <v>1.601</v>
      </c>
      <c r="M95" s="6">
        <v>0.4803</v>
      </c>
      <c r="N95" s="6">
        <v>1.601</v>
      </c>
      <c r="O95" s="6">
        <v>0.4803</v>
      </c>
      <c r="P95" s="6">
        <v>0</v>
      </c>
      <c r="Q95" s="4" t="s">
        <v>26</v>
      </c>
      <c r="R95" s="4">
        <v>0</v>
      </c>
      <c r="S95" s="4">
        <v>0</v>
      </c>
      <c r="T95" s="4">
        <v>17</v>
      </c>
      <c r="U95" s="4">
        <v>78</v>
      </c>
      <c r="V95" s="6">
        <f>IF(ISERROR(VLOOKUP($S$95,'TAR FIN'!$A$1:$O$86,15,0)),0,VLOOKUP($S$95,'TAR FIN'!$A$1:$O$86,15,0))</f>
        <v>0</v>
      </c>
      <c r="W95" s="6">
        <f>IF(ISERROR(VLOOKUP($T$95,'TAR FIN'!$A$1:$O$86,15,0)),0,VLOOKUP($T$95,'TAR FIN'!$A$1:$O$86,15,0))</f>
        <v>71.260000000000005</v>
      </c>
      <c r="X95" s="6">
        <f>IF(ISERROR(VLOOKUP($U$95,'TAR FIN'!$A$1:$O$86,15,0)),0,VLOOKUP($U$95,'TAR FIN'!$A$1:$O$86,15,0))</f>
        <v>297.31</v>
      </c>
      <c r="Y95" s="6"/>
      <c r="Z95" s="6">
        <f ca="1">('TUSD BE'!$AM$12+'TUSD BF'!$AM$12+'TUSD CVA'!$AM$12)*1</f>
        <v>95.815448102611441</v>
      </c>
      <c r="AA95" s="6">
        <f>('TE BE'!$AB$6+'TE BF'!$AB$6+'TE CVA'!$AB$6)*1</f>
        <v>235.33989117487977</v>
      </c>
      <c r="AB95" s="6">
        <f t="shared" si="8"/>
        <v>0</v>
      </c>
      <c r="AC95" s="6">
        <f t="shared" si="9"/>
        <v>413.056399</v>
      </c>
      <c r="AD95" s="6">
        <f t="shared" si="10"/>
        <v>0</v>
      </c>
      <c r="AE95" s="6">
        <f t="shared" ca="1" si="11"/>
        <v>371.12578872828442</v>
      </c>
      <c r="AF95" s="4" t="s">
        <v>650</v>
      </c>
    </row>
    <row r="96" spans="1:32" ht="11.25" customHeight="1" x14ac:dyDescent="0.25">
      <c r="A96" s="4" t="s">
        <v>21</v>
      </c>
      <c r="B96" s="4" t="s">
        <v>38</v>
      </c>
      <c r="C96" s="4" t="s">
        <v>39</v>
      </c>
      <c r="D96" s="4" t="s">
        <v>43</v>
      </c>
      <c r="E96" s="4" t="s">
        <v>52</v>
      </c>
      <c r="F96" s="4" t="s">
        <v>54</v>
      </c>
      <c r="G96" s="4" t="s">
        <v>25</v>
      </c>
      <c r="H96" s="4" t="s">
        <v>34</v>
      </c>
      <c r="I96" s="5">
        <v>44682</v>
      </c>
      <c r="J96" s="6">
        <v>0</v>
      </c>
      <c r="K96" s="6">
        <v>0</v>
      </c>
      <c r="L96" s="6">
        <v>1.696</v>
      </c>
      <c r="M96" s="6">
        <v>0.50880000000000003</v>
      </c>
      <c r="N96" s="6">
        <v>1.696</v>
      </c>
      <c r="O96" s="6">
        <v>0.50880000000000003</v>
      </c>
      <c r="P96" s="6">
        <v>0</v>
      </c>
      <c r="Q96" s="4" t="s">
        <v>26</v>
      </c>
      <c r="R96" s="4">
        <v>0</v>
      </c>
      <c r="S96" s="4">
        <v>0</v>
      </c>
      <c r="T96" s="4">
        <v>17</v>
      </c>
      <c r="U96" s="4">
        <v>78</v>
      </c>
      <c r="V96" s="6">
        <f>IF(ISERROR(VLOOKUP($S$96,'TAR FIN'!$A$1:$O$86,15,0)),0,VLOOKUP($S$96,'TAR FIN'!$A$1:$O$86,15,0))</f>
        <v>0</v>
      </c>
      <c r="W96" s="6">
        <f>IF(ISERROR(VLOOKUP($T$96,'TAR FIN'!$A$1:$O$86,15,0)),0,VLOOKUP($T$96,'TAR FIN'!$A$1:$O$86,15,0))</f>
        <v>71.260000000000005</v>
      </c>
      <c r="X96" s="6">
        <f>IF(ISERROR(VLOOKUP($U$96,'TAR FIN'!$A$1:$O$86,15,0)),0,VLOOKUP($U$96,'TAR FIN'!$A$1:$O$86,15,0))</f>
        <v>297.31</v>
      </c>
      <c r="Y96" s="6"/>
      <c r="Z96" s="6">
        <f ca="1">('TUSD BE'!$AM$12+'TUSD BF'!$AM$12+'TUSD CVA'!$AM$12)*1</f>
        <v>95.815448102611441</v>
      </c>
      <c r="AA96" s="6">
        <f>('TE BE'!$AB$6+'TE BF'!$AB$6+'TE CVA'!$AB$6)*1</f>
        <v>235.33989117487977</v>
      </c>
      <c r="AB96" s="6">
        <f t="shared" si="8"/>
        <v>0</v>
      </c>
      <c r="AC96" s="6">
        <f t="shared" si="9"/>
        <v>437.56630399999995</v>
      </c>
      <c r="AD96" s="6">
        <f t="shared" si="10"/>
        <v>0</v>
      </c>
      <c r="AE96" s="6">
        <f t="shared" ca="1" si="11"/>
        <v>393.14761879023752</v>
      </c>
      <c r="AF96" s="4" t="s">
        <v>650</v>
      </c>
    </row>
    <row r="97" spans="1:32" ht="11.25" customHeight="1" x14ac:dyDescent="0.25">
      <c r="A97" s="4" t="s">
        <v>55</v>
      </c>
      <c r="B97" s="4" t="s">
        <v>38</v>
      </c>
      <c r="C97" s="4" t="s">
        <v>39</v>
      </c>
      <c r="D97" s="4" t="s">
        <v>43</v>
      </c>
      <c r="E97" s="4" t="s">
        <v>52</v>
      </c>
      <c r="F97" s="4" t="s">
        <v>54</v>
      </c>
      <c r="G97" s="4" t="s">
        <v>25</v>
      </c>
      <c r="H97" s="4" t="s">
        <v>34</v>
      </c>
      <c r="I97" s="5">
        <v>44713</v>
      </c>
      <c r="J97" s="6">
        <v>0</v>
      </c>
      <c r="K97" s="6">
        <v>0</v>
      </c>
      <c r="L97" s="6">
        <v>1.696</v>
      </c>
      <c r="M97" s="6">
        <v>0.50880000000000003</v>
      </c>
      <c r="N97" s="6">
        <v>1.696</v>
      </c>
      <c r="O97" s="6">
        <v>0.50880000000000003</v>
      </c>
      <c r="P97" s="6">
        <v>0</v>
      </c>
      <c r="Q97" s="4" t="s">
        <v>26</v>
      </c>
      <c r="R97" s="4">
        <v>0</v>
      </c>
      <c r="S97" s="4">
        <v>0</v>
      </c>
      <c r="T97" s="4">
        <v>17</v>
      </c>
      <c r="U97" s="4">
        <v>78</v>
      </c>
      <c r="V97" s="6">
        <f>IF(ISERROR(VLOOKUP($S$97,'TAR FIN'!$A$1:$O$86,15,0)),0,VLOOKUP($S$97,'TAR FIN'!$A$1:$O$86,15,0))</f>
        <v>0</v>
      </c>
      <c r="W97" s="6">
        <f>IF(ISERROR(VLOOKUP($T$97,'TAR FIN'!$A$1:$O$86,15,0)),0,VLOOKUP($T$97,'TAR FIN'!$A$1:$O$86,15,0))</f>
        <v>71.260000000000005</v>
      </c>
      <c r="X97" s="6">
        <f>IF(ISERROR(VLOOKUP($U$97,'TAR FIN'!$A$1:$O$86,15,0)),0,VLOOKUP($U$97,'TAR FIN'!$A$1:$O$86,15,0))</f>
        <v>297.31</v>
      </c>
      <c r="Y97" s="6"/>
      <c r="Z97" s="6">
        <f ca="1">('TUSD BE'!$AM$12+'TUSD BF'!$AM$12+'TUSD CVA'!$AM$12)*1</f>
        <v>95.815448102611441</v>
      </c>
      <c r="AA97" s="6">
        <f>('TE BE'!$AB$6+'TE BF'!$AB$6+'TE CVA'!$AB$6)*1</f>
        <v>235.33989117487977</v>
      </c>
      <c r="AB97" s="6">
        <f t="shared" si="8"/>
        <v>0</v>
      </c>
      <c r="AC97" s="6">
        <f t="shared" si="9"/>
        <v>437.56630399999995</v>
      </c>
      <c r="AD97" s="6">
        <f t="shared" si="10"/>
        <v>0</v>
      </c>
      <c r="AE97" s="6">
        <f t="shared" ca="1" si="11"/>
        <v>393.14761879023752</v>
      </c>
      <c r="AF97" s="4" t="s">
        <v>650</v>
      </c>
    </row>
    <row r="98" spans="1:32" ht="11.25" customHeight="1" x14ac:dyDescent="0.25">
      <c r="A98" s="4" t="s">
        <v>21</v>
      </c>
      <c r="B98" s="4" t="s">
        <v>38</v>
      </c>
      <c r="C98" s="4" t="s">
        <v>39</v>
      </c>
      <c r="D98" s="4" t="s">
        <v>43</v>
      </c>
      <c r="E98" s="4" t="s">
        <v>52</v>
      </c>
      <c r="F98" s="4" t="s">
        <v>25</v>
      </c>
      <c r="G98" s="4" t="s">
        <v>25</v>
      </c>
      <c r="H98" s="4" t="s">
        <v>34</v>
      </c>
      <c r="I98" s="5">
        <v>44378</v>
      </c>
      <c r="J98" s="6">
        <v>0</v>
      </c>
      <c r="K98" s="96">
        <v>0</v>
      </c>
      <c r="L98" s="6">
        <v>4.133</v>
      </c>
      <c r="M98" s="96">
        <v>4.133</v>
      </c>
      <c r="N98" s="6">
        <v>4.133</v>
      </c>
      <c r="O98" s="96">
        <v>4.133</v>
      </c>
      <c r="P98" s="6">
        <v>0</v>
      </c>
      <c r="Q98" s="4" t="s">
        <v>26</v>
      </c>
      <c r="R98" s="4">
        <v>0</v>
      </c>
      <c r="S98" s="4">
        <v>0</v>
      </c>
      <c r="T98" s="4">
        <v>17</v>
      </c>
      <c r="U98" s="4">
        <v>78</v>
      </c>
      <c r="V98" s="96">
        <f>IF(ISERROR(VLOOKUP($S$98,'TAR FIN'!$A$1:$O$86,15,0)),0,VLOOKUP($S$98,'TAR FIN'!$A$1:$O$86,15,0))</f>
        <v>0</v>
      </c>
      <c r="W98" s="96">
        <f>IF(ISERROR(VLOOKUP($T$98,'TAR FIN'!$A$1:$O$86,15,0)),0,VLOOKUP($T$98,'TAR FIN'!$A$1:$O$86,15,0))*(1-0.04)</f>
        <v>68.409599999999998</v>
      </c>
      <c r="X98" s="96">
        <f>IF(ISERROR(VLOOKUP($U$98,'TAR FIN'!$A$1:$O$86,15,0)),0,VLOOKUP($U$98,'TAR FIN'!$A$1:$O$86,15,0))*(1-0.04)</f>
        <v>285.41759999999999</v>
      </c>
      <c r="Y98" s="96"/>
      <c r="Z98" s="96">
        <f ca="1">('TUSD BE'!$AM$12+'TUSD BF'!$AM$12+'TUSD CVA'!$AM$12)*1*(1-0.02)</f>
        <v>93.899139140559214</v>
      </c>
      <c r="AA98" s="96">
        <f>('TE BE'!$AB$6+'TE BF'!$AB$6+'TE CVA'!$AB$6)*1*(1-0.02)</f>
        <v>230.63309335138217</v>
      </c>
      <c r="AB98" s="96">
        <f>(SUBSIDIO!$J$98*SUBSIDIO!$V$98)*(0.04)/(1-0.04)</f>
        <v>0</v>
      </c>
      <c r="AC98" s="96">
        <f>((SUBSIDIO!$L$98*SUBSIDIO!$W$98)+(SUBSIDIO!$N$98*SUBSIDIO!$X$98))*(0.04)/(1-0.04)</f>
        <v>60.931992399999999</v>
      </c>
      <c r="AD98" s="96">
        <f>(SUBSIDIO!$J$98*SUBSIDIO!$Y$98)*(0.02)/(1-0.02)</f>
        <v>0</v>
      </c>
      <c r="AE98" s="96">
        <f ca="1">((SUBSIDIO!$L$98*SUBSIDIO!$Z$98)+(SUBSIDIO!$N$98*SUBSIDIO!$AA$98))*(0.02)/(1-0.02)</f>
        <v>27.373300344677428</v>
      </c>
      <c r="AF98" s="4" t="s">
        <v>649</v>
      </c>
    </row>
    <row r="99" spans="1:32" ht="11.25" customHeight="1" x14ac:dyDescent="0.25">
      <c r="A99" s="4" t="s">
        <v>21</v>
      </c>
      <c r="B99" s="4" t="s">
        <v>38</v>
      </c>
      <c r="C99" s="4" t="s">
        <v>39</v>
      </c>
      <c r="D99" s="4" t="s">
        <v>43</v>
      </c>
      <c r="E99" s="4" t="s">
        <v>52</v>
      </c>
      <c r="F99" s="4" t="s">
        <v>25</v>
      </c>
      <c r="G99" s="4" t="s">
        <v>25</v>
      </c>
      <c r="H99" s="4" t="s">
        <v>34</v>
      </c>
      <c r="I99" s="5">
        <v>44409</v>
      </c>
      <c r="J99" s="6">
        <v>0</v>
      </c>
      <c r="K99" s="96">
        <v>0</v>
      </c>
      <c r="L99" s="6">
        <v>1.1839999999999999</v>
      </c>
      <c r="M99" s="96">
        <v>1.1839999999999999</v>
      </c>
      <c r="N99" s="6">
        <v>1.1839999999999999</v>
      </c>
      <c r="O99" s="96">
        <v>1.1839999999999999</v>
      </c>
      <c r="P99" s="6">
        <v>0</v>
      </c>
      <c r="Q99" s="4" t="s">
        <v>26</v>
      </c>
      <c r="R99" s="4">
        <v>0</v>
      </c>
      <c r="S99" s="4">
        <v>0</v>
      </c>
      <c r="T99" s="4">
        <v>17</v>
      </c>
      <c r="U99" s="4">
        <v>78</v>
      </c>
      <c r="V99" s="96">
        <f>IF(ISERROR(VLOOKUP($S$99,'TAR FIN'!$A$1:$O$86,15,0)),0,VLOOKUP($S$99,'TAR FIN'!$A$1:$O$86,15,0))</f>
        <v>0</v>
      </c>
      <c r="W99" s="96">
        <f>IF(ISERROR(VLOOKUP($T$99,'TAR FIN'!$A$1:$O$86,15,0)),0,VLOOKUP($T$99,'TAR FIN'!$A$1:$O$86,15,0))*(1-0.04)</f>
        <v>68.409599999999998</v>
      </c>
      <c r="X99" s="96">
        <f>IF(ISERROR(VLOOKUP($U$99,'TAR FIN'!$A$1:$O$86,15,0)),0,VLOOKUP($U$99,'TAR FIN'!$A$1:$O$86,15,0))*(1-0.04)</f>
        <v>285.41759999999999</v>
      </c>
      <c r="Y99" s="96"/>
      <c r="Z99" s="96">
        <f ca="1">('TUSD BE'!$AM$12+'TUSD BF'!$AM$12+'TUSD CVA'!$AM$12)*1*(1-0.02)</f>
        <v>93.899139140559214</v>
      </c>
      <c r="AA99" s="96">
        <f>('TE BE'!$AB$6+'TE BF'!$AB$6+'TE CVA'!$AB$6)*1*(1-0.02)</f>
        <v>230.63309335138217</v>
      </c>
      <c r="AB99" s="96">
        <f>(SUBSIDIO!$J$99*SUBSIDIO!$V$99)*(0.04)/(1-0.04)</f>
        <v>0</v>
      </c>
      <c r="AC99" s="96">
        <f>((SUBSIDIO!$L$99*SUBSIDIO!$W$99)+(SUBSIDIO!$N$99*SUBSIDIO!$X$99))*(0.04)/(1-0.04)</f>
        <v>17.455475200000002</v>
      </c>
      <c r="AD99" s="96">
        <f>(SUBSIDIO!$J$99*SUBSIDIO!$Y$99)*(0.02)/(1-0.02)</f>
        <v>0</v>
      </c>
      <c r="AE99" s="96">
        <f ca="1">((SUBSIDIO!$L$99*SUBSIDIO!$Z$99)+(SUBSIDIO!$N$99*SUBSIDIO!$AA$99))*(0.02)/(1-0.02)</f>
        <v>7.841758434090992</v>
      </c>
      <c r="AF99" s="4" t="s">
        <v>649</v>
      </c>
    </row>
    <row r="100" spans="1:32" ht="11.25" customHeight="1" x14ac:dyDescent="0.25">
      <c r="A100" s="4" t="s">
        <v>21</v>
      </c>
      <c r="B100" s="4" t="s">
        <v>38</v>
      </c>
      <c r="C100" s="4" t="s">
        <v>39</v>
      </c>
      <c r="D100" s="4" t="s">
        <v>43</v>
      </c>
      <c r="E100" s="4" t="s">
        <v>52</v>
      </c>
      <c r="F100" s="4" t="s">
        <v>25</v>
      </c>
      <c r="G100" s="4" t="s">
        <v>25</v>
      </c>
      <c r="H100" s="4" t="s">
        <v>34</v>
      </c>
      <c r="I100" s="5">
        <v>44440</v>
      </c>
      <c r="J100" s="6">
        <v>0</v>
      </c>
      <c r="K100" s="96">
        <v>0</v>
      </c>
      <c r="L100" s="6">
        <v>5.3810000000000002</v>
      </c>
      <c r="M100" s="96">
        <v>5.3810000000000002</v>
      </c>
      <c r="N100" s="6">
        <v>5.3810000000000002</v>
      </c>
      <c r="O100" s="96">
        <v>5.3810000000000002</v>
      </c>
      <c r="P100" s="6">
        <v>0</v>
      </c>
      <c r="Q100" s="4" t="s">
        <v>26</v>
      </c>
      <c r="R100" s="4">
        <v>0</v>
      </c>
      <c r="S100" s="4">
        <v>0</v>
      </c>
      <c r="T100" s="4">
        <v>17</v>
      </c>
      <c r="U100" s="4">
        <v>78</v>
      </c>
      <c r="V100" s="96">
        <f>IF(ISERROR(VLOOKUP($S$100,'TAR FIN'!$A$1:$O$86,15,0)),0,VLOOKUP($S$100,'TAR FIN'!$A$1:$O$86,15,0))</f>
        <v>0</v>
      </c>
      <c r="W100" s="96">
        <f>IF(ISERROR(VLOOKUP($T$100,'TAR FIN'!$A$1:$O$86,15,0)),0,VLOOKUP($T$100,'TAR FIN'!$A$1:$O$86,15,0))*(1-0.04)</f>
        <v>68.409599999999998</v>
      </c>
      <c r="X100" s="96">
        <f>IF(ISERROR(VLOOKUP($U$100,'TAR FIN'!$A$1:$O$86,15,0)),0,VLOOKUP($U$100,'TAR FIN'!$A$1:$O$86,15,0))*(1-0.04)</f>
        <v>285.41759999999999</v>
      </c>
      <c r="Y100" s="96"/>
      <c r="Z100" s="96">
        <f ca="1">('TUSD BE'!$AM$12+'TUSD BF'!$AM$12+'TUSD CVA'!$AM$12)*1*(1-0.02)</f>
        <v>93.899139140559214</v>
      </c>
      <c r="AA100" s="96">
        <f>('TE BE'!$AB$6+'TE BF'!$AB$6+'TE CVA'!$AB$6)*1*(1-0.02)</f>
        <v>230.63309335138217</v>
      </c>
      <c r="AB100" s="96">
        <f>(SUBSIDIO!$J$100*SUBSIDIO!$V$100)*(0.04)/(1-0.04)</f>
        <v>0</v>
      </c>
      <c r="AC100" s="96">
        <f>((SUBSIDIO!$L$100*SUBSIDIO!$W$100)+(SUBSIDIO!$N$100*SUBSIDIO!$X$100))*(0.04)/(1-0.04)</f>
        <v>79.331006800000011</v>
      </c>
      <c r="AD100" s="96">
        <f>(SUBSIDIO!$J$100*SUBSIDIO!$Y$100)*(0.02)/(1-0.02)</f>
        <v>0</v>
      </c>
      <c r="AE100" s="96">
        <f ca="1">((SUBSIDIO!$L$100*SUBSIDIO!$Z$100)+(SUBSIDIO!$N$100*SUBSIDIO!$AA$100))*(0.02)/(1-0.02)</f>
        <v>35.638937613043609</v>
      </c>
      <c r="AF100" s="4" t="s">
        <v>649</v>
      </c>
    </row>
    <row r="101" spans="1:32" ht="11.25" customHeight="1" x14ac:dyDescent="0.25">
      <c r="A101" s="4" t="s">
        <v>21</v>
      </c>
      <c r="B101" s="4" t="s">
        <v>38</v>
      </c>
      <c r="C101" s="4" t="s">
        <v>39</v>
      </c>
      <c r="D101" s="4" t="s">
        <v>43</v>
      </c>
      <c r="E101" s="4" t="s">
        <v>52</v>
      </c>
      <c r="F101" s="4" t="s">
        <v>25</v>
      </c>
      <c r="G101" s="4" t="s">
        <v>25</v>
      </c>
      <c r="H101" s="4" t="s">
        <v>34</v>
      </c>
      <c r="I101" s="5">
        <v>44470</v>
      </c>
      <c r="J101" s="6">
        <v>0</v>
      </c>
      <c r="K101" s="96">
        <v>0</v>
      </c>
      <c r="L101" s="6">
        <v>6.93</v>
      </c>
      <c r="M101" s="96">
        <v>6.93</v>
      </c>
      <c r="N101" s="6">
        <v>6.93</v>
      </c>
      <c r="O101" s="96">
        <v>6.93</v>
      </c>
      <c r="P101" s="6">
        <v>0</v>
      </c>
      <c r="Q101" s="4" t="s">
        <v>26</v>
      </c>
      <c r="R101" s="4">
        <v>0</v>
      </c>
      <c r="S101" s="4">
        <v>0</v>
      </c>
      <c r="T101" s="4">
        <v>17</v>
      </c>
      <c r="U101" s="4">
        <v>78</v>
      </c>
      <c r="V101" s="96">
        <f>IF(ISERROR(VLOOKUP($S$101,'TAR FIN'!$A$1:$O$86,15,0)),0,VLOOKUP($S$101,'TAR FIN'!$A$1:$O$86,15,0))</f>
        <v>0</v>
      </c>
      <c r="W101" s="96">
        <f>IF(ISERROR(VLOOKUP($T$101,'TAR FIN'!$A$1:$O$86,15,0)),0,VLOOKUP($T$101,'TAR FIN'!$A$1:$O$86,15,0))*(1-0.04)</f>
        <v>68.409599999999998</v>
      </c>
      <c r="X101" s="96">
        <f>IF(ISERROR(VLOOKUP($U$101,'TAR FIN'!$A$1:$O$86,15,0)),0,VLOOKUP($U$101,'TAR FIN'!$A$1:$O$86,15,0))*(1-0.04)</f>
        <v>285.41759999999999</v>
      </c>
      <c r="Y101" s="96"/>
      <c r="Z101" s="96">
        <f ca="1">('TUSD BE'!$AM$12+'TUSD BF'!$AM$12+'TUSD CVA'!$AM$12)*1*(1-0.02)</f>
        <v>93.899139140559214</v>
      </c>
      <c r="AA101" s="96">
        <f>('TE BE'!$AB$6+'TE BF'!$AB$6+'TE CVA'!$AB$6)*1*(1-0.02)</f>
        <v>230.63309335138217</v>
      </c>
      <c r="AB101" s="96">
        <f>(SUBSIDIO!$J$101*SUBSIDIO!$V$101)*(0.04)/(1-0.04)</f>
        <v>0</v>
      </c>
      <c r="AC101" s="96">
        <f>((SUBSIDIO!$L$101*SUBSIDIO!$W$101)+(SUBSIDIO!$N$101*SUBSIDIO!$X$101))*(0.04)/(1-0.04)</f>
        <v>102.16760399999998</v>
      </c>
      <c r="AD101" s="96">
        <f>(SUBSIDIO!$J$101*SUBSIDIO!$Y$101)*(0.02)/(1-0.02)</f>
        <v>0</v>
      </c>
      <c r="AE101" s="96">
        <f ca="1">((SUBSIDIO!$L$101*SUBSIDIO!$Z$101)+(SUBSIDIO!$N$101*SUBSIDIO!$AA$101))*(0.02)/(1-0.02)</f>
        <v>45.898130023860276</v>
      </c>
      <c r="AF101" s="4" t="s">
        <v>649</v>
      </c>
    </row>
    <row r="102" spans="1:32" ht="11.25" customHeight="1" x14ac:dyDescent="0.25">
      <c r="A102" s="4" t="s">
        <v>21</v>
      </c>
      <c r="B102" s="4" t="s">
        <v>38</v>
      </c>
      <c r="C102" s="4" t="s">
        <v>39</v>
      </c>
      <c r="D102" s="4" t="s">
        <v>43</v>
      </c>
      <c r="E102" s="4" t="s">
        <v>52</v>
      </c>
      <c r="F102" s="4" t="s">
        <v>25</v>
      </c>
      <c r="G102" s="4" t="s">
        <v>25</v>
      </c>
      <c r="H102" s="4" t="s">
        <v>34</v>
      </c>
      <c r="I102" s="5">
        <v>44501</v>
      </c>
      <c r="J102" s="6">
        <v>0</v>
      </c>
      <c r="K102" s="96">
        <v>0</v>
      </c>
      <c r="L102" s="6">
        <v>35.174999999999997</v>
      </c>
      <c r="M102" s="96">
        <v>35.174999999999997</v>
      </c>
      <c r="N102" s="6">
        <v>35.174999999999997</v>
      </c>
      <c r="O102" s="96">
        <v>35.174999999999997</v>
      </c>
      <c r="P102" s="6">
        <v>0</v>
      </c>
      <c r="Q102" s="4" t="s">
        <v>26</v>
      </c>
      <c r="R102" s="4">
        <v>0</v>
      </c>
      <c r="S102" s="4">
        <v>0</v>
      </c>
      <c r="T102" s="4">
        <v>17</v>
      </c>
      <c r="U102" s="4">
        <v>78</v>
      </c>
      <c r="V102" s="96">
        <f>IF(ISERROR(VLOOKUP($S$102,'TAR FIN'!$A$1:$O$86,15,0)),0,VLOOKUP($S$102,'TAR FIN'!$A$1:$O$86,15,0))</f>
        <v>0</v>
      </c>
      <c r="W102" s="96">
        <f>IF(ISERROR(VLOOKUP($T$102,'TAR FIN'!$A$1:$O$86,15,0)),0,VLOOKUP($T$102,'TAR FIN'!$A$1:$O$86,15,0))*(1-0.04)</f>
        <v>68.409599999999998</v>
      </c>
      <c r="X102" s="96">
        <f>IF(ISERROR(VLOOKUP($U$102,'TAR FIN'!$A$1:$O$86,15,0)),0,VLOOKUP($U$102,'TAR FIN'!$A$1:$O$86,15,0))*(1-0.04)</f>
        <v>285.41759999999999</v>
      </c>
      <c r="Y102" s="96"/>
      <c r="Z102" s="96">
        <f ca="1">('TUSD BE'!$AM$12+'TUSD BF'!$AM$12+'TUSD CVA'!$AM$12)*1*(1-0.02)</f>
        <v>93.899139140559214</v>
      </c>
      <c r="AA102" s="96">
        <f>('TE BE'!$AB$6+'TE BF'!$AB$6+'TE CVA'!$AB$6)*1*(1-0.02)</f>
        <v>230.63309335138217</v>
      </c>
      <c r="AB102" s="96">
        <f>(SUBSIDIO!$J$102*SUBSIDIO!$V$102)*(0.04)/(1-0.04)</f>
        <v>0</v>
      </c>
      <c r="AC102" s="96">
        <f>((SUBSIDIO!$L$102*SUBSIDIO!$W$102)+(SUBSIDIO!$N$102*SUBSIDIO!$X$102))*(0.04)/(1-0.04)</f>
        <v>518.57799</v>
      </c>
      <c r="AD102" s="96">
        <f>(SUBSIDIO!$J$102*SUBSIDIO!$Y$102)*(0.02)/(1-0.02)</f>
        <v>0</v>
      </c>
      <c r="AE102" s="96">
        <f ca="1">((SUBSIDIO!$L$102*SUBSIDIO!$Z$102)+(SUBSIDIO!$N$102*SUBSIDIO!$AA$102))*(0.02)/(1-0.02)</f>
        <v>232.96778118171505</v>
      </c>
      <c r="AF102" s="4" t="s">
        <v>649</v>
      </c>
    </row>
    <row r="103" spans="1:32" ht="11.25" customHeight="1" x14ac:dyDescent="0.25">
      <c r="A103" s="4" t="s">
        <v>21</v>
      </c>
      <c r="B103" s="4" t="s">
        <v>38</v>
      </c>
      <c r="C103" s="4" t="s">
        <v>39</v>
      </c>
      <c r="D103" s="4" t="s">
        <v>43</v>
      </c>
      <c r="E103" s="4" t="s">
        <v>52</v>
      </c>
      <c r="F103" s="4" t="s">
        <v>25</v>
      </c>
      <c r="G103" s="4" t="s">
        <v>25</v>
      </c>
      <c r="H103" s="4" t="s">
        <v>34</v>
      </c>
      <c r="I103" s="5">
        <v>44531</v>
      </c>
      <c r="J103" s="6">
        <v>0</v>
      </c>
      <c r="K103" s="96">
        <v>0</v>
      </c>
      <c r="L103" s="6">
        <v>59.996000000000002</v>
      </c>
      <c r="M103" s="96">
        <v>59.996000000000002</v>
      </c>
      <c r="N103" s="6">
        <v>59.996000000000002</v>
      </c>
      <c r="O103" s="96">
        <v>59.996000000000002</v>
      </c>
      <c r="P103" s="6">
        <v>0</v>
      </c>
      <c r="Q103" s="4" t="s">
        <v>26</v>
      </c>
      <c r="R103" s="4">
        <v>0</v>
      </c>
      <c r="S103" s="4">
        <v>0</v>
      </c>
      <c r="T103" s="4">
        <v>17</v>
      </c>
      <c r="U103" s="4">
        <v>78</v>
      </c>
      <c r="V103" s="96">
        <f>IF(ISERROR(VLOOKUP($S$103,'TAR FIN'!$A$1:$O$86,15,0)),0,VLOOKUP($S$103,'TAR FIN'!$A$1:$O$86,15,0))</f>
        <v>0</v>
      </c>
      <c r="W103" s="96">
        <f>IF(ISERROR(VLOOKUP($T$103,'TAR FIN'!$A$1:$O$86,15,0)),0,VLOOKUP($T$103,'TAR FIN'!$A$1:$O$86,15,0))*(1-0.04)</f>
        <v>68.409599999999998</v>
      </c>
      <c r="X103" s="96">
        <f>IF(ISERROR(VLOOKUP($U$103,'TAR FIN'!$A$1:$O$86,15,0)),0,VLOOKUP($U$103,'TAR FIN'!$A$1:$O$86,15,0))*(1-0.04)</f>
        <v>285.41759999999999</v>
      </c>
      <c r="Y103" s="96"/>
      <c r="Z103" s="96">
        <f ca="1">('TUSD BE'!$AM$12+'TUSD BF'!$AM$12+'TUSD CVA'!$AM$12)*1*(1-0.02)</f>
        <v>93.899139140559214</v>
      </c>
      <c r="AA103" s="96">
        <f>('TE BE'!$AB$6+'TE BF'!$AB$6+'TE CVA'!$AB$6)*1*(1-0.02)</f>
        <v>230.63309335138217</v>
      </c>
      <c r="AB103" s="96">
        <f>(SUBSIDIO!$J$103*SUBSIDIO!$V$103)*(0.04)/(1-0.04)</f>
        <v>0</v>
      </c>
      <c r="AC103" s="96">
        <f>((SUBSIDIO!$L$103*SUBSIDIO!$W$103)+(SUBSIDIO!$N$103*SUBSIDIO!$X$103))*(0.04)/(1-0.04)</f>
        <v>884.50902880000001</v>
      </c>
      <c r="AD103" s="96">
        <f>(SUBSIDIO!$J$103*SUBSIDIO!$Y$103)*(0.02)/(1-0.02)</f>
        <v>0</v>
      </c>
      <c r="AE103" s="96">
        <f ca="1">((SUBSIDIO!$L$103*SUBSIDIO!$Z$103)+(SUBSIDIO!$N$103*SUBSIDIO!$AA$103))*(0.02)/(1-0.02)</f>
        <v>397.3599147058473</v>
      </c>
      <c r="AF103" s="4" t="s">
        <v>649</v>
      </c>
    </row>
    <row r="104" spans="1:32" ht="11.25" customHeight="1" x14ac:dyDescent="0.25">
      <c r="A104" s="4" t="s">
        <v>21</v>
      </c>
      <c r="B104" s="4" t="s">
        <v>38</v>
      </c>
      <c r="C104" s="4" t="s">
        <v>39</v>
      </c>
      <c r="D104" s="4" t="s">
        <v>43</v>
      </c>
      <c r="E104" s="4" t="s">
        <v>52</v>
      </c>
      <c r="F104" s="4" t="s">
        <v>25</v>
      </c>
      <c r="G104" s="4" t="s">
        <v>25</v>
      </c>
      <c r="H104" s="4" t="s">
        <v>34</v>
      </c>
      <c r="I104" s="5">
        <v>44562</v>
      </c>
      <c r="J104" s="6">
        <v>0</v>
      </c>
      <c r="K104" s="96">
        <v>0</v>
      </c>
      <c r="L104" s="6">
        <v>56.631</v>
      </c>
      <c r="M104" s="96">
        <v>56.631</v>
      </c>
      <c r="N104" s="6">
        <v>56.631</v>
      </c>
      <c r="O104" s="96">
        <v>56.631</v>
      </c>
      <c r="P104" s="6">
        <v>0</v>
      </c>
      <c r="Q104" s="4" t="s">
        <v>26</v>
      </c>
      <c r="R104" s="4">
        <v>0</v>
      </c>
      <c r="S104" s="4">
        <v>0</v>
      </c>
      <c r="T104" s="4">
        <v>17</v>
      </c>
      <c r="U104" s="4">
        <v>78</v>
      </c>
      <c r="V104" s="96">
        <f>IF(ISERROR(VLOOKUP($S$104,'TAR FIN'!$A$1:$O$86,15,0)),0,VLOOKUP($S$104,'TAR FIN'!$A$1:$O$86,15,0))</f>
        <v>0</v>
      </c>
      <c r="W104" s="96">
        <f>IF(ISERROR(VLOOKUP($T$104,'TAR FIN'!$A$1:$O$86,15,0)),0,VLOOKUP($T$104,'TAR FIN'!$A$1:$O$86,15,0))*(1-0.04)</f>
        <v>68.409599999999998</v>
      </c>
      <c r="X104" s="96">
        <f>IF(ISERROR(VLOOKUP($U$104,'TAR FIN'!$A$1:$O$86,15,0)),0,VLOOKUP($U$104,'TAR FIN'!$A$1:$O$86,15,0))*(1-0.04)</f>
        <v>285.41759999999999</v>
      </c>
      <c r="Y104" s="96"/>
      <c r="Z104" s="96">
        <f ca="1">('TUSD BE'!$AM$12+'TUSD BF'!$AM$12+'TUSD CVA'!$AM$12)*1*(1-0.02)</f>
        <v>93.899139140559214</v>
      </c>
      <c r="AA104" s="96">
        <f>('TE BE'!$AB$6+'TE BF'!$AB$6+'TE CVA'!$AB$6)*1*(1-0.02)</f>
        <v>230.63309335138217</v>
      </c>
      <c r="AB104" s="96">
        <f>(SUBSIDIO!$J$104*SUBSIDIO!$V$104)*(0.04)/(1-0.04)</f>
        <v>0</v>
      </c>
      <c r="AC104" s="96">
        <f>((SUBSIDIO!$L$104*SUBSIDIO!$W$104)+(SUBSIDIO!$N$104*SUBSIDIO!$X$104))*(0.04)/(1-0.04)</f>
        <v>834.89950680000015</v>
      </c>
      <c r="AD104" s="96">
        <f>(SUBSIDIO!$J$104*SUBSIDIO!$Y$104)*(0.02)/(1-0.02)</f>
        <v>0</v>
      </c>
      <c r="AE104" s="96">
        <f ca="1">((SUBSIDIO!$L$104*SUBSIDIO!$Z$104)+(SUBSIDIO!$N$104*SUBSIDIO!$AA$104))*(0.02)/(1-0.02)</f>
        <v>375.07316037247205</v>
      </c>
      <c r="AF104" s="4" t="s">
        <v>649</v>
      </c>
    </row>
    <row r="105" spans="1:32" ht="11.25" customHeight="1" x14ac:dyDescent="0.25">
      <c r="A105" s="4" t="s">
        <v>21</v>
      </c>
      <c r="B105" s="4" t="s">
        <v>38</v>
      </c>
      <c r="C105" s="4" t="s">
        <v>39</v>
      </c>
      <c r="D105" s="4" t="s">
        <v>43</v>
      </c>
      <c r="E105" s="4" t="s">
        <v>52</v>
      </c>
      <c r="F105" s="4" t="s">
        <v>25</v>
      </c>
      <c r="G105" s="4" t="s">
        <v>25</v>
      </c>
      <c r="H105" s="4" t="s">
        <v>34</v>
      </c>
      <c r="I105" s="5">
        <v>44593</v>
      </c>
      <c r="J105" s="6">
        <v>0</v>
      </c>
      <c r="K105" s="96">
        <v>0</v>
      </c>
      <c r="L105" s="6">
        <v>30.75</v>
      </c>
      <c r="M105" s="96">
        <v>30.75</v>
      </c>
      <c r="N105" s="6">
        <v>30.75</v>
      </c>
      <c r="O105" s="96">
        <v>30.75</v>
      </c>
      <c r="P105" s="6">
        <v>0</v>
      </c>
      <c r="Q105" s="4" t="s">
        <v>26</v>
      </c>
      <c r="R105" s="4">
        <v>0</v>
      </c>
      <c r="S105" s="4">
        <v>0</v>
      </c>
      <c r="T105" s="4">
        <v>17</v>
      </c>
      <c r="U105" s="4">
        <v>78</v>
      </c>
      <c r="V105" s="96">
        <f>IF(ISERROR(VLOOKUP($S$105,'TAR FIN'!$A$1:$O$86,15,0)),0,VLOOKUP($S$105,'TAR FIN'!$A$1:$O$86,15,0))</f>
        <v>0</v>
      </c>
      <c r="W105" s="96">
        <f>IF(ISERROR(VLOOKUP($T$105,'TAR FIN'!$A$1:$O$86,15,0)),0,VLOOKUP($T$105,'TAR FIN'!$A$1:$O$86,15,0))*(1-0.04)</f>
        <v>68.409599999999998</v>
      </c>
      <c r="X105" s="96">
        <f>IF(ISERROR(VLOOKUP($U$105,'TAR FIN'!$A$1:$O$86,15,0)),0,VLOOKUP($U$105,'TAR FIN'!$A$1:$O$86,15,0))*(1-0.04)</f>
        <v>285.41759999999999</v>
      </c>
      <c r="Y105" s="96"/>
      <c r="Z105" s="96">
        <f ca="1">('TUSD BE'!$AM$12+'TUSD BF'!$AM$12+'TUSD CVA'!$AM$12)*1*(1-0.02)</f>
        <v>93.899139140559214</v>
      </c>
      <c r="AA105" s="96">
        <f>('TE BE'!$AB$6+'TE BF'!$AB$6+'TE CVA'!$AB$6)*1*(1-0.02)</f>
        <v>230.63309335138217</v>
      </c>
      <c r="AB105" s="96">
        <f>(SUBSIDIO!$J$105*SUBSIDIO!$V$105)*(0.04)/(1-0.04)</f>
        <v>0</v>
      </c>
      <c r="AC105" s="96">
        <f>((SUBSIDIO!$L$105*SUBSIDIO!$W$105)+(SUBSIDIO!$N$105*SUBSIDIO!$X$105))*(0.04)/(1-0.04)</f>
        <v>453.34109999999998</v>
      </c>
      <c r="AD105" s="96">
        <f>(SUBSIDIO!$J$105*SUBSIDIO!$Y$105)*(0.02)/(1-0.02)</f>
        <v>0</v>
      </c>
      <c r="AE105" s="96">
        <f ca="1">((SUBSIDIO!$L$105*SUBSIDIO!$Z$105)+(SUBSIDIO!$N$105*SUBSIDIO!$AA$105))*(0.02)/(1-0.02)</f>
        <v>203.6605336556571</v>
      </c>
      <c r="AF105" s="4" t="s">
        <v>649</v>
      </c>
    </row>
    <row r="106" spans="1:32" ht="11.25" customHeight="1" x14ac:dyDescent="0.25">
      <c r="A106" s="4" t="s">
        <v>21</v>
      </c>
      <c r="B106" s="4" t="s">
        <v>38</v>
      </c>
      <c r="C106" s="4" t="s">
        <v>39</v>
      </c>
      <c r="D106" s="4" t="s">
        <v>43</v>
      </c>
      <c r="E106" s="4" t="s">
        <v>52</v>
      </c>
      <c r="F106" s="4" t="s">
        <v>25</v>
      </c>
      <c r="G106" s="4" t="s">
        <v>25</v>
      </c>
      <c r="H106" s="4" t="s">
        <v>34</v>
      </c>
      <c r="I106" s="5">
        <v>44621</v>
      </c>
      <c r="J106" s="6">
        <v>0</v>
      </c>
      <c r="K106" s="96">
        <v>0</v>
      </c>
      <c r="L106" s="6">
        <v>0.42399999999999999</v>
      </c>
      <c r="M106" s="96">
        <v>0.42399999999999999</v>
      </c>
      <c r="N106" s="6">
        <v>0.42399999999999999</v>
      </c>
      <c r="O106" s="96">
        <v>0.42399999999999999</v>
      </c>
      <c r="P106" s="6">
        <v>0</v>
      </c>
      <c r="Q106" s="4" t="s">
        <v>26</v>
      </c>
      <c r="R106" s="4">
        <v>0</v>
      </c>
      <c r="S106" s="4">
        <v>0</v>
      </c>
      <c r="T106" s="4">
        <v>17</v>
      </c>
      <c r="U106" s="4">
        <v>78</v>
      </c>
      <c r="V106" s="96">
        <f>IF(ISERROR(VLOOKUP($S$106,'TAR FIN'!$A$1:$O$86,15,0)),0,VLOOKUP($S$106,'TAR FIN'!$A$1:$O$86,15,0))</f>
        <v>0</v>
      </c>
      <c r="W106" s="96">
        <f>IF(ISERROR(VLOOKUP($T$106,'TAR FIN'!$A$1:$O$86,15,0)),0,VLOOKUP($T$106,'TAR FIN'!$A$1:$O$86,15,0))*(1-0.04)</f>
        <v>68.409599999999998</v>
      </c>
      <c r="X106" s="96">
        <f>IF(ISERROR(VLOOKUP($U$106,'TAR FIN'!$A$1:$O$86,15,0)),0,VLOOKUP($U$106,'TAR FIN'!$A$1:$O$86,15,0))*(1-0.04)</f>
        <v>285.41759999999999</v>
      </c>
      <c r="Y106" s="96"/>
      <c r="Z106" s="96">
        <f ca="1">('TUSD BE'!$AM$12+'TUSD BF'!$AM$12+'TUSD CVA'!$AM$12)*1*(1-0.02)</f>
        <v>93.899139140559214</v>
      </c>
      <c r="AA106" s="96">
        <f>('TE BE'!$AB$6+'TE BF'!$AB$6+'TE CVA'!$AB$6)*1*(1-0.02)</f>
        <v>230.63309335138217</v>
      </c>
      <c r="AB106" s="96">
        <f>(SUBSIDIO!$J$106*SUBSIDIO!$V$106)*(0.04)/(1-0.04)</f>
        <v>0</v>
      </c>
      <c r="AC106" s="96">
        <f>((SUBSIDIO!$L$106*SUBSIDIO!$W$106)+(SUBSIDIO!$N$106*SUBSIDIO!$X$106))*(0.04)/(1-0.04)</f>
        <v>6.2509472000000006</v>
      </c>
      <c r="AD106" s="96">
        <f>(SUBSIDIO!$J$106*SUBSIDIO!$Y$106)*(0.02)/(1-0.02)</f>
        <v>0</v>
      </c>
      <c r="AE106" s="96">
        <f ca="1">((SUBSIDIO!$L$106*SUBSIDIO!$Z$106)+(SUBSIDIO!$N$106*SUBSIDIO!$AA$106))*(0.02)/(1-0.02)</f>
        <v>2.8081972770731256</v>
      </c>
      <c r="AF106" s="4" t="s">
        <v>649</v>
      </c>
    </row>
    <row r="107" spans="1:32" ht="11.25" customHeight="1" x14ac:dyDescent="0.25">
      <c r="A107" s="4" t="s">
        <v>21</v>
      </c>
      <c r="B107" s="4" t="s">
        <v>38</v>
      </c>
      <c r="C107" s="4" t="s">
        <v>39</v>
      </c>
      <c r="D107" s="4" t="s">
        <v>43</v>
      </c>
      <c r="E107" s="4" t="s">
        <v>52</v>
      </c>
      <c r="F107" s="4" t="s">
        <v>25</v>
      </c>
      <c r="G107" s="4" t="s">
        <v>25</v>
      </c>
      <c r="H107" s="4" t="s">
        <v>34</v>
      </c>
      <c r="I107" s="5">
        <v>44652</v>
      </c>
      <c r="J107" s="6">
        <v>0</v>
      </c>
      <c r="K107" s="96">
        <v>0</v>
      </c>
      <c r="L107" s="6">
        <v>2.1419999999999999</v>
      </c>
      <c r="M107" s="96">
        <v>2.1419999999999999</v>
      </c>
      <c r="N107" s="6">
        <v>2.1419999999999999</v>
      </c>
      <c r="O107" s="96">
        <v>2.1419999999999999</v>
      </c>
      <c r="P107" s="6">
        <v>0</v>
      </c>
      <c r="Q107" s="4" t="s">
        <v>26</v>
      </c>
      <c r="R107" s="4">
        <v>0</v>
      </c>
      <c r="S107" s="4">
        <v>0</v>
      </c>
      <c r="T107" s="4">
        <v>17</v>
      </c>
      <c r="U107" s="4">
        <v>78</v>
      </c>
      <c r="V107" s="96">
        <f>IF(ISERROR(VLOOKUP($S$107,'TAR FIN'!$A$1:$O$86,15,0)),0,VLOOKUP($S$107,'TAR FIN'!$A$1:$O$86,15,0))</f>
        <v>0</v>
      </c>
      <c r="W107" s="96">
        <f>IF(ISERROR(VLOOKUP($T$107,'TAR FIN'!$A$1:$O$86,15,0)),0,VLOOKUP($T$107,'TAR FIN'!$A$1:$O$86,15,0))*(1-0.04)</f>
        <v>68.409599999999998</v>
      </c>
      <c r="X107" s="96">
        <f>IF(ISERROR(VLOOKUP($U$107,'TAR FIN'!$A$1:$O$86,15,0)),0,VLOOKUP($U$107,'TAR FIN'!$A$1:$O$86,15,0))*(1-0.04)</f>
        <v>285.41759999999999</v>
      </c>
      <c r="Y107" s="96"/>
      <c r="Z107" s="96">
        <f ca="1">('TUSD BE'!$AM$12+'TUSD BF'!$AM$12+'TUSD CVA'!$AM$12)*1*(1-0.02)</f>
        <v>93.899139140559214</v>
      </c>
      <c r="AA107" s="96">
        <f>('TE BE'!$AB$6+'TE BF'!$AB$6+'TE CVA'!$AB$6)*1*(1-0.02)</f>
        <v>230.63309335138217</v>
      </c>
      <c r="AB107" s="96">
        <f>(SUBSIDIO!$J$107*SUBSIDIO!$V$107)*(0.04)/(1-0.04)</f>
        <v>0</v>
      </c>
      <c r="AC107" s="96">
        <f>((SUBSIDIO!$L$107*SUBSIDIO!$W$107)+(SUBSIDIO!$N$107*SUBSIDIO!$X$107))*(0.04)/(1-0.04)</f>
        <v>31.579077599999998</v>
      </c>
      <c r="AD107" s="96">
        <f>(SUBSIDIO!$J$107*SUBSIDIO!$Y$107)*(0.02)/(1-0.02)</f>
        <v>0</v>
      </c>
      <c r="AE107" s="96">
        <f ca="1">((SUBSIDIO!$L$107*SUBSIDIO!$Z$107)+(SUBSIDIO!$N$107*SUBSIDIO!$AA$107))*(0.02)/(1-0.02)</f>
        <v>14.186694734647723</v>
      </c>
      <c r="AF107" s="4" t="s">
        <v>649</v>
      </c>
    </row>
    <row r="108" spans="1:32" ht="11.25" customHeight="1" x14ac:dyDescent="0.25">
      <c r="A108" s="4" t="s">
        <v>21</v>
      </c>
      <c r="B108" s="4" t="s">
        <v>38</v>
      </c>
      <c r="C108" s="4" t="s">
        <v>39</v>
      </c>
      <c r="D108" s="4" t="s">
        <v>43</v>
      </c>
      <c r="E108" s="4" t="s">
        <v>52</v>
      </c>
      <c r="F108" s="4" t="s">
        <v>25</v>
      </c>
      <c r="G108" s="4" t="s">
        <v>25</v>
      </c>
      <c r="H108" s="4" t="s">
        <v>34</v>
      </c>
      <c r="I108" s="5">
        <v>44682</v>
      </c>
      <c r="J108" s="6">
        <v>0</v>
      </c>
      <c r="K108" s="96">
        <v>0</v>
      </c>
      <c r="L108" s="6">
        <v>3.1789999999999998</v>
      </c>
      <c r="M108" s="96">
        <v>3.1789999999999998</v>
      </c>
      <c r="N108" s="6">
        <v>3.1789999999999998</v>
      </c>
      <c r="O108" s="96">
        <v>3.1789999999999998</v>
      </c>
      <c r="P108" s="6">
        <v>0</v>
      </c>
      <c r="Q108" s="4" t="s">
        <v>26</v>
      </c>
      <c r="R108" s="4">
        <v>0</v>
      </c>
      <c r="S108" s="4">
        <v>0</v>
      </c>
      <c r="T108" s="4">
        <v>17</v>
      </c>
      <c r="U108" s="4">
        <v>78</v>
      </c>
      <c r="V108" s="96">
        <f>IF(ISERROR(VLOOKUP($S$108,'TAR FIN'!$A$1:$O$86,15,0)),0,VLOOKUP($S$108,'TAR FIN'!$A$1:$O$86,15,0))</f>
        <v>0</v>
      </c>
      <c r="W108" s="96">
        <f>IF(ISERROR(VLOOKUP($T$108,'TAR FIN'!$A$1:$O$86,15,0)),0,VLOOKUP($T$108,'TAR FIN'!$A$1:$O$86,15,0))*(1-0.04)</f>
        <v>68.409599999999998</v>
      </c>
      <c r="X108" s="96">
        <f>IF(ISERROR(VLOOKUP($U$108,'TAR FIN'!$A$1:$O$86,15,0)),0,VLOOKUP($U$108,'TAR FIN'!$A$1:$O$86,15,0))*(1-0.04)</f>
        <v>285.41759999999999</v>
      </c>
      <c r="Y108" s="96"/>
      <c r="Z108" s="96">
        <f ca="1">('TUSD BE'!$AM$12+'TUSD BF'!$AM$12+'TUSD CVA'!$AM$12)*1*(1-0.02)</f>
        <v>93.899139140559214</v>
      </c>
      <c r="AA108" s="96">
        <f>('TE BE'!$AB$6+'TE BF'!$AB$6+'TE CVA'!$AB$6)*1*(1-0.02)</f>
        <v>230.63309335138217</v>
      </c>
      <c r="AB108" s="96">
        <f>(SUBSIDIO!$J$108*SUBSIDIO!$V$108)*(0.04)/(1-0.04)</f>
        <v>0</v>
      </c>
      <c r="AC108" s="96">
        <f>((SUBSIDIO!$L$108*SUBSIDIO!$W$108)+(SUBSIDIO!$N$108*SUBSIDIO!$X$108))*(0.04)/(1-0.04)</f>
        <v>46.867361199999998</v>
      </c>
      <c r="AD108" s="96">
        <f>(SUBSIDIO!$J$108*SUBSIDIO!$Y$108)*(0.02)/(1-0.02)</f>
        <v>0</v>
      </c>
      <c r="AE108" s="96">
        <f ca="1">((SUBSIDIO!$L$108*SUBSIDIO!$Z$108)+(SUBSIDIO!$N$108*SUBSIDIO!$AA$108))*(0.02)/(1-0.02)</f>
        <v>21.054856471262891</v>
      </c>
      <c r="AF108" s="4" t="s">
        <v>649</v>
      </c>
    </row>
    <row r="109" spans="1:32" ht="11.25" customHeight="1" x14ac:dyDescent="0.25">
      <c r="A109" s="4" t="s">
        <v>55</v>
      </c>
      <c r="B109" s="4" t="s">
        <v>38</v>
      </c>
      <c r="C109" s="4" t="s">
        <v>39</v>
      </c>
      <c r="D109" s="4" t="s">
        <v>43</v>
      </c>
      <c r="E109" s="4" t="s">
        <v>52</v>
      </c>
      <c r="F109" s="4" t="s">
        <v>25</v>
      </c>
      <c r="G109" s="4" t="s">
        <v>25</v>
      </c>
      <c r="H109" s="4" t="s">
        <v>34</v>
      </c>
      <c r="I109" s="5">
        <v>44713</v>
      </c>
      <c r="J109" s="6">
        <v>0</v>
      </c>
      <c r="K109" s="96">
        <v>0</v>
      </c>
      <c r="L109" s="6">
        <v>3.1789999999999998</v>
      </c>
      <c r="M109" s="96">
        <v>3.1789999999999998</v>
      </c>
      <c r="N109" s="6">
        <v>3.1789999999999998</v>
      </c>
      <c r="O109" s="96">
        <v>3.1789999999999998</v>
      </c>
      <c r="P109" s="6">
        <v>0</v>
      </c>
      <c r="Q109" s="4" t="s">
        <v>26</v>
      </c>
      <c r="R109" s="4">
        <v>0</v>
      </c>
      <c r="S109" s="4">
        <v>0</v>
      </c>
      <c r="T109" s="4">
        <v>17</v>
      </c>
      <c r="U109" s="4">
        <v>78</v>
      </c>
      <c r="V109" s="96">
        <f>IF(ISERROR(VLOOKUP($S$109,'TAR FIN'!$A$1:$O$86,15,0)),0,VLOOKUP($S$109,'TAR FIN'!$A$1:$O$86,15,0))</f>
        <v>0</v>
      </c>
      <c r="W109" s="96">
        <f>IF(ISERROR(VLOOKUP($T$109,'TAR FIN'!$A$1:$O$86,15,0)),0,VLOOKUP($T$109,'TAR FIN'!$A$1:$O$86,15,0))*(1-0.04)</f>
        <v>68.409599999999998</v>
      </c>
      <c r="X109" s="96">
        <f>IF(ISERROR(VLOOKUP($U$109,'TAR FIN'!$A$1:$O$86,15,0)),0,VLOOKUP($U$109,'TAR FIN'!$A$1:$O$86,15,0))*(1-0.04)</f>
        <v>285.41759999999999</v>
      </c>
      <c r="Y109" s="96"/>
      <c r="Z109" s="96">
        <f ca="1">('TUSD BE'!$AM$12+'TUSD BF'!$AM$12+'TUSD CVA'!$AM$12)*1*(1-0.02)</f>
        <v>93.899139140559214</v>
      </c>
      <c r="AA109" s="96">
        <f>('TE BE'!$AB$6+'TE BF'!$AB$6+'TE CVA'!$AB$6)*1*(1-0.02)</f>
        <v>230.63309335138217</v>
      </c>
      <c r="AB109" s="96">
        <f>(SUBSIDIO!$J$109*SUBSIDIO!$V$109)*(0.04)/(1-0.04)</f>
        <v>0</v>
      </c>
      <c r="AC109" s="96">
        <f>((SUBSIDIO!$L$109*SUBSIDIO!$W$109)+(SUBSIDIO!$N$109*SUBSIDIO!$X$109))*(0.04)/(1-0.04)</f>
        <v>46.867361199999998</v>
      </c>
      <c r="AD109" s="96">
        <f>(SUBSIDIO!$J$109*SUBSIDIO!$Y$109)*(0.02)/(1-0.02)</f>
        <v>0</v>
      </c>
      <c r="AE109" s="96">
        <f ca="1">((SUBSIDIO!$L$109*SUBSIDIO!$Z$109)+(SUBSIDIO!$N$109*SUBSIDIO!$AA$109))*(0.02)/(1-0.02)</f>
        <v>21.054856471262891</v>
      </c>
      <c r="AF109" s="4" t="s">
        <v>649</v>
      </c>
    </row>
    <row r="110" spans="1:32" ht="11.25" customHeight="1" x14ac:dyDescent="0.25">
      <c r="A110" s="4" t="s">
        <v>21</v>
      </c>
      <c r="B110" s="4" t="s">
        <v>38</v>
      </c>
      <c r="C110" s="4" t="s">
        <v>39</v>
      </c>
      <c r="D110" s="4" t="s">
        <v>43</v>
      </c>
      <c r="E110" s="4" t="s">
        <v>52</v>
      </c>
      <c r="F110" s="4" t="s">
        <v>25</v>
      </c>
      <c r="G110" s="4" t="s">
        <v>25</v>
      </c>
      <c r="H110" s="4" t="s">
        <v>25</v>
      </c>
      <c r="I110" s="5">
        <v>44378</v>
      </c>
      <c r="J110" s="6">
        <v>981</v>
      </c>
      <c r="K110" s="96">
        <v>981</v>
      </c>
      <c r="L110" s="6">
        <v>0</v>
      </c>
      <c r="M110" s="96">
        <v>0</v>
      </c>
      <c r="N110" s="6">
        <v>0</v>
      </c>
      <c r="O110" s="96">
        <v>0</v>
      </c>
      <c r="P110" s="6">
        <v>3</v>
      </c>
      <c r="Q110" s="4" t="s">
        <v>26</v>
      </c>
      <c r="R110" s="4">
        <v>0</v>
      </c>
      <c r="S110" s="4">
        <v>19</v>
      </c>
      <c r="T110" s="4">
        <v>0</v>
      </c>
      <c r="U110" s="4">
        <v>0</v>
      </c>
      <c r="V110" s="96">
        <f>IF(ISERROR(VLOOKUP($S$110,'TAR FIN'!$A$1:$O$86,15,0)),0,VLOOKUP($S$110,'TAR FIN'!$A$1:$O$86,15,0))*(1-0.04)</f>
        <v>15.638399999999999</v>
      </c>
      <c r="W110" s="96">
        <f>IF(ISERROR(VLOOKUP($T$110,'TAR FIN'!$A$1:$O$86,15,0)),0,VLOOKUP($T$110,'TAR FIN'!$A$1:$O$86,15,0))</f>
        <v>0</v>
      </c>
      <c r="X110" s="96">
        <f>IF(ISERROR(VLOOKUP($U$110,'TAR FIN'!$A$1:$O$86,15,0)),0,VLOOKUP($U$110,'TAR FIN'!$A$1:$O$86,15,0))</f>
        <v>0</v>
      </c>
      <c r="Y110" s="96">
        <f ca="1">('TUSD BE'!$AM$10+'TUSD BF'!$AM$10+'TUSD CVA'!$AM$10)*1*(1-0.02)</f>
        <v>20.716782055066915</v>
      </c>
      <c r="Z110" s="96"/>
      <c r="AA110" s="96"/>
      <c r="AB110" s="96">
        <f>(SUBSIDIO!$J$110*SUBSIDIO!$V$110)*(0.04)/(1-0.04)</f>
        <v>639.21960000000001</v>
      </c>
      <c r="AC110" s="96">
        <f>((SUBSIDIO!$L$110*SUBSIDIO!$W$110)+(SUBSIDIO!$N$110*SUBSIDIO!$X$110))*(0.04)/(1-0.04)</f>
        <v>0</v>
      </c>
      <c r="AD110" s="96">
        <f ca="1">(SUBSIDIO!$J$110*SUBSIDIO!$Y$110)*(0.02)/(1-0.02)</f>
        <v>414.75843257184988</v>
      </c>
      <c r="AE110" s="96">
        <f>((SUBSIDIO!$L$110*SUBSIDIO!$Z$110)+(SUBSIDIO!$N$110*SUBSIDIO!$AA$110))*(0.02)/(1-0.02)</f>
        <v>0</v>
      </c>
      <c r="AF110" s="4" t="s">
        <v>649</v>
      </c>
    </row>
    <row r="111" spans="1:32" ht="11.25" customHeight="1" x14ac:dyDescent="0.25">
      <c r="A111" s="4" t="s">
        <v>21</v>
      </c>
      <c r="B111" s="4" t="s">
        <v>38</v>
      </c>
      <c r="C111" s="4" t="s">
        <v>39</v>
      </c>
      <c r="D111" s="4" t="s">
        <v>43</v>
      </c>
      <c r="E111" s="4" t="s">
        <v>52</v>
      </c>
      <c r="F111" s="4" t="s">
        <v>25</v>
      </c>
      <c r="G111" s="4" t="s">
        <v>25</v>
      </c>
      <c r="H111" s="4" t="s">
        <v>25</v>
      </c>
      <c r="I111" s="5">
        <v>44409</v>
      </c>
      <c r="J111" s="6">
        <v>175</v>
      </c>
      <c r="K111" s="96">
        <v>175</v>
      </c>
      <c r="L111" s="6">
        <v>0</v>
      </c>
      <c r="M111" s="96">
        <v>0</v>
      </c>
      <c r="N111" s="6">
        <v>0</v>
      </c>
      <c r="O111" s="96">
        <v>0</v>
      </c>
      <c r="P111" s="6">
        <v>3</v>
      </c>
      <c r="Q111" s="4" t="s">
        <v>26</v>
      </c>
      <c r="R111" s="4">
        <v>0</v>
      </c>
      <c r="S111" s="4">
        <v>19</v>
      </c>
      <c r="T111" s="4">
        <v>0</v>
      </c>
      <c r="U111" s="4">
        <v>0</v>
      </c>
      <c r="V111" s="96">
        <f>IF(ISERROR(VLOOKUP($S$111,'TAR FIN'!$A$1:$O$86,15,0)),0,VLOOKUP($S$111,'TAR FIN'!$A$1:$O$86,15,0))*(1-0.04)</f>
        <v>15.638399999999999</v>
      </c>
      <c r="W111" s="96">
        <f>IF(ISERROR(VLOOKUP($T$111,'TAR FIN'!$A$1:$O$86,15,0)),0,VLOOKUP($T$111,'TAR FIN'!$A$1:$O$86,15,0))</f>
        <v>0</v>
      </c>
      <c r="X111" s="96">
        <f>IF(ISERROR(VLOOKUP($U$111,'TAR FIN'!$A$1:$O$86,15,0)),0,VLOOKUP($U$111,'TAR FIN'!$A$1:$O$86,15,0))</f>
        <v>0</v>
      </c>
      <c r="Y111" s="96">
        <f ca="1">('TUSD BE'!$AM$10+'TUSD BF'!$AM$10+'TUSD CVA'!$AM$10)*1*(1-0.02)</f>
        <v>20.716782055066915</v>
      </c>
      <c r="Z111" s="96"/>
      <c r="AA111" s="96"/>
      <c r="AB111" s="96">
        <f>(SUBSIDIO!$J$111*SUBSIDIO!$V$111)*(0.04)/(1-0.04)</f>
        <v>114.02999999999999</v>
      </c>
      <c r="AC111" s="96">
        <f>((SUBSIDIO!$L$111*SUBSIDIO!$W$111)+(SUBSIDIO!$N$111*SUBSIDIO!$X$111))*(0.04)/(1-0.04)</f>
        <v>0</v>
      </c>
      <c r="AD111" s="96">
        <f ca="1">(SUBSIDIO!$J$111*SUBSIDIO!$Y$111)*(0.02)/(1-0.02)</f>
        <v>73.988507339524702</v>
      </c>
      <c r="AE111" s="96">
        <f>((SUBSIDIO!$L$111*SUBSIDIO!$Z$111)+(SUBSIDIO!$N$111*SUBSIDIO!$AA$111))*(0.02)/(1-0.02)</f>
        <v>0</v>
      </c>
      <c r="AF111" s="4" t="s">
        <v>649</v>
      </c>
    </row>
    <row r="112" spans="1:32" ht="11.25" customHeight="1" x14ac:dyDescent="0.25">
      <c r="A112" s="4" t="s">
        <v>21</v>
      </c>
      <c r="B112" s="4" t="s">
        <v>38</v>
      </c>
      <c r="C112" s="4" t="s">
        <v>39</v>
      </c>
      <c r="D112" s="4" t="s">
        <v>43</v>
      </c>
      <c r="E112" s="4" t="s">
        <v>52</v>
      </c>
      <c r="F112" s="4" t="s">
        <v>25</v>
      </c>
      <c r="G112" s="4" t="s">
        <v>25</v>
      </c>
      <c r="H112" s="4" t="s">
        <v>25</v>
      </c>
      <c r="I112" s="5">
        <v>44440</v>
      </c>
      <c r="J112" s="6">
        <v>1001</v>
      </c>
      <c r="K112" s="96">
        <v>1001</v>
      </c>
      <c r="L112" s="6">
        <v>0</v>
      </c>
      <c r="M112" s="96">
        <v>0</v>
      </c>
      <c r="N112" s="6">
        <v>0</v>
      </c>
      <c r="O112" s="96">
        <v>0</v>
      </c>
      <c r="P112" s="6">
        <v>3</v>
      </c>
      <c r="Q112" s="4" t="s">
        <v>26</v>
      </c>
      <c r="R112" s="4">
        <v>0</v>
      </c>
      <c r="S112" s="4">
        <v>19</v>
      </c>
      <c r="T112" s="4">
        <v>0</v>
      </c>
      <c r="U112" s="4">
        <v>0</v>
      </c>
      <c r="V112" s="96">
        <f>IF(ISERROR(VLOOKUP($S$112,'TAR FIN'!$A$1:$O$86,15,0)),0,VLOOKUP($S$112,'TAR FIN'!$A$1:$O$86,15,0))*(1-0.04)</f>
        <v>15.638399999999999</v>
      </c>
      <c r="W112" s="96">
        <f>IF(ISERROR(VLOOKUP($T$112,'TAR FIN'!$A$1:$O$86,15,0)),0,VLOOKUP($T$112,'TAR FIN'!$A$1:$O$86,15,0))</f>
        <v>0</v>
      </c>
      <c r="X112" s="96">
        <f>IF(ISERROR(VLOOKUP($U$112,'TAR FIN'!$A$1:$O$86,15,0)),0,VLOOKUP($U$112,'TAR FIN'!$A$1:$O$86,15,0))</f>
        <v>0</v>
      </c>
      <c r="Y112" s="96">
        <f ca="1">('TUSD BE'!$AM$10+'TUSD BF'!$AM$10+'TUSD CVA'!$AM$10)*1*(1-0.02)</f>
        <v>20.716782055066915</v>
      </c>
      <c r="Z112" s="96"/>
      <c r="AA112" s="96"/>
      <c r="AB112" s="96">
        <f>(SUBSIDIO!$J$112*SUBSIDIO!$V$112)*(0.04)/(1-0.04)</f>
        <v>652.25159999999994</v>
      </c>
      <c r="AC112" s="96">
        <f>((SUBSIDIO!$L$112*SUBSIDIO!$W$112)+(SUBSIDIO!$N$112*SUBSIDIO!$X$112))*(0.04)/(1-0.04)</f>
        <v>0</v>
      </c>
      <c r="AD112" s="96">
        <f ca="1">(SUBSIDIO!$J$112*SUBSIDIO!$Y$112)*(0.02)/(1-0.02)</f>
        <v>423.21426198208127</v>
      </c>
      <c r="AE112" s="96">
        <f>((SUBSIDIO!$L$112*SUBSIDIO!$Z$112)+(SUBSIDIO!$N$112*SUBSIDIO!$AA$112))*(0.02)/(1-0.02)</f>
        <v>0</v>
      </c>
      <c r="AF112" s="4" t="s">
        <v>649</v>
      </c>
    </row>
    <row r="113" spans="1:32" ht="11.25" customHeight="1" x14ac:dyDescent="0.25">
      <c r="A113" s="4" t="s">
        <v>21</v>
      </c>
      <c r="B113" s="4" t="s">
        <v>38</v>
      </c>
      <c r="C113" s="4" t="s">
        <v>39</v>
      </c>
      <c r="D113" s="4" t="s">
        <v>43</v>
      </c>
      <c r="E113" s="4" t="s">
        <v>52</v>
      </c>
      <c r="F113" s="4" t="s">
        <v>25</v>
      </c>
      <c r="G113" s="4" t="s">
        <v>25</v>
      </c>
      <c r="H113" s="4" t="s">
        <v>25</v>
      </c>
      <c r="I113" s="5">
        <v>44470</v>
      </c>
      <c r="J113" s="6">
        <v>345</v>
      </c>
      <c r="K113" s="96">
        <v>345</v>
      </c>
      <c r="L113" s="6">
        <v>0</v>
      </c>
      <c r="M113" s="96">
        <v>0</v>
      </c>
      <c r="N113" s="6">
        <v>0</v>
      </c>
      <c r="O113" s="96">
        <v>0</v>
      </c>
      <c r="P113" s="6">
        <v>3</v>
      </c>
      <c r="Q113" s="4" t="s">
        <v>26</v>
      </c>
      <c r="R113" s="4">
        <v>0</v>
      </c>
      <c r="S113" s="4">
        <v>19</v>
      </c>
      <c r="T113" s="4">
        <v>0</v>
      </c>
      <c r="U113" s="4">
        <v>0</v>
      </c>
      <c r="V113" s="96">
        <f>IF(ISERROR(VLOOKUP($S$113,'TAR FIN'!$A$1:$O$86,15,0)),0,VLOOKUP($S$113,'TAR FIN'!$A$1:$O$86,15,0))*(1-0.04)</f>
        <v>15.638399999999999</v>
      </c>
      <c r="W113" s="96">
        <f>IF(ISERROR(VLOOKUP($T$113,'TAR FIN'!$A$1:$O$86,15,0)),0,VLOOKUP($T$113,'TAR FIN'!$A$1:$O$86,15,0))</f>
        <v>0</v>
      </c>
      <c r="X113" s="96">
        <f>IF(ISERROR(VLOOKUP($U$113,'TAR FIN'!$A$1:$O$86,15,0)),0,VLOOKUP($U$113,'TAR FIN'!$A$1:$O$86,15,0))</f>
        <v>0</v>
      </c>
      <c r="Y113" s="96">
        <f ca="1">('TUSD BE'!$AM$10+'TUSD BF'!$AM$10+'TUSD CVA'!$AM$10)*1*(1-0.02)</f>
        <v>20.716782055066915</v>
      </c>
      <c r="Z113" s="96"/>
      <c r="AA113" s="96"/>
      <c r="AB113" s="96">
        <f>(SUBSIDIO!$J$113*SUBSIDIO!$V$113)*(0.04)/(1-0.04)</f>
        <v>224.80199999999999</v>
      </c>
      <c r="AC113" s="96">
        <f>((SUBSIDIO!$L$113*SUBSIDIO!$W$113)+(SUBSIDIO!$N$113*SUBSIDIO!$X$113))*(0.04)/(1-0.04)</f>
        <v>0</v>
      </c>
      <c r="AD113" s="96">
        <f ca="1">(SUBSIDIO!$J$113*SUBSIDIO!$Y$113)*(0.02)/(1-0.02)</f>
        <v>145.86305732649154</v>
      </c>
      <c r="AE113" s="96">
        <f>((SUBSIDIO!$L$113*SUBSIDIO!$Z$113)+(SUBSIDIO!$N$113*SUBSIDIO!$AA$113))*(0.02)/(1-0.02)</f>
        <v>0</v>
      </c>
      <c r="AF113" s="4" t="s">
        <v>649</v>
      </c>
    </row>
    <row r="114" spans="1:32" ht="11.25" customHeight="1" x14ac:dyDescent="0.25">
      <c r="A114" s="4" t="s">
        <v>21</v>
      </c>
      <c r="B114" s="4" t="s">
        <v>38</v>
      </c>
      <c r="C114" s="4" t="s">
        <v>39</v>
      </c>
      <c r="D114" s="4" t="s">
        <v>43</v>
      </c>
      <c r="E114" s="4" t="s">
        <v>52</v>
      </c>
      <c r="F114" s="4" t="s">
        <v>25</v>
      </c>
      <c r="G114" s="4" t="s">
        <v>25</v>
      </c>
      <c r="H114" s="4" t="s">
        <v>25</v>
      </c>
      <c r="I114" s="5">
        <v>44501</v>
      </c>
      <c r="J114" s="6">
        <v>381</v>
      </c>
      <c r="K114" s="96">
        <v>381</v>
      </c>
      <c r="L114" s="6">
        <v>0</v>
      </c>
      <c r="M114" s="96">
        <v>0</v>
      </c>
      <c r="N114" s="6">
        <v>0</v>
      </c>
      <c r="O114" s="96">
        <v>0</v>
      </c>
      <c r="P114" s="6">
        <v>3</v>
      </c>
      <c r="Q114" s="4" t="s">
        <v>26</v>
      </c>
      <c r="R114" s="4">
        <v>0</v>
      </c>
      <c r="S114" s="4">
        <v>19</v>
      </c>
      <c r="T114" s="4">
        <v>0</v>
      </c>
      <c r="U114" s="4">
        <v>0</v>
      </c>
      <c r="V114" s="96">
        <f>IF(ISERROR(VLOOKUP($S$114,'TAR FIN'!$A$1:$O$86,15,0)),0,VLOOKUP($S$114,'TAR FIN'!$A$1:$O$86,15,0))*(1-0.04)</f>
        <v>15.638399999999999</v>
      </c>
      <c r="W114" s="96">
        <f>IF(ISERROR(VLOOKUP($T$114,'TAR FIN'!$A$1:$O$86,15,0)),0,VLOOKUP($T$114,'TAR FIN'!$A$1:$O$86,15,0))</f>
        <v>0</v>
      </c>
      <c r="X114" s="96">
        <f>IF(ISERROR(VLOOKUP($U$114,'TAR FIN'!$A$1:$O$86,15,0)),0,VLOOKUP($U$114,'TAR FIN'!$A$1:$O$86,15,0))</f>
        <v>0</v>
      </c>
      <c r="Y114" s="96">
        <f ca="1">('TUSD BE'!$AM$10+'TUSD BF'!$AM$10+'TUSD CVA'!$AM$10)*1*(1-0.02)</f>
        <v>20.716782055066915</v>
      </c>
      <c r="Z114" s="96"/>
      <c r="AA114" s="96"/>
      <c r="AB114" s="96">
        <f>(SUBSIDIO!$J$114*SUBSIDIO!$V$114)*(0.04)/(1-0.04)</f>
        <v>248.25959999999998</v>
      </c>
      <c r="AC114" s="96">
        <f>((SUBSIDIO!$L$114*SUBSIDIO!$W$114)+(SUBSIDIO!$N$114*SUBSIDIO!$X$114))*(0.04)/(1-0.04)</f>
        <v>0</v>
      </c>
      <c r="AD114" s="96">
        <f ca="1">(SUBSIDIO!$J$114*SUBSIDIO!$Y$114)*(0.02)/(1-0.02)</f>
        <v>161.08355026490804</v>
      </c>
      <c r="AE114" s="96">
        <f>((SUBSIDIO!$L$114*SUBSIDIO!$Z$114)+(SUBSIDIO!$N$114*SUBSIDIO!$AA$114))*(0.02)/(1-0.02)</f>
        <v>0</v>
      </c>
      <c r="AF114" s="4" t="s">
        <v>649</v>
      </c>
    </row>
    <row r="115" spans="1:32" ht="11.25" customHeight="1" x14ac:dyDescent="0.25">
      <c r="A115" s="4" t="s">
        <v>21</v>
      </c>
      <c r="B115" s="4" t="s">
        <v>38</v>
      </c>
      <c r="C115" s="4" t="s">
        <v>39</v>
      </c>
      <c r="D115" s="4" t="s">
        <v>43</v>
      </c>
      <c r="E115" s="4" t="s">
        <v>52</v>
      </c>
      <c r="F115" s="4" t="s">
        <v>25</v>
      </c>
      <c r="G115" s="4" t="s">
        <v>25</v>
      </c>
      <c r="H115" s="4" t="s">
        <v>25</v>
      </c>
      <c r="I115" s="5">
        <v>44531</v>
      </c>
      <c r="J115" s="6">
        <v>927</v>
      </c>
      <c r="K115" s="96">
        <v>927</v>
      </c>
      <c r="L115" s="6">
        <v>0</v>
      </c>
      <c r="M115" s="96">
        <v>0</v>
      </c>
      <c r="N115" s="6">
        <v>0</v>
      </c>
      <c r="O115" s="96">
        <v>0</v>
      </c>
      <c r="P115" s="6">
        <v>3</v>
      </c>
      <c r="Q115" s="4" t="s">
        <v>26</v>
      </c>
      <c r="R115" s="4">
        <v>0</v>
      </c>
      <c r="S115" s="4">
        <v>19</v>
      </c>
      <c r="T115" s="4">
        <v>0</v>
      </c>
      <c r="U115" s="4">
        <v>0</v>
      </c>
      <c r="V115" s="96">
        <f>IF(ISERROR(VLOOKUP($S$115,'TAR FIN'!$A$1:$O$86,15,0)),0,VLOOKUP($S$115,'TAR FIN'!$A$1:$O$86,15,0))*(1-0.04)</f>
        <v>15.638399999999999</v>
      </c>
      <c r="W115" s="96">
        <f>IF(ISERROR(VLOOKUP($T$115,'TAR FIN'!$A$1:$O$86,15,0)),0,VLOOKUP($T$115,'TAR FIN'!$A$1:$O$86,15,0))</f>
        <v>0</v>
      </c>
      <c r="X115" s="96">
        <f>IF(ISERROR(VLOOKUP($U$115,'TAR FIN'!$A$1:$O$86,15,0)),0,VLOOKUP($U$115,'TAR FIN'!$A$1:$O$86,15,0))</f>
        <v>0</v>
      </c>
      <c r="Y115" s="96">
        <f ca="1">('TUSD BE'!$AM$10+'TUSD BF'!$AM$10+'TUSD CVA'!$AM$10)*1*(1-0.02)</f>
        <v>20.716782055066915</v>
      </c>
      <c r="Z115" s="96"/>
      <c r="AA115" s="96"/>
      <c r="AB115" s="96">
        <f>(SUBSIDIO!$J$115*SUBSIDIO!$V$115)*(0.04)/(1-0.04)</f>
        <v>604.03319999999997</v>
      </c>
      <c r="AC115" s="96">
        <f>((SUBSIDIO!$L$115*SUBSIDIO!$W$115)+(SUBSIDIO!$N$115*SUBSIDIO!$X$115))*(0.04)/(1-0.04)</f>
        <v>0</v>
      </c>
      <c r="AD115" s="96">
        <f ca="1">(SUBSIDIO!$J$115*SUBSIDIO!$Y$115)*(0.02)/(1-0.02)</f>
        <v>391.9276931642251</v>
      </c>
      <c r="AE115" s="96">
        <f>((SUBSIDIO!$L$115*SUBSIDIO!$Z$115)+(SUBSIDIO!$N$115*SUBSIDIO!$AA$115))*(0.02)/(1-0.02)</f>
        <v>0</v>
      </c>
      <c r="AF115" s="4" t="s">
        <v>649</v>
      </c>
    </row>
    <row r="116" spans="1:32" ht="11.25" customHeight="1" x14ac:dyDescent="0.25">
      <c r="A116" s="4" t="s">
        <v>21</v>
      </c>
      <c r="B116" s="4" t="s">
        <v>38</v>
      </c>
      <c r="C116" s="4" t="s">
        <v>39</v>
      </c>
      <c r="D116" s="4" t="s">
        <v>43</v>
      </c>
      <c r="E116" s="4" t="s">
        <v>52</v>
      </c>
      <c r="F116" s="4" t="s">
        <v>25</v>
      </c>
      <c r="G116" s="4" t="s">
        <v>25</v>
      </c>
      <c r="H116" s="4" t="s">
        <v>25</v>
      </c>
      <c r="I116" s="5">
        <v>44562</v>
      </c>
      <c r="J116" s="6">
        <v>635</v>
      </c>
      <c r="K116" s="96">
        <v>635</v>
      </c>
      <c r="L116" s="6">
        <v>0</v>
      </c>
      <c r="M116" s="96">
        <v>0</v>
      </c>
      <c r="N116" s="6">
        <v>0</v>
      </c>
      <c r="O116" s="96">
        <v>0</v>
      </c>
      <c r="P116" s="6">
        <v>3</v>
      </c>
      <c r="Q116" s="4" t="s">
        <v>26</v>
      </c>
      <c r="R116" s="4">
        <v>0</v>
      </c>
      <c r="S116" s="4">
        <v>19</v>
      </c>
      <c r="T116" s="4">
        <v>0</v>
      </c>
      <c r="U116" s="4">
        <v>0</v>
      </c>
      <c r="V116" s="96">
        <f>IF(ISERROR(VLOOKUP($S$116,'TAR FIN'!$A$1:$O$86,15,0)),0,VLOOKUP($S$116,'TAR FIN'!$A$1:$O$86,15,0))*(1-0.04)</f>
        <v>15.638399999999999</v>
      </c>
      <c r="W116" s="96">
        <f>IF(ISERROR(VLOOKUP($T$116,'TAR FIN'!$A$1:$O$86,15,0)),0,VLOOKUP($T$116,'TAR FIN'!$A$1:$O$86,15,0))</f>
        <v>0</v>
      </c>
      <c r="X116" s="96">
        <f>IF(ISERROR(VLOOKUP($U$116,'TAR FIN'!$A$1:$O$86,15,0)),0,VLOOKUP($U$116,'TAR FIN'!$A$1:$O$86,15,0))</f>
        <v>0</v>
      </c>
      <c r="Y116" s="96">
        <f ca="1">('TUSD BE'!$AM$10+'TUSD BF'!$AM$10+'TUSD CVA'!$AM$10)*1*(1-0.02)</f>
        <v>20.716782055066915</v>
      </c>
      <c r="Z116" s="96"/>
      <c r="AA116" s="96"/>
      <c r="AB116" s="96">
        <f>(SUBSIDIO!$J$116*SUBSIDIO!$V$116)*(0.04)/(1-0.04)</f>
        <v>413.76600000000008</v>
      </c>
      <c r="AC116" s="96">
        <f>((SUBSIDIO!$L$116*SUBSIDIO!$W$116)+(SUBSIDIO!$N$116*SUBSIDIO!$X$116))*(0.04)/(1-0.04)</f>
        <v>0</v>
      </c>
      <c r="AD116" s="96">
        <f ca="1">(SUBSIDIO!$J$116*SUBSIDIO!$Y$116)*(0.02)/(1-0.02)</f>
        <v>268.47258377484673</v>
      </c>
      <c r="AE116" s="96">
        <f>((SUBSIDIO!$L$116*SUBSIDIO!$Z$116)+(SUBSIDIO!$N$116*SUBSIDIO!$AA$116))*(0.02)/(1-0.02)</f>
        <v>0</v>
      </c>
      <c r="AF116" s="4" t="s">
        <v>649</v>
      </c>
    </row>
    <row r="117" spans="1:32" ht="11.25" customHeight="1" x14ac:dyDescent="0.25">
      <c r="A117" s="4" t="s">
        <v>21</v>
      </c>
      <c r="B117" s="4" t="s">
        <v>38</v>
      </c>
      <c r="C117" s="4" t="s">
        <v>39</v>
      </c>
      <c r="D117" s="4" t="s">
        <v>43</v>
      </c>
      <c r="E117" s="4" t="s">
        <v>52</v>
      </c>
      <c r="F117" s="4" t="s">
        <v>25</v>
      </c>
      <c r="G117" s="4" t="s">
        <v>25</v>
      </c>
      <c r="H117" s="4" t="s">
        <v>25</v>
      </c>
      <c r="I117" s="5">
        <v>44593</v>
      </c>
      <c r="J117" s="6">
        <v>589</v>
      </c>
      <c r="K117" s="96">
        <v>589</v>
      </c>
      <c r="L117" s="6">
        <v>0</v>
      </c>
      <c r="M117" s="96">
        <v>0</v>
      </c>
      <c r="N117" s="6">
        <v>0</v>
      </c>
      <c r="O117" s="96">
        <v>0</v>
      </c>
      <c r="P117" s="6">
        <v>3</v>
      </c>
      <c r="Q117" s="4" t="s">
        <v>26</v>
      </c>
      <c r="R117" s="4">
        <v>0</v>
      </c>
      <c r="S117" s="4">
        <v>19</v>
      </c>
      <c r="T117" s="4">
        <v>0</v>
      </c>
      <c r="U117" s="4">
        <v>0</v>
      </c>
      <c r="V117" s="96">
        <f>IF(ISERROR(VLOOKUP($S$117,'TAR FIN'!$A$1:$O$86,15,0)),0,VLOOKUP($S$117,'TAR FIN'!$A$1:$O$86,15,0))*(1-0.04)</f>
        <v>15.638399999999999</v>
      </c>
      <c r="W117" s="96">
        <f>IF(ISERROR(VLOOKUP($T$117,'TAR FIN'!$A$1:$O$86,15,0)),0,VLOOKUP($T$117,'TAR FIN'!$A$1:$O$86,15,0))</f>
        <v>0</v>
      </c>
      <c r="X117" s="96">
        <f>IF(ISERROR(VLOOKUP($U$117,'TAR FIN'!$A$1:$O$86,15,0)),0,VLOOKUP($U$117,'TAR FIN'!$A$1:$O$86,15,0))</f>
        <v>0</v>
      </c>
      <c r="Y117" s="96">
        <f ca="1">('TUSD BE'!$AM$10+'TUSD BF'!$AM$10+'TUSD CVA'!$AM$10)*1*(1-0.02)</f>
        <v>20.716782055066915</v>
      </c>
      <c r="Z117" s="96"/>
      <c r="AA117" s="96"/>
      <c r="AB117" s="96">
        <f>(SUBSIDIO!$J$117*SUBSIDIO!$V$117)*(0.04)/(1-0.04)</f>
        <v>383.79239999999999</v>
      </c>
      <c r="AC117" s="96">
        <f>((SUBSIDIO!$L$117*SUBSIDIO!$W$117)+(SUBSIDIO!$N$117*SUBSIDIO!$X$117))*(0.04)/(1-0.04)</f>
        <v>0</v>
      </c>
      <c r="AD117" s="96">
        <f ca="1">(SUBSIDIO!$J$117*SUBSIDIO!$Y$117)*(0.02)/(1-0.02)</f>
        <v>249.02417613131453</v>
      </c>
      <c r="AE117" s="96">
        <f>((SUBSIDIO!$L$117*SUBSIDIO!$Z$117)+(SUBSIDIO!$N$117*SUBSIDIO!$AA$117))*(0.02)/(1-0.02)</f>
        <v>0</v>
      </c>
      <c r="AF117" s="4" t="s">
        <v>649</v>
      </c>
    </row>
    <row r="118" spans="1:32" ht="11.25" customHeight="1" x14ac:dyDescent="0.25">
      <c r="A118" s="4" t="s">
        <v>21</v>
      </c>
      <c r="B118" s="4" t="s">
        <v>38</v>
      </c>
      <c r="C118" s="4" t="s">
        <v>39</v>
      </c>
      <c r="D118" s="4" t="s">
        <v>43</v>
      </c>
      <c r="E118" s="4" t="s">
        <v>52</v>
      </c>
      <c r="F118" s="4" t="s">
        <v>25</v>
      </c>
      <c r="G118" s="4" t="s">
        <v>25</v>
      </c>
      <c r="H118" s="4" t="s">
        <v>25</v>
      </c>
      <c r="I118" s="5">
        <v>44621</v>
      </c>
      <c r="J118" s="6">
        <v>102</v>
      </c>
      <c r="K118" s="96">
        <v>102</v>
      </c>
      <c r="L118" s="6">
        <v>0</v>
      </c>
      <c r="M118" s="96">
        <v>0</v>
      </c>
      <c r="N118" s="6">
        <v>0</v>
      </c>
      <c r="O118" s="96">
        <v>0</v>
      </c>
      <c r="P118" s="6">
        <v>3</v>
      </c>
      <c r="Q118" s="4" t="s">
        <v>26</v>
      </c>
      <c r="R118" s="4">
        <v>0</v>
      </c>
      <c r="S118" s="4">
        <v>19</v>
      </c>
      <c r="T118" s="4">
        <v>0</v>
      </c>
      <c r="U118" s="4">
        <v>0</v>
      </c>
      <c r="V118" s="96">
        <f>IF(ISERROR(VLOOKUP($S$118,'TAR FIN'!$A$1:$O$86,15,0)),0,VLOOKUP($S$118,'TAR FIN'!$A$1:$O$86,15,0))*(1-0.04)</f>
        <v>15.638399999999999</v>
      </c>
      <c r="W118" s="96">
        <f>IF(ISERROR(VLOOKUP($T$118,'TAR FIN'!$A$1:$O$86,15,0)),0,VLOOKUP($T$118,'TAR FIN'!$A$1:$O$86,15,0))</f>
        <v>0</v>
      </c>
      <c r="X118" s="96">
        <f>IF(ISERROR(VLOOKUP($U$118,'TAR FIN'!$A$1:$O$86,15,0)),0,VLOOKUP($U$118,'TAR FIN'!$A$1:$O$86,15,0))</f>
        <v>0</v>
      </c>
      <c r="Y118" s="96">
        <f ca="1">('TUSD BE'!$AM$10+'TUSD BF'!$AM$10+'TUSD CVA'!$AM$10)*1*(1-0.02)</f>
        <v>20.716782055066915</v>
      </c>
      <c r="Z118" s="96"/>
      <c r="AA118" s="96"/>
      <c r="AB118" s="96">
        <f>(SUBSIDIO!$J$118*SUBSIDIO!$V$118)*(0.04)/(1-0.04)</f>
        <v>66.463199999999986</v>
      </c>
      <c r="AC118" s="96">
        <f>((SUBSIDIO!$L$118*SUBSIDIO!$W$118)+(SUBSIDIO!$N$118*SUBSIDIO!$X$118))*(0.04)/(1-0.04)</f>
        <v>0</v>
      </c>
      <c r="AD118" s="96">
        <f ca="1">(SUBSIDIO!$J$118*SUBSIDIO!$Y$118)*(0.02)/(1-0.02)</f>
        <v>43.124729992180107</v>
      </c>
      <c r="AE118" s="96">
        <f>((SUBSIDIO!$L$118*SUBSIDIO!$Z$118)+(SUBSIDIO!$N$118*SUBSIDIO!$AA$118))*(0.02)/(1-0.02)</f>
        <v>0</v>
      </c>
      <c r="AF118" s="4" t="s">
        <v>649</v>
      </c>
    </row>
    <row r="119" spans="1:32" ht="11.25" customHeight="1" x14ac:dyDescent="0.25">
      <c r="A119" s="4" t="s">
        <v>21</v>
      </c>
      <c r="B119" s="4" t="s">
        <v>38</v>
      </c>
      <c r="C119" s="4" t="s">
        <v>39</v>
      </c>
      <c r="D119" s="4" t="s">
        <v>43</v>
      </c>
      <c r="E119" s="4" t="s">
        <v>52</v>
      </c>
      <c r="F119" s="4" t="s">
        <v>25</v>
      </c>
      <c r="G119" s="4" t="s">
        <v>25</v>
      </c>
      <c r="H119" s="4" t="s">
        <v>25</v>
      </c>
      <c r="I119" s="5">
        <v>44652</v>
      </c>
      <c r="J119" s="6">
        <v>172</v>
      </c>
      <c r="K119" s="96">
        <v>172</v>
      </c>
      <c r="L119" s="6">
        <v>0</v>
      </c>
      <c r="M119" s="96">
        <v>0</v>
      </c>
      <c r="N119" s="6">
        <v>0</v>
      </c>
      <c r="O119" s="96">
        <v>0</v>
      </c>
      <c r="P119" s="6">
        <v>3</v>
      </c>
      <c r="Q119" s="4" t="s">
        <v>26</v>
      </c>
      <c r="R119" s="4">
        <v>0</v>
      </c>
      <c r="S119" s="4">
        <v>19</v>
      </c>
      <c r="T119" s="4">
        <v>0</v>
      </c>
      <c r="U119" s="4">
        <v>0</v>
      </c>
      <c r="V119" s="96">
        <f>IF(ISERROR(VLOOKUP($S$119,'TAR FIN'!$A$1:$O$86,15,0)),0,VLOOKUP($S$119,'TAR FIN'!$A$1:$O$86,15,0))*(1-0.04)</f>
        <v>15.638399999999999</v>
      </c>
      <c r="W119" s="96">
        <f>IF(ISERROR(VLOOKUP($T$119,'TAR FIN'!$A$1:$O$86,15,0)),0,VLOOKUP($T$119,'TAR FIN'!$A$1:$O$86,15,0))</f>
        <v>0</v>
      </c>
      <c r="X119" s="96">
        <f>IF(ISERROR(VLOOKUP($U$119,'TAR FIN'!$A$1:$O$86,15,0)),0,VLOOKUP($U$119,'TAR FIN'!$A$1:$O$86,15,0))</f>
        <v>0</v>
      </c>
      <c r="Y119" s="96">
        <f ca="1">('TUSD BE'!$AM$10+'TUSD BF'!$AM$10+'TUSD CVA'!$AM$10)*1*(1-0.02)</f>
        <v>20.716782055066915</v>
      </c>
      <c r="Z119" s="96"/>
      <c r="AA119" s="96"/>
      <c r="AB119" s="96">
        <f>(SUBSIDIO!$J$119*SUBSIDIO!$V$119)*(0.04)/(1-0.04)</f>
        <v>112.0752</v>
      </c>
      <c r="AC119" s="96">
        <f>((SUBSIDIO!$L$119*SUBSIDIO!$W$119)+(SUBSIDIO!$N$119*SUBSIDIO!$X$119))*(0.04)/(1-0.04)</f>
        <v>0</v>
      </c>
      <c r="AD119" s="96">
        <f ca="1">(SUBSIDIO!$J$119*SUBSIDIO!$Y$119)*(0.02)/(1-0.02)</f>
        <v>72.720132927989994</v>
      </c>
      <c r="AE119" s="96">
        <f>((SUBSIDIO!$L$119*SUBSIDIO!$Z$119)+(SUBSIDIO!$N$119*SUBSIDIO!$AA$119))*(0.02)/(1-0.02)</f>
        <v>0</v>
      </c>
      <c r="AF119" s="4" t="s">
        <v>649</v>
      </c>
    </row>
    <row r="120" spans="1:32" ht="11.25" customHeight="1" x14ac:dyDescent="0.25">
      <c r="A120" s="4" t="s">
        <v>21</v>
      </c>
      <c r="B120" s="4" t="s">
        <v>38</v>
      </c>
      <c r="C120" s="4" t="s">
        <v>39</v>
      </c>
      <c r="D120" s="4" t="s">
        <v>43</v>
      </c>
      <c r="E120" s="4" t="s">
        <v>52</v>
      </c>
      <c r="F120" s="4" t="s">
        <v>25</v>
      </c>
      <c r="G120" s="4" t="s">
        <v>25</v>
      </c>
      <c r="H120" s="4" t="s">
        <v>25</v>
      </c>
      <c r="I120" s="5">
        <v>44682</v>
      </c>
      <c r="J120" s="6">
        <v>177</v>
      </c>
      <c r="K120" s="96">
        <v>177</v>
      </c>
      <c r="L120" s="6">
        <v>0</v>
      </c>
      <c r="M120" s="96">
        <v>0</v>
      </c>
      <c r="N120" s="6">
        <v>0</v>
      </c>
      <c r="O120" s="96">
        <v>0</v>
      </c>
      <c r="P120" s="6">
        <v>3</v>
      </c>
      <c r="Q120" s="4" t="s">
        <v>26</v>
      </c>
      <c r="R120" s="4">
        <v>0</v>
      </c>
      <c r="S120" s="4">
        <v>19</v>
      </c>
      <c r="T120" s="4">
        <v>0</v>
      </c>
      <c r="U120" s="4">
        <v>0</v>
      </c>
      <c r="V120" s="96">
        <f>IF(ISERROR(VLOOKUP($S$120,'TAR FIN'!$A$1:$O$86,15,0)),0,VLOOKUP($S$120,'TAR FIN'!$A$1:$O$86,15,0))*(1-0.04)</f>
        <v>15.638399999999999</v>
      </c>
      <c r="W120" s="96">
        <f>IF(ISERROR(VLOOKUP($T$120,'TAR FIN'!$A$1:$O$86,15,0)),0,VLOOKUP($T$120,'TAR FIN'!$A$1:$O$86,15,0))</f>
        <v>0</v>
      </c>
      <c r="X120" s="96">
        <f>IF(ISERROR(VLOOKUP($U$120,'TAR FIN'!$A$1:$O$86,15,0)),0,VLOOKUP($U$120,'TAR FIN'!$A$1:$O$86,15,0))</f>
        <v>0</v>
      </c>
      <c r="Y120" s="96">
        <f ca="1">('TUSD BE'!$AM$10+'TUSD BF'!$AM$10+'TUSD CVA'!$AM$10)*1*(1-0.02)</f>
        <v>20.716782055066915</v>
      </c>
      <c r="Z120" s="96"/>
      <c r="AA120" s="96"/>
      <c r="AB120" s="96">
        <f>(SUBSIDIO!$J$120*SUBSIDIO!$V$120)*(0.04)/(1-0.04)</f>
        <v>115.33320000000001</v>
      </c>
      <c r="AC120" s="96">
        <f>((SUBSIDIO!$L$120*SUBSIDIO!$W$120)+(SUBSIDIO!$N$120*SUBSIDIO!$X$120))*(0.04)/(1-0.04)</f>
        <v>0</v>
      </c>
      <c r="AD120" s="96">
        <f ca="1">(SUBSIDIO!$J$120*SUBSIDIO!$Y$120)*(0.02)/(1-0.02)</f>
        <v>74.834090280547841</v>
      </c>
      <c r="AE120" s="96">
        <f>((SUBSIDIO!$L$120*SUBSIDIO!$Z$120)+(SUBSIDIO!$N$120*SUBSIDIO!$AA$120))*(0.02)/(1-0.02)</f>
        <v>0</v>
      </c>
      <c r="AF120" s="4" t="s">
        <v>649</v>
      </c>
    </row>
    <row r="121" spans="1:32" ht="11.25" customHeight="1" x14ac:dyDescent="0.25">
      <c r="A121" s="4" t="s">
        <v>55</v>
      </c>
      <c r="B121" s="4" t="s">
        <v>38</v>
      </c>
      <c r="C121" s="4" t="s">
        <v>39</v>
      </c>
      <c r="D121" s="4" t="s">
        <v>43</v>
      </c>
      <c r="E121" s="4" t="s">
        <v>52</v>
      </c>
      <c r="F121" s="4" t="s">
        <v>25</v>
      </c>
      <c r="G121" s="4" t="s">
        <v>25</v>
      </c>
      <c r="H121" s="4" t="s">
        <v>25</v>
      </c>
      <c r="I121" s="5">
        <v>44713</v>
      </c>
      <c r="J121" s="6">
        <v>177</v>
      </c>
      <c r="K121" s="96">
        <v>177</v>
      </c>
      <c r="L121" s="6">
        <v>0</v>
      </c>
      <c r="M121" s="96">
        <v>0</v>
      </c>
      <c r="N121" s="6">
        <v>0</v>
      </c>
      <c r="O121" s="96">
        <v>0</v>
      </c>
      <c r="P121" s="6">
        <v>3</v>
      </c>
      <c r="Q121" s="4" t="s">
        <v>26</v>
      </c>
      <c r="R121" s="4">
        <v>0</v>
      </c>
      <c r="S121" s="4">
        <v>19</v>
      </c>
      <c r="T121" s="4">
        <v>0</v>
      </c>
      <c r="U121" s="4">
        <v>0</v>
      </c>
      <c r="V121" s="96">
        <f>IF(ISERROR(VLOOKUP($S$121,'TAR FIN'!$A$1:$O$86,15,0)),0,VLOOKUP($S$121,'TAR FIN'!$A$1:$O$86,15,0))*(1-0.04)</f>
        <v>15.638399999999999</v>
      </c>
      <c r="W121" s="96">
        <f>IF(ISERROR(VLOOKUP($T$121,'TAR FIN'!$A$1:$O$86,15,0)),0,VLOOKUP($T$121,'TAR FIN'!$A$1:$O$86,15,0))</f>
        <v>0</v>
      </c>
      <c r="X121" s="96">
        <f>IF(ISERROR(VLOOKUP($U$121,'TAR FIN'!$A$1:$O$86,15,0)),0,VLOOKUP($U$121,'TAR FIN'!$A$1:$O$86,15,0))</f>
        <v>0</v>
      </c>
      <c r="Y121" s="96">
        <f ca="1">('TUSD BE'!$AM$10+'TUSD BF'!$AM$10+'TUSD CVA'!$AM$10)*1*(1-0.02)</f>
        <v>20.716782055066915</v>
      </c>
      <c r="Z121" s="96"/>
      <c r="AA121" s="96"/>
      <c r="AB121" s="96">
        <f>(SUBSIDIO!$J$121*SUBSIDIO!$V$121)*(0.04)/(1-0.04)</f>
        <v>115.33320000000001</v>
      </c>
      <c r="AC121" s="96">
        <f>((SUBSIDIO!$L$121*SUBSIDIO!$W$121)+(SUBSIDIO!$N$121*SUBSIDIO!$X$121))*(0.04)/(1-0.04)</f>
        <v>0</v>
      </c>
      <c r="AD121" s="96">
        <f ca="1">(SUBSIDIO!$J$121*SUBSIDIO!$Y$121)*(0.02)/(1-0.02)</f>
        <v>74.834090280547841</v>
      </c>
      <c r="AE121" s="96">
        <f>((SUBSIDIO!$L$121*SUBSIDIO!$Z$121)+(SUBSIDIO!$N$121*SUBSIDIO!$AA$121))*(0.02)/(1-0.02)</f>
        <v>0</v>
      </c>
      <c r="AF121" s="4" t="s">
        <v>649</v>
      </c>
    </row>
    <row r="122" spans="1:32" ht="11.25" customHeight="1" x14ac:dyDescent="0.25">
      <c r="A122" s="4" t="s">
        <v>21</v>
      </c>
      <c r="B122" s="4" t="s">
        <v>38</v>
      </c>
      <c r="C122" s="4" t="s">
        <v>39</v>
      </c>
      <c r="D122" s="4" t="s">
        <v>43</v>
      </c>
      <c r="E122" s="4" t="s">
        <v>52</v>
      </c>
      <c r="F122" s="4" t="s">
        <v>25</v>
      </c>
      <c r="G122" s="4" t="s">
        <v>25</v>
      </c>
      <c r="H122" s="4" t="s">
        <v>33</v>
      </c>
      <c r="I122" s="5">
        <v>44378</v>
      </c>
      <c r="J122" s="6">
        <v>0</v>
      </c>
      <c r="K122" s="96">
        <v>0</v>
      </c>
      <c r="L122" s="6">
        <v>5.0999999999999997E-2</v>
      </c>
      <c r="M122" s="96">
        <v>5.0999999999999997E-2</v>
      </c>
      <c r="N122" s="6">
        <v>5.0999999999999997E-2</v>
      </c>
      <c r="O122" s="96">
        <v>5.0999999999999997E-2</v>
      </c>
      <c r="P122" s="6">
        <v>0</v>
      </c>
      <c r="Q122" s="4" t="s">
        <v>26</v>
      </c>
      <c r="R122" s="4">
        <v>0</v>
      </c>
      <c r="S122" s="4">
        <v>0</v>
      </c>
      <c r="T122" s="4">
        <v>21</v>
      </c>
      <c r="U122" s="4">
        <v>66</v>
      </c>
      <c r="V122" s="96">
        <f>IF(ISERROR(VLOOKUP($S$122,'TAR FIN'!$A$1:$O$86,15,0)),0,VLOOKUP($S$122,'TAR FIN'!$A$1:$O$86,15,0))</f>
        <v>0</v>
      </c>
      <c r="W122" s="96">
        <f>IF(ISERROR(VLOOKUP($T$122,'TAR FIN'!$A$1:$O$86,15,0)),0,VLOOKUP($T$122,'TAR FIN'!$A$1:$O$86,15,0))*(1-0.04)</f>
        <v>572.90879999999993</v>
      </c>
      <c r="X122" s="96">
        <f>IF(ISERROR(VLOOKUP($U$122,'TAR FIN'!$A$1:$O$86,15,0)),0,VLOOKUP($U$122,'TAR FIN'!$A$1:$O$86,15,0))*(1-0.04)</f>
        <v>483.66719999999998</v>
      </c>
      <c r="Y122" s="96"/>
      <c r="Z122" s="96">
        <f ca="1">('TUSD BE'!$AM$11+'TUSD BF'!$AM$11+'TUSD CVA'!$AM$11)*1*(1-0.02)</f>
        <v>613.15693267511767</v>
      </c>
      <c r="AA122" s="96">
        <f>('TE BE'!$AB$5+'TE BF'!$AB$5+'TE CVA'!$AB$5)*1*(1-0.02)</f>
        <v>390.05630765165643</v>
      </c>
      <c r="AB122" s="96">
        <f>(SUBSIDIO!$J$122*SUBSIDIO!$V$122)*(0.04)/(1-0.04)</f>
        <v>0</v>
      </c>
      <c r="AC122" s="96">
        <f>((SUBSIDIO!$L$122*SUBSIDIO!$W$122)+(SUBSIDIO!$N$122*SUBSIDIO!$X$122))*(0.04)/(1-0.04)</f>
        <v>2.2452239999999999</v>
      </c>
      <c r="AD122" s="96">
        <f>(SUBSIDIO!$J$122*SUBSIDIO!$Y$122)*(0.02)/(1-0.02)</f>
        <v>0</v>
      </c>
      <c r="AE122" s="96">
        <f ca="1">((SUBSIDIO!$L$122*SUBSIDIO!$Z$122)+(SUBSIDIO!$N$122*SUBSIDIO!$AA$122))*(0.02)/(1-0.02)</f>
        <v>1.0441607195237854</v>
      </c>
      <c r="AF122" s="4" t="s">
        <v>649</v>
      </c>
    </row>
    <row r="123" spans="1:32" ht="11.25" customHeight="1" x14ac:dyDescent="0.25">
      <c r="A123" s="4" t="s">
        <v>21</v>
      </c>
      <c r="B123" s="4" t="s">
        <v>38</v>
      </c>
      <c r="C123" s="4" t="s">
        <v>39</v>
      </c>
      <c r="D123" s="4" t="s">
        <v>43</v>
      </c>
      <c r="E123" s="4" t="s">
        <v>52</v>
      </c>
      <c r="F123" s="4" t="s">
        <v>25</v>
      </c>
      <c r="G123" s="4" t="s">
        <v>25</v>
      </c>
      <c r="H123" s="4" t="s">
        <v>33</v>
      </c>
      <c r="I123" s="5">
        <v>44409</v>
      </c>
      <c r="J123" s="6">
        <v>0</v>
      </c>
      <c r="K123" s="96">
        <v>0</v>
      </c>
      <c r="L123" s="6">
        <v>5.0999999999999997E-2</v>
      </c>
      <c r="M123" s="96">
        <v>5.0999999999999997E-2</v>
      </c>
      <c r="N123" s="6">
        <v>5.0999999999999997E-2</v>
      </c>
      <c r="O123" s="96">
        <v>5.0999999999999997E-2</v>
      </c>
      <c r="P123" s="6">
        <v>0</v>
      </c>
      <c r="Q123" s="4" t="s">
        <v>26</v>
      </c>
      <c r="R123" s="4">
        <v>0</v>
      </c>
      <c r="S123" s="4">
        <v>0</v>
      </c>
      <c r="T123" s="4">
        <v>21</v>
      </c>
      <c r="U123" s="4">
        <v>66</v>
      </c>
      <c r="V123" s="96">
        <f>IF(ISERROR(VLOOKUP($S$123,'TAR FIN'!$A$1:$O$86,15,0)),0,VLOOKUP($S$123,'TAR FIN'!$A$1:$O$86,15,0))</f>
        <v>0</v>
      </c>
      <c r="W123" s="96">
        <f>IF(ISERROR(VLOOKUP($T$123,'TAR FIN'!$A$1:$O$86,15,0)),0,VLOOKUP($T$123,'TAR FIN'!$A$1:$O$86,15,0))*(1-0.04)</f>
        <v>572.90879999999993</v>
      </c>
      <c r="X123" s="96">
        <f>IF(ISERROR(VLOOKUP($U$123,'TAR FIN'!$A$1:$O$86,15,0)),0,VLOOKUP($U$123,'TAR FIN'!$A$1:$O$86,15,0))*(1-0.04)</f>
        <v>483.66719999999998</v>
      </c>
      <c r="Y123" s="96"/>
      <c r="Z123" s="96">
        <f ca="1">('TUSD BE'!$AM$11+'TUSD BF'!$AM$11+'TUSD CVA'!$AM$11)*1*(1-0.02)</f>
        <v>613.15693267511767</v>
      </c>
      <c r="AA123" s="96">
        <f>('TE BE'!$AB$5+'TE BF'!$AB$5+'TE CVA'!$AB$5)*1*(1-0.02)</f>
        <v>390.05630765165643</v>
      </c>
      <c r="AB123" s="96">
        <f>(SUBSIDIO!$J$123*SUBSIDIO!$V$123)*(0.04)/(1-0.04)</f>
        <v>0</v>
      </c>
      <c r="AC123" s="96">
        <f>((SUBSIDIO!$L$123*SUBSIDIO!$W$123)+(SUBSIDIO!$N$123*SUBSIDIO!$X$123))*(0.04)/(1-0.04)</f>
        <v>2.2452239999999999</v>
      </c>
      <c r="AD123" s="96">
        <f>(SUBSIDIO!$J$123*SUBSIDIO!$Y$123)*(0.02)/(1-0.02)</f>
        <v>0</v>
      </c>
      <c r="AE123" s="96">
        <f ca="1">((SUBSIDIO!$L$123*SUBSIDIO!$Z$123)+(SUBSIDIO!$N$123*SUBSIDIO!$AA$123))*(0.02)/(1-0.02)</f>
        <v>1.0441607195237854</v>
      </c>
      <c r="AF123" s="4" t="s">
        <v>649</v>
      </c>
    </row>
    <row r="124" spans="1:32" ht="11.25" customHeight="1" x14ac:dyDescent="0.25">
      <c r="A124" s="4" t="s">
        <v>21</v>
      </c>
      <c r="B124" s="4" t="s">
        <v>38</v>
      </c>
      <c r="C124" s="4" t="s">
        <v>39</v>
      </c>
      <c r="D124" s="4" t="s">
        <v>43</v>
      </c>
      <c r="E124" s="4" t="s">
        <v>52</v>
      </c>
      <c r="F124" s="4" t="s">
        <v>25</v>
      </c>
      <c r="G124" s="4" t="s">
        <v>25</v>
      </c>
      <c r="H124" s="4" t="s">
        <v>33</v>
      </c>
      <c r="I124" s="5">
        <v>44440</v>
      </c>
      <c r="J124" s="6">
        <v>0</v>
      </c>
      <c r="K124" s="96">
        <v>0</v>
      </c>
      <c r="L124" s="6">
        <v>5.1999999999999998E-2</v>
      </c>
      <c r="M124" s="96">
        <v>5.1999999999999998E-2</v>
      </c>
      <c r="N124" s="6">
        <v>5.1999999999999998E-2</v>
      </c>
      <c r="O124" s="96">
        <v>5.1999999999999998E-2</v>
      </c>
      <c r="P124" s="6">
        <v>0</v>
      </c>
      <c r="Q124" s="4" t="s">
        <v>26</v>
      </c>
      <c r="R124" s="4">
        <v>0</v>
      </c>
      <c r="S124" s="4">
        <v>0</v>
      </c>
      <c r="T124" s="4">
        <v>21</v>
      </c>
      <c r="U124" s="4">
        <v>66</v>
      </c>
      <c r="V124" s="96">
        <f>IF(ISERROR(VLOOKUP($S$124,'TAR FIN'!$A$1:$O$86,15,0)),0,VLOOKUP($S$124,'TAR FIN'!$A$1:$O$86,15,0))</f>
        <v>0</v>
      </c>
      <c r="W124" s="96">
        <f>IF(ISERROR(VLOOKUP($T$124,'TAR FIN'!$A$1:$O$86,15,0)),0,VLOOKUP($T$124,'TAR FIN'!$A$1:$O$86,15,0))*(1-0.04)</f>
        <v>572.90879999999993</v>
      </c>
      <c r="X124" s="96">
        <f>IF(ISERROR(VLOOKUP($U$124,'TAR FIN'!$A$1:$O$86,15,0)),0,VLOOKUP($U$124,'TAR FIN'!$A$1:$O$86,15,0))*(1-0.04)</f>
        <v>483.66719999999998</v>
      </c>
      <c r="Y124" s="96"/>
      <c r="Z124" s="96">
        <f ca="1">('TUSD BE'!$AM$11+'TUSD BF'!$AM$11+'TUSD CVA'!$AM$11)*1*(1-0.02)</f>
        <v>613.15693267511767</v>
      </c>
      <c r="AA124" s="96">
        <f>('TE BE'!$AB$5+'TE BF'!$AB$5+'TE CVA'!$AB$5)*1*(1-0.02)</f>
        <v>390.05630765165643</v>
      </c>
      <c r="AB124" s="96">
        <f>(SUBSIDIO!$J$124*SUBSIDIO!$V$124)*(0.04)/(1-0.04)</f>
        <v>0</v>
      </c>
      <c r="AC124" s="96">
        <f>((SUBSIDIO!$L$124*SUBSIDIO!$W$124)+(SUBSIDIO!$N$124*SUBSIDIO!$X$124))*(0.04)/(1-0.04)</f>
        <v>2.2892479999999997</v>
      </c>
      <c r="AD124" s="96">
        <f>(SUBSIDIO!$J$124*SUBSIDIO!$Y$124)*(0.02)/(1-0.02)</f>
        <v>0</v>
      </c>
      <c r="AE124" s="96">
        <f ca="1">((SUBSIDIO!$L$124*SUBSIDIO!$Z$124)+(SUBSIDIO!$N$124*SUBSIDIO!$AA$124))*(0.02)/(1-0.02)</f>
        <v>1.0646344591222909</v>
      </c>
      <c r="AF124" s="4" t="s">
        <v>649</v>
      </c>
    </row>
    <row r="125" spans="1:32" ht="11.25" customHeight="1" x14ac:dyDescent="0.25">
      <c r="A125" s="4" t="s">
        <v>21</v>
      </c>
      <c r="B125" s="4" t="s">
        <v>38</v>
      </c>
      <c r="C125" s="4" t="s">
        <v>39</v>
      </c>
      <c r="D125" s="4" t="s">
        <v>43</v>
      </c>
      <c r="E125" s="4" t="s">
        <v>52</v>
      </c>
      <c r="F125" s="4" t="s">
        <v>25</v>
      </c>
      <c r="G125" s="4" t="s">
        <v>25</v>
      </c>
      <c r="H125" s="4" t="s">
        <v>33</v>
      </c>
      <c r="I125" s="5">
        <v>44470</v>
      </c>
      <c r="J125" s="6">
        <v>0</v>
      </c>
      <c r="K125" s="96">
        <v>0</v>
      </c>
      <c r="L125" s="6">
        <v>7.2999999999999995E-2</v>
      </c>
      <c r="M125" s="96">
        <v>7.2999999999999995E-2</v>
      </c>
      <c r="N125" s="6">
        <v>7.2999999999999995E-2</v>
      </c>
      <c r="O125" s="96">
        <v>7.2999999999999995E-2</v>
      </c>
      <c r="P125" s="6">
        <v>0</v>
      </c>
      <c r="Q125" s="4" t="s">
        <v>26</v>
      </c>
      <c r="R125" s="4">
        <v>0</v>
      </c>
      <c r="S125" s="4">
        <v>0</v>
      </c>
      <c r="T125" s="4">
        <v>21</v>
      </c>
      <c r="U125" s="4">
        <v>66</v>
      </c>
      <c r="V125" s="96">
        <f>IF(ISERROR(VLOOKUP($S$125,'TAR FIN'!$A$1:$O$86,15,0)),0,VLOOKUP($S$125,'TAR FIN'!$A$1:$O$86,15,0))</f>
        <v>0</v>
      </c>
      <c r="W125" s="96">
        <f>IF(ISERROR(VLOOKUP($T$125,'TAR FIN'!$A$1:$O$86,15,0)),0,VLOOKUP($T$125,'TAR FIN'!$A$1:$O$86,15,0))*(1-0.04)</f>
        <v>572.90879999999993</v>
      </c>
      <c r="X125" s="96">
        <f>IF(ISERROR(VLOOKUP($U$125,'TAR FIN'!$A$1:$O$86,15,0)),0,VLOOKUP($U$125,'TAR FIN'!$A$1:$O$86,15,0))*(1-0.04)</f>
        <v>483.66719999999998</v>
      </c>
      <c r="Y125" s="96"/>
      <c r="Z125" s="96">
        <f ca="1">('TUSD BE'!$AM$11+'TUSD BF'!$AM$11+'TUSD CVA'!$AM$11)*1*(1-0.02)</f>
        <v>613.15693267511767</v>
      </c>
      <c r="AA125" s="96">
        <f>('TE BE'!$AB$5+'TE BF'!$AB$5+'TE CVA'!$AB$5)*1*(1-0.02)</f>
        <v>390.05630765165643</v>
      </c>
      <c r="AB125" s="96">
        <f>(SUBSIDIO!$J$125*SUBSIDIO!$V$125)*(0.04)/(1-0.04)</f>
        <v>0</v>
      </c>
      <c r="AC125" s="96">
        <f>((SUBSIDIO!$L$125*SUBSIDIO!$W$125)+(SUBSIDIO!$N$125*SUBSIDIO!$X$125))*(0.04)/(1-0.04)</f>
        <v>3.2137519999999995</v>
      </c>
      <c r="AD125" s="96">
        <f>(SUBSIDIO!$J$125*SUBSIDIO!$Y$125)*(0.02)/(1-0.02)</f>
        <v>0</v>
      </c>
      <c r="AE125" s="96">
        <f ca="1">((SUBSIDIO!$L$125*SUBSIDIO!$Z$125)+(SUBSIDIO!$N$125*SUBSIDIO!$AA$125))*(0.02)/(1-0.02)</f>
        <v>1.4945829906909081</v>
      </c>
      <c r="AF125" s="4" t="s">
        <v>649</v>
      </c>
    </row>
    <row r="126" spans="1:32" ht="11.25" customHeight="1" x14ac:dyDescent="0.25">
      <c r="A126" s="4" t="s">
        <v>21</v>
      </c>
      <c r="B126" s="4" t="s">
        <v>38</v>
      </c>
      <c r="C126" s="4" t="s">
        <v>39</v>
      </c>
      <c r="D126" s="4" t="s">
        <v>43</v>
      </c>
      <c r="E126" s="4" t="s">
        <v>52</v>
      </c>
      <c r="F126" s="4" t="s">
        <v>25</v>
      </c>
      <c r="G126" s="4" t="s">
        <v>25</v>
      </c>
      <c r="H126" s="4" t="s">
        <v>33</v>
      </c>
      <c r="I126" s="5">
        <v>44501</v>
      </c>
      <c r="J126" s="6">
        <v>0</v>
      </c>
      <c r="K126" s="96">
        <v>0</v>
      </c>
      <c r="L126" s="6">
        <v>3.5999999999999997E-2</v>
      </c>
      <c r="M126" s="96">
        <v>3.5999999999999997E-2</v>
      </c>
      <c r="N126" s="6">
        <v>3.5999999999999997E-2</v>
      </c>
      <c r="O126" s="96">
        <v>3.5999999999999997E-2</v>
      </c>
      <c r="P126" s="6">
        <v>0</v>
      </c>
      <c r="Q126" s="4" t="s">
        <v>26</v>
      </c>
      <c r="R126" s="4">
        <v>0</v>
      </c>
      <c r="S126" s="4">
        <v>0</v>
      </c>
      <c r="T126" s="4">
        <v>21</v>
      </c>
      <c r="U126" s="4">
        <v>66</v>
      </c>
      <c r="V126" s="96">
        <f>IF(ISERROR(VLOOKUP($S$126,'TAR FIN'!$A$1:$O$86,15,0)),0,VLOOKUP($S$126,'TAR FIN'!$A$1:$O$86,15,0))</f>
        <v>0</v>
      </c>
      <c r="W126" s="96">
        <f>IF(ISERROR(VLOOKUP($T$126,'TAR FIN'!$A$1:$O$86,15,0)),0,VLOOKUP($T$126,'TAR FIN'!$A$1:$O$86,15,0))*(1-0.04)</f>
        <v>572.90879999999993</v>
      </c>
      <c r="X126" s="96">
        <f>IF(ISERROR(VLOOKUP($U$126,'TAR FIN'!$A$1:$O$86,15,0)),0,VLOOKUP($U$126,'TAR FIN'!$A$1:$O$86,15,0))*(1-0.04)</f>
        <v>483.66719999999998</v>
      </c>
      <c r="Y126" s="96"/>
      <c r="Z126" s="96">
        <f ca="1">('TUSD BE'!$AM$11+'TUSD BF'!$AM$11+'TUSD CVA'!$AM$11)*1*(1-0.02)</f>
        <v>613.15693267511767</v>
      </c>
      <c r="AA126" s="96">
        <f>('TE BE'!$AB$5+'TE BF'!$AB$5+'TE CVA'!$AB$5)*1*(1-0.02)</f>
        <v>390.05630765165643</v>
      </c>
      <c r="AB126" s="96">
        <f>(SUBSIDIO!$J$126*SUBSIDIO!$V$126)*(0.04)/(1-0.04)</f>
        <v>0</v>
      </c>
      <c r="AC126" s="96">
        <f>((SUBSIDIO!$L$126*SUBSIDIO!$W$126)+(SUBSIDIO!$N$126*SUBSIDIO!$X$126))*(0.04)/(1-0.04)</f>
        <v>1.5848639999999998</v>
      </c>
      <c r="AD126" s="96">
        <f>(SUBSIDIO!$J$126*SUBSIDIO!$Y$126)*(0.02)/(1-0.02)</f>
        <v>0</v>
      </c>
      <c r="AE126" s="96">
        <f ca="1">((SUBSIDIO!$L$126*SUBSIDIO!$Z$126)+(SUBSIDIO!$N$126*SUBSIDIO!$AA$126))*(0.02)/(1-0.02)</f>
        <v>0.73705462554620127</v>
      </c>
      <c r="AF126" s="4" t="s">
        <v>649</v>
      </c>
    </row>
    <row r="127" spans="1:32" ht="11.25" customHeight="1" x14ac:dyDescent="0.25">
      <c r="A127" s="4" t="s">
        <v>21</v>
      </c>
      <c r="B127" s="4" t="s">
        <v>38</v>
      </c>
      <c r="C127" s="4" t="s">
        <v>39</v>
      </c>
      <c r="D127" s="4" t="s">
        <v>43</v>
      </c>
      <c r="E127" s="4" t="s">
        <v>52</v>
      </c>
      <c r="F127" s="4" t="s">
        <v>25</v>
      </c>
      <c r="G127" s="4" t="s">
        <v>25</v>
      </c>
      <c r="H127" s="4" t="s">
        <v>33</v>
      </c>
      <c r="I127" s="5">
        <v>44531</v>
      </c>
      <c r="J127" s="6">
        <v>0</v>
      </c>
      <c r="K127" s="96">
        <v>0</v>
      </c>
      <c r="L127" s="6">
        <v>6.9000000000000006E-2</v>
      </c>
      <c r="M127" s="96">
        <v>6.9000000000000006E-2</v>
      </c>
      <c r="N127" s="6">
        <v>6.9000000000000006E-2</v>
      </c>
      <c r="O127" s="96">
        <v>6.9000000000000006E-2</v>
      </c>
      <c r="P127" s="6">
        <v>0</v>
      </c>
      <c r="Q127" s="4" t="s">
        <v>26</v>
      </c>
      <c r="R127" s="4">
        <v>0</v>
      </c>
      <c r="S127" s="4">
        <v>0</v>
      </c>
      <c r="T127" s="4">
        <v>21</v>
      </c>
      <c r="U127" s="4">
        <v>66</v>
      </c>
      <c r="V127" s="96">
        <f>IF(ISERROR(VLOOKUP($S$127,'TAR FIN'!$A$1:$O$86,15,0)),0,VLOOKUP($S$127,'TAR FIN'!$A$1:$O$86,15,0))</f>
        <v>0</v>
      </c>
      <c r="W127" s="96">
        <f>IF(ISERROR(VLOOKUP($T$127,'TAR FIN'!$A$1:$O$86,15,0)),0,VLOOKUP($T$127,'TAR FIN'!$A$1:$O$86,15,0))*(1-0.04)</f>
        <v>572.90879999999993</v>
      </c>
      <c r="X127" s="96">
        <f>IF(ISERROR(VLOOKUP($U$127,'TAR FIN'!$A$1:$O$86,15,0)),0,VLOOKUP($U$127,'TAR FIN'!$A$1:$O$86,15,0))*(1-0.04)</f>
        <v>483.66719999999998</v>
      </c>
      <c r="Y127" s="96"/>
      <c r="Z127" s="96">
        <f ca="1">('TUSD BE'!$AM$11+'TUSD BF'!$AM$11+'TUSD CVA'!$AM$11)*1*(1-0.02)</f>
        <v>613.15693267511767</v>
      </c>
      <c r="AA127" s="96">
        <f>('TE BE'!$AB$5+'TE BF'!$AB$5+'TE CVA'!$AB$5)*1*(1-0.02)</f>
        <v>390.05630765165643</v>
      </c>
      <c r="AB127" s="96">
        <f>(SUBSIDIO!$J$127*SUBSIDIO!$V$127)*(0.04)/(1-0.04)</f>
        <v>0</v>
      </c>
      <c r="AC127" s="96">
        <f>((SUBSIDIO!$L$127*SUBSIDIO!$W$127)+(SUBSIDIO!$N$127*SUBSIDIO!$X$127))*(0.04)/(1-0.04)</f>
        <v>3.0376559999999997</v>
      </c>
      <c r="AD127" s="96">
        <f>(SUBSIDIO!$J$127*SUBSIDIO!$Y$127)*(0.02)/(1-0.02)</f>
        <v>0</v>
      </c>
      <c r="AE127" s="96">
        <f ca="1">((SUBSIDIO!$L$127*SUBSIDIO!$Z$127)+(SUBSIDIO!$N$127*SUBSIDIO!$AA$127))*(0.02)/(1-0.02)</f>
        <v>1.4126880322968862</v>
      </c>
      <c r="AF127" s="4" t="s">
        <v>649</v>
      </c>
    </row>
    <row r="128" spans="1:32" ht="11.25" customHeight="1" x14ac:dyDescent="0.25">
      <c r="A128" s="4" t="s">
        <v>21</v>
      </c>
      <c r="B128" s="4" t="s">
        <v>38</v>
      </c>
      <c r="C128" s="4" t="s">
        <v>39</v>
      </c>
      <c r="D128" s="4" t="s">
        <v>43</v>
      </c>
      <c r="E128" s="4" t="s">
        <v>52</v>
      </c>
      <c r="F128" s="4" t="s">
        <v>25</v>
      </c>
      <c r="G128" s="4" t="s">
        <v>25</v>
      </c>
      <c r="H128" s="4" t="s">
        <v>33</v>
      </c>
      <c r="I128" s="5">
        <v>44562</v>
      </c>
      <c r="J128" s="6">
        <v>0</v>
      </c>
      <c r="K128" s="96">
        <v>0</v>
      </c>
      <c r="L128" s="6">
        <v>0.153</v>
      </c>
      <c r="M128" s="96">
        <v>0.153</v>
      </c>
      <c r="N128" s="6">
        <v>0.153</v>
      </c>
      <c r="O128" s="96">
        <v>0.153</v>
      </c>
      <c r="P128" s="6">
        <v>0</v>
      </c>
      <c r="Q128" s="4" t="s">
        <v>26</v>
      </c>
      <c r="R128" s="4">
        <v>0</v>
      </c>
      <c r="S128" s="4">
        <v>0</v>
      </c>
      <c r="T128" s="4">
        <v>21</v>
      </c>
      <c r="U128" s="4">
        <v>66</v>
      </c>
      <c r="V128" s="96">
        <f>IF(ISERROR(VLOOKUP($S$128,'TAR FIN'!$A$1:$O$86,15,0)),0,VLOOKUP($S$128,'TAR FIN'!$A$1:$O$86,15,0))</f>
        <v>0</v>
      </c>
      <c r="W128" s="96">
        <f>IF(ISERROR(VLOOKUP($T$128,'TAR FIN'!$A$1:$O$86,15,0)),0,VLOOKUP($T$128,'TAR FIN'!$A$1:$O$86,15,0))*(1-0.04)</f>
        <v>572.90879999999993</v>
      </c>
      <c r="X128" s="96">
        <f>IF(ISERROR(VLOOKUP($U$128,'TAR FIN'!$A$1:$O$86,15,0)),0,VLOOKUP($U$128,'TAR FIN'!$A$1:$O$86,15,0))*(1-0.04)</f>
        <v>483.66719999999998</v>
      </c>
      <c r="Y128" s="96"/>
      <c r="Z128" s="96">
        <f ca="1">('TUSD BE'!$AM$11+'TUSD BF'!$AM$11+'TUSD CVA'!$AM$11)*1*(1-0.02)</f>
        <v>613.15693267511767</v>
      </c>
      <c r="AA128" s="96">
        <f>('TE BE'!$AB$5+'TE BF'!$AB$5+'TE CVA'!$AB$5)*1*(1-0.02)</f>
        <v>390.05630765165643</v>
      </c>
      <c r="AB128" s="96">
        <f>(SUBSIDIO!$J$128*SUBSIDIO!$V$128)*(0.04)/(1-0.04)</f>
        <v>0</v>
      </c>
      <c r="AC128" s="96">
        <f>((SUBSIDIO!$L$128*SUBSIDIO!$W$128)+(SUBSIDIO!$N$128*SUBSIDIO!$X$128))*(0.04)/(1-0.04)</f>
        <v>6.7356719999999992</v>
      </c>
      <c r="AD128" s="96">
        <f>(SUBSIDIO!$J$128*SUBSIDIO!$Y$128)*(0.02)/(1-0.02)</f>
        <v>0</v>
      </c>
      <c r="AE128" s="96">
        <f ca="1">((SUBSIDIO!$L$128*SUBSIDIO!$Z$128)+(SUBSIDIO!$N$128*SUBSIDIO!$AA$128))*(0.02)/(1-0.02)</f>
        <v>3.132482158571356</v>
      </c>
      <c r="AF128" s="4" t="s">
        <v>649</v>
      </c>
    </row>
    <row r="129" spans="1:32" ht="11.25" customHeight="1" x14ac:dyDescent="0.25">
      <c r="A129" s="4" t="s">
        <v>21</v>
      </c>
      <c r="B129" s="4" t="s">
        <v>38</v>
      </c>
      <c r="C129" s="4" t="s">
        <v>39</v>
      </c>
      <c r="D129" s="4" t="s">
        <v>43</v>
      </c>
      <c r="E129" s="4" t="s">
        <v>52</v>
      </c>
      <c r="F129" s="4" t="s">
        <v>25</v>
      </c>
      <c r="G129" s="4" t="s">
        <v>25</v>
      </c>
      <c r="H129" s="4" t="s">
        <v>33</v>
      </c>
      <c r="I129" s="5">
        <v>44593</v>
      </c>
      <c r="J129" s="6">
        <v>0</v>
      </c>
      <c r="K129" s="96">
        <v>0</v>
      </c>
      <c r="L129" s="6">
        <v>0.125</v>
      </c>
      <c r="M129" s="96">
        <v>0.125</v>
      </c>
      <c r="N129" s="6">
        <v>0.125</v>
      </c>
      <c r="O129" s="96">
        <v>0.125</v>
      </c>
      <c r="P129" s="6">
        <v>0</v>
      </c>
      <c r="Q129" s="4" t="s">
        <v>26</v>
      </c>
      <c r="R129" s="4">
        <v>0</v>
      </c>
      <c r="S129" s="4">
        <v>0</v>
      </c>
      <c r="T129" s="4">
        <v>21</v>
      </c>
      <c r="U129" s="4">
        <v>66</v>
      </c>
      <c r="V129" s="96">
        <f>IF(ISERROR(VLOOKUP($S$129,'TAR FIN'!$A$1:$O$86,15,0)),0,VLOOKUP($S$129,'TAR FIN'!$A$1:$O$86,15,0))</f>
        <v>0</v>
      </c>
      <c r="W129" s="96">
        <f>IF(ISERROR(VLOOKUP($T$129,'TAR FIN'!$A$1:$O$86,15,0)),0,VLOOKUP($T$129,'TAR FIN'!$A$1:$O$86,15,0))*(1-0.04)</f>
        <v>572.90879999999993</v>
      </c>
      <c r="X129" s="96">
        <f>IF(ISERROR(VLOOKUP($U$129,'TAR FIN'!$A$1:$O$86,15,0)),0,VLOOKUP($U$129,'TAR FIN'!$A$1:$O$86,15,0))*(1-0.04)</f>
        <v>483.66719999999998</v>
      </c>
      <c r="Y129" s="96"/>
      <c r="Z129" s="96">
        <f ca="1">('TUSD BE'!$AM$11+'TUSD BF'!$AM$11+'TUSD CVA'!$AM$11)*1*(1-0.02)</f>
        <v>613.15693267511767</v>
      </c>
      <c r="AA129" s="96">
        <f>('TE BE'!$AB$5+'TE BF'!$AB$5+'TE CVA'!$AB$5)*1*(1-0.02)</f>
        <v>390.05630765165643</v>
      </c>
      <c r="AB129" s="96">
        <f>(SUBSIDIO!$J$129*SUBSIDIO!$V$129)*(0.04)/(1-0.04)</f>
        <v>0</v>
      </c>
      <c r="AC129" s="96">
        <f>((SUBSIDIO!$L$129*SUBSIDIO!$W$129)+(SUBSIDIO!$N$129*SUBSIDIO!$X$129))*(0.04)/(1-0.04)</f>
        <v>5.503000000000001</v>
      </c>
      <c r="AD129" s="96">
        <f>(SUBSIDIO!$J$129*SUBSIDIO!$Y$129)*(0.02)/(1-0.02)</f>
        <v>0</v>
      </c>
      <c r="AE129" s="96">
        <f ca="1">((SUBSIDIO!$L$129*SUBSIDIO!$Z$129)+(SUBSIDIO!$N$129*SUBSIDIO!$AA$129))*(0.02)/(1-0.02)</f>
        <v>2.5592174498131994</v>
      </c>
      <c r="AF129" s="4" t="s">
        <v>649</v>
      </c>
    </row>
    <row r="130" spans="1:32" ht="11.25" customHeight="1" x14ac:dyDescent="0.25">
      <c r="A130" s="4" t="s">
        <v>21</v>
      </c>
      <c r="B130" s="4" t="s">
        <v>38</v>
      </c>
      <c r="C130" s="4" t="s">
        <v>39</v>
      </c>
      <c r="D130" s="4" t="s">
        <v>43</v>
      </c>
      <c r="E130" s="4" t="s">
        <v>52</v>
      </c>
      <c r="F130" s="4" t="s">
        <v>25</v>
      </c>
      <c r="G130" s="4" t="s">
        <v>25</v>
      </c>
      <c r="H130" s="4" t="s">
        <v>33</v>
      </c>
      <c r="I130" s="5">
        <v>44621</v>
      </c>
      <c r="J130" s="6">
        <v>0</v>
      </c>
      <c r="K130" s="96">
        <v>0</v>
      </c>
      <c r="L130" s="6">
        <v>6.8000000000000005E-2</v>
      </c>
      <c r="M130" s="96">
        <v>6.8000000000000005E-2</v>
      </c>
      <c r="N130" s="6">
        <v>6.8000000000000005E-2</v>
      </c>
      <c r="O130" s="96">
        <v>6.8000000000000005E-2</v>
      </c>
      <c r="P130" s="6">
        <v>0</v>
      </c>
      <c r="Q130" s="4" t="s">
        <v>26</v>
      </c>
      <c r="R130" s="4">
        <v>0</v>
      </c>
      <c r="S130" s="4">
        <v>0</v>
      </c>
      <c r="T130" s="4">
        <v>21</v>
      </c>
      <c r="U130" s="4">
        <v>66</v>
      </c>
      <c r="V130" s="96">
        <f>IF(ISERROR(VLOOKUP($S$130,'TAR FIN'!$A$1:$O$86,15,0)),0,VLOOKUP($S$130,'TAR FIN'!$A$1:$O$86,15,0))</f>
        <v>0</v>
      </c>
      <c r="W130" s="96">
        <f>IF(ISERROR(VLOOKUP($T$130,'TAR FIN'!$A$1:$O$86,15,0)),0,VLOOKUP($T$130,'TAR FIN'!$A$1:$O$86,15,0))*(1-0.04)</f>
        <v>572.90879999999993</v>
      </c>
      <c r="X130" s="96">
        <f>IF(ISERROR(VLOOKUP($U$130,'TAR FIN'!$A$1:$O$86,15,0)),0,VLOOKUP($U$130,'TAR FIN'!$A$1:$O$86,15,0))*(1-0.04)</f>
        <v>483.66719999999998</v>
      </c>
      <c r="Y130" s="96"/>
      <c r="Z130" s="96">
        <f ca="1">('TUSD BE'!$AM$11+'TUSD BF'!$AM$11+'TUSD CVA'!$AM$11)*1*(1-0.02)</f>
        <v>613.15693267511767</v>
      </c>
      <c r="AA130" s="96">
        <f>('TE BE'!$AB$5+'TE BF'!$AB$5+'TE CVA'!$AB$5)*1*(1-0.02)</f>
        <v>390.05630765165643</v>
      </c>
      <c r="AB130" s="96">
        <f>(SUBSIDIO!$J$130*SUBSIDIO!$V$130)*(0.04)/(1-0.04)</f>
        <v>0</v>
      </c>
      <c r="AC130" s="96">
        <f>((SUBSIDIO!$L$130*SUBSIDIO!$W$130)+(SUBSIDIO!$N$130*SUBSIDIO!$X$130))*(0.04)/(1-0.04)</f>
        <v>2.9936319999999998</v>
      </c>
      <c r="AD130" s="96">
        <f>(SUBSIDIO!$J$130*SUBSIDIO!$Y$130)*(0.02)/(1-0.02)</f>
        <v>0</v>
      </c>
      <c r="AE130" s="96">
        <f ca="1">((SUBSIDIO!$L$130*SUBSIDIO!$Z$130)+(SUBSIDIO!$N$130*SUBSIDIO!$AA$130))*(0.02)/(1-0.02)</f>
        <v>1.3922142926983803</v>
      </c>
      <c r="AF130" s="4" t="s">
        <v>649</v>
      </c>
    </row>
    <row r="131" spans="1:32" ht="11.25" customHeight="1" x14ac:dyDescent="0.25">
      <c r="A131" s="4" t="s">
        <v>21</v>
      </c>
      <c r="B131" s="4" t="s">
        <v>38</v>
      </c>
      <c r="C131" s="4" t="s">
        <v>39</v>
      </c>
      <c r="D131" s="4" t="s">
        <v>43</v>
      </c>
      <c r="E131" s="4" t="s">
        <v>52</v>
      </c>
      <c r="F131" s="4" t="s">
        <v>25</v>
      </c>
      <c r="G131" s="4" t="s">
        <v>25</v>
      </c>
      <c r="H131" s="4" t="s">
        <v>33</v>
      </c>
      <c r="I131" s="5">
        <v>44652</v>
      </c>
      <c r="J131" s="6">
        <v>0</v>
      </c>
      <c r="K131" s="96">
        <v>0</v>
      </c>
      <c r="L131" s="6">
        <v>9.5000000000000001E-2</v>
      </c>
      <c r="M131" s="96">
        <v>9.5000000000000001E-2</v>
      </c>
      <c r="N131" s="6">
        <v>9.5000000000000001E-2</v>
      </c>
      <c r="O131" s="96">
        <v>9.5000000000000001E-2</v>
      </c>
      <c r="P131" s="6">
        <v>0</v>
      </c>
      <c r="Q131" s="4" t="s">
        <v>26</v>
      </c>
      <c r="R131" s="4">
        <v>0</v>
      </c>
      <c r="S131" s="4">
        <v>0</v>
      </c>
      <c r="T131" s="4">
        <v>21</v>
      </c>
      <c r="U131" s="4">
        <v>66</v>
      </c>
      <c r="V131" s="96">
        <f>IF(ISERROR(VLOOKUP($S$131,'TAR FIN'!$A$1:$O$86,15,0)),0,VLOOKUP($S$131,'TAR FIN'!$A$1:$O$86,15,0))</f>
        <v>0</v>
      </c>
      <c r="W131" s="96">
        <f>IF(ISERROR(VLOOKUP($T$131,'TAR FIN'!$A$1:$O$86,15,0)),0,VLOOKUP($T$131,'TAR FIN'!$A$1:$O$86,15,0))*(1-0.04)</f>
        <v>572.90879999999993</v>
      </c>
      <c r="X131" s="96">
        <f>IF(ISERROR(VLOOKUP($U$131,'TAR FIN'!$A$1:$O$86,15,0)),0,VLOOKUP($U$131,'TAR FIN'!$A$1:$O$86,15,0))*(1-0.04)</f>
        <v>483.66719999999998</v>
      </c>
      <c r="Y131" s="96"/>
      <c r="Z131" s="96">
        <f ca="1">('TUSD BE'!$AM$11+'TUSD BF'!$AM$11+'TUSD CVA'!$AM$11)*1*(1-0.02)</f>
        <v>613.15693267511767</v>
      </c>
      <c r="AA131" s="96">
        <f>('TE BE'!$AB$5+'TE BF'!$AB$5+'TE CVA'!$AB$5)*1*(1-0.02)</f>
        <v>390.05630765165643</v>
      </c>
      <c r="AB131" s="96">
        <f>(SUBSIDIO!$J$131*SUBSIDIO!$V$131)*(0.04)/(1-0.04)</f>
        <v>0</v>
      </c>
      <c r="AC131" s="96">
        <f>((SUBSIDIO!$L$131*SUBSIDIO!$W$131)+(SUBSIDIO!$N$131*SUBSIDIO!$X$131))*(0.04)/(1-0.04)</f>
        <v>4.1822800000000004</v>
      </c>
      <c r="AD131" s="96">
        <f>(SUBSIDIO!$J$131*SUBSIDIO!$Y$131)*(0.02)/(1-0.02)</f>
        <v>0</v>
      </c>
      <c r="AE131" s="96">
        <f ca="1">((SUBSIDIO!$L$131*SUBSIDIO!$Z$131)+(SUBSIDIO!$N$131*SUBSIDIO!$AA$131))*(0.02)/(1-0.02)</f>
        <v>1.9450052618580318</v>
      </c>
      <c r="AF131" s="4" t="s">
        <v>649</v>
      </c>
    </row>
    <row r="132" spans="1:32" ht="11.25" customHeight="1" x14ac:dyDescent="0.25">
      <c r="A132" s="4" t="s">
        <v>21</v>
      </c>
      <c r="B132" s="4" t="s">
        <v>38</v>
      </c>
      <c r="C132" s="4" t="s">
        <v>39</v>
      </c>
      <c r="D132" s="4" t="s">
        <v>43</v>
      </c>
      <c r="E132" s="4" t="s">
        <v>52</v>
      </c>
      <c r="F132" s="4" t="s">
        <v>25</v>
      </c>
      <c r="G132" s="4" t="s">
        <v>25</v>
      </c>
      <c r="H132" s="4" t="s">
        <v>33</v>
      </c>
      <c r="I132" s="5">
        <v>44682</v>
      </c>
      <c r="J132" s="6">
        <v>0</v>
      </c>
      <c r="K132" s="96">
        <v>0</v>
      </c>
      <c r="L132" s="6">
        <v>0.111</v>
      </c>
      <c r="M132" s="96">
        <v>0.111</v>
      </c>
      <c r="N132" s="6">
        <v>0.111</v>
      </c>
      <c r="O132" s="96">
        <v>0.111</v>
      </c>
      <c r="P132" s="6">
        <v>0</v>
      </c>
      <c r="Q132" s="4" t="s">
        <v>26</v>
      </c>
      <c r="R132" s="4">
        <v>0</v>
      </c>
      <c r="S132" s="4">
        <v>0</v>
      </c>
      <c r="T132" s="4">
        <v>21</v>
      </c>
      <c r="U132" s="4">
        <v>66</v>
      </c>
      <c r="V132" s="96">
        <f>IF(ISERROR(VLOOKUP($S$132,'TAR FIN'!$A$1:$O$86,15,0)),0,VLOOKUP($S$132,'TAR FIN'!$A$1:$O$86,15,0))</f>
        <v>0</v>
      </c>
      <c r="W132" s="96">
        <f>IF(ISERROR(VLOOKUP($T$132,'TAR FIN'!$A$1:$O$86,15,0)),0,VLOOKUP($T$132,'TAR FIN'!$A$1:$O$86,15,0))*(1-0.04)</f>
        <v>572.90879999999993</v>
      </c>
      <c r="X132" s="96">
        <f>IF(ISERROR(VLOOKUP($U$132,'TAR FIN'!$A$1:$O$86,15,0)),0,VLOOKUP($U$132,'TAR FIN'!$A$1:$O$86,15,0))*(1-0.04)</f>
        <v>483.66719999999998</v>
      </c>
      <c r="Y132" s="96"/>
      <c r="Z132" s="96">
        <f ca="1">('TUSD BE'!$AM$11+'TUSD BF'!$AM$11+'TUSD CVA'!$AM$11)*1*(1-0.02)</f>
        <v>613.15693267511767</v>
      </c>
      <c r="AA132" s="96">
        <f>('TE BE'!$AB$5+'TE BF'!$AB$5+'TE CVA'!$AB$5)*1*(1-0.02)</f>
        <v>390.05630765165643</v>
      </c>
      <c r="AB132" s="96">
        <f>(SUBSIDIO!$J$132*SUBSIDIO!$V$132)*(0.04)/(1-0.04)</f>
        <v>0</v>
      </c>
      <c r="AC132" s="96">
        <f>((SUBSIDIO!$L$132*SUBSIDIO!$W$132)+(SUBSIDIO!$N$132*SUBSIDIO!$X$132))*(0.04)/(1-0.04)</f>
        <v>4.8866639999999997</v>
      </c>
      <c r="AD132" s="96">
        <f>(SUBSIDIO!$J$132*SUBSIDIO!$Y$132)*(0.02)/(1-0.02)</f>
        <v>0</v>
      </c>
      <c r="AE132" s="96">
        <f ca="1">((SUBSIDIO!$L$132*SUBSIDIO!$Z$132)+(SUBSIDIO!$N$132*SUBSIDIO!$AA$132))*(0.02)/(1-0.02)</f>
        <v>2.2725850954341213</v>
      </c>
      <c r="AF132" s="4" t="s">
        <v>649</v>
      </c>
    </row>
    <row r="133" spans="1:32" ht="11.25" customHeight="1" x14ac:dyDescent="0.25">
      <c r="A133" s="4" t="s">
        <v>55</v>
      </c>
      <c r="B133" s="4" t="s">
        <v>38</v>
      </c>
      <c r="C133" s="4" t="s">
        <v>39</v>
      </c>
      <c r="D133" s="4" t="s">
        <v>43</v>
      </c>
      <c r="E133" s="4" t="s">
        <v>52</v>
      </c>
      <c r="F133" s="4" t="s">
        <v>25</v>
      </c>
      <c r="G133" s="4" t="s">
        <v>25</v>
      </c>
      <c r="H133" s="4" t="s">
        <v>33</v>
      </c>
      <c r="I133" s="5">
        <v>44713</v>
      </c>
      <c r="J133" s="6">
        <v>0</v>
      </c>
      <c r="K133" s="96">
        <v>0</v>
      </c>
      <c r="L133" s="6">
        <v>0.111</v>
      </c>
      <c r="M133" s="96">
        <v>0.111</v>
      </c>
      <c r="N133" s="6">
        <v>0.111</v>
      </c>
      <c r="O133" s="96">
        <v>0.111</v>
      </c>
      <c r="P133" s="6">
        <v>0</v>
      </c>
      <c r="Q133" s="4" t="s">
        <v>26</v>
      </c>
      <c r="R133" s="4">
        <v>0</v>
      </c>
      <c r="S133" s="4">
        <v>0</v>
      </c>
      <c r="T133" s="4">
        <v>21</v>
      </c>
      <c r="U133" s="4">
        <v>66</v>
      </c>
      <c r="V133" s="96">
        <f>IF(ISERROR(VLOOKUP($S$133,'TAR FIN'!$A$1:$O$86,15,0)),0,VLOOKUP($S$133,'TAR FIN'!$A$1:$O$86,15,0))</f>
        <v>0</v>
      </c>
      <c r="W133" s="96">
        <f>IF(ISERROR(VLOOKUP($T$133,'TAR FIN'!$A$1:$O$86,15,0)),0,VLOOKUP($T$133,'TAR FIN'!$A$1:$O$86,15,0))*(1-0.04)</f>
        <v>572.90879999999993</v>
      </c>
      <c r="X133" s="96">
        <f>IF(ISERROR(VLOOKUP($U$133,'TAR FIN'!$A$1:$O$86,15,0)),0,VLOOKUP($U$133,'TAR FIN'!$A$1:$O$86,15,0))*(1-0.04)</f>
        <v>483.66719999999998</v>
      </c>
      <c r="Y133" s="96"/>
      <c r="Z133" s="96">
        <f ca="1">('TUSD BE'!$AM$11+'TUSD BF'!$AM$11+'TUSD CVA'!$AM$11)*1*(1-0.02)</f>
        <v>613.15693267511767</v>
      </c>
      <c r="AA133" s="96">
        <f>('TE BE'!$AB$5+'TE BF'!$AB$5+'TE CVA'!$AB$5)*1*(1-0.02)</f>
        <v>390.05630765165643</v>
      </c>
      <c r="AB133" s="96">
        <f>(SUBSIDIO!$J$133*SUBSIDIO!$V$133)*(0.04)/(1-0.04)</f>
        <v>0</v>
      </c>
      <c r="AC133" s="96">
        <f>((SUBSIDIO!$L$133*SUBSIDIO!$W$133)+(SUBSIDIO!$N$133*SUBSIDIO!$X$133))*(0.04)/(1-0.04)</f>
        <v>4.8866639999999997</v>
      </c>
      <c r="AD133" s="96">
        <f>(SUBSIDIO!$J$133*SUBSIDIO!$Y$133)*(0.02)/(1-0.02)</f>
        <v>0</v>
      </c>
      <c r="AE133" s="96">
        <f ca="1">((SUBSIDIO!$L$133*SUBSIDIO!$Z$133)+(SUBSIDIO!$N$133*SUBSIDIO!$AA$133))*(0.02)/(1-0.02)</f>
        <v>2.2725850954341213</v>
      </c>
      <c r="AF133" s="4" t="s">
        <v>649</v>
      </c>
    </row>
    <row r="134" spans="1:32" ht="11.25" customHeight="1" x14ac:dyDescent="0.25">
      <c r="A134" s="4" t="s">
        <v>21</v>
      </c>
      <c r="B134" s="4" t="s">
        <v>38</v>
      </c>
      <c r="C134" s="4" t="s">
        <v>39</v>
      </c>
      <c r="D134" s="4" t="s">
        <v>43</v>
      </c>
      <c r="E134" s="4" t="s">
        <v>25</v>
      </c>
      <c r="F134" s="4" t="s">
        <v>25</v>
      </c>
      <c r="G134" s="4" t="s">
        <v>25</v>
      </c>
      <c r="H134" s="4" t="s">
        <v>34</v>
      </c>
      <c r="I134" s="5">
        <v>44378</v>
      </c>
      <c r="J134" s="6">
        <v>0</v>
      </c>
      <c r="K134" s="96">
        <v>0</v>
      </c>
      <c r="L134" s="6">
        <v>82.04</v>
      </c>
      <c r="M134" s="96">
        <v>82.04</v>
      </c>
      <c r="N134" s="6">
        <v>82.04</v>
      </c>
      <c r="O134" s="96">
        <v>82.04</v>
      </c>
      <c r="P134" s="6">
        <v>0</v>
      </c>
      <c r="Q134" s="4" t="s">
        <v>26</v>
      </c>
      <c r="R134" s="4">
        <v>0</v>
      </c>
      <c r="S134" s="4">
        <v>0</v>
      </c>
      <c r="T134" s="4">
        <v>17</v>
      </c>
      <c r="U134" s="4">
        <v>78</v>
      </c>
      <c r="V134" s="96">
        <f>IF(ISERROR(VLOOKUP($S$134,'TAR FIN'!$A$1:$O$86,15,0)),0,VLOOKUP($S$134,'TAR FIN'!$A$1:$O$86,15,0))</f>
        <v>0</v>
      </c>
      <c r="W134" s="96">
        <f>IF(ISERROR(VLOOKUP($T$134,'TAR FIN'!$A$1:$O$86,15,0)),0,VLOOKUP($T$134,'TAR FIN'!$A$1:$O$86,15,0))*(1-0.04)</f>
        <v>68.409599999999998</v>
      </c>
      <c r="X134" s="96">
        <f>IF(ISERROR(VLOOKUP($U$134,'TAR FIN'!$A$1:$O$86,15,0)),0,VLOOKUP($U$134,'TAR FIN'!$A$1:$O$86,15,0))*(1-0.04)</f>
        <v>285.41759999999999</v>
      </c>
      <c r="Y134" s="96"/>
      <c r="Z134" s="96">
        <f ca="1">('TUSD BE'!$AM$12+'TUSD BF'!$AM$12+'TUSD CVA'!$AM$12)*1*(1-0.02)</f>
        <v>93.899139140559214</v>
      </c>
      <c r="AA134" s="96">
        <f>('TE BE'!$AB$6+'TE BF'!$AB$6+'TE CVA'!$AB$6)*1*(1-0.02)</f>
        <v>230.63309335138217</v>
      </c>
      <c r="AB134" s="96">
        <f>(SUBSIDIO!$J$134*SUBSIDIO!$V$134)*(0.04)/(1-0.04)</f>
        <v>0</v>
      </c>
      <c r="AC134" s="96">
        <f>((SUBSIDIO!$L$134*SUBSIDIO!$W$134)+(SUBSIDIO!$N$134*SUBSIDIO!$X$134))*(0.04)/(1-0.04)</f>
        <v>1209.4993120000001</v>
      </c>
      <c r="AD134" s="96">
        <f>(SUBSIDIO!$J$134*SUBSIDIO!$Y$134)*(0.02)/(1-0.02)</f>
        <v>0</v>
      </c>
      <c r="AE134" s="96">
        <f ca="1">((SUBSIDIO!$L$134*SUBSIDIO!$Z$134)+(SUBSIDIO!$N$134*SUBSIDIO!$AA$134))*(0.02)/(1-0.02)</f>
        <v>543.35968068650755</v>
      </c>
      <c r="AF134" s="4" t="s">
        <v>649</v>
      </c>
    </row>
    <row r="135" spans="1:32" ht="11.25" customHeight="1" x14ac:dyDescent="0.25">
      <c r="A135" s="4" t="s">
        <v>21</v>
      </c>
      <c r="B135" s="4" t="s">
        <v>38</v>
      </c>
      <c r="C135" s="4" t="s">
        <v>39</v>
      </c>
      <c r="D135" s="4" t="s">
        <v>43</v>
      </c>
      <c r="E135" s="4" t="s">
        <v>25</v>
      </c>
      <c r="F135" s="4" t="s">
        <v>25</v>
      </c>
      <c r="G135" s="4" t="s">
        <v>25</v>
      </c>
      <c r="H135" s="4" t="s">
        <v>34</v>
      </c>
      <c r="I135" s="5">
        <v>44409</v>
      </c>
      <c r="J135" s="6">
        <v>0</v>
      </c>
      <c r="K135" s="96">
        <v>0</v>
      </c>
      <c r="L135" s="6">
        <v>76.536000000000001</v>
      </c>
      <c r="M135" s="96">
        <v>76.536000000000001</v>
      </c>
      <c r="N135" s="6">
        <v>76.536000000000001</v>
      </c>
      <c r="O135" s="96">
        <v>76.536000000000001</v>
      </c>
      <c r="P135" s="6">
        <v>0</v>
      </c>
      <c r="Q135" s="4" t="s">
        <v>26</v>
      </c>
      <c r="R135" s="4">
        <v>0</v>
      </c>
      <c r="S135" s="4">
        <v>0</v>
      </c>
      <c r="T135" s="4">
        <v>17</v>
      </c>
      <c r="U135" s="4">
        <v>78</v>
      </c>
      <c r="V135" s="96">
        <f>IF(ISERROR(VLOOKUP($S$135,'TAR FIN'!$A$1:$O$86,15,0)),0,VLOOKUP($S$135,'TAR FIN'!$A$1:$O$86,15,0))</f>
        <v>0</v>
      </c>
      <c r="W135" s="96">
        <f>IF(ISERROR(VLOOKUP($T$135,'TAR FIN'!$A$1:$O$86,15,0)),0,VLOOKUP($T$135,'TAR FIN'!$A$1:$O$86,15,0))*(1-0.04)</f>
        <v>68.409599999999998</v>
      </c>
      <c r="X135" s="96">
        <f>IF(ISERROR(VLOOKUP($U$135,'TAR FIN'!$A$1:$O$86,15,0)),0,VLOOKUP($U$135,'TAR FIN'!$A$1:$O$86,15,0))*(1-0.04)</f>
        <v>285.41759999999999</v>
      </c>
      <c r="Y135" s="96"/>
      <c r="Z135" s="96">
        <f ca="1">('TUSD BE'!$AM$12+'TUSD BF'!$AM$12+'TUSD CVA'!$AM$12)*1*(1-0.02)</f>
        <v>93.899139140559214</v>
      </c>
      <c r="AA135" s="96">
        <f>('TE BE'!$AB$6+'TE BF'!$AB$6+'TE CVA'!$AB$6)*1*(1-0.02)</f>
        <v>230.63309335138217</v>
      </c>
      <c r="AB135" s="96">
        <f>(SUBSIDIO!$J$135*SUBSIDIO!$V$135)*(0.04)/(1-0.04)</f>
        <v>0</v>
      </c>
      <c r="AC135" s="96">
        <f>((SUBSIDIO!$L$135*SUBSIDIO!$W$135)+(SUBSIDIO!$N$135*SUBSIDIO!$X$135))*(0.04)/(1-0.04)</f>
        <v>1128.3549407999999</v>
      </c>
      <c r="AD135" s="96">
        <f>(SUBSIDIO!$J$135*SUBSIDIO!$Y$135)*(0.02)/(1-0.02)</f>
        <v>0</v>
      </c>
      <c r="AE135" s="96">
        <f ca="1">((SUBSIDIO!$L$135*SUBSIDIO!$Z$135)+(SUBSIDIO!$N$135*SUBSIDIO!$AA$135))*(0.02)/(1-0.02)</f>
        <v>506.90610093884129</v>
      </c>
      <c r="AF135" s="4" t="s">
        <v>649</v>
      </c>
    </row>
    <row r="136" spans="1:32" ht="11.25" customHeight="1" x14ac:dyDescent="0.25">
      <c r="A136" s="4" t="s">
        <v>21</v>
      </c>
      <c r="B136" s="4" t="s">
        <v>38</v>
      </c>
      <c r="C136" s="4" t="s">
        <v>39</v>
      </c>
      <c r="D136" s="4" t="s">
        <v>43</v>
      </c>
      <c r="E136" s="4" t="s">
        <v>25</v>
      </c>
      <c r="F136" s="4" t="s">
        <v>25</v>
      </c>
      <c r="G136" s="4" t="s">
        <v>25</v>
      </c>
      <c r="H136" s="4" t="s">
        <v>34</v>
      </c>
      <c r="I136" s="5">
        <v>44440</v>
      </c>
      <c r="J136" s="6">
        <v>0</v>
      </c>
      <c r="K136" s="96">
        <v>0</v>
      </c>
      <c r="L136" s="6">
        <v>74.075999999999993</v>
      </c>
      <c r="M136" s="96">
        <v>74.075999999999993</v>
      </c>
      <c r="N136" s="6">
        <v>74.075999999999993</v>
      </c>
      <c r="O136" s="96">
        <v>74.075999999999993</v>
      </c>
      <c r="P136" s="6">
        <v>0</v>
      </c>
      <c r="Q136" s="4" t="s">
        <v>26</v>
      </c>
      <c r="R136" s="4">
        <v>0</v>
      </c>
      <c r="S136" s="4">
        <v>0</v>
      </c>
      <c r="T136" s="4">
        <v>17</v>
      </c>
      <c r="U136" s="4">
        <v>78</v>
      </c>
      <c r="V136" s="96">
        <f>IF(ISERROR(VLOOKUP($S$136,'TAR FIN'!$A$1:$O$86,15,0)),0,VLOOKUP($S$136,'TAR FIN'!$A$1:$O$86,15,0))</f>
        <v>0</v>
      </c>
      <c r="W136" s="96">
        <f>IF(ISERROR(VLOOKUP($T$136,'TAR FIN'!$A$1:$O$86,15,0)),0,VLOOKUP($T$136,'TAR FIN'!$A$1:$O$86,15,0))*(1-0.04)</f>
        <v>68.409599999999998</v>
      </c>
      <c r="X136" s="96">
        <f>IF(ISERROR(VLOOKUP($U$136,'TAR FIN'!$A$1:$O$86,15,0)),0,VLOOKUP($U$136,'TAR FIN'!$A$1:$O$86,15,0))*(1-0.04)</f>
        <v>285.41759999999999</v>
      </c>
      <c r="Y136" s="96"/>
      <c r="Z136" s="96">
        <f ca="1">('TUSD BE'!$AM$12+'TUSD BF'!$AM$12+'TUSD CVA'!$AM$12)*1*(1-0.02)</f>
        <v>93.899139140559214</v>
      </c>
      <c r="AA136" s="96">
        <f>('TE BE'!$AB$6+'TE BF'!$AB$6+'TE CVA'!$AB$6)*1*(1-0.02)</f>
        <v>230.63309335138217</v>
      </c>
      <c r="AB136" s="96">
        <f>(SUBSIDIO!$J$136*SUBSIDIO!$V$136)*(0.04)/(1-0.04)</f>
        <v>0</v>
      </c>
      <c r="AC136" s="96">
        <f>((SUBSIDIO!$L$136*SUBSIDIO!$W$136)+(SUBSIDIO!$N$136*SUBSIDIO!$X$136))*(0.04)/(1-0.04)</f>
        <v>1092.0876527999999</v>
      </c>
      <c r="AD136" s="96">
        <f>(SUBSIDIO!$J$136*SUBSIDIO!$Y$136)*(0.02)/(1-0.02)</f>
        <v>0</v>
      </c>
      <c r="AE136" s="96">
        <f ca="1">((SUBSIDIO!$L$136*SUBSIDIO!$Z$136)+(SUBSIDIO!$N$136*SUBSIDIO!$AA$136))*(0.02)/(1-0.02)</f>
        <v>490.6132582463888</v>
      </c>
      <c r="AF136" s="4" t="s">
        <v>649</v>
      </c>
    </row>
    <row r="137" spans="1:32" ht="11.25" customHeight="1" x14ac:dyDescent="0.25">
      <c r="A137" s="4" t="s">
        <v>21</v>
      </c>
      <c r="B137" s="4" t="s">
        <v>38</v>
      </c>
      <c r="C137" s="4" t="s">
        <v>39</v>
      </c>
      <c r="D137" s="4" t="s">
        <v>43</v>
      </c>
      <c r="E137" s="4" t="s">
        <v>25</v>
      </c>
      <c r="F137" s="4" t="s">
        <v>25</v>
      </c>
      <c r="G137" s="4" t="s">
        <v>25</v>
      </c>
      <c r="H137" s="4" t="s">
        <v>34</v>
      </c>
      <c r="I137" s="5">
        <v>44470</v>
      </c>
      <c r="J137" s="6">
        <v>0</v>
      </c>
      <c r="K137" s="96">
        <v>0</v>
      </c>
      <c r="L137" s="6">
        <v>79.597999999999999</v>
      </c>
      <c r="M137" s="96">
        <v>79.597999999999999</v>
      </c>
      <c r="N137" s="6">
        <v>79.597999999999999</v>
      </c>
      <c r="O137" s="96">
        <v>79.597999999999999</v>
      </c>
      <c r="P137" s="6">
        <v>0</v>
      </c>
      <c r="Q137" s="4" t="s">
        <v>26</v>
      </c>
      <c r="R137" s="4">
        <v>0</v>
      </c>
      <c r="S137" s="4">
        <v>0</v>
      </c>
      <c r="T137" s="4">
        <v>17</v>
      </c>
      <c r="U137" s="4">
        <v>78</v>
      </c>
      <c r="V137" s="96">
        <f>IF(ISERROR(VLOOKUP($S$137,'TAR FIN'!$A$1:$O$86,15,0)),0,VLOOKUP($S$137,'TAR FIN'!$A$1:$O$86,15,0))</f>
        <v>0</v>
      </c>
      <c r="W137" s="96">
        <f>IF(ISERROR(VLOOKUP($T$137,'TAR FIN'!$A$1:$O$86,15,0)),0,VLOOKUP($T$137,'TAR FIN'!$A$1:$O$86,15,0))*(1-0.04)</f>
        <v>68.409599999999998</v>
      </c>
      <c r="X137" s="96">
        <f>IF(ISERROR(VLOOKUP($U$137,'TAR FIN'!$A$1:$O$86,15,0)),0,VLOOKUP($U$137,'TAR FIN'!$A$1:$O$86,15,0))*(1-0.04)</f>
        <v>285.41759999999999</v>
      </c>
      <c r="Y137" s="96"/>
      <c r="Z137" s="96">
        <f ca="1">('TUSD BE'!$AM$12+'TUSD BF'!$AM$12+'TUSD CVA'!$AM$12)*1*(1-0.02)</f>
        <v>93.899139140559214</v>
      </c>
      <c r="AA137" s="96">
        <f>('TE BE'!$AB$6+'TE BF'!$AB$6+'TE CVA'!$AB$6)*1*(1-0.02)</f>
        <v>230.63309335138217</v>
      </c>
      <c r="AB137" s="96">
        <f>(SUBSIDIO!$J$137*SUBSIDIO!$V$137)*(0.04)/(1-0.04)</f>
        <v>0</v>
      </c>
      <c r="AC137" s="96">
        <f>((SUBSIDIO!$L$137*SUBSIDIO!$W$137)+(SUBSIDIO!$N$137*SUBSIDIO!$X$137))*(0.04)/(1-0.04)</f>
        <v>1173.4973944000001</v>
      </c>
      <c r="AD137" s="96">
        <f>(SUBSIDIO!$J$137*SUBSIDIO!$Y$137)*(0.02)/(1-0.02)</f>
        <v>0</v>
      </c>
      <c r="AE137" s="96">
        <f ca="1">((SUBSIDIO!$L$137*SUBSIDIO!$Z$137)+(SUBSIDIO!$N$137*SUBSIDIO!$AA$137))*(0.02)/(1-0.02)</f>
        <v>527.18605391619485</v>
      </c>
      <c r="AF137" s="4" t="s">
        <v>649</v>
      </c>
    </row>
    <row r="138" spans="1:32" ht="11.25" customHeight="1" x14ac:dyDescent="0.25">
      <c r="A138" s="4" t="s">
        <v>21</v>
      </c>
      <c r="B138" s="4" t="s">
        <v>38</v>
      </c>
      <c r="C138" s="4" t="s">
        <v>39</v>
      </c>
      <c r="D138" s="4" t="s">
        <v>43</v>
      </c>
      <c r="E138" s="4" t="s">
        <v>25</v>
      </c>
      <c r="F138" s="4" t="s">
        <v>25</v>
      </c>
      <c r="G138" s="4" t="s">
        <v>25</v>
      </c>
      <c r="H138" s="4" t="s">
        <v>34</v>
      </c>
      <c r="I138" s="5">
        <v>44501</v>
      </c>
      <c r="J138" s="6">
        <v>0</v>
      </c>
      <c r="K138" s="96">
        <v>0</v>
      </c>
      <c r="L138" s="6">
        <v>105.44</v>
      </c>
      <c r="M138" s="96">
        <v>105.44</v>
      </c>
      <c r="N138" s="6">
        <v>105.44</v>
      </c>
      <c r="O138" s="96">
        <v>105.44</v>
      </c>
      <c r="P138" s="6">
        <v>0</v>
      </c>
      <c r="Q138" s="4" t="s">
        <v>26</v>
      </c>
      <c r="R138" s="4">
        <v>0</v>
      </c>
      <c r="S138" s="4">
        <v>0</v>
      </c>
      <c r="T138" s="4">
        <v>17</v>
      </c>
      <c r="U138" s="4">
        <v>78</v>
      </c>
      <c r="V138" s="96">
        <f>IF(ISERROR(VLOOKUP($S$138,'TAR FIN'!$A$1:$O$86,15,0)),0,VLOOKUP($S$138,'TAR FIN'!$A$1:$O$86,15,0))</f>
        <v>0</v>
      </c>
      <c r="W138" s="96">
        <f>IF(ISERROR(VLOOKUP($T$138,'TAR FIN'!$A$1:$O$86,15,0)),0,VLOOKUP($T$138,'TAR FIN'!$A$1:$O$86,15,0))*(1-0.04)</f>
        <v>68.409599999999998</v>
      </c>
      <c r="X138" s="96">
        <f>IF(ISERROR(VLOOKUP($U$138,'TAR FIN'!$A$1:$O$86,15,0)),0,VLOOKUP($U$138,'TAR FIN'!$A$1:$O$86,15,0))*(1-0.04)</f>
        <v>285.41759999999999</v>
      </c>
      <c r="Y138" s="96"/>
      <c r="Z138" s="96">
        <f ca="1">('TUSD BE'!$AM$12+'TUSD BF'!$AM$12+'TUSD CVA'!$AM$12)*1*(1-0.02)</f>
        <v>93.899139140559214</v>
      </c>
      <c r="AA138" s="96">
        <f>('TE BE'!$AB$6+'TE BF'!$AB$6+'TE CVA'!$AB$6)*1*(1-0.02)</f>
        <v>230.63309335138217</v>
      </c>
      <c r="AB138" s="96">
        <f>(SUBSIDIO!$J$138*SUBSIDIO!$V$138)*(0.04)/(1-0.04)</f>
        <v>0</v>
      </c>
      <c r="AC138" s="96">
        <f>((SUBSIDIO!$L$138*SUBSIDIO!$W$138)+(SUBSIDIO!$N$138*SUBSIDIO!$X$138))*(0.04)/(1-0.04)</f>
        <v>1554.480832</v>
      </c>
      <c r="AD138" s="96">
        <f>(SUBSIDIO!$J$138*SUBSIDIO!$Y$138)*(0.02)/(1-0.02)</f>
        <v>0</v>
      </c>
      <c r="AE138" s="96">
        <f ca="1">((SUBSIDIO!$L$138*SUBSIDIO!$Z$138)+(SUBSIDIO!$N$138*SUBSIDIO!$AA$138))*(0.02)/(1-0.02)</f>
        <v>698.3403794683735</v>
      </c>
      <c r="AF138" s="4" t="s">
        <v>649</v>
      </c>
    </row>
    <row r="139" spans="1:32" ht="11.25" customHeight="1" x14ac:dyDescent="0.25">
      <c r="A139" s="4" t="s">
        <v>21</v>
      </c>
      <c r="B139" s="4" t="s">
        <v>38</v>
      </c>
      <c r="C139" s="4" t="s">
        <v>39</v>
      </c>
      <c r="D139" s="4" t="s">
        <v>43</v>
      </c>
      <c r="E139" s="4" t="s">
        <v>25</v>
      </c>
      <c r="F139" s="4" t="s">
        <v>25</v>
      </c>
      <c r="G139" s="4" t="s">
        <v>25</v>
      </c>
      <c r="H139" s="4" t="s">
        <v>34</v>
      </c>
      <c r="I139" s="5">
        <v>44531</v>
      </c>
      <c r="J139" s="6">
        <v>0</v>
      </c>
      <c r="K139" s="96">
        <v>0</v>
      </c>
      <c r="L139" s="6">
        <v>85.52</v>
      </c>
      <c r="M139" s="96">
        <v>85.52</v>
      </c>
      <c r="N139" s="6">
        <v>85.52</v>
      </c>
      <c r="O139" s="96">
        <v>85.52</v>
      </c>
      <c r="P139" s="6">
        <v>0</v>
      </c>
      <c r="Q139" s="4" t="s">
        <v>26</v>
      </c>
      <c r="R139" s="4">
        <v>0</v>
      </c>
      <c r="S139" s="4">
        <v>0</v>
      </c>
      <c r="T139" s="4">
        <v>17</v>
      </c>
      <c r="U139" s="4">
        <v>78</v>
      </c>
      <c r="V139" s="96">
        <f>IF(ISERROR(VLOOKUP($S$139,'TAR FIN'!$A$1:$O$86,15,0)),0,VLOOKUP($S$139,'TAR FIN'!$A$1:$O$86,15,0))</f>
        <v>0</v>
      </c>
      <c r="W139" s="96">
        <f>IF(ISERROR(VLOOKUP($T$139,'TAR FIN'!$A$1:$O$86,15,0)),0,VLOOKUP($T$139,'TAR FIN'!$A$1:$O$86,15,0))*(1-0.04)</f>
        <v>68.409599999999998</v>
      </c>
      <c r="X139" s="96">
        <f>IF(ISERROR(VLOOKUP($U$139,'TAR FIN'!$A$1:$O$86,15,0)),0,VLOOKUP($U$139,'TAR FIN'!$A$1:$O$86,15,0))*(1-0.04)</f>
        <v>285.41759999999999</v>
      </c>
      <c r="Y139" s="96"/>
      <c r="Z139" s="96">
        <f ca="1">('TUSD BE'!$AM$12+'TUSD BF'!$AM$12+'TUSD CVA'!$AM$12)*1*(1-0.02)</f>
        <v>93.899139140559214</v>
      </c>
      <c r="AA139" s="96">
        <f>('TE BE'!$AB$6+'TE BF'!$AB$6+'TE CVA'!$AB$6)*1*(1-0.02)</f>
        <v>230.63309335138217</v>
      </c>
      <c r="AB139" s="96">
        <f>(SUBSIDIO!$J$139*SUBSIDIO!$V$139)*(0.04)/(1-0.04)</f>
        <v>0</v>
      </c>
      <c r="AC139" s="96">
        <f>((SUBSIDIO!$L$139*SUBSIDIO!$W$139)+(SUBSIDIO!$N$139*SUBSIDIO!$X$139))*(0.04)/(1-0.04)</f>
        <v>1260.8042559999999</v>
      </c>
      <c r="AD139" s="96">
        <f>(SUBSIDIO!$J$139*SUBSIDIO!$Y$139)*(0.02)/(1-0.02)</f>
        <v>0</v>
      </c>
      <c r="AE139" s="96">
        <f ca="1">((SUBSIDIO!$L$139*SUBSIDIO!$Z$139)+(SUBSIDIO!$N$139*SUBSIDIO!$AA$139))*(0.02)/(1-0.02)</f>
        <v>566.40809230022091</v>
      </c>
      <c r="AF139" s="4" t="s">
        <v>649</v>
      </c>
    </row>
    <row r="140" spans="1:32" ht="11.25" customHeight="1" x14ac:dyDescent="0.25">
      <c r="A140" s="4" t="s">
        <v>21</v>
      </c>
      <c r="B140" s="4" t="s">
        <v>38</v>
      </c>
      <c r="C140" s="4" t="s">
        <v>39</v>
      </c>
      <c r="D140" s="4" t="s">
        <v>43</v>
      </c>
      <c r="E140" s="4" t="s">
        <v>25</v>
      </c>
      <c r="F140" s="4" t="s">
        <v>25</v>
      </c>
      <c r="G140" s="4" t="s">
        <v>25</v>
      </c>
      <c r="H140" s="4" t="s">
        <v>34</v>
      </c>
      <c r="I140" s="5">
        <v>44562</v>
      </c>
      <c r="J140" s="6">
        <v>0</v>
      </c>
      <c r="K140" s="96">
        <v>0</v>
      </c>
      <c r="L140" s="6">
        <v>110.642</v>
      </c>
      <c r="M140" s="96">
        <v>110.642</v>
      </c>
      <c r="N140" s="6">
        <v>110.642</v>
      </c>
      <c r="O140" s="96">
        <v>110.642</v>
      </c>
      <c r="P140" s="6">
        <v>0</v>
      </c>
      <c r="Q140" s="4" t="s">
        <v>26</v>
      </c>
      <c r="R140" s="4">
        <v>0</v>
      </c>
      <c r="S140" s="4">
        <v>0</v>
      </c>
      <c r="T140" s="4">
        <v>17</v>
      </c>
      <c r="U140" s="4">
        <v>78</v>
      </c>
      <c r="V140" s="96">
        <f>IF(ISERROR(VLOOKUP($S$140,'TAR FIN'!$A$1:$O$86,15,0)),0,VLOOKUP($S$140,'TAR FIN'!$A$1:$O$86,15,0))</f>
        <v>0</v>
      </c>
      <c r="W140" s="96">
        <f>IF(ISERROR(VLOOKUP($T$140,'TAR FIN'!$A$1:$O$86,15,0)),0,VLOOKUP($T$140,'TAR FIN'!$A$1:$O$86,15,0))*(1-0.04)</f>
        <v>68.409599999999998</v>
      </c>
      <c r="X140" s="96">
        <f>IF(ISERROR(VLOOKUP($U$140,'TAR FIN'!$A$1:$O$86,15,0)),0,VLOOKUP($U$140,'TAR FIN'!$A$1:$O$86,15,0))*(1-0.04)</f>
        <v>285.41759999999999</v>
      </c>
      <c r="Y140" s="96"/>
      <c r="Z140" s="96">
        <f ca="1">('TUSD BE'!$AM$12+'TUSD BF'!$AM$12+'TUSD CVA'!$AM$12)*1*(1-0.02)</f>
        <v>93.899139140559214</v>
      </c>
      <c r="AA140" s="96">
        <f>('TE BE'!$AB$6+'TE BF'!$AB$6+'TE CVA'!$AB$6)*1*(1-0.02)</f>
        <v>230.63309335138217</v>
      </c>
      <c r="AB140" s="96">
        <f>(SUBSIDIO!$J$140*SUBSIDIO!$V$140)*(0.04)/(1-0.04)</f>
        <v>0</v>
      </c>
      <c r="AC140" s="96">
        <f>((SUBSIDIO!$L$140*SUBSIDIO!$W$140)+(SUBSIDIO!$N$140*SUBSIDIO!$X$140))*(0.04)/(1-0.04)</f>
        <v>1631.1728776</v>
      </c>
      <c r="AD140" s="96">
        <f>(SUBSIDIO!$J$140*SUBSIDIO!$Y$140)*(0.02)/(1-0.02)</f>
        <v>0</v>
      </c>
      <c r="AE140" s="96">
        <f ca="1">((SUBSIDIO!$L$140*SUBSIDIO!$Z$140)+(SUBSIDIO!$N$140*SUBSIDIO!$AA$140))*(0.02)/(1-0.02)</f>
        <v>732.79378096680375</v>
      </c>
      <c r="AF140" s="4" t="s">
        <v>649</v>
      </c>
    </row>
    <row r="141" spans="1:32" ht="11.25" customHeight="1" x14ac:dyDescent="0.25">
      <c r="A141" s="4" t="s">
        <v>21</v>
      </c>
      <c r="B141" s="4" t="s">
        <v>38</v>
      </c>
      <c r="C141" s="4" t="s">
        <v>39</v>
      </c>
      <c r="D141" s="4" t="s">
        <v>43</v>
      </c>
      <c r="E141" s="4" t="s">
        <v>25</v>
      </c>
      <c r="F141" s="4" t="s">
        <v>25</v>
      </c>
      <c r="G141" s="4" t="s">
        <v>25</v>
      </c>
      <c r="H141" s="4" t="s">
        <v>34</v>
      </c>
      <c r="I141" s="5">
        <v>44593</v>
      </c>
      <c r="J141" s="6">
        <v>0</v>
      </c>
      <c r="K141" s="96">
        <v>0</v>
      </c>
      <c r="L141" s="6">
        <v>104.31</v>
      </c>
      <c r="M141" s="96">
        <v>104.31</v>
      </c>
      <c r="N141" s="6">
        <v>104.31</v>
      </c>
      <c r="O141" s="96">
        <v>104.31</v>
      </c>
      <c r="P141" s="6">
        <v>0</v>
      </c>
      <c r="Q141" s="4" t="s">
        <v>26</v>
      </c>
      <c r="R141" s="4">
        <v>0</v>
      </c>
      <c r="S141" s="4">
        <v>0</v>
      </c>
      <c r="T141" s="4">
        <v>17</v>
      </c>
      <c r="U141" s="4">
        <v>78</v>
      </c>
      <c r="V141" s="96">
        <f>IF(ISERROR(VLOOKUP($S$141,'TAR FIN'!$A$1:$O$86,15,0)),0,VLOOKUP($S$141,'TAR FIN'!$A$1:$O$86,15,0))</f>
        <v>0</v>
      </c>
      <c r="W141" s="96">
        <f>IF(ISERROR(VLOOKUP($T$141,'TAR FIN'!$A$1:$O$86,15,0)),0,VLOOKUP($T$141,'TAR FIN'!$A$1:$O$86,15,0))*(1-0.04)</f>
        <v>68.409599999999998</v>
      </c>
      <c r="X141" s="96">
        <f>IF(ISERROR(VLOOKUP($U$141,'TAR FIN'!$A$1:$O$86,15,0)),0,VLOOKUP($U$141,'TAR FIN'!$A$1:$O$86,15,0))*(1-0.04)</f>
        <v>285.41759999999999</v>
      </c>
      <c r="Y141" s="96"/>
      <c r="Z141" s="96">
        <f ca="1">('TUSD BE'!$AM$12+'TUSD BF'!$AM$12+'TUSD CVA'!$AM$12)*1*(1-0.02)</f>
        <v>93.899139140559214</v>
      </c>
      <c r="AA141" s="96">
        <f>('TE BE'!$AB$6+'TE BF'!$AB$6+'TE CVA'!$AB$6)*1*(1-0.02)</f>
        <v>230.63309335138217</v>
      </c>
      <c r="AB141" s="96">
        <f>(SUBSIDIO!$J$141*SUBSIDIO!$V$141)*(0.04)/(1-0.04)</f>
        <v>0</v>
      </c>
      <c r="AC141" s="96">
        <f>((SUBSIDIO!$L$141*SUBSIDIO!$W$141)+(SUBSIDIO!$N$141*SUBSIDIO!$X$141))*(0.04)/(1-0.04)</f>
        <v>1537.8214680000003</v>
      </c>
      <c r="AD141" s="96">
        <f>(SUBSIDIO!$J$141*SUBSIDIO!$Y$141)*(0.02)/(1-0.02)</f>
        <v>0</v>
      </c>
      <c r="AE141" s="96">
        <f ca="1">((SUBSIDIO!$L$141*SUBSIDIO!$Z$141)+(SUBSIDIO!$N$141*SUBSIDIO!$AA$141))*(0.02)/(1-0.02)</f>
        <v>690.85626880070208</v>
      </c>
      <c r="AF141" s="4" t="s">
        <v>649</v>
      </c>
    </row>
    <row r="142" spans="1:32" ht="11.25" customHeight="1" x14ac:dyDescent="0.25">
      <c r="A142" s="4" t="s">
        <v>21</v>
      </c>
      <c r="B142" s="4" t="s">
        <v>38</v>
      </c>
      <c r="C142" s="4" t="s">
        <v>39</v>
      </c>
      <c r="D142" s="4" t="s">
        <v>43</v>
      </c>
      <c r="E142" s="4" t="s">
        <v>25</v>
      </c>
      <c r="F142" s="4" t="s">
        <v>25</v>
      </c>
      <c r="G142" s="4" t="s">
        <v>25</v>
      </c>
      <c r="H142" s="4" t="s">
        <v>34</v>
      </c>
      <c r="I142" s="5">
        <v>44621</v>
      </c>
      <c r="J142" s="6">
        <v>0</v>
      </c>
      <c r="K142" s="96">
        <v>0</v>
      </c>
      <c r="L142" s="6">
        <v>115.179</v>
      </c>
      <c r="M142" s="96">
        <v>115.179</v>
      </c>
      <c r="N142" s="6">
        <v>115.179</v>
      </c>
      <c r="O142" s="96">
        <v>115.179</v>
      </c>
      <c r="P142" s="6">
        <v>0</v>
      </c>
      <c r="Q142" s="4" t="s">
        <v>26</v>
      </c>
      <c r="R142" s="4">
        <v>0</v>
      </c>
      <c r="S142" s="4">
        <v>0</v>
      </c>
      <c r="T142" s="4">
        <v>17</v>
      </c>
      <c r="U142" s="4">
        <v>78</v>
      </c>
      <c r="V142" s="96">
        <f>IF(ISERROR(VLOOKUP($S$142,'TAR FIN'!$A$1:$O$86,15,0)),0,VLOOKUP($S$142,'TAR FIN'!$A$1:$O$86,15,0))</f>
        <v>0</v>
      </c>
      <c r="W142" s="96">
        <f>IF(ISERROR(VLOOKUP($T$142,'TAR FIN'!$A$1:$O$86,15,0)),0,VLOOKUP($T$142,'TAR FIN'!$A$1:$O$86,15,0))*(1-0.04)</f>
        <v>68.409599999999998</v>
      </c>
      <c r="X142" s="96">
        <f>IF(ISERROR(VLOOKUP($U$142,'TAR FIN'!$A$1:$O$86,15,0)),0,VLOOKUP($U$142,'TAR FIN'!$A$1:$O$86,15,0))*(1-0.04)</f>
        <v>285.41759999999999</v>
      </c>
      <c r="Y142" s="96"/>
      <c r="Z142" s="96">
        <f ca="1">('TUSD BE'!$AM$12+'TUSD BF'!$AM$12+'TUSD CVA'!$AM$12)*1*(1-0.02)</f>
        <v>93.899139140559214</v>
      </c>
      <c r="AA142" s="96">
        <f>('TE BE'!$AB$6+'TE BF'!$AB$6+'TE CVA'!$AB$6)*1*(1-0.02)</f>
        <v>230.63309335138217</v>
      </c>
      <c r="AB142" s="96">
        <f>(SUBSIDIO!$J$142*SUBSIDIO!$V$142)*(0.04)/(1-0.04)</f>
        <v>0</v>
      </c>
      <c r="AC142" s="96">
        <f>((SUBSIDIO!$L$142*SUBSIDIO!$W$142)+(SUBSIDIO!$N$142*SUBSIDIO!$X$142))*(0.04)/(1-0.04)</f>
        <v>1698.0609612000003</v>
      </c>
      <c r="AD142" s="96">
        <f>(SUBSIDIO!$J$142*SUBSIDIO!$Y$142)*(0.02)/(1-0.02)</f>
        <v>0</v>
      </c>
      <c r="AE142" s="96">
        <f ca="1">((SUBSIDIO!$L$142*SUBSIDIO!$Z$142)+(SUBSIDIO!$N$142*SUBSIDIO!$AA$142))*(0.02)/(1-0.02)</f>
        <v>762.84281645284318</v>
      </c>
      <c r="AF142" s="4" t="s">
        <v>649</v>
      </c>
    </row>
    <row r="143" spans="1:32" ht="11.25" customHeight="1" x14ac:dyDescent="0.25">
      <c r="A143" s="4" t="s">
        <v>21</v>
      </c>
      <c r="B143" s="4" t="s">
        <v>38</v>
      </c>
      <c r="C143" s="4" t="s">
        <v>39</v>
      </c>
      <c r="D143" s="4" t="s">
        <v>43</v>
      </c>
      <c r="E143" s="4" t="s">
        <v>25</v>
      </c>
      <c r="F143" s="4" t="s">
        <v>25</v>
      </c>
      <c r="G143" s="4" t="s">
        <v>25</v>
      </c>
      <c r="H143" s="4" t="s">
        <v>34</v>
      </c>
      <c r="I143" s="5">
        <v>44652</v>
      </c>
      <c r="J143" s="6">
        <v>0</v>
      </c>
      <c r="K143" s="96">
        <v>0</v>
      </c>
      <c r="L143" s="6">
        <v>144.667</v>
      </c>
      <c r="M143" s="96">
        <v>144.667</v>
      </c>
      <c r="N143" s="6">
        <v>144.667</v>
      </c>
      <c r="O143" s="96">
        <v>144.667</v>
      </c>
      <c r="P143" s="6">
        <v>0</v>
      </c>
      <c r="Q143" s="4" t="s">
        <v>26</v>
      </c>
      <c r="R143" s="4">
        <v>0</v>
      </c>
      <c r="S143" s="4">
        <v>0</v>
      </c>
      <c r="T143" s="4">
        <v>17</v>
      </c>
      <c r="U143" s="4">
        <v>78</v>
      </c>
      <c r="V143" s="96">
        <f>IF(ISERROR(VLOOKUP($S$143,'TAR FIN'!$A$1:$O$86,15,0)),0,VLOOKUP($S$143,'TAR FIN'!$A$1:$O$86,15,0))</f>
        <v>0</v>
      </c>
      <c r="W143" s="96">
        <f>IF(ISERROR(VLOOKUP($T$143,'TAR FIN'!$A$1:$O$86,15,0)),0,VLOOKUP($T$143,'TAR FIN'!$A$1:$O$86,15,0))*(1-0.04)</f>
        <v>68.409599999999998</v>
      </c>
      <c r="X143" s="96">
        <f>IF(ISERROR(VLOOKUP($U$143,'TAR FIN'!$A$1:$O$86,15,0)),0,VLOOKUP($U$143,'TAR FIN'!$A$1:$O$86,15,0))*(1-0.04)</f>
        <v>285.41759999999999</v>
      </c>
      <c r="Y143" s="96"/>
      <c r="Z143" s="96">
        <f ca="1">('TUSD BE'!$AM$12+'TUSD BF'!$AM$12+'TUSD CVA'!$AM$12)*1*(1-0.02)</f>
        <v>93.899139140559214</v>
      </c>
      <c r="AA143" s="96">
        <f>('TE BE'!$AB$6+'TE BF'!$AB$6+'TE CVA'!$AB$6)*1*(1-0.02)</f>
        <v>230.63309335138217</v>
      </c>
      <c r="AB143" s="96">
        <f>(SUBSIDIO!$J$143*SUBSIDIO!$V$143)*(0.04)/(1-0.04)</f>
        <v>0</v>
      </c>
      <c r="AC143" s="96">
        <f>((SUBSIDIO!$L$143*SUBSIDIO!$W$143)+(SUBSIDIO!$N$143*SUBSIDIO!$X$143))*(0.04)/(1-0.04)</f>
        <v>2132.7966475999997</v>
      </c>
      <c r="AD143" s="96">
        <f>(SUBSIDIO!$J$143*SUBSIDIO!$Y$143)*(0.02)/(1-0.02)</f>
        <v>0</v>
      </c>
      <c r="AE143" s="96">
        <f ca="1">((SUBSIDIO!$L$143*SUBSIDIO!$Z$143)+(SUBSIDIO!$N$143*SUBSIDIO!$AA$143))*(0.02)/(1-0.02)</f>
        <v>958.14498934513642</v>
      </c>
      <c r="AF143" s="4" t="s">
        <v>649</v>
      </c>
    </row>
    <row r="144" spans="1:32" ht="11.25" customHeight="1" x14ac:dyDescent="0.25">
      <c r="A144" s="4" t="s">
        <v>21</v>
      </c>
      <c r="B144" s="4" t="s">
        <v>38</v>
      </c>
      <c r="C144" s="4" t="s">
        <v>39</v>
      </c>
      <c r="D144" s="4" t="s">
        <v>43</v>
      </c>
      <c r="E144" s="4" t="s">
        <v>25</v>
      </c>
      <c r="F144" s="4" t="s">
        <v>25</v>
      </c>
      <c r="G144" s="4" t="s">
        <v>25</v>
      </c>
      <c r="H144" s="4" t="s">
        <v>34</v>
      </c>
      <c r="I144" s="5">
        <v>44682</v>
      </c>
      <c r="J144" s="6">
        <v>0</v>
      </c>
      <c r="K144" s="96">
        <v>0</v>
      </c>
      <c r="L144" s="6">
        <v>117.187</v>
      </c>
      <c r="M144" s="96">
        <v>117.187</v>
      </c>
      <c r="N144" s="6">
        <v>117.187</v>
      </c>
      <c r="O144" s="96">
        <v>117.187</v>
      </c>
      <c r="P144" s="6">
        <v>0</v>
      </c>
      <c r="Q144" s="4" t="s">
        <v>26</v>
      </c>
      <c r="R144" s="4">
        <v>0</v>
      </c>
      <c r="S144" s="4">
        <v>0</v>
      </c>
      <c r="T144" s="4">
        <v>17</v>
      </c>
      <c r="U144" s="4">
        <v>78</v>
      </c>
      <c r="V144" s="96">
        <f>IF(ISERROR(VLOOKUP($S$144,'TAR FIN'!$A$1:$O$86,15,0)),0,VLOOKUP($S$144,'TAR FIN'!$A$1:$O$86,15,0))</f>
        <v>0</v>
      </c>
      <c r="W144" s="96">
        <f>IF(ISERROR(VLOOKUP($T$144,'TAR FIN'!$A$1:$O$86,15,0)),0,VLOOKUP($T$144,'TAR FIN'!$A$1:$O$86,15,0))*(1-0.04)</f>
        <v>68.409599999999998</v>
      </c>
      <c r="X144" s="96">
        <f>IF(ISERROR(VLOOKUP($U$144,'TAR FIN'!$A$1:$O$86,15,0)),0,VLOOKUP($U$144,'TAR FIN'!$A$1:$O$86,15,0))*(1-0.04)</f>
        <v>285.41759999999999</v>
      </c>
      <c r="Y144" s="96"/>
      <c r="Z144" s="96">
        <f ca="1">('TUSD BE'!$AM$12+'TUSD BF'!$AM$12+'TUSD CVA'!$AM$12)*1*(1-0.02)</f>
        <v>93.899139140559214</v>
      </c>
      <c r="AA144" s="96">
        <f>('TE BE'!$AB$6+'TE BF'!$AB$6+'TE CVA'!$AB$6)*1*(1-0.02)</f>
        <v>230.63309335138217</v>
      </c>
      <c r="AB144" s="96">
        <f>(SUBSIDIO!$J$144*SUBSIDIO!$V$144)*(0.04)/(1-0.04)</f>
        <v>0</v>
      </c>
      <c r="AC144" s="96">
        <f>((SUBSIDIO!$L$144*SUBSIDIO!$W$144)+(SUBSIDIO!$N$144*SUBSIDIO!$X$144))*(0.04)/(1-0.04)</f>
        <v>1727.6645036</v>
      </c>
      <c r="AD144" s="96">
        <f>(SUBSIDIO!$J$144*SUBSIDIO!$Y$144)*(0.02)/(1-0.02)</f>
        <v>0</v>
      </c>
      <c r="AE144" s="96">
        <f ca="1">((SUBSIDIO!$L$144*SUBSIDIO!$Z$144)+(SUBSIDIO!$N$144*SUBSIDIO!$AA$144))*(0.02)/(1-0.02)</f>
        <v>776.14201487822743</v>
      </c>
      <c r="AF144" s="4" t="s">
        <v>649</v>
      </c>
    </row>
    <row r="145" spans="1:32" ht="11.25" customHeight="1" x14ac:dyDescent="0.25">
      <c r="A145" s="4" t="s">
        <v>55</v>
      </c>
      <c r="B145" s="4" t="s">
        <v>38</v>
      </c>
      <c r="C145" s="4" t="s">
        <v>39</v>
      </c>
      <c r="D145" s="4" t="s">
        <v>43</v>
      </c>
      <c r="E145" s="4" t="s">
        <v>25</v>
      </c>
      <c r="F145" s="4" t="s">
        <v>25</v>
      </c>
      <c r="G145" s="4" t="s">
        <v>25</v>
      </c>
      <c r="H145" s="4" t="s">
        <v>34</v>
      </c>
      <c r="I145" s="5">
        <v>44713</v>
      </c>
      <c r="J145" s="6">
        <v>0</v>
      </c>
      <c r="K145" s="96">
        <v>0</v>
      </c>
      <c r="L145" s="6">
        <v>117.187</v>
      </c>
      <c r="M145" s="96">
        <v>117.187</v>
      </c>
      <c r="N145" s="6">
        <v>117.187</v>
      </c>
      <c r="O145" s="96">
        <v>117.187</v>
      </c>
      <c r="P145" s="6">
        <v>0</v>
      </c>
      <c r="Q145" s="4" t="s">
        <v>26</v>
      </c>
      <c r="R145" s="4">
        <v>0</v>
      </c>
      <c r="S145" s="4">
        <v>0</v>
      </c>
      <c r="T145" s="4">
        <v>17</v>
      </c>
      <c r="U145" s="4">
        <v>78</v>
      </c>
      <c r="V145" s="96">
        <f>IF(ISERROR(VLOOKUP($S$145,'TAR FIN'!$A$1:$O$86,15,0)),0,VLOOKUP($S$145,'TAR FIN'!$A$1:$O$86,15,0))</f>
        <v>0</v>
      </c>
      <c r="W145" s="96">
        <f>IF(ISERROR(VLOOKUP($T$145,'TAR FIN'!$A$1:$O$86,15,0)),0,VLOOKUP($T$145,'TAR FIN'!$A$1:$O$86,15,0))*(1-0.04)</f>
        <v>68.409599999999998</v>
      </c>
      <c r="X145" s="96">
        <f>IF(ISERROR(VLOOKUP($U$145,'TAR FIN'!$A$1:$O$86,15,0)),0,VLOOKUP($U$145,'TAR FIN'!$A$1:$O$86,15,0))*(1-0.04)</f>
        <v>285.41759999999999</v>
      </c>
      <c r="Y145" s="96"/>
      <c r="Z145" s="96">
        <f ca="1">('TUSD BE'!$AM$12+'TUSD BF'!$AM$12+'TUSD CVA'!$AM$12)*1*(1-0.02)</f>
        <v>93.899139140559214</v>
      </c>
      <c r="AA145" s="96">
        <f>('TE BE'!$AB$6+'TE BF'!$AB$6+'TE CVA'!$AB$6)*1*(1-0.02)</f>
        <v>230.63309335138217</v>
      </c>
      <c r="AB145" s="96">
        <f>(SUBSIDIO!$J$145*SUBSIDIO!$V$145)*(0.04)/(1-0.04)</f>
        <v>0</v>
      </c>
      <c r="AC145" s="96">
        <f>((SUBSIDIO!$L$145*SUBSIDIO!$W$145)+(SUBSIDIO!$N$145*SUBSIDIO!$X$145))*(0.04)/(1-0.04)</f>
        <v>1727.6645036</v>
      </c>
      <c r="AD145" s="96">
        <f>(SUBSIDIO!$J$145*SUBSIDIO!$Y$145)*(0.02)/(1-0.02)</f>
        <v>0</v>
      </c>
      <c r="AE145" s="96">
        <f ca="1">((SUBSIDIO!$L$145*SUBSIDIO!$Z$145)+(SUBSIDIO!$N$145*SUBSIDIO!$AA$145))*(0.02)/(1-0.02)</f>
        <v>776.14201487822743</v>
      </c>
      <c r="AF145" s="4" t="s">
        <v>649</v>
      </c>
    </row>
    <row r="146" spans="1:32" ht="11.25" customHeight="1" x14ac:dyDescent="0.25">
      <c r="A146" s="4" t="s">
        <v>21</v>
      </c>
      <c r="B146" s="4" t="s">
        <v>38</v>
      </c>
      <c r="C146" s="4" t="s">
        <v>39</v>
      </c>
      <c r="D146" s="4" t="s">
        <v>43</v>
      </c>
      <c r="E146" s="4" t="s">
        <v>25</v>
      </c>
      <c r="F146" s="4" t="s">
        <v>25</v>
      </c>
      <c r="G146" s="4" t="s">
        <v>25</v>
      </c>
      <c r="H146" s="4" t="s">
        <v>25</v>
      </c>
      <c r="I146" s="5">
        <v>44378</v>
      </c>
      <c r="J146" s="6">
        <v>518</v>
      </c>
      <c r="K146" s="96">
        <v>518</v>
      </c>
      <c r="L146" s="6">
        <v>0</v>
      </c>
      <c r="M146" s="96">
        <v>0</v>
      </c>
      <c r="N146" s="6">
        <v>0</v>
      </c>
      <c r="O146" s="96">
        <v>0</v>
      </c>
      <c r="P146" s="6">
        <v>5</v>
      </c>
      <c r="Q146" s="4" t="s">
        <v>26</v>
      </c>
      <c r="R146" s="4">
        <v>0</v>
      </c>
      <c r="S146" s="4">
        <v>19</v>
      </c>
      <c r="T146" s="4">
        <v>0</v>
      </c>
      <c r="U146" s="4">
        <v>0</v>
      </c>
      <c r="V146" s="96">
        <f>IF(ISERROR(VLOOKUP($S$146,'TAR FIN'!$A$1:$O$86,15,0)),0,VLOOKUP($S$146,'TAR FIN'!$A$1:$O$86,15,0))*(1-0.04)</f>
        <v>15.638399999999999</v>
      </c>
      <c r="W146" s="96">
        <f>IF(ISERROR(VLOOKUP($T$146,'TAR FIN'!$A$1:$O$86,15,0)),0,VLOOKUP($T$146,'TAR FIN'!$A$1:$O$86,15,0))</f>
        <v>0</v>
      </c>
      <c r="X146" s="96">
        <f>IF(ISERROR(VLOOKUP($U$146,'TAR FIN'!$A$1:$O$86,15,0)),0,VLOOKUP($U$146,'TAR FIN'!$A$1:$O$86,15,0))</f>
        <v>0</v>
      </c>
      <c r="Y146" s="96">
        <f ca="1">('TUSD BE'!$AM$10+'TUSD BF'!$AM$10+'TUSD CVA'!$AM$10)*1*(1-0.02)</f>
        <v>20.716782055066915</v>
      </c>
      <c r="Z146" s="96"/>
      <c r="AA146" s="96"/>
      <c r="AB146" s="96">
        <f>(SUBSIDIO!$J$146*SUBSIDIO!$V$146)*(0.04)/(1-0.04)</f>
        <v>337.52879999999999</v>
      </c>
      <c r="AC146" s="96">
        <f>((SUBSIDIO!$L$146*SUBSIDIO!$W$146)+(SUBSIDIO!$N$146*SUBSIDIO!$X$146))*(0.04)/(1-0.04)</f>
        <v>0</v>
      </c>
      <c r="AD146" s="96">
        <f ca="1">(SUBSIDIO!$J$146*SUBSIDIO!$Y$146)*(0.02)/(1-0.02)</f>
        <v>219.00598172499312</v>
      </c>
      <c r="AE146" s="96">
        <f>((SUBSIDIO!$L$146*SUBSIDIO!$Z$146)+(SUBSIDIO!$N$146*SUBSIDIO!$AA$146))*(0.02)/(1-0.02)</f>
        <v>0</v>
      </c>
      <c r="AF146" s="4" t="s">
        <v>649</v>
      </c>
    </row>
    <row r="147" spans="1:32" ht="11.25" customHeight="1" x14ac:dyDescent="0.25">
      <c r="A147" s="4" t="s">
        <v>21</v>
      </c>
      <c r="B147" s="4" t="s">
        <v>38</v>
      </c>
      <c r="C147" s="4" t="s">
        <v>39</v>
      </c>
      <c r="D147" s="4" t="s">
        <v>43</v>
      </c>
      <c r="E147" s="4" t="s">
        <v>25</v>
      </c>
      <c r="F147" s="4" t="s">
        <v>25</v>
      </c>
      <c r="G147" s="4" t="s">
        <v>25</v>
      </c>
      <c r="H147" s="4" t="s">
        <v>25</v>
      </c>
      <c r="I147" s="5">
        <v>44409</v>
      </c>
      <c r="J147" s="6">
        <v>380</v>
      </c>
      <c r="K147" s="96">
        <v>380</v>
      </c>
      <c r="L147" s="6">
        <v>0</v>
      </c>
      <c r="M147" s="96">
        <v>0</v>
      </c>
      <c r="N147" s="6">
        <v>0</v>
      </c>
      <c r="O147" s="96">
        <v>0</v>
      </c>
      <c r="P147" s="6">
        <v>5</v>
      </c>
      <c r="Q147" s="4" t="s">
        <v>26</v>
      </c>
      <c r="R147" s="4">
        <v>0</v>
      </c>
      <c r="S147" s="4">
        <v>19</v>
      </c>
      <c r="T147" s="4">
        <v>0</v>
      </c>
      <c r="U147" s="4">
        <v>0</v>
      </c>
      <c r="V147" s="96">
        <f>IF(ISERROR(VLOOKUP($S$147,'TAR FIN'!$A$1:$O$86,15,0)),0,VLOOKUP($S$147,'TAR FIN'!$A$1:$O$86,15,0))*(1-0.04)</f>
        <v>15.638399999999999</v>
      </c>
      <c r="W147" s="96">
        <f>IF(ISERROR(VLOOKUP($T$147,'TAR FIN'!$A$1:$O$86,15,0)),0,VLOOKUP($T$147,'TAR FIN'!$A$1:$O$86,15,0))</f>
        <v>0</v>
      </c>
      <c r="X147" s="96">
        <f>IF(ISERROR(VLOOKUP($U$147,'TAR FIN'!$A$1:$O$86,15,0)),0,VLOOKUP($U$147,'TAR FIN'!$A$1:$O$86,15,0))</f>
        <v>0</v>
      </c>
      <c r="Y147" s="96">
        <f ca="1">('TUSD BE'!$AM$10+'TUSD BF'!$AM$10+'TUSD CVA'!$AM$10)*1*(1-0.02)</f>
        <v>20.716782055066915</v>
      </c>
      <c r="Z147" s="96"/>
      <c r="AA147" s="96"/>
      <c r="AB147" s="96">
        <f>(SUBSIDIO!$J$147*SUBSIDIO!$V$147)*(0.04)/(1-0.04)</f>
        <v>247.608</v>
      </c>
      <c r="AC147" s="96">
        <f>((SUBSIDIO!$L$147*SUBSIDIO!$W$147)+(SUBSIDIO!$N$147*SUBSIDIO!$X$147))*(0.04)/(1-0.04)</f>
        <v>0</v>
      </c>
      <c r="AD147" s="96">
        <f ca="1">(SUBSIDIO!$J$147*SUBSIDIO!$Y$147)*(0.02)/(1-0.02)</f>
        <v>160.66075879439649</v>
      </c>
      <c r="AE147" s="96">
        <f>((SUBSIDIO!$L$147*SUBSIDIO!$Z$147)+(SUBSIDIO!$N$147*SUBSIDIO!$AA$147))*(0.02)/(1-0.02)</f>
        <v>0</v>
      </c>
      <c r="AF147" s="4" t="s">
        <v>649</v>
      </c>
    </row>
    <row r="148" spans="1:32" ht="11.25" customHeight="1" x14ac:dyDescent="0.25">
      <c r="A148" s="4" t="s">
        <v>21</v>
      </c>
      <c r="B148" s="4" t="s">
        <v>38</v>
      </c>
      <c r="C148" s="4" t="s">
        <v>39</v>
      </c>
      <c r="D148" s="4" t="s">
        <v>43</v>
      </c>
      <c r="E148" s="4" t="s">
        <v>25</v>
      </c>
      <c r="F148" s="4" t="s">
        <v>25</v>
      </c>
      <c r="G148" s="4" t="s">
        <v>25</v>
      </c>
      <c r="H148" s="4" t="s">
        <v>25</v>
      </c>
      <c r="I148" s="5">
        <v>44440</v>
      </c>
      <c r="J148" s="6">
        <v>321</v>
      </c>
      <c r="K148" s="96">
        <v>321</v>
      </c>
      <c r="L148" s="6">
        <v>0</v>
      </c>
      <c r="M148" s="96">
        <v>0</v>
      </c>
      <c r="N148" s="6">
        <v>0</v>
      </c>
      <c r="O148" s="96">
        <v>0</v>
      </c>
      <c r="P148" s="6">
        <v>5</v>
      </c>
      <c r="Q148" s="4" t="s">
        <v>26</v>
      </c>
      <c r="R148" s="4">
        <v>0</v>
      </c>
      <c r="S148" s="4">
        <v>19</v>
      </c>
      <c r="T148" s="4">
        <v>0</v>
      </c>
      <c r="U148" s="4">
        <v>0</v>
      </c>
      <c r="V148" s="96">
        <f>IF(ISERROR(VLOOKUP($S$148,'TAR FIN'!$A$1:$O$86,15,0)),0,VLOOKUP($S$148,'TAR FIN'!$A$1:$O$86,15,0))*(1-0.04)</f>
        <v>15.638399999999999</v>
      </c>
      <c r="W148" s="96">
        <f>IF(ISERROR(VLOOKUP($T$148,'TAR FIN'!$A$1:$O$86,15,0)),0,VLOOKUP($T$148,'TAR FIN'!$A$1:$O$86,15,0))</f>
        <v>0</v>
      </c>
      <c r="X148" s="96">
        <f>IF(ISERROR(VLOOKUP($U$148,'TAR FIN'!$A$1:$O$86,15,0)),0,VLOOKUP($U$148,'TAR FIN'!$A$1:$O$86,15,0))</f>
        <v>0</v>
      </c>
      <c r="Y148" s="96">
        <f ca="1">('TUSD BE'!$AM$10+'TUSD BF'!$AM$10+'TUSD CVA'!$AM$10)*1*(1-0.02)</f>
        <v>20.716782055066915</v>
      </c>
      <c r="Z148" s="96"/>
      <c r="AA148" s="96"/>
      <c r="AB148" s="96">
        <f>(SUBSIDIO!$J$148*SUBSIDIO!$V$148)*(0.04)/(1-0.04)</f>
        <v>209.16359999999997</v>
      </c>
      <c r="AC148" s="96">
        <f>((SUBSIDIO!$L$148*SUBSIDIO!$W$148)+(SUBSIDIO!$N$148*SUBSIDIO!$X$148))*(0.04)/(1-0.04)</f>
        <v>0</v>
      </c>
      <c r="AD148" s="96">
        <f ca="1">(SUBSIDIO!$J$148*SUBSIDIO!$Y$148)*(0.02)/(1-0.02)</f>
        <v>135.71606203421388</v>
      </c>
      <c r="AE148" s="96">
        <f>((SUBSIDIO!$L$148*SUBSIDIO!$Z$148)+(SUBSIDIO!$N$148*SUBSIDIO!$AA$148))*(0.02)/(1-0.02)</f>
        <v>0</v>
      </c>
      <c r="AF148" s="4" t="s">
        <v>649</v>
      </c>
    </row>
    <row r="149" spans="1:32" ht="11.25" customHeight="1" x14ac:dyDescent="0.25">
      <c r="A149" s="4" t="s">
        <v>21</v>
      </c>
      <c r="B149" s="4" t="s">
        <v>38</v>
      </c>
      <c r="C149" s="4" t="s">
        <v>39</v>
      </c>
      <c r="D149" s="4" t="s">
        <v>43</v>
      </c>
      <c r="E149" s="4" t="s">
        <v>25</v>
      </c>
      <c r="F149" s="4" t="s">
        <v>25</v>
      </c>
      <c r="G149" s="4" t="s">
        <v>25</v>
      </c>
      <c r="H149" s="4" t="s">
        <v>25</v>
      </c>
      <c r="I149" s="5">
        <v>44470</v>
      </c>
      <c r="J149" s="6">
        <v>450</v>
      </c>
      <c r="K149" s="96">
        <v>450</v>
      </c>
      <c r="L149" s="6">
        <v>0</v>
      </c>
      <c r="M149" s="96">
        <v>0</v>
      </c>
      <c r="N149" s="6">
        <v>0</v>
      </c>
      <c r="O149" s="96">
        <v>0</v>
      </c>
      <c r="P149" s="6">
        <v>5</v>
      </c>
      <c r="Q149" s="4" t="s">
        <v>26</v>
      </c>
      <c r="R149" s="4">
        <v>0</v>
      </c>
      <c r="S149" s="4">
        <v>19</v>
      </c>
      <c r="T149" s="4">
        <v>0</v>
      </c>
      <c r="U149" s="4">
        <v>0</v>
      </c>
      <c r="V149" s="96">
        <f>IF(ISERROR(VLOOKUP($S$149,'TAR FIN'!$A$1:$O$86,15,0)),0,VLOOKUP($S$149,'TAR FIN'!$A$1:$O$86,15,0))*(1-0.04)</f>
        <v>15.638399999999999</v>
      </c>
      <c r="W149" s="96">
        <f>IF(ISERROR(VLOOKUP($T$149,'TAR FIN'!$A$1:$O$86,15,0)),0,VLOOKUP($T$149,'TAR FIN'!$A$1:$O$86,15,0))</f>
        <v>0</v>
      </c>
      <c r="X149" s="96">
        <f>IF(ISERROR(VLOOKUP($U$149,'TAR FIN'!$A$1:$O$86,15,0)),0,VLOOKUP($U$149,'TAR FIN'!$A$1:$O$86,15,0))</f>
        <v>0</v>
      </c>
      <c r="Y149" s="96">
        <f ca="1">('TUSD BE'!$AM$10+'TUSD BF'!$AM$10+'TUSD CVA'!$AM$10)*1*(1-0.02)</f>
        <v>20.716782055066915</v>
      </c>
      <c r="Z149" s="96"/>
      <c r="AA149" s="96"/>
      <c r="AB149" s="96">
        <f>(SUBSIDIO!$J$149*SUBSIDIO!$V$149)*(0.04)/(1-0.04)</f>
        <v>293.22000000000003</v>
      </c>
      <c r="AC149" s="96">
        <f>((SUBSIDIO!$L$149*SUBSIDIO!$W$149)+(SUBSIDIO!$N$149*SUBSIDIO!$X$149))*(0.04)/(1-0.04)</f>
        <v>0</v>
      </c>
      <c r="AD149" s="96">
        <f ca="1">(SUBSIDIO!$J$149*SUBSIDIO!$Y$149)*(0.02)/(1-0.02)</f>
        <v>190.25616173020637</v>
      </c>
      <c r="AE149" s="96">
        <f>((SUBSIDIO!$L$149*SUBSIDIO!$Z$149)+(SUBSIDIO!$N$149*SUBSIDIO!$AA$149))*(0.02)/(1-0.02)</f>
        <v>0</v>
      </c>
      <c r="AF149" s="4" t="s">
        <v>649</v>
      </c>
    </row>
    <row r="150" spans="1:32" ht="11.25" customHeight="1" x14ac:dyDescent="0.25">
      <c r="A150" s="4" t="s">
        <v>21</v>
      </c>
      <c r="B150" s="4" t="s">
        <v>38</v>
      </c>
      <c r="C150" s="4" t="s">
        <v>39</v>
      </c>
      <c r="D150" s="4" t="s">
        <v>43</v>
      </c>
      <c r="E150" s="4" t="s">
        <v>25</v>
      </c>
      <c r="F150" s="4" t="s">
        <v>25</v>
      </c>
      <c r="G150" s="4" t="s">
        <v>25</v>
      </c>
      <c r="H150" s="4" t="s">
        <v>25</v>
      </c>
      <c r="I150" s="5">
        <v>44501</v>
      </c>
      <c r="J150" s="6">
        <v>537</v>
      </c>
      <c r="K150" s="96">
        <v>537</v>
      </c>
      <c r="L150" s="6">
        <v>0</v>
      </c>
      <c r="M150" s="96">
        <v>0</v>
      </c>
      <c r="N150" s="6">
        <v>0</v>
      </c>
      <c r="O150" s="96">
        <v>0</v>
      </c>
      <c r="P150" s="6">
        <v>5</v>
      </c>
      <c r="Q150" s="4" t="s">
        <v>26</v>
      </c>
      <c r="R150" s="4">
        <v>0</v>
      </c>
      <c r="S150" s="4">
        <v>19</v>
      </c>
      <c r="T150" s="4">
        <v>0</v>
      </c>
      <c r="U150" s="4">
        <v>0</v>
      </c>
      <c r="V150" s="96">
        <f>IF(ISERROR(VLOOKUP($S$150,'TAR FIN'!$A$1:$O$86,15,0)),0,VLOOKUP($S$150,'TAR FIN'!$A$1:$O$86,15,0))*(1-0.04)</f>
        <v>15.638399999999999</v>
      </c>
      <c r="W150" s="96">
        <f>IF(ISERROR(VLOOKUP($T$150,'TAR FIN'!$A$1:$O$86,15,0)),0,VLOOKUP($T$150,'TAR FIN'!$A$1:$O$86,15,0))</f>
        <v>0</v>
      </c>
      <c r="X150" s="96">
        <f>IF(ISERROR(VLOOKUP($U$150,'TAR FIN'!$A$1:$O$86,15,0)),0,VLOOKUP($U$150,'TAR FIN'!$A$1:$O$86,15,0))</f>
        <v>0</v>
      </c>
      <c r="Y150" s="96">
        <f ca="1">('TUSD BE'!$AM$10+'TUSD BF'!$AM$10+'TUSD CVA'!$AM$10)*1*(1-0.02)</f>
        <v>20.716782055066915</v>
      </c>
      <c r="Z150" s="96"/>
      <c r="AA150" s="96"/>
      <c r="AB150" s="96">
        <f>(SUBSIDIO!$J$150*SUBSIDIO!$V$150)*(0.04)/(1-0.04)</f>
        <v>349.9092</v>
      </c>
      <c r="AC150" s="96">
        <f>((SUBSIDIO!$L$150*SUBSIDIO!$W$150)+(SUBSIDIO!$N$150*SUBSIDIO!$X$150))*(0.04)/(1-0.04)</f>
        <v>0</v>
      </c>
      <c r="AD150" s="96">
        <f ca="1">(SUBSIDIO!$J$150*SUBSIDIO!$Y$150)*(0.02)/(1-0.02)</f>
        <v>227.03901966471295</v>
      </c>
      <c r="AE150" s="96">
        <f>((SUBSIDIO!$L$150*SUBSIDIO!$Z$150)+(SUBSIDIO!$N$150*SUBSIDIO!$AA$150))*(0.02)/(1-0.02)</f>
        <v>0</v>
      </c>
      <c r="AF150" s="4" t="s">
        <v>649</v>
      </c>
    </row>
    <row r="151" spans="1:32" ht="11.25" customHeight="1" x14ac:dyDescent="0.25">
      <c r="A151" s="4" t="s">
        <v>21</v>
      </c>
      <c r="B151" s="4" t="s">
        <v>38</v>
      </c>
      <c r="C151" s="4" t="s">
        <v>39</v>
      </c>
      <c r="D151" s="4" t="s">
        <v>43</v>
      </c>
      <c r="E151" s="4" t="s">
        <v>25</v>
      </c>
      <c r="F151" s="4" t="s">
        <v>25</v>
      </c>
      <c r="G151" s="4" t="s">
        <v>25</v>
      </c>
      <c r="H151" s="4" t="s">
        <v>25</v>
      </c>
      <c r="I151" s="5">
        <v>44531</v>
      </c>
      <c r="J151" s="6">
        <v>404</v>
      </c>
      <c r="K151" s="96">
        <v>404</v>
      </c>
      <c r="L151" s="6">
        <v>0</v>
      </c>
      <c r="M151" s="96">
        <v>0</v>
      </c>
      <c r="N151" s="6">
        <v>0</v>
      </c>
      <c r="O151" s="96">
        <v>0</v>
      </c>
      <c r="P151" s="6">
        <v>5</v>
      </c>
      <c r="Q151" s="4" t="s">
        <v>26</v>
      </c>
      <c r="R151" s="4">
        <v>0</v>
      </c>
      <c r="S151" s="4">
        <v>19</v>
      </c>
      <c r="T151" s="4">
        <v>0</v>
      </c>
      <c r="U151" s="4">
        <v>0</v>
      </c>
      <c r="V151" s="96">
        <f>IF(ISERROR(VLOOKUP($S$151,'TAR FIN'!$A$1:$O$86,15,0)),0,VLOOKUP($S$151,'TAR FIN'!$A$1:$O$86,15,0))*(1-0.04)</f>
        <v>15.638399999999999</v>
      </c>
      <c r="W151" s="96">
        <f>IF(ISERROR(VLOOKUP($T$151,'TAR FIN'!$A$1:$O$86,15,0)),0,VLOOKUP($T$151,'TAR FIN'!$A$1:$O$86,15,0))</f>
        <v>0</v>
      </c>
      <c r="X151" s="96">
        <f>IF(ISERROR(VLOOKUP($U$151,'TAR FIN'!$A$1:$O$86,15,0)),0,VLOOKUP($U$151,'TAR FIN'!$A$1:$O$86,15,0))</f>
        <v>0</v>
      </c>
      <c r="Y151" s="96">
        <f ca="1">('TUSD BE'!$AM$10+'TUSD BF'!$AM$10+'TUSD CVA'!$AM$10)*1*(1-0.02)</f>
        <v>20.716782055066915</v>
      </c>
      <c r="Z151" s="96"/>
      <c r="AA151" s="96"/>
      <c r="AB151" s="96">
        <f>(SUBSIDIO!$J$151*SUBSIDIO!$V$151)*(0.04)/(1-0.04)</f>
        <v>263.24639999999999</v>
      </c>
      <c r="AC151" s="96">
        <f>((SUBSIDIO!$L$151*SUBSIDIO!$W$151)+(SUBSIDIO!$N$151*SUBSIDIO!$X$151))*(0.04)/(1-0.04)</f>
        <v>0</v>
      </c>
      <c r="AD151" s="96">
        <f ca="1">(SUBSIDIO!$J$151*SUBSIDIO!$Y$151)*(0.02)/(1-0.02)</f>
        <v>170.80775408667412</v>
      </c>
      <c r="AE151" s="96">
        <f>((SUBSIDIO!$L$151*SUBSIDIO!$Z$151)+(SUBSIDIO!$N$151*SUBSIDIO!$AA$151))*(0.02)/(1-0.02)</f>
        <v>0</v>
      </c>
      <c r="AF151" s="4" t="s">
        <v>649</v>
      </c>
    </row>
    <row r="152" spans="1:32" ht="11.25" customHeight="1" x14ac:dyDescent="0.25">
      <c r="A152" s="4" t="s">
        <v>21</v>
      </c>
      <c r="B152" s="4" t="s">
        <v>38</v>
      </c>
      <c r="C152" s="4" t="s">
        <v>39</v>
      </c>
      <c r="D152" s="4" t="s">
        <v>43</v>
      </c>
      <c r="E152" s="4" t="s">
        <v>25</v>
      </c>
      <c r="F152" s="4" t="s">
        <v>25</v>
      </c>
      <c r="G152" s="4" t="s">
        <v>25</v>
      </c>
      <c r="H152" s="4" t="s">
        <v>25</v>
      </c>
      <c r="I152" s="5">
        <v>44562</v>
      </c>
      <c r="J152" s="6">
        <v>525</v>
      </c>
      <c r="K152" s="96">
        <v>525</v>
      </c>
      <c r="L152" s="6">
        <v>0</v>
      </c>
      <c r="M152" s="96">
        <v>0</v>
      </c>
      <c r="N152" s="6">
        <v>0</v>
      </c>
      <c r="O152" s="96">
        <v>0</v>
      </c>
      <c r="P152" s="6">
        <v>5</v>
      </c>
      <c r="Q152" s="4" t="s">
        <v>26</v>
      </c>
      <c r="R152" s="4">
        <v>0</v>
      </c>
      <c r="S152" s="4">
        <v>19</v>
      </c>
      <c r="T152" s="4">
        <v>0</v>
      </c>
      <c r="U152" s="4">
        <v>0</v>
      </c>
      <c r="V152" s="96">
        <f>IF(ISERROR(VLOOKUP($S$152,'TAR FIN'!$A$1:$O$86,15,0)),0,VLOOKUP($S$152,'TAR FIN'!$A$1:$O$86,15,0))*(1-0.04)</f>
        <v>15.638399999999999</v>
      </c>
      <c r="W152" s="96">
        <f>IF(ISERROR(VLOOKUP($T$152,'TAR FIN'!$A$1:$O$86,15,0)),0,VLOOKUP($T$152,'TAR FIN'!$A$1:$O$86,15,0))</f>
        <v>0</v>
      </c>
      <c r="X152" s="96">
        <f>IF(ISERROR(VLOOKUP($U$152,'TAR FIN'!$A$1:$O$86,15,0)),0,VLOOKUP($U$152,'TAR FIN'!$A$1:$O$86,15,0))</f>
        <v>0</v>
      </c>
      <c r="Y152" s="96">
        <f ca="1">('TUSD BE'!$AM$10+'TUSD BF'!$AM$10+'TUSD CVA'!$AM$10)*1*(1-0.02)</f>
        <v>20.716782055066915</v>
      </c>
      <c r="Z152" s="96"/>
      <c r="AA152" s="96"/>
      <c r="AB152" s="96">
        <f>(SUBSIDIO!$J$152*SUBSIDIO!$V$152)*(0.04)/(1-0.04)</f>
        <v>342.09000000000003</v>
      </c>
      <c r="AC152" s="96">
        <f>((SUBSIDIO!$L$152*SUBSIDIO!$W$152)+(SUBSIDIO!$N$152*SUBSIDIO!$X$152))*(0.04)/(1-0.04)</f>
        <v>0</v>
      </c>
      <c r="AD152" s="96">
        <f ca="1">(SUBSIDIO!$J$152*SUBSIDIO!$Y$152)*(0.02)/(1-0.02)</f>
        <v>221.96552201857409</v>
      </c>
      <c r="AE152" s="96">
        <f>((SUBSIDIO!$L$152*SUBSIDIO!$Z$152)+(SUBSIDIO!$N$152*SUBSIDIO!$AA$152))*(0.02)/(1-0.02)</f>
        <v>0</v>
      </c>
      <c r="AF152" s="4" t="s">
        <v>649</v>
      </c>
    </row>
    <row r="153" spans="1:32" ht="11.25" customHeight="1" x14ac:dyDescent="0.25">
      <c r="A153" s="4" t="s">
        <v>21</v>
      </c>
      <c r="B153" s="4" t="s">
        <v>38</v>
      </c>
      <c r="C153" s="4" t="s">
        <v>39</v>
      </c>
      <c r="D153" s="4" t="s">
        <v>43</v>
      </c>
      <c r="E153" s="4" t="s">
        <v>25</v>
      </c>
      <c r="F153" s="4" t="s">
        <v>25</v>
      </c>
      <c r="G153" s="4" t="s">
        <v>25</v>
      </c>
      <c r="H153" s="4" t="s">
        <v>25</v>
      </c>
      <c r="I153" s="5">
        <v>44593</v>
      </c>
      <c r="J153" s="6">
        <v>595</v>
      </c>
      <c r="K153" s="96">
        <v>595</v>
      </c>
      <c r="L153" s="6">
        <v>0</v>
      </c>
      <c r="M153" s="96">
        <v>0</v>
      </c>
      <c r="N153" s="6">
        <v>0</v>
      </c>
      <c r="O153" s="96">
        <v>0</v>
      </c>
      <c r="P153" s="6">
        <v>5</v>
      </c>
      <c r="Q153" s="4" t="s">
        <v>26</v>
      </c>
      <c r="R153" s="4">
        <v>0</v>
      </c>
      <c r="S153" s="4">
        <v>19</v>
      </c>
      <c r="T153" s="4">
        <v>0</v>
      </c>
      <c r="U153" s="4">
        <v>0</v>
      </c>
      <c r="V153" s="96">
        <f>IF(ISERROR(VLOOKUP($S$153,'TAR FIN'!$A$1:$O$86,15,0)),0,VLOOKUP($S$153,'TAR FIN'!$A$1:$O$86,15,0))*(1-0.04)</f>
        <v>15.638399999999999</v>
      </c>
      <c r="W153" s="96">
        <f>IF(ISERROR(VLOOKUP($T$153,'TAR FIN'!$A$1:$O$86,15,0)),0,VLOOKUP($T$153,'TAR FIN'!$A$1:$O$86,15,0))</f>
        <v>0</v>
      </c>
      <c r="X153" s="96">
        <f>IF(ISERROR(VLOOKUP($U$153,'TAR FIN'!$A$1:$O$86,15,0)),0,VLOOKUP($U$153,'TAR FIN'!$A$1:$O$86,15,0))</f>
        <v>0</v>
      </c>
      <c r="Y153" s="96">
        <f ca="1">('TUSD BE'!$AM$10+'TUSD BF'!$AM$10+'TUSD CVA'!$AM$10)*1*(1-0.02)</f>
        <v>20.716782055066915</v>
      </c>
      <c r="Z153" s="96"/>
      <c r="AA153" s="96"/>
      <c r="AB153" s="96">
        <f>(SUBSIDIO!$J$153*SUBSIDIO!$V$153)*(0.04)/(1-0.04)</f>
        <v>387.702</v>
      </c>
      <c r="AC153" s="96">
        <f>((SUBSIDIO!$L$153*SUBSIDIO!$W$153)+(SUBSIDIO!$N$153*SUBSIDIO!$X$153))*(0.04)/(1-0.04)</f>
        <v>0</v>
      </c>
      <c r="AD153" s="96">
        <f ca="1">(SUBSIDIO!$J$153*SUBSIDIO!$Y$153)*(0.02)/(1-0.02)</f>
        <v>251.56092495438398</v>
      </c>
      <c r="AE153" s="96">
        <f>((SUBSIDIO!$L$153*SUBSIDIO!$Z$153)+(SUBSIDIO!$N$153*SUBSIDIO!$AA$153))*(0.02)/(1-0.02)</f>
        <v>0</v>
      </c>
      <c r="AF153" s="4" t="s">
        <v>649</v>
      </c>
    </row>
    <row r="154" spans="1:32" ht="11.25" customHeight="1" x14ac:dyDescent="0.25">
      <c r="A154" s="4" t="s">
        <v>21</v>
      </c>
      <c r="B154" s="4" t="s">
        <v>38</v>
      </c>
      <c r="C154" s="4" t="s">
        <v>39</v>
      </c>
      <c r="D154" s="4" t="s">
        <v>43</v>
      </c>
      <c r="E154" s="4" t="s">
        <v>25</v>
      </c>
      <c r="F154" s="4" t="s">
        <v>25</v>
      </c>
      <c r="G154" s="4" t="s">
        <v>25</v>
      </c>
      <c r="H154" s="4" t="s">
        <v>25</v>
      </c>
      <c r="I154" s="5">
        <v>44621</v>
      </c>
      <c r="J154" s="6">
        <v>737</v>
      </c>
      <c r="K154" s="96">
        <v>737</v>
      </c>
      <c r="L154" s="6">
        <v>0</v>
      </c>
      <c r="M154" s="96">
        <v>0</v>
      </c>
      <c r="N154" s="6">
        <v>0</v>
      </c>
      <c r="O154" s="96">
        <v>0</v>
      </c>
      <c r="P154" s="6">
        <v>5</v>
      </c>
      <c r="Q154" s="4" t="s">
        <v>26</v>
      </c>
      <c r="R154" s="4">
        <v>0</v>
      </c>
      <c r="S154" s="4">
        <v>19</v>
      </c>
      <c r="T154" s="4">
        <v>0</v>
      </c>
      <c r="U154" s="4">
        <v>0</v>
      </c>
      <c r="V154" s="96">
        <f>IF(ISERROR(VLOOKUP($S$154,'TAR FIN'!$A$1:$O$86,15,0)),0,VLOOKUP($S$154,'TAR FIN'!$A$1:$O$86,15,0))*(1-0.04)</f>
        <v>15.638399999999999</v>
      </c>
      <c r="W154" s="96">
        <f>IF(ISERROR(VLOOKUP($T$154,'TAR FIN'!$A$1:$O$86,15,0)),0,VLOOKUP($T$154,'TAR FIN'!$A$1:$O$86,15,0))</f>
        <v>0</v>
      </c>
      <c r="X154" s="96">
        <f>IF(ISERROR(VLOOKUP($U$154,'TAR FIN'!$A$1:$O$86,15,0)),0,VLOOKUP($U$154,'TAR FIN'!$A$1:$O$86,15,0))</f>
        <v>0</v>
      </c>
      <c r="Y154" s="96">
        <f ca="1">('TUSD BE'!$AM$10+'TUSD BF'!$AM$10+'TUSD CVA'!$AM$10)*1*(1-0.02)</f>
        <v>20.716782055066915</v>
      </c>
      <c r="Z154" s="96"/>
      <c r="AA154" s="96"/>
      <c r="AB154" s="96">
        <f>(SUBSIDIO!$J$154*SUBSIDIO!$V$154)*(0.04)/(1-0.04)</f>
        <v>480.22920000000005</v>
      </c>
      <c r="AC154" s="96">
        <f>((SUBSIDIO!$L$154*SUBSIDIO!$W$154)+(SUBSIDIO!$N$154*SUBSIDIO!$X$154))*(0.04)/(1-0.04)</f>
        <v>0</v>
      </c>
      <c r="AD154" s="96">
        <f ca="1">(SUBSIDIO!$J$154*SUBSIDIO!$Y$154)*(0.02)/(1-0.02)</f>
        <v>311.59731376702689</v>
      </c>
      <c r="AE154" s="96">
        <f>((SUBSIDIO!$L$154*SUBSIDIO!$Z$154)+(SUBSIDIO!$N$154*SUBSIDIO!$AA$154))*(0.02)/(1-0.02)</f>
        <v>0</v>
      </c>
      <c r="AF154" s="4" t="s">
        <v>649</v>
      </c>
    </row>
    <row r="155" spans="1:32" ht="11.25" customHeight="1" x14ac:dyDescent="0.25">
      <c r="A155" s="4" t="s">
        <v>21</v>
      </c>
      <c r="B155" s="4" t="s">
        <v>38</v>
      </c>
      <c r="C155" s="4" t="s">
        <v>39</v>
      </c>
      <c r="D155" s="4" t="s">
        <v>43</v>
      </c>
      <c r="E155" s="4" t="s">
        <v>25</v>
      </c>
      <c r="F155" s="4" t="s">
        <v>25</v>
      </c>
      <c r="G155" s="4" t="s">
        <v>25</v>
      </c>
      <c r="H155" s="4" t="s">
        <v>25</v>
      </c>
      <c r="I155" s="5">
        <v>44652</v>
      </c>
      <c r="J155" s="6">
        <v>810</v>
      </c>
      <c r="K155" s="96">
        <v>810</v>
      </c>
      <c r="L155" s="6">
        <v>0</v>
      </c>
      <c r="M155" s="96">
        <v>0</v>
      </c>
      <c r="N155" s="6">
        <v>0</v>
      </c>
      <c r="O155" s="96">
        <v>0</v>
      </c>
      <c r="P155" s="6">
        <v>5</v>
      </c>
      <c r="Q155" s="4" t="s">
        <v>26</v>
      </c>
      <c r="R155" s="4">
        <v>0</v>
      </c>
      <c r="S155" s="4">
        <v>19</v>
      </c>
      <c r="T155" s="4">
        <v>0</v>
      </c>
      <c r="U155" s="4">
        <v>0</v>
      </c>
      <c r="V155" s="96">
        <f>IF(ISERROR(VLOOKUP($S$155,'TAR FIN'!$A$1:$O$86,15,0)),0,VLOOKUP($S$155,'TAR FIN'!$A$1:$O$86,15,0))*(1-0.04)</f>
        <v>15.638399999999999</v>
      </c>
      <c r="W155" s="96">
        <f>IF(ISERROR(VLOOKUP($T$155,'TAR FIN'!$A$1:$O$86,15,0)),0,VLOOKUP($T$155,'TAR FIN'!$A$1:$O$86,15,0))</f>
        <v>0</v>
      </c>
      <c r="X155" s="96">
        <f>IF(ISERROR(VLOOKUP($U$155,'TAR FIN'!$A$1:$O$86,15,0)),0,VLOOKUP($U$155,'TAR FIN'!$A$1:$O$86,15,0))</f>
        <v>0</v>
      </c>
      <c r="Y155" s="96">
        <f ca="1">('TUSD BE'!$AM$10+'TUSD BF'!$AM$10+'TUSD CVA'!$AM$10)*1*(1-0.02)</f>
        <v>20.716782055066915</v>
      </c>
      <c r="Z155" s="96"/>
      <c r="AA155" s="96"/>
      <c r="AB155" s="96">
        <f>(SUBSIDIO!$J$155*SUBSIDIO!$V$155)*(0.04)/(1-0.04)</f>
        <v>527.79599999999994</v>
      </c>
      <c r="AC155" s="96">
        <f>((SUBSIDIO!$L$155*SUBSIDIO!$W$155)+(SUBSIDIO!$N$155*SUBSIDIO!$X$155))*(0.04)/(1-0.04)</f>
        <v>0</v>
      </c>
      <c r="AD155" s="96">
        <f ca="1">(SUBSIDIO!$J$155*SUBSIDIO!$Y$155)*(0.02)/(1-0.02)</f>
        <v>342.46109111437147</v>
      </c>
      <c r="AE155" s="96">
        <f>((SUBSIDIO!$L$155*SUBSIDIO!$Z$155)+(SUBSIDIO!$N$155*SUBSIDIO!$AA$155))*(0.02)/(1-0.02)</f>
        <v>0</v>
      </c>
      <c r="AF155" s="4" t="s">
        <v>649</v>
      </c>
    </row>
    <row r="156" spans="1:32" ht="11.25" customHeight="1" x14ac:dyDescent="0.25">
      <c r="A156" s="4" t="s">
        <v>21</v>
      </c>
      <c r="B156" s="4" t="s">
        <v>38</v>
      </c>
      <c r="C156" s="4" t="s">
        <v>39</v>
      </c>
      <c r="D156" s="4" t="s">
        <v>43</v>
      </c>
      <c r="E156" s="4" t="s">
        <v>25</v>
      </c>
      <c r="F156" s="4" t="s">
        <v>25</v>
      </c>
      <c r="G156" s="4" t="s">
        <v>25</v>
      </c>
      <c r="H156" s="4" t="s">
        <v>25</v>
      </c>
      <c r="I156" s="5">
        <v>44682</v>
      </c>
      <c r="J156" s="6">
        <v>773</v>
      </c>
      <c r="K156" s="96">
        <v>773</v>
      </c>
      <c r="L156" s="6">
        <v>0</v>
      </c>
      <c r="M156" s="96">
        <v>0</v>
      </c>
      <c r="N156" s="6">
        <v>0</v>
      </c>
      <c r="O156" s="96">
        <v>0</v>
      </c>
      <c r="P156" s="6">
        <v>5</v>
      </c>
      <c r="Q156" s="4" t="s">
        <v>26</v>
      </c>
      <c r="R156" s="4">
        <v>0</v>
      </c>
      <c r="S156" s="4">
        <v>19</v>
      </c>
      <c r="T156" s="4">
        <v>0</v>
      </c>
      <c r="U156" s="4">
        <v>0</v>
      </c>
      <c r="V156" s="96">
        <f>IF(ISERROR(VLOOKUP($S$156,'TAR FIN'!$A$1:$O$86,15,0)),0,VLOOKUP($S$156,'TAR FIN'!$A$1:$O$86,15,0))*(1-0.04)</f>
        <v>15.638399999999999</v>
      </c>
      <c r="W156" s="96">
        <f>IF(ISERROR(VLOOKUP($T$156,'TAR FIN'!$A$1:$O$86,15,0)),0,VLOOKUP($T$156,'TAR FIN'!$A$1:$O$86,15,0))</f>
        <v>0</v>
      </c>
      <c r="X156" s="96">
        <f>IF(ISERROR(VLOOKUP($U$156,'TAR FIN'!$A$1:$O$86,15,0)),0,VLOOKUP($U$156,'TAR FIN'!$A$1:$O$86,15,0))</f>
        <v>0</v>
      </c>
      <c r="Y156" s="96">
        <f ca="1">('TUSD BE'!$AM$10+'TUSD BF'!$AM$10+'TUSD CVA'!$AM$10)*1*(1-0.02)</f>
        <v>20.716782055066915</v>
      </c>
      <c r="Z156" s="96"/>
      <c r="AA156" s="96"/>
      <c r="AB156" s="96">
        <f>(SUBSIDIO!$J$156*SUBSIDIO!$V$156)*(0.04)/(1-0.04)</f>
        <v>503.68679999999995</v>
      </c>
      <c r="AC156" s="96">
        <f>((SUBSIDIO!$L$156*SUBSIDIO!$W$156)+(SUBSIDIO!$N$156*SUBSIDIO!$X$156))*(0.04)/(1-0.04)</f>
        <v>0</v>
      </c>
      <c r="AD156" s="96">
        <f ca="1">(SUBSIDIO!$J$156*SUBSIDIO!$Y$156)*(0.02)/(1-0.02)</f>
        <v>326.81780670544339</v>
      </c>
      <c r="AE156" s="96">
        <f>((SUBSIDIO!$L$156*SUBSIDIO!$Z$156)+(SUBSIDIO!$N$156*SUBSIDIO!$AA$156))*(0.02)/(1-0.02)</f>
        <v>0</v>
      </c>
      <c r="AF156" s="4" t="s">
        <v>649</v>
      </c>
    </row>
    <row r="157" spans="1:32" ht="11.25" customHeight="1" x14ac:dyDescent="0.25">
      <c r="A157" s="4" t="s">
        <v>55</v>
      </c>
      <c r="B157" s="4" t="s">
        <v>38</v>
      </c>
      <c r="C157" s="4" t="s">
        <v>39</v>
      </c>
      <c r="D157" s="4" t="s">
        <v>43</v>
      </c>
      <c r="E157" s="4" t="s">
        <v>25</v>
      </c>
      <c r="F157" s="4" t="s">
        <v>25</v>
      </c>
      <c r="G157" s="4" t="s">
        <v>25</v>
      </c>
      <c r="H157" s="4" t="s">
        <v>25</v>
      </c>
      <c r="I157" s="5">
        <v>44713</v>
      </c>
      <c r="J157" s="6">
        <v>773</v>
      </c>
      <c r="K157" s="96">
        <v>773</v>
      </c>
      <c r="L157" s="6">
        <v>0</v>
      </c>
      <c r="M157" s="96">
        <v>0</v>
      </c>
      <c r="N157" s="6">
        <v>0</v>
      </c>
      <c r="O157" s="96">
        <v>0</v>
      </c>
      <c r="P157" s="6">
        <v>5</v>
      </c>
      <c r="Q157" s="4" t="s">
        <v>26</v>
      </c>
      <c r="R157" s="4">
        <v>0</v>
      </c>
      <c r="S157" s="4">
        <v>19</v>
      </c>
      <c r="T157" s="4">
        <v>0</v>
      </c>
      <c r="U157" s="4">
        <v>0</v>
      </c>
      <c r="V157" s="96">
        <f>IF(ISERROR(VLOOKUP($S$157,'TAR FIN'!$A$1:$O$86,15,0)),0,VLOOKUP($S$157,'TAR FIN'!$A$1:$O$86,15,0))*(1-0.04)</f>
        <v>15.638399999999999</v>
      </c>
      <c r="W157" s="96">
        <f>IF(ISERROR(VLOOKUP($T$157,'TAR FIN'!$A$1:$O$86,15,0)),0,VLOOKUP($T$157,'TAR FIN'!$A$1:$O$86,15,0))</f>
        <v>0</v>
      </c>
      <c r="X157" s="96">
        <f>IF(ISERROR(VLOOKUP($U$157,'TAR FIN'!$A$1:$O$86,15,0)),0,VLOOKUP($U$157,'TAR FIN'!$A$1:$O$86,15,0))</f>
        <v>0</v>
      </c>
      <c r="Y157" s="96">
        <f ca="1">('TUSD BE'!$AM$10+'TUSD BF'!$AM$10+'TUSD CVA'!$AM$10)*1*(1-0.02)</f>
        <v>20.716782055066915</v>
      </c>
      <c r="Z157" s="96"/>
      <c r="AA157" s="96"/>
      <c r="AB157" s="96">
        <f>(SUBSIDIO!$J$157*SUBSIDIO!$V$157)*(0.04)/(1-0.04)</f>
        <v>503.68679999999995</v>
      </c>
      <c r="AC157" s="96">
        <f>((SUBSIDIO!$L$157*SUBSIDIO!$W$157)+(SUBSIDIO!$N$157*SUBSIDIO!$X$157))*(0.04)/(1-0.04)</f>
        <v>0</v>
      </c>
      <c r="AD157" s="96">
        <f ca="1">(SUBSIDIO!$J$157*SUBSIDIO!$Y$157)*(0.02)/(1-0.02)</f>
        <v>326.81780670544339</v>
      </c>
      <c r="AE157" s="96">
        <f>((SUBSIDIO!$L$157*SUBSIDIO!$Z$157)+(SUBSIDIO!$N$157*SUBSIDIO!$AA$157))*(0.02)/(1-0.02)</f>
        <v>0</v>
      </c>
      <c r="AF157" s="4" t="s">
        <v>649</v>
      </c>
    </row>
    <row r="158" spans="1:32" ht="11.25" customHeight="1" x14ac:dyDescent="0.25">
      <c r="A158" s="4" t="s">
        <v>21</v>
      </c>
      <c r="B158" s="4" t="s">
        <v>38</v>
      </c>
      <c r="C158" s="4" t="s">
        <v>39</v>
      </c>
      <c r="D158" s="4" t="s">
        <v>43</v>
      </c>
      <c r="E158" s="4" t="s">
        <v>25</v>
      </c>
      <c r="F158" s="4" t="s">
        <v>25</v>
      </c>
      <c r="G158" s="4" t="s">
        <v>25</v>
      </c>
      <c r="H158" s="4" t="s">
        <v>33</v>
      </c>
      <c r="I158" s="5">
        <v>44378</v>
      </c>
      <c r="J158" s="6">
        <v>0</v>
      </c>
      <c r="K158" s="96">
        <v>0</v>
      </c>
      <c r="L158" s="6">
        <v>3.0960000000000001</v>
      </c>
      <c r="M158" s="96">
        <v>3.0960000000000001</v>
      </c>
      <c r="N158" s="6">
        <v>3.0960000000000001</v>
      </c>
      <c r="O158" s="96">
        <v>3.0960000000000001</v>
      </c>
      <c r="P158" s="6">
        <v>0</v>
      </c>
      <c r="Q158" s="4" t="s">
        <v>26</v>
      </c>
      <c r="R158" s="4">
        <v>0</v>
      </c>
      <c r="S158" s="4">
        <v>0</v>
      </c>
      <c r="T158" s="4">
        <v>21</v>
      </c>
      <c r="U158" s="4">
        <v>66</v>
      </c>
      <c r="V158" s="96">
        <f>IF(ISERROR(VLOOKUP($S$158,'TAR FIN'!$A$1:$O$86,15,0)),0,VLOOKUP($S$158,'TAR FIN'!$A$1:$O$86,15,0))</f>
        <v>0</v>
      </c>
      <c r="W158" s="96">
        <f>IF(ISERROR(VLOOKUP($T$158,'TAR FIN'!$A$1:$O$86,15,0)),0,VLOOKUP($T$158,'TAR FIN'!$A$1:$O$86,15,0))*(1-0.04)</f>
        <v>572.90879999999993</v>
      </c>
      <c r="X158" s="96">
        <f>IF(ISERROR(VLOOKUP($U$158,'TAR FIN'!$A$1:$O$86,15,0)),0,VLOOKUP($U$158,'TAR FIN'!$A$1:$O$86,15,0))*(1-0.04)</f>
        <v>483.66719999999998</v>
      </c>
      <c r="Y158" s="96"/>
      <c r="Z158" s="96">
        <f ca="1">('TUSD BE'!$AM$11+'TUSD BF'!$AM$11+'TUSD CVA'!$AM$11)*1*(1-0.02)</f>
        <v>613.15693267511767</v>
      </c>
      <c r="AA158" s="96">
        <f>('TE BE'!$AB$5+'TE BF'!$AB$5+'TE CVA'!$AB$5)*1*(1-0.02)</f>
        <v>390.05630765165643</v>
      </c>
      <c r="AB158" s="96">
        <f>(SUBSIDIO!$J$158*SUBSIDIO!$V$158)*(0.04)/(1-0.04)</f>
        <v>0</v>
      </c>
      <c r="AC158" s="96">
        <f>((SUBSIDIO!$L$158*SUBSIDIO!$W$158)+(SUBSIDIO!$N$158*SUBSIDIO!$X$158))*(0.04)/(1-0.04)</f>
        <v>136.298304</v>
      </c>
      <c r="AD158" s="96">
        <f>(SUBSIDIO!$J$158*SUBSIDIO!$Y$158)*(0.02)/(1-0.02)</f>
        <v>0</v>
      </c>
      <c r="AE158" s="96">
        <f ca="1">((SUBSIDIO!$L$158*SUBSIDIO!$Z$158)+(SUBSIDIO!$N$158*SUBSIDIO!$AA$158))*(0.02)/(1-0.02)</f>
        <v>63.38669779697333</v>
      </c>
      <c r="AF158" s="4" t="s">
        <v>649</v>
      </c>
    </row>
    <row r="159" spans="1:32" ht="11.25" customHeight="1" x14ac:dyDescent="0.25">
      <c r="A159" s="4" t="s">
        <v>21</v>
      </c>
      <c r="B159" s="4" t="s">
        <v>38</v>
      </c>
      <c r="C159" s="4" t="s">
        <v>39</v>
      </c>
      <c r="D159" s="4" t="s">
        <v>43</v>
      </c>
      <c r="E159" s="4" t="s">
        <v>25</v>
      </c>
      <c r="F159" s="4" t="s">
        <v>25</v>
      </c>
      <c r="G159" s="4" t="s">
        <v>25</v>
      </c>
      <c r="H159" s="4" t="s">
        <v>33</v>
      </c>
      <c r="I159" s="5">
        <v>44409</v>
      </c>
      <c r="J159" s="6">
        <v>0</v>
      </c>
      <c r="K159" s="96">
        <v>0</v>
      </c>
      <c r="L159" s="6">
        <v>3.1389999999999998</v>
      </c>
      <c r="M159" s="96">
        <v>3.1389999999999998</v>
      </c>
      <c r="N159" s="6">
        <v>3.1389999999999998</v>
      </c>
      <c r="O159" s="96">
        <v>3.1389999999999998</v>
      </c>
      <c r="P159" s="6">
        <v>0</v>
      </c>
      <c r="Q159" s="4" t="s">
        <v>26</v>
      </c>
      <c r="R159" s="4">
        <v>0</v>
      </c>
      <c r="S159" s="4">
        <v>0</v>
      </c>
      <c r="T159" s="4">
        <v>21</v>
      </c>
      <c r="U159" s="4">
        <v>66</v>
      </c>
      <c r="V159" s="96">
        <f>IF(ISERROR(VLOOKUP($S$159,'TAR FIN'!$A$1:$O$86,15,0)),0,VLOOKUP($S$159,'TAR FIN'!$A$1:$O$86,15,0))</f>
        <v>0</v>
      </c>
      <c r="W159" s="96">
        <f>IF(ISERROR(VLOOKUP($T$159,'TAR FIN'!$A$1:$O$86,15,0)),0,VLOOKUP($T$159,'TAR FIN'!$A$1:$O$86,15,0))*(1-0.04)</f>
        <v>572.90879999999993</v>
      </c>
      <c r="X159" s="96">
        <f>IF(ISERROR(VLOOKUP($U$159,'TAR FIN'!$A$1:$O$86,15,0)),0,VLOOKUP($U$159,'TAR FIN'!$A$1:$O$86,15,0))*(1-0.04)</f>
        <v>483.66719999999998</v>
      </c>
      <c r="Y159" s="96"/>
      <c r="Z159" s="96">
        <f ca="1">('TUSD BE'!$AM$11+'TUSD BF'!$AM$11+'TUSD CVA'!$AM$11)*1*(1-0.02)</f>
        <v>613.15693267511767</v>
      </c>
      <c r="AA159" s="96">
        <f>('TE BE'!$AB$5+'TE BF'!$AB$5+'TE CVA'!$AB$5)*1*(1-0.02)</f>
        <v>390.05630765165643</v>
      </c>
      <c r="AB159" s="96">
        <f>(SUBSIDIO!$J$159*SUBSIDIO!$V$159)*(0.04)/(1-0.04)</f>
        <v>0</v>
      </c>
      <c r="AC159" s="96">
        <f>((SUBSIDIO!$L$159*SUBSIDIO!$W$159)+(SUBSIDIO!$N$159*SUBSIDIO!$X$159))*(0.04)/(1-0.04)</f>
        <v>138.19133599999998</v>
      </c>
      <c r="AD159" s="96">
        <f>(SUBSIDIO!$J$159*SUBSIDIO!$Y$159)*(0.02)/(1-0.02)</f>
        <v>0</v>
      </c>
      <c r="AE159" s="96">
        <f ca="1">((SUBSIDIO!$L$159*SUBSIDIO!$Z$159)+(SUBSIDIO!$N$159*SUBSIDIO!$AA$159))*(0.02)/(1-0.02)</f>
        <v>64.267068599709063</v>
      </c>
      <c r="AF159" s="4" t="s">
        <v>649</v>
      </c>
    </row>
    <row r="160" spans="1:32" ht="11.25" customHeight="1" x14ac:dyDescent="0.25">
      <c r="A160" s="4" t="s">
        <v>21</v>
      </c>
      <c r="B160" s="4" t="s">
        <v>38</v>
      </c>
      <c r="C160" s="4" t="s">
        <v>39</v>
      </c>
      <c r="D160" s="4" t="s">
        <v>43</v>
      </c>
      <c r="E160" s="4" t="s">
        <v>25</v>
      </c>
      <c r="F160" s="4" t="s">
        <v>25</v>
      </c>
      <c r="G160" s="4" t="s">
        <v>25</v>
      </c>
      <c r="H160" s="4" t="s">
        <v>33</v>
      </c>
      <c r="I160" s="5">
        <v>44440</v>
      </c>
      <c r="J160" s="6">
        <v>0</v>
      </c>
      <c r="K160" s="96">
        <v>0</v>
      </c>
      <c r="L160" s="6">
        <v>3.145</v>
      </c>
      <c r="M160" s="96">
        <v>3.145</v>
      </c>
      <c r="N160" s="6">
        <v>3.145</v>
      </c>
      <c r="O160" s="96">
        <v>3.145</v>
      </c>
      <c r="P160" s="6">
        <v>0</v>
      </c>
      <c r="Q160" s="4" t="s">
        <v>26</v>
      </c>
      <c r="R160" s="4">
        <v>0</v>
      </c>
      <c r="S160" s="4">
        <v>0</v>
      </c>
      <c r="T160" s="4">
        <v>21</v>
      </c>
      <c r="U160" s="4">
        <v>66</v>
      </c>
      <c r="V160" s="96">
        <f>IF(ISERROR(VLOOKUP($S$160,'TAR FIN'!$A$1:$O$86,15,0)),0,VLOOKUP($S$160,'TAR FIN'!$A$1:$O$86,15,0))</f>
        <v>0</v>
      </c>
      <c r="W160" s="96">
        <f>IF(ISERROR(VLOOKUP($T$160,'TAR FIN'!$A$1:$O$86,15,0)),0,VLOOKUP($T$160,'TAR FIN'!$A$1:$O$86,15,0))*(1-0.04)</f>
        <v>572.90879999999993</v>
      </c>
      <c r="X160" s="96">
        <f>IF(ISERROR(VLOOKUP($U$160,'TAR FIN'!$A$1:$O$86,15,0)),0,VLOOKUP($U$160,'TAR FIN'!$A$1:$O$86,15,0))*(1-0.04)</f>
        <v>483.66719999999998</v>
      </c>
      <c r="Y160" s="96"/>
      <c r="Z160" s="96">
        <f ca="1">('TUSD BE'!$AM$11+'TUSD BF'!$AM$11+'TUSD CVA'!$AM$11)*1*(1-0.02)</f>
        <v>613.15693267511767</v>
      </c>
      <c r="AA160" s="96">
        <f>('TE BE'!$AB$5+'TE BF'!$AB$5+'TE CVA'!$AB$5)*1*(1-0.02)</f>
        <v>390.05630765165643</v>
      </c>
      <c r="AB160" s="96">
        <f>(SUBSIDIO!$J$160*SUBSIDIO!$V$160)*(0.04)/(1-0.04)</f>
        <v>0</v>
      </c>
      <c r="AC160" s="96">
        <f>((SUBSIDIO!$L$160*SUBSIDIO!$W$160)+(SUBSIDIO!$N$160*SUBSIDIO!$X$160))*(0.04)/(1-0.04)</f>
        <v>138.45547999999999</v>
      </c>
      <c r="AD160" s="96">
        <f>(SUBSIDIO!$J$160*SUBSIDIO!$Y$160)*(0.02)/(1-0.02)</f>
        <v>0</v>
      </c>
      <c r="AE160" s="96">
        <f ca="1">((SUBSIDIO!$L$160*SUBSIDIO!$Z$160)+(SUBSIDIO!$N$160*SUBSIDIO!$AA$160))*(0.02)/(1-0.02)</f>
        <v>64.389911037300095</v>
      </c>
      <c r="AF160" s="4" t="s">
        <v>649</v>
      </c>
    </row>
    <row r="161" spans="1:32" ht="11.25" customHeight="1" x14ac:dyDescent="0.25">
      <c r="A161" s="4" t="s">
        <v>21</v>
      </c>
      <c r="B161" s="4" t="s">
        <v>38</v>
      </c>
      <c r="C161" s="4" t="s">
        <v>39</v>
      </c>
      <c r="D161" s="4" t="s">
        <v>43</v>
      </c>
      <c r="E161" s="4" t="s">
        <v>25</v>
      </c>
      <c r="F161" s="4" t="s">
        <v>25</v>
      </c>
      <c r="G161" s="4" t="s">
        <v>25</v>
      </c>
      <c r="H161" s="4" t="s">
        <v>33</v>
      </c>
      <c r="I161" s="5">
        <v>44470</v>
      </c>
      <c r="J161" s="6">
        <v>0</v>
      </c>
      <c r="K161" s="96">
        <v>0</v>
      </c>
      <c r="L161" s="6">
        <v>7.8280000000000003</v>
      </c>
      <c r="M161" s="96">
        <v>7.8280000000000003</v>
      </c>
      <c r="N161" s="6">
        <v>7.8280000000000003</v>
      </c>
      <c r="O161" s="96">
        <v>7.8280000000000003</v>
      </c>
      <c r="P161" s="6">
        <v>0</v>
      </c>
      <c r="Q161" s="4" t="s">
        <v>26</v>
      </c>
      <c r="R161" s="4">
        <v>0</v>
      </c>
      <c r="S161" s="4">
        <v>0</v>
      </c>
      <c r="T161" s="4">
        <v>21</v>
      </c>
      <c r="U161" s="4">
        <v>66</v>
      </c>
      <c r="V161" s="96">
        <f>IF(ISERROR(VLOOKUP($S$161,'TAR FIN'!$A$1:$O$86,15,0)),0,VLOOKUP($S$161,'TAR FIN'!$A$1:$O$86,15,0))</f>
        <v>0</v>
      </c>
      <c r="W161" s="96">
        <f>IF(ISERROR(VLOOKUP($T$161,'TAR FIN'!$A$1:$O$86,15,0)),0,VLOOKUP($T$161,'TAR FIN'!$A$1:$O$86,15,0))*(1-0.04)</f>
        <v>572.90879999999993</v>
      </c>
      <c r="X161" s="96">
        <f>IF(ISERROR(VLOOKUP($U$161,'TAR FIN'!$A$1:$O$86,15,0)),0,VLOOKUP($U$161,'TAR FIN'!$A$1:$O$86,15,0))*(1-0.04)</f>
        <v>483.66719999999998</v>
      </c>
      <c r="Y161" s="96"/>
      <c r="Z161" s="96">
        <f ca="1">('TUSD BE'!$AM$11+'TUSD BF'!$AM$11+'TUSD CVA'!$AM$11)*1*(1-0.02)</f>
        <v>613.15693267511767</v>
      </c>
      <c r="AA161" s="96">
        <f>('TE BE'!$AB$5+'TE BF'!$AB$5+'TE CVA'!$AB$5)*1*(1-0.02)</f>
        <v>390.05630765165643</v>
      </c>
      <c r="AB161" s="96">
        <f>(SUBSIDIO!$J$161*SUBSIDIO!$V$161)*(0.04)/(1-0.04)</f>
        <v>0</v>
      </c>
      <c r="AC161" s="96">
        <f>((SUBSIDIO!$L$161*SUBSIDIO!$W$161)+(SUBSIDIO!$N$161*SUBSIDIO!$X$161))*(0.04)/(1-0.04)</f>
        <v>344.61987199999999</v>
      </c>
      <c r="AD161" s="96">
        <f>(SUBSIDIO!$J$161*SUBSIDIO!$Y$161)*(0.02)/(1-0.02)</f>
        <v>0</v>
      </c>
      <c r="AE161" s="96">
        <f ca="1">((SUBSIDIO!$L$161*SUBSIDIO!$Z$161)+(SUBSIDIO!$N$161*SUBSIDIO!$AA$161))*(0.02)/(1-0.02)</f>
        <v>160.2684335771018</v>
      </c>
      <c r="AF161" s="4" t="s">
        <v>649</v>
      </c>
    </row>
    <row r="162" spans="1:32" ht="11.25" customHeight="1" x14ac:dyDescent="0.25">
      <c r="A162" s="4" t="s">
        <v>21</v>
      </c>
      <c r="B162" s="4" t="s">
        <v>38</v>
      </c>
      <c r="C162" s="4" t="s">
        <v>39</v>
      </c>
      <c r="D162" s="4" t="s">
        <v>43</v>
      </c>
      <c r="E162" s="4" t="s">
        <v>25</v>
      </c>
      <c r="F162" s="4" t="s">
        <v>25</v>
      </c>
      <c r="G162" s="4" t="s">
        <v>25</v>
      </c>
      <c r="H162" s="4" t="s">
        <v>33</v>
      </c>
      <c r="I162" s="5">
        <v>44501</v>
      </c>
      <c r="J162" s="6">
        <v>0</v>
      </c>
      <c r="K162" s="96">
        <v>0</v>
      </c>
      <c r="L162" s="6">
        <v>9.3659999999999997</v>
      </c>
      <c r="M162" s="96">
        <v>9.3659999999999997</v>
      </c>
      <c r="N162" s="6">
        <v>9.3659999999999997</v>
      </c>
      <c r="O162" s="96">
        <v>9.3659999999999997</v>
      </c>
      <c r="P162" s="6">
        <v>0</v>
      </c>
      <c r="Q162" s="4" t="s">
        <v>26</v>
      </c>
      <c r="R162" s="4">
        <v>0</v>
      </c>
      <c r="S162" s="4">
        <v>0</v>
      </c>
      <c r="T162" s="4">
        <v>21</v>
      </c>
      <c r="U162" s="4">
        <v>66</v>
      </c>
      <c r="V162" s="96">
        <f>IF(ISERROR(VLOOKUP($S$162,'TAR FIN'!$A$1:$O$86,15,0)),0,VLOOKUP($S$162,'TAR FIN'!$A$1:$O$86,15,0))</f>
        <v>0</v>
      </c>
      <c r="W162" s="96">
        <f>IF(ISERROR(VLOOKUP($T$162,'TAR FIN'!$A$1:$O$86,15,0)),0,VLOOKUP($T$162,'TAR FIN'!$A$1:$O$86,15,0))*(1-0.04)</f>
        <v>572.90879999999993</v>
      </c>
      <c r="X162" s="96">
        <f>IF(ISERROR(VLOOKUP($U$162,'TAR FIN'!$A$1:$O$86,15,0)),0,VLOOKUP($U$162,'TAR FIN'!$A$1:$O$86,15,0))*(1-0.04)</f>
        <v>483.66719999999998</v>
      </c>
      <c r="Y162" s="96"/>
      <c r="Z162" s="96">
        <f ca="1">('TUSD BE'!$AM$11+'TUSD BF'!$AM$11+'TUSD CVA'!$AM$11)*1*(1-0.02)</f>
        <v>613.15693267511767</v>
      </c>
      <c r="AA162" s="96">
        <f>('TE BE'!$AB$5+'TE BF'!$AB$5+'TE CVA'!$AB$5)*1*(1-0.02)</f>
        <v>390.05630765165643</v>
      </c>
      <c r="AB162" s="96">
        <f>(SUBSIDIO!$J$162*SUBSIDIO!$V$162)*(0.04)/(1-0.04)</f>
        <v>0</v>
      </c>
      <c r="AC162" s="96">
        <f>((SUBSIDIO!$L$162*SUBSIDIO!$W$162)+(SUBSIDIO!$N$162*SUBSIDIO!$X$162))*(0.04)/(1-0.04)</f>
        <v>412.32878399999998</v>
      </c>
      <c r="AD162" s="96">
        <f>(SUBSIDIO!$J$162*SUBSIDIO!$Y$162)*(0.02)/(1-0.02)</f>
        <v>0</v>
      </c>
      <c r="AE162" s="96">
        <f ca="1">((SUBSIDIO!$L$162*SUBSIDIO!$Z$162)+(SUBSIDIO!$N$162*SUBSIDIO!$AA$162))*(0.02)/(1-0.02)</f>
        <v>191.75704507960339</v>
      </c>
      <c r="AF162" s="4" t="s">
        <v>649</v>
      </c>
    </row>
    <row r="163" spans="1:32" ht="11.25" customHeight="1" x14ac:dyDescent="0.25">
      <c r="A163" s="4" t="s">
        <v>21</v>
      </c>
      <c r="B163" s="4" t="s">
        <v>38</v>
      </c>
      <c r="C163" s="4" t="s">
        <v>39</v>
      </c>
      <c r="D163" s="4" t="s">
        <v>43</v>
      </c>
      <c r="E163" s="4" t="s">
        <v>25</v>
      </c>
      <c r="F163" s="4" t="s">
        <v>25</v>
      </c>
      <c r="G163" s="4" t="s">
        <v>25</v>
      </c>
      <c r="H163" s="4" t="s">
        <v>33</v>
      </c>
      <c r="I163" s="5">
        <v>44531</v>
      </c>
      <c r="J163" s="6">
        <v>0</v>
      </c>
      <c r="K163" s="96">
        <v>0</v>
      </c>
      <c r="L163" s="6">
        <v>3.806</v>
      </c>
      <c r="M163" s="96">
        <v>3.806</v>
      </c>
      <c r="N163" s="6">
        <v>3.806</v>
      </c>
      <c r="O163" s="96">
        <v>3.806</v>
      </c>
      <c r="P163" s="6">
        <v>0</v>
      </c>
      <c r="Q163" s="4" t="s">
        <v>26</v>
      </c>
      <c r="R163" s="4">
        <v>0</v>
      </c>
      <c r="S163" s="4">
        <v>0</v>
      </c>
      <c r="T163" s="4">
        <v>21</v>
      </c>
      <c r="U163" s="4">
        <v>66</v>
      </c>
      <c r="V163" s="96">
        <f>IF(ISERROR(VLOOKUP($S$163,'TAR FIN'!$A$1:$O$86,15,0)),0,VLOOKUP($S$163,'TAR FIN'!$A$1:$O$86,15,0))</f>
        <v>0</v>
      </c>
      <c r="W163" s="96">
        <f>IF(ISERROR(VLOOKUP($T$163,'TAR FIN'!$A$1:$O$86,15,0)),0,VLOOKUP($T$163,'TAR FIN'!$A$1:$O$86,15,0))*(1-0.04)</f>
        <v>572.90879999999993</v>
      </c>
      <c r="X163" s="96">
        <f>IF(ISERROR(VLOOKUP($U$163,'TAR FIN'!$A$1:$O$86,15,0)),0,VLOOKUP($U$163,'TAR FIN'!$A$1:$O$86,15,0))*(1-0.04)</f>
        <v>483.66719999999998</v>
      </c>
      <c r="Y163" s="96"/>
      <c r="Z163" s="96">
        <f ca="1">('TUSD BE'!$AM$11+'TUSD BF'!$AM$11+'TUSD CVA'!$AM$11)*1*(1-0.02)</f>
        <v>613.15693267511767</v>
      </c>
      <c r="AA163" s="96">
        <f>('TE BE'!$AB$5+'TE BF'!$AB$5+'TE CVA'!$AB$5)*1*(1-0.02)</f>
        <v>390.05630765165643</v>
      </c>
      <c r="AB163" s="96">
        <f>(SUBSIDIO!$J$163*SUBSIDIO!$V$163)*(0.04)/(1-0.04)</f>
        <v>0</v>
      </c>
      <c r="AC163" s="96">
        <f>((SUBSIDIO!$L$163*SUBSIDIO!$W$163)+(SUBSIDIO!$N$163*SUBSIDIO!$X$163))*(0.04)/(1-0.04)</f>
        <v>167.55534399999999</v>
      </c>
      <c r="AD163" s="96">
        <f>(SUBSIDIO!$J$163*SUBSIDIO!$Y$163)*(0.02)/(1-0.02)</f>
        <v>0</v>
      </c>
      <c r="AE163" s="96">
        <f ca="1">((SUBSIDIO!$L$163*SUBSIDIO!$Z$163)+(SUBSIDIO!$N$163*SUBSIDIO!$AA$163))*(0.02)/(1-0.02)</f>
        <v>77.923052911912293</v>
      </c>
      <c r="AF163" s="4" t="s">
        <v>649</v>
      </c>
    </row>
    <row r="164" spans="1:32" ht="11.25" customHeight="1" x14ac:dyDescent="0.25">
      <c r="A164" s="4" t="s">
        <v>21</v>
      </c>
      <c r="B164" s="4" t="s">
        <v>38</v>
      </c>
      <c r="C164" s="4" t="s">
        <v>39</v>
      </c>
      <c r="D164" s="4" t="s">
        <v>43</v>
      </c>
      <c r="E164" s="4" t="s">
        <v>25</v>
      </c>
      <c r="F164" s="4" t="s">
        <v>25</v>
      </c>
      <c r="G164" s="4" t="s">
        <v>25</v>
      </c>
      <c r="H164" s="4" t="s">
        <v>33</v>
      </c>
      <c r="I164" s="5">
        <v>44562</v>
      </c>
      <c r="J164" s="6">
        <v>0</v>
      </c>
      <c r="K164" s="96">
        <v>0</v>
      </c>
      <c r="L164" s="6">
        <v>6.9459999999999997</v>
      </c>
      <c r="M164" s="96">
        <v>6.9459999999999997</v>
      </c>
      <c r="N164" s="6">
        <v>6.9459999999999997</v>
      </c>
      <c r="O164" s="96">
        <v>6.9459999999999997</v>
      </c>
      <c r="P164" s="6">
        <v>0</v>
      </c>
      <c r="Q164" s="4" t="s">
        <v>26</v>
      </c>
      <c r="R164" s="4">
        <v>0</v>
      </c>
      <c r="S164" s="4">
        <v>0</v>
      </c>
      <c r="T164" s="4">
        <v>21</v>
      </c>
      <c r="U164" s="4">
        <v>66</v>
      </c>
      <c r="V164" s="96">
        <f>IF(ISERROR(VLOOKUP($S$164,'TAR FIN'!$A$1:$O$86,15,0)),0,VLOOKUP($S$164,'TAR FIN'!$A$1:$O$86,15,0))</f>
        <v>0</v>
      </c>
      <c r="W164" s="96">
        <f>IF(ISERROR(VLOOKUP($T$164,'TAR FIN'!$A$1:$O$86,15,0)),0,VLOOKUP($T$164,'TAR FIN'!$A$1:$O$86,15,0))*(1-0.04)</f>
        <v>572.90879999999993</v>
      </c>
      <c r="X164" s="96">
        <f>IF(ISERROR(VLOOKUP($U$164,'TAR FIN'!$A$1:$O$86,15,0)),0,VLOOKUP($U$164,'TAR FIN'!$A$1:$O$86,15,0))*(1-0.04)</f>
        <v>483.66719999999998</v>
      </c>
      <c r="Y164" s="96"/>
      <c r="Z164" s="96">
        <f ca="1">('TUSD BE'!$AM$11+'TUSD BF'!$AM$11+'TUSD CVA'!$AM$11)*1*(1-0.02)</f>
        <v>613.15693267511767</v>
      </c>
      <c r="AA164" s="96">
        <f>('TE BE'!$AB$5+'TE BF'!$AB$5+'TE CVA'!$AB$5)*1*(1-0.02)</f>
        <v>390.05630765165643</v>
      </c>
      <c r="AB164" s="96">
        <f>(SUBSIDIO!$J$164*SUBSIDIO!$V$164)*(0.04)/(1-0.04)</f>
        <v>0</v>
      </c>
      <c r="AC164" s="96">
        <f>((SUBSIDIO!$L$164*SUBSIDIO!$W$164)+(SUBSIDIO!$N$164*SUBSIDIO!$X$164))*(0.04)/(1-0.04)</f>
        <v>305.79070400000001</v>
      </c>
      <c r="AD164" s="96">
        <f>(SUBSIDIO!$J$164*SUBSIDIO!$Y$164)*(0.02)/(1-0.02)</f>
        <v>0</v>
      </c>
      <c r="AE164" s="96">
        <f ca="1">((SUBSIDIO!$L$164*SUBSIDIO!$Z$164)+(SUBSIDIO!$N$164*SUBSIDIO!$AA$164))*(0.02)/(1-0.02)</f>
        <v>142.21059525121984</v>
      </c>
      <c r="AF164" s="4" t="s">
        <v>649</v>
      </c>
    </row>
    <row r="165" spans="1:32" ht="11.25" customHeight="1" x14ac:dyDescent="0.25">
      <c r="A165" s="4" t="s">
        <v>21</v>
      </c>
      <c r="B165" s="4" t="s">
        <v>38</v>
      </c>
      <c r="C165" s="4" t="s">
        <v>39</v>
      </c>
      <c r="D165" s="4" t="s">
        <v>43</v>
      </c>
      <c r="E165" s="4" t="s">
        <v>25</v>
      </c>
      <c r="F165" s="4" t="s">
        <v>25</v>
      </c>
      <c r="G165" s="4" t="s">
        <v>25</v>
      </c>
      <c r="H165" s="4" t="s">
        <v>33</v>
      </c>
      <c r="I165" s="5">
        <v>44593</v>
      </c>
      <c r="J165" s="6">
        <v>0</v>
      </c>
      <c r="K165" s="96">
        <v>0</v>
      </c>
      <c r="L165" s="6">
        <v>7.7380000000000004</v>
      </c>
      <c r="M165" s="96">
        <v>7.7380000000000004</v>
      </c>
      <c r="N165" s="6">
        <v>7.7380000000000004</v>
      </c>
      <c r="O165" s="96">
        <v>7.7380000000000004</v>
      </c>
      <c r="P165" s="6">
        <v>0</v>
      </c>
      <c r="Q165" s="4" t="s">
        <v>26</v>
      </c>
      <c r="R165" s="4">
        <v>0</v>
      </c>
      <c r="S165" s="4">
        <v>0</v>
      </c>
      <c r="T165" s="4">
        <v>21</v>
      </c>
      <c r="U165" s="4">
        <v>66</v>
      </c>
      <c r="V165" s="96">
        <f>IF(ISERROR(VLOOKUP($S$165,'TAR FIN'!$A$1:$O$86,15,0)),0,VLOOKUP($S$165,'TAR FIN'!$A$1:$O$86,15,0))</f>
        <v>0</v>
      </c>
      <c r="W165" s="96">
        <f>IF(ISERROR(VLOOKUP($T$165,'TAR FIN'!$A$1:$O$86,15,0)),0,VLOOKUP($T$165,'TAR FIN'!$A$1:$O$86,15,0))*(1-0.04)</f>
        <v>572.90879999999993</v>
      </c>
      <c r="X165" s="96">
        <f>IF(ISERROR(VLOOKUP($U$165,'TAR FIN'!$A$1:$O$86,15,0)),0,VLOOKUP($U$165,'TAR FIN'!$A$1:$O$86,15,0))*(1-0.04)</f>
        <v>483.66719999999998</v>
      </c>
      <c r="Y165" s="96"/>
      <c r="Z165" s="96">
        <f ca="1">('TUSD BE'!$AM$11+'TUSD BF'!$AM$11+'TUSD CVA'!$AM$11)*1*(1-0.02)</f>
        <v>613.15693267511767</v>
      </c>
      <c r="AA165" s="96">
        <f>('TE BE'!$AB$5+'TE BF'!$AB$5+'TE CVA'!$AB$5)*1*(1-0.02)</f>
        <v>390.05630765165643</v>
      </c>
      <c r="AB165" s="96">
        <f>(SUBSIDIO!$J$165*SUBSIDIO!$V$165)*(0.04)/(1-0.04)</f>
        <v>0</v>
      </c>
      <c r="AC165" s="96">
        <f>((SUBSIDIO!$L$165*SUBSIDIO!$W$165)+(SUBSIDIO!$N$165*SUBSIDIO!$X$165))*(0.04)/(1-0.04)</f>
        <v>340.657712</v>
      </c>
      <c r="AD165" s="96">
        <f>(SUBSIDIO!$J$165*SUBSIDIO!$Y$165)*(0.02)/(1-0.02)</f>
        <v>0</v>
      </c>
      <c r="AE165" s="96">
        <f ca="1">((SUBSIDIO!$L$165*SUBSIDIO!$Z$165)+(SUBSIDIO!$N$165*SUBSIDIO!$AA$165))*(0.02)/(1-0.02)</f>
        <v>158.42579701323632</v>
      </c>
      <c r="AF165" s="4" t="s">
        <v>649</v>
      </c>
    </row>
    <row r="166" spans="1:32" ht="11.25" customHeight="1" x14ac:dyDescent="0.25">
      <c r="A166" s="4" t="s">
        <v>21</v>
      </c>
      <c r="B166" s="4" t="s">
        <v>38</v>
      </c>
      <c r="C166" s="4" t="s">
        <v>39</v>
      </c>
      <c r="D166" s="4" t="s">
        <v>43</v>
      </c>
      <c r="E166" s="4" t="s">
        <v>25</v>
      </c>
      <c r="F166" s="4" t="s">
        <v>25</v>
      </c>
      <c r="G166" s="4" t="s">
        <v>25</v>
      </c>
      <c r="H166" s="4" t="s">
        <v>33</v>
      </c>
      <c r="I166" s="5">
        <v>44621</v>
      </c>
      <c r="J166" s="6">
        <v>0</v>
      </c>
      <c r="K166" s="96">
        <v>0</v>
      </c>
      <c r="L166" s="6">
        <v>12.128</v>
      </c>
      <c r="M166" s="96">
        <v>12.128</v>
      </c>
      <c r="N166" s="6">
        <v>12.128</v>
      </c>
      <c r="O166" s="96">
        <v>12.128</v>
      </c>
      <c r="P166" s="6">
        <v>0</v>
      </c>
      <c r="Q166" s="4" t="s">
        <v>26</v>
      </c>
      <c r="R166" s="4">
        <v>0</v>
      </c>
      <c r="S166" s="4">
        <v>0</v>
      </c>
      <c r="T166" s="4">
        <v>21</v>
      </c>
      <c r="U166" s="4">
        <v>66</v>
      </c>
      <c r="V166" s="96">
        <f>IF(ISERROR(VLOOKUP($S$166,'TAR FIN'!$A$1:$O$86,15,0)),0,VLOOKUP($S$166,'TAR FIN'!$A$1:$O$86,15,0))</f>
        <v>0</v>
      </c>
      <c r="W166" s="96">
        <f>IF(ISERROR(VLOOKUP($T$166,'TAR FIN'!$A$1:$O$86,15,0)),0,VLOOKUP($T$166,'TAR FIN'!$A$1:$O$86,15,0))*(1-0.04)</f>
        <v>572.90879999999993</v>
      </c>
      <c r="X166" s="96">
        <f>IF(ISERROR(VLOOKUP($U$166,'TAR FIN'!$A$1:$O$86,15,0)),0,VLOOKUP($U$166,'TAR FIN'!$A$1:$O$86,15,0))*(1-0.04)</f>
        <v>483.66719999999998</v>
      </c>
      <c r="Y166" s="96"/>
      <c r="Z166" s="96">
        <f ca="1">('TUSD BE'!$AM$11+'TUSD BF'!$AM$11+'TUSD CVA'!$AM$11)*1*(1-0.02)</f>
        <v>613.15693267511767</v>
      </c>
      <c r="AA166" s="96">
        <f>('TE BE'!$AB$5+'TE BF'!$AB$5+'TE CVA'!$AB$5)*1*(1-0.02)</f>
        <v>390.05630765165643</v>
      </c>
      <c r="AB166" s="96">
        <f>(SUBSIDIO!$J$166*SUBSIDIO!$V$166)*(0.04)/(1-0.04)</f>
        <v>0</v>
      </c>
      <c r="AC166" s="96">
        <f>((SUBSIDIO!$L$166*SUBSIDIO!$W$166)+(SUBSIDIO!$N$166*SUBSIDIO!$X$166))*(0.04)/(1-0.04)</f>
        <v>533.92307200000005</v>
      </c>
      <c r="AD166" s="96">
        <f>(SUBSIDIO!$J$166*SUBSIDIO!$Y$166)*(0.02)/(1-0.02)</f>
        <v>0</v>
      </c>
      <c r="AE166" s="96">
        <f ca="1">((SUBSIDIO!$L$166*SUBSIDIO!$Z$166)+(SUBSIDIO!$N$166*SUBSIDIO!$AA$166))*(0.02)/(1-0.02)</f>
        <v>248.30551385067588</v>
      </c>
      <c r="AF166" s="4" t="s">
        <v>649</v>
      </c>
    </row>
    <row r="167" spans="1:32" ht="11.25" customHeight="1" x14ac:dyDescent="0.25">
      <c r="A167" s="4" t="s">
        <v>21</v>
      </c>
      <c r="B167" s="4" t="s">
        <v>38</v>
      </c>
      <c r="C167" s="4" t="s">
        <v>39</v>
      </c>
      <c r="D167" s="4" t="s">
        <v>43</v>
      </c>
      <c r="E167" s="4" t="s">
        <v>25</v>
      </c>
      <c r="F167" s="4" t="s">
        <v>25</v>
      </c>
      <c r="G167" s="4" t="s">
        <v>25</v>
      </c>
      <c r="H167" s="4" t="s">
        <v>33</v>
      </c>
      <c r="I167" s="5">
        <v>44652</v>
      </c>
      <c r="J167" s="6">
        <v>0</v>
      </c>
      <c r="K167" s="96">
        <v>0</v>
      </c>
      <c r="L167" s="6">
        <v>13.789</v>
      </c>
      <c r="M167" s="96">
        <v>13.789</v>
      </c>
      <c r="N167" s="6">
        <v>13.789</v>
      </c>
      <c r="O167" s="96">
        <v>13.789</v>
      </c>
      <c r="P167" s="6">
        <v>0</v>
      </c>
      <c r="Q167" s="4" t="s">
        <v>26</v>
      </c>
      <c r="R167" s="4">
        <v>0</v>
      </c>
      <c r="S167" s="4">
        <v>0</v>
      </c>
      <c r="T167" s="4">
        <v>21</v>
      </c>
      <c r="U167" s="4">
        <v>66</v>
      </c>
      <c r="V167" s="96">
        <f>IF(ISERROR(VLOOKUP($S$167,'TAR FIN'!$A$1:$O$86,15,0)),0,VLOOKUP($S$167,'TAR FIN'!$A$1:$O$86,15,0))</f>
        <v>0</v>
      </c>
      <c r="W167" s="96">
        <f>IF(ISERROR(VLOOKUP($T$167,'TAR FIN'!$A$1:$O$86,15,0)),0,VLOOKUP($T$167,'TAR FIN'!$A$1:$O$86,15,0))*(1-0.04)</f>
        <v>572.90879999999993</v>
      </c>
      <c r="X167" s="96">
        <f>IF(ISERROR(VLOOKUP($U$167,'TAR FIN'!$A$1:$O$86,15,0)),0,VLOOKUP($U$167,'TAR FIN'!$A$1:$O$86,15,0))*(1-0.04)</f>
        <v>483.66719999999998</v>
      </c>
      <c r="Y167" s="96"/>
      <c r="Z167" s="96">
        <f ca="1">('TUSD BE'!$AM$11+'TUSD BF'!$AM$11+'TUSD CVA'!$AM$11)*1*(1-0.02)</f>
        <v>613.15693267511767</v>
      </c>
      <c r="AA167" s="96">
        <f>('TE BE'!$AB$5+'TE BF'!$AB$5+'TE CVA'!$AB$5)*1*(1-0.02)</f>
        <v>390.05630765165643</v>
      </c>
      <c r="AB167" s="96">
        <f>(SUBSIDIO!$J$167*SUBSIDIO!$V$167)*(0.04)/(1-0.04)</f>
        <v>0</v>
      </c>
      <c r="AC167" s="96">
        <f>((SUBSIDIO!$L$167*SUBSIDIO!$W$167)+(SUBSIDIO!$N$167*SUBSIDIO!$X$167))*(0.04)/(1-0.04)</f>
        <v>607.04693599999996</v>
      </c>
      <c r="AD167" s="96">
        <f>(SUBSIDIO!$J$167*SUBSIDIO!$Y$167)*(0.02)/(1-0.02)</f>
        <v>0</v>
      </c>
      <c r="AE167" s="96">
        <f ca="1">((SUBSIDIO!$L$167*SUBSIDIO!$Z$167)+(SUBSIDIO!$N$167*SUBSIDIO!$AA$167))*(0.02)/(1-0.02)</f>
        <v>282.31239532379368</v>
      </c>
      <c r="AF167" s="4" t="s">
        <v>649</v>
      </c>
    </row>
    <row r="168" spans="1:32" ht="11.25" customHeight="1" x14ac:dyDescent="0.25">
      <c r="A168" s="4" t="s">
        <v>21</v>
      </c>
      <c r="B168" s="4" t="s">
        <v>38</v>
      </c>
      <c r="C168" s="4" t="s">
        <v>39</v>
      </c>
      <c r="D168" s="4" t="s">
        <v>43</v>
      </c>
      <c r="E168" s="4" t="s">
        <v>25</v>
      </c>
      <c r="F168" s="4" t="s">
        <v>25</v>
      </c>
      <c r="G168" s="4" t="s">
        <v>25</v>
      </c>
      <c r="H168" s="4" t="s">
        <v>33</v>
      </c>
      <c r="I168" s="5">
        <v>44682</v>
      </c>
      <c r="J168" s="6">
        <v>0</v>
      </c>
      <c r="K168" s="96">
        <v>0</v>
      </c>
      <c r="L168" s="6">
        <v>8.1319999999999997</v>
      </c>
      <c r="M168" s="96">
        <v>8.1319999999999997</v>
      </c>
      <c r="N168" s="6">
        <v>8.1319999999999997</v>
      </c>
      <c r="O168" s="96">
        <v>8.1319999999999997</v>
      </c>
      <c r="P168" s="6">
        <v>0</v>
      </c>
      <c r="Q168" s="4" t="s">
        <v>26</v>
      </c>
      <c r="R168" s="4">
        <v>0</v>
      </c>
      <c r="S168" s="4">
        <v>0</v>
      </c>
      <c r="T168" s="4">
        <v>21</v>
      </c>
      <c r="U168" s="4">
        <v>66</v>
      </c>
      <c r="V168" s="96">
        <f>IF(ISERROR(VLOOKUP($S$168,'TAR FIN'!$A$1:$O$86,15,0)),0,VLOOKUP($S$168,'TAR FIN'!$A$1:$O$86,15,0))</f>
        <v>0</v>
      </c>
      <c r="W168" s="96">
        <f>IF(ISERROR(VLOOKUP($T$168,'TAR FIN'!$A$1:$O$86,15,0)),0,VLOOKUP($T$168,'TAR FIN'!$A$1:$O$86,15,0))*(1-0.04)</f>
        <v>572.90879999999993</v>
      </c>
      <c r="X168" s="96">
        <f>IF(ISERROR(VLOOKUP($U$168,'TAR FIN'!$A$1:$O$86,15,0)),0,VLOOKUP($U$168,'TAR FIN'!$A$1:$O$86,15,0))*(1-0.04)</f>
        <v>483.66719999999998</v>
      </c>
      <c r="Y168" s="96"/>
      <c r="Z168" s="96">
        <f ca="1">('TUSD BE'!$AM$11+'TUSD BF'!$AM$11+'TUSD CVA'!$AM$11)*1*(1-0.02)</f>
        <v>613.15693267511767</v>
      </c>
      <c r="AA168" s="96">
        <f>('TE BE'!$AB$5+'TE BF'!$AB$5+'TE CVA'!$AB$5)*1*(1-0.02)</f>
        <v>390.05630765165643</v>
      </c>
      <c r="AB168" s="96">
        <f>(SUBSIDIO!$J$168*SUBSIDIO!$V$168)*(0.04)/(1-0.04)</f>
        <v>0</v>
      </c>
      <c r="AC168" s="96">
        <f>((SUBSIDIO!$L$168*SUBSIDIO!$W$168)+(SUBSIDIO!$N$168*SUBSIDIO!$X$168))*(0.04)/(1-0.04)</f>
        <v>358.00316799999996</v>
      </c>
      <c r="AD168" s="96">
        <f>(SUBSIDIO!$J$168*SUBSIDIO!$Y$168)*(0.02)/(1-0.02)</f>
        <v>0</v>
      </c>
      <c r="AE168" s="96">
        <f ca="1">((SUBSIDIO!$L$168*SUBSIDIO!$Z$168)+(SUBSIDIO!$N$168*SUBSIDIO!$AA$168))*(0.02)/(1-0.02)</f>
        <v>166.4924504150475</v>
      </c>
      <c r="AF168" s="4" t="s">
        <v>649</v>
      </c>
    </row>
    <row r="169" spans="1:32" ht="11.25" customHeight="1" x14ac:dyDescent="0.25">
      <c r="A169" s="4" t="s">
        <v>55</v>
      </c>
      <c r="B169" s="4" t="s">
        <v>38</v>
      </c>
      <c r="C169" s="4" t="s">
        <v>39</v>
      </c>
      <c r="D169" s="4" t="s">
        <v>43</v>
      </c>
      <c r="E169" s="4" t="s">
        <v>25</v>
      </c>
      <c r="F169" s="4" t="s">
        <v>25</v>
      </c>
      <c r="G169" s="4" t="s">
        <v>25</v>
      </c>
      <c r="H169" s="4" t="s">
        <v>33</v>
      </c>
      <c r="I169" s="5">
        <v>44713</v>
      </c>
      <c r="J169" s="6">
        <v>0</v>
      </c>
      <c r="K169" s="96">
        <v>0</v>
      </c>
      <c r="L169" s="6">
        <v>8.1319999999999997</v>
      </c>
      <c r="M169" s="96">
        <v>8.1319999999999997</v>
      </c>
      <c r="N169" s="6">
        <v>8.1319999999999997</v>
      </c>
      <c r="O169" s="96">
        <v>8.1319999999999997</v>
      </c>
      <c r="P169" s="6">
        <v>0</v>
      </c>
      <c r="Q169" s="4" t="s">
        <v>26</v>
      </c>
      <c r="R169" s="4">
        <v>0</v>
      </c>
      <c r="S169" s="4">
        <v>0</v>
      </c>
      <c r="T169" s="4">
        <v>21</v>
      </c>
      <c r="U169" s="4">
        <v>66</v>
      </c>
      <c r="V169" s="96">
        <f>IF(ISERROR(VLOOKUP($S$169,'TAR FIN'!$A$1:$O$86,15,0)),0,VLOOKUP($S$169,'TAR FIN'!$A$1:$O$86,15,0))</f>
        <v>0</v>
      </c>
      <c r="W169" s="96">
        <f>IF(ISERROR(VLOOKUP($T$169,'TAR FIN'!$A$1:$O$86,15,0)),0,VLOOKUP($T$169,'TAR FIN'!$A$1:$O$86,15,0))*(1-0.04)</f>
        <v>572.90879999999993</v>
      </c>
      <c r="X169" s="96">
        <f>IF(ISERROR(VLOOKUP($U$169,'TAR FIN'!$A$1:$O$86,15,0)),0,VLOOKUP($U$169,'TAR FIN'!$A$1:$O$86,15,0))*(1-0.04)</f>
        <v>483.66719999999998</v>
      </c>
      <c r="Y169" s="96"/>
      <c r="Z169" s="96">
        <f ca="1">('TUSD BE'!$AM$11+'TUSD BF'!$AM$11+'TUSD CVA'!$AM$11)*1*(1-0.02)</f>
        <v>613.15693267511767</v>
      </c>
      <c r="AA169" s="96">
        <f>('TE BE'!$AB$5+'TE BF'!$AB$5+'TE CVA'!$AB$5)*1*(1-0.02)</f>
        <v>390.05630765165643</v>
      </c>
      <c r="AB169" s="96">
        <f>(SUBSIDIO!$J$169*SUBSIDIO!$V$169)*(0.04)/(1-0.04)</f>
        <v>0</v>
      </c>
      <c r="AC169" s="96">
        <f>((SUBSIDIO!$L$169*SUBSIDIO!$W$169)+(SUBSIDIO!$N$169*SUBSIDIO!$X$169))*(0.04)/(1-0.04)</f>
        <v>358.00316799999996</v>
      </c>
      <c r="AD169" s="96">
        <f>(SUBSIDIO!$J$169*SUBSIDIO!$Y$169)*(0.02)/(1-0.02)</f>
        <v>0</v>
      </c>
      <c r="AE169" s="96">
        <f ca="1">((SUBSIDIO!$L$169*SUBSIDIO!$Z$169)+(SUBSIDIO!$N$169*SUBSIDIO!$AA$169))*(0.02)/(1-0.02)</f>
        <v>166.4924504150475</v>
      </c>
      <c r="AF169" s="4" t="s">
        <v>649</v>
      </c>
    </row>
    <row r="170" spans="1:32" ht="11.25" customHeight="1" x14ac:dyDescent="0.25">
      <c r="A170" s="4" t="s">
        <v>21</v>
      </c>
      <c r="B170" s="4" t="s">
        <v>22</v>
      </c>
      <c r="C170" s="4" t="s">
        <v>23</v>
      </c>
      <c r="D170" s="4" t="s">
        <v>24</v>
      </c>
      <c r="E170" s="4" t="s">
        <v>24</v>
      </c>
      <c r="F170" s="4" t="s">
        <v>25</v>
      </c>
      <c r="G170" s="4" t="s">
        <v>25</v>
      </c>
      <c r="H170" s="4" t="s">
        <v>25</v>
      </c>
      <c r="I170" s="5">
        <v>44378</v>
      </c>
      <c r="J170" s="6">
        <v>0</v>
      </c>
      <c r="K170" s="6">
        <v>0</v>
      </c>
      <c r="L170" s="6">
        <v>3154.2910000000002</v>
      </c>
      <c r="M170" s="6">
        <v>3154.2910000000002</v>
      </c>
      <c r="N170" s="6">
        <v>3154.2910000000002</v>
      </c>
      <c r="O170" s="6">
        <v>3154.2910000000002</v>
      </c>
      <c r="P170" s="6">
        <v>16524</v>
      </c>
      <c r="Q170" s="4" t="s">
        <v>26</v>
      </c>
      <c r="R170" s="4">
        <v>0</v>
      </c>
      <c r="S170" s="4">
        <v>0</v>
      </c>
      <c r="T170" s="4">
        <v>12</v>
      </c>
      <c r="U170" s="4">
        <v>48</v>
      </c>
      <c r="V170" s="6">
        <f>IF(ISERROR(VLOOKUP($S$170,'TAR FIN'!$A$1:$O$86,15,0)),0,VLOOKUP($S$170,'TAR FIN'!$A$1:$O$86,15,0))</f>
        <v>0</v>
      </c>
      <c r="W170" s="6">
        <f>IF(ISERROR(VLOOKUP($T$170,'TAR FIN'!$A$1:$O$86,15,0)),0,VLOOKUP($T$170,'TAR FIN'!$A$1:$O$86,15,0))</f>
        <v>326.98</v>
      </c>
      <c r="X170" s="6">
        <f>IF(ISERROR(VLOOKUP($U$170,'TAR FIN'!$A$1:$O$86,15,0)),0,VLOOKUP($U$170,'TAR FIN'!$A$1:$O$86,15,0))</f>
        <v>314.52</v>
      </c>
      <c r="Y170" s="6"/>
      <c r="Z170" s="6">
        <f ca="1">('TUSD BE'!$AM$20+'TUSD BF'!$AM$20+'TUSD CVA'!$AM$20)*1</f>
        <v>313.91386533817797</v>
      </c>
      <c r="AA170" s="6">
        <f>('TE BE'!$AB$12+'TE BF'!$AB$12+'TE CVA'!$AB$12)*1</f>
        <v>248.89628694871266</v>
      </c>
      <c r="AB170" s="6">
        <f t="shared" ref="AB170:AB193" si="12">(J170-K170)*V170</f>
        <v>0</v>
      </c>
      <c r="AC170" s="6">
        <f t="shared" ref="AC170" si="13">(L170-M170)*W170+(N170-O170)*X170</f>
        <v>0</v>
      </c>
      <c r="AD170" s="6">
        <f t="shared" ref="AD170:AD193" si="14">(J170-K170)*Y170</f>
        <v>0</v>
      </c>
      <c r="AE170" s="6">
        <f t="shared" ref="AE170" ca="1" si="15">(L170-M170)*Z170+(N170-O170)*AA170</f>
        <v>0</v>
      </c>
    </row>
    <row r="171" spans="1:32" ht="11.25" customHeight="1" x14ac:dyDescent="0.25">
      <c r="A171" s="4" t="s">
        <v>21</v>
      </c>
      <c r="B171" s="4" t="s">
        <v>22</v>
      </c>
      <c r="C171" s="4" t="s">
        <v>23</v>
      </c>
      <c r="D171" s="4" t="s">
        <v>24</v>
      </c>
      <c r="E171" s="4" t="s">
        <v>28</v>
      </c>
      <c r="F171" s="4" t="s">
        <v>25</v>
      </c>
      <c r="G171" s="4" t="s">
        <v>25</v>
      </c>
      <c r="H171" s="4" t="s">
        <v>25</v>
      </c>
      <c r="I171" s="5">
        <v>44378</v>
      </c>
      <c r="J171" s="6">
        <v>0</v>
      </c>
      <c r="K171" s="6">
        <v>0</v>
      </c>
      <c r="L171" s="6">
        <v>18.510000000000002</v>
      </c>
      <c r="M171" s="6">
        <v>18.510000000000002</v>
      </c>
      <c r="N171" s="6">
        <v>18.510000000000002</v>
      </c>
      <c r="O171" s="6">
        <v>18.510000000000002</v>
      </c>
      <c r="P171" s="6">
        <v>23</v>
      </c>
      <c r="Q171" s="4" t="s">
        <v>26</v>
      </c>
      <c r="R171" s="4">
        <v>0</v>
      </c>
      <c r="S171" s="4">
        <v>0</v>
      </c>
      <c r="T171" s="4">
        <v>14</v>
      </c>
      <c r="U171" s="4">
        <v>52</v>
      </c>
      <c r="V171" s="6">
        <f>IF(ISERROR(VLOOKUP($S$171,'TAR FIN'!$A$1:$O$86,15,0)),0,VLOOKUP($S$171,'TAR FIN'!$A$1:$O$86,15,0))</f>
        <v>0</v>
      </c>
      <c r="W171" s="6">
        <f>IF(ISERROR(VLOOKUP($T$171,'TAR FIN'!$A$1:$O$86,15,0)),0,VLOOKUP($T$171,'TAR FIN'!$A$1:$O$86,15,0))</f>
        <v>88.57</v>
      </c>
      <c r="X171" s="6">
        <f>IF(ISERROR(VLOOKUP($U$171,'TAR FIN'!$A$1:$O$86,15,0)),0,VLOOKUP($U$171,'TAR FIN'!$A$1:$O$86,15,0))</f>
        <v>110.08</v>
      </c>
      <c r="Y171" s="6"/>
      <c r="Z171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171" s="6">
        <f>('TE BE'!$AB$13+'TE BF'!$AB$13+'TE CVA'!$AB$13)*(1-CUSTOS!$M$34)</f>
        <v>87.113700432049427</v>
      </c>
      <c r="AB171" s="6">
        <f t="shared" si="12"/>
        <v>0</v>
      </c>
      <c r="AC171" s="6">
        <f>(L171-M171)*(W171+X171)+($W$218+$X$218-$W$171-$X$171)*(L171)</f>
        <v>6828.5240999999996</v>
      </c>
      <c r="AD171" s="6">
        <f t="shared" si="14"/>
        <v>0</v>
      </c>
      <c r="AE171" s="6">
        <f ca="1">(L171-M171)*(Z171+AA171)+($Z$218+$AA$218-$Z$171-$AA$171)*(L171)</f>
        <v>5518.9520945805698</v>
      </c>
      <c r="AF171" s="4" t="s">
        <v>651</v>
      </c>
    </row>
    <row r="172" spans="1:32" ht="11.25" customHeight="1" x14ac:dyDescent="0.25">
      <c r="A172" s="4" t="s">
        <v>21</v>
      </c>
      <c r="B172" s="4" t="s">
        <v>22</v>
      </c>
      <c r="C172" s="4" t="s">
        <v>23</v>
      </c>
      <c r="D172" s="4" t="s">
        <v>24</v>
      </c>
      <c r="E172" s="4" t="s">
        <v>28</v>
      </c>
      <c r="F172" s="4" t="s">
        <v>25</v>
      </c>
      <c r="G172" s="4" t="s">
        <v>25</v>
      </c>
      <c r="H172" s="4" t="s">
        <v>25</v>
      </c>
      <c r="I172" s="5">
        <v>44409</v>
      </c>
      <c r="J172" s="6">
        <v>0</v>
      </c>
      <c r="K172" s="6">
        <v>0</v>
      </c>
      <c r="L172" s="6">
        <v>18.72</v>
      </c>
      <c r="M172" s="6">
        <v>18.72</v>
      </c>
      <c r="N172" s="6">
        <v>18.72</v>
      </c>
      <c r="O172" s="6">
        <v>18.72</v>
      </c>
      <c r="P172" s="6">
        <v>18</v>
      </c>
      <c r="Q172" s="4" t="s">
        <v>26</v>
      </c>
      <c r="R172" s="4">
        <v>0</v>
      </c>
      <c r="S172" s="4">
        <v>0</v>
      </c>
      <c r="T172" s="4">
        <v>14</v>
      </c>
      <c r="U172" s="4">
        <v>52</v>
      </c>
      <c r="V172" s="6">
        <f>IF(ISERROR(VLOOKUP($S$172,'TAR FIN'!$A$1:$O$86,15,0)),0,VLOOKUP($S$172,'TAR FIN'!$A$1:$O$86,15,0))</f>
        <v>0</v>
      </c>
      <c r="W172" s="6">
        <f>IF(ISERROR(VLOOKUP($T$172,'TAR FIN'!$A$1:$O$86,15,0)),0,VLOOKUP($T$172,'TAR FIN'!$A$1:$O$86,15,0))</f>
        <v>88.57</v>
      </c>
      <c r="X172" s="6">
        <f>IF(ISERROR(VLOOKUP($U$172,'TAR FIN'!$A$1:$O$86,15,0)),0,VLOOKUP($U$172,'TAR FIN'!$A$1:$O$86,15,0))</f>
        <v>110.08</v>
      </c>
      <c r="Y172" s="6"/>
      <c r="Z172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172" s="6">
        <f>('TE BE'!$AB$13+'TE BF'!$AB$13+'TE CVA'!$AB$13)*(1-CUSTOS!$M$34)</f>
        <v>87.113700432049427</v>
      </c>
      <c r="AB172" s="6">
        <f t="shared" si="12"/>
        <v>0</v>
      </c>
      <c r="AC172" s="6">
        <f>(L172-M172)*(W172+X172)+($W$218+$X$218-$W$172-$X$172)*(L172)</f>
        <v>6905.9951999999994</v>
      </c>
      <c r="AD172" s="6">
        <f t="shared" si="14"/>
        <v>0</v>
      </c>
      <c r="AE172" s="6">
        <f ca="1">(L172-M172)*(Z172+AA172)+($Z$218+$AA$218-$Z$172-$AA$172)*(L172)</f>
        <v>5581.5658136438815</v>
      </c>
      <c r="AF172" s="4" t="s">
        <v>651</v>
      </c>
    </row>
    <row r="173" spans="1:32" ht="11.25" customHeight="1" x14ac:dyDescent="0.25">
      <c r="A173" s="4" t="s">
        <v>21</v>
      </c>
      <c r="B173" s="4" t="s">
        <v>22</v>
      </c>
      <c r="C173" s="4" t="s">
        <v>23</v>
      </c>
      <c r="D173" s="4" t="s">
        <v>24</v>
      </c>
      <c r="E173" s="4" t="s">
        <v>28</v>
      </c>
      <c r="F173" s="4" t="s">
        <v>25</v>
      </c>
      <c r="G173" s="4" t="s">
        <v>25</v>
      </c>
      <c r="H173" s="4" t="s">
        <v>25</v>
      </c>
      <c r="I173" s="5">
        <v>44440</v>
      </c>
      <c r="J173" s="6">
        <v>0</v>
      </c>
      <c r="K173" s="6">
        <v>0</v>
      </c>
      <c r="L173" s="6">
        <v>18.93</v>
      </c>
      <c r="M173" s="6">
        <v>18.93</v>
      </c>
      <c r="N173" s="6">
        <v>18.93</v>
      </c>
      <c r="O173" s="6">
        <v>18.93</v>
      </c>
      <c r="P173" s="6">
        <v>16</v>
      </c>
      <c r="Q173" s="4" t="s">
        <v>26</v>
      </c>
      <c r="R173" s="4">
        <v>0</v>
      </c>
      <c r="S173" s="4">
        <v>0</v>
      </c>
      <c r="T173" s="4">
        <v>14</v>
      </c>
      <c r="U173" s="4">
        <v>52</v>
      </c>
      <c r="V173" s="6">
        <f>IF(ISERROR(VLOOKUP($S$173,'TAR FIN'!$A$1:$O$86,15,0)),0,VLOOKUP($S$173,'TAR FIN'!$A$1:$O$86,15,0))</f>
        <v>0</v>
      </c>
      <c r="W173" s="6">
        <f>IF(ISERROR(VLOOKUP($T$173,'TAR FIN'!$A$1:$O$86,15,0)),0,VLOOKUP($T$173,'TAR FIN'!$A$1:$O$86,15,0))</f>
        <v>88.57</v>
      </c>
      <c r="X173" s="6">
        <f>IF(ISERROR(VLOOKUP($U$173,'TAR FIN'!$A$1:$O$86,15,0)),0,VLOOKUP($U$173,'TAR FIN'!$A$1:$O$86,15,0))</f>
        <v>110.08</v>
      </c>
      <c r="Y173" s="6"/>
      <c r="Z173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173" s="6">
        <f>('TE BE'!$AB$13+'TE BF'!$AB$13+'TE CVA'!$AB$13)*(1-CUSTOS!$M$34)</f>
        <v>87.113700432049427</v>
      </c>
      <c r="AB173" s="6">
        <f t="shared" si="12"/>
        <v>0</v>
      </c>
      <c r="AC173" s="6">
        <f>(L173-M173)*(W173+X173)+($W$218+$X$218-$W$173-$X$173)*(L173)</f>
        <v>6983.4662999999991</v>
      </c>
      <c r="AD173" s="6">
        <f t="shared" si="14"/>
        <v>0</v>
      </c>
      <c r="AE173" s="6">
        <f ca="1">(L173-M173)*(Z173+AA173)+($Z$218+$AA$218-$Z$173-$AA$173)*(L173)</f>
        <v>5644.179532707195</v>
      </c>
      <c r="AF173" s="4" t="s">
        <v>651</v>
      </c>
    </row>
    <row r="174" spans="1:32" ht="11.25" customHeight="1" x14ac:dyDescent="0.25">
      <c r="A174" s="4" t="s">
        <v>21</v>
      </c>
      <c r="B174" s="4" t="s">
        <v>22</v>
      </c>
      <c r="C174" s="4" t="s">
        <v>23</v>
      </c>
      <c r="D174" s="4" t="s">
        <v>24</v>
      </c>
      <c r="E174" s="4" t="s">
        <v>28</v>
      </c>
      <c r="F174" s="4" t="s">
        <v>25</v>
      </c>
      <c r="G174" s="4" t="s">
        <v>25</v>
      </c>
      <c r="H174" s="4" t="s">
        <v>25</v>
      </c>
      <c r="I174" s="5">
        <v>44470</v>
      </c>
      <c r="J174" s="6">
        <v>0</v>
      </c>
      <c r="K174" s="6">
        <v>0</v>
      </c>
      <c r="L174" s="6">
        <v>19.02</v>
      </c>
      <c r="M174" s="6">
        <v>19.02</v>
      </c>
      <c r="N174" s="6">
        <v>19.02</v>
      </c>
      <c r="O174" s="6">
        <v>19.02</v>
      </c>
      <c r="P174" s="6">
        <v>19</v>
      </c>
      <c r="Q174" s="4" t="s">
        <v>26</v>
      </c>
      <c r="R174" s="4">
        <v>0</v>
      </c>
      <c r="S174" s="4">
        <v>0</v>
      </c>
      <c r="T174" s="4">
        <v>14</v>
      </c>
      <c r="U174" s="4">
        <v>52</v>
      </c>
      <c r="V174" s="6">
        <f>IF(ISERROR(VLOOKUP($S$174,'TAR FIN'!$A$1:$O$86,15,0)),0,VLOOKUP($S$174,'TAR FIN'!$A$1:$O$86,15,0))</f>
        <v>0</v>
      </c>
      <c r="W174" s="6">
        <f>IF(ISERROR(VLOOKUP($T$174,'TAR FIN'!$A$1:$O$86,15,0)),0,VLOOKUP($T$174,'TAR FIN'!$A$1:$O$86,15,0))</f>
        <v>88.57</v>
      </c>
      <c r="X174" s="6">
        <f>IF(ISERROR(VLOOKUP($U$174,'TAR FIN'!$A$1:$O$86,15,0)),0,VLOOKUP($U$174,'TAR FIN'!$A$1:$O$86,15,0))</f>
        <v>110.08</v>
      </c>
      <c r="Y174" s="6"/>
      <c r="Z174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174" s="6">
        <f>('TE BE'!$AB$13+'TE BF'!$AB$13+'TE CVA'!$AB$13)*(1-CUSTOS!$M$34)</f>
        <v>87.113700432049427</v>
      </c>
      <c r="AB174" s="6">
        <f t="shared" si="12"/>
        <v>0</v>
      </c>
      <c r="AC174" s="6">
        <f>(L174-M174)*(W174+X174)+($W$218+$X$218-$W$174-$X$174)*(L174)</f>
        <v>7016.6681999999992</v>
      </c>
      <c r="AD174" s="6">
        <f t="shared" si="14"/>
        <v>0</v>
      </c>
      <c r="AE174" s="6">
        <f ca="1">(L174-M174)*(Z174+AA174)+($Z$218+$AA$218-$Z$174-$AA$174)*(L174)</f>
        <v>5671.0139837343286</v>
      </c>
      <c r="AF174" s="4" t="s">
        <v>651</v>
      </c>
    </row>
    <row r="175" spans="1:32" ht="11.25" customHeight="1" x14ac:dyDescent="0.25">
      <c r="A175" s="4" t="s">
        <v>21</v>
      </c>
      <c r="B175" s="4" t="s">
        <v>22</v>
      </c>
      <c r="C175" s="4" t="s">
        <v>23</v>
      </c>
      <c r="D175" s="4" t="s">
        <v>24</v>
      </c>
      <c r="E175" s="4" t="s">
        <v>28</v>
      </c>
      <c r="F175" s="4" t="s">
        <v>25</v>
      </c>
      <c r="G175" s="4" t="s">
        <v>25</v>
      </c>
      <c r="H175" s="4" t="s">
        <v>25</v>
      </c>
      <c r="I175" s="5">
        <v>44501</v>
      </c>
      <c r="J175" s="6">
        <v>0</v>
      </c>
      <c r="K175" s="6">
        <v>0</v>
      </c>
      <c r="L175" s="6">
        <v>19.14</v>
      </c>
      <c r="M175" s="6">
        <v>19.14</v>
      </c>
      <c r="N175" s="6">
        <v>19.14</v>
      </c>
      <c r="O175" s="6">
        <v>19.14</v>
      </c>
      <c r="P175" s="6">
        <v>14</v>
      </c>
      <c r="Q175" s="4" t="s">
        <v>26</v>
      </c>
      <c r="R175" s="4">
        <v>0</v>
      </c>
      <c r="S175" s="4">
        <v>0</v>
      </c>
      <c r="T175" s="4">
        <v>14</v>
      </c>
      <c r="U175" s="4">
        <v>52</v>
      </c>
      <c r="V175" s="6">
        <f>IF(ISERROR(VLOOKUP($S$175,'TAR FIN'!$A$1:$O$86,15,0)),0,VLOOKUP($S$175,'TAR FIN'!$A$1:$O$86,15,0))</f>
        <v>0</v>
      </c>
      <c r="W175" s="6">
        <f>IF(ISERROR(VLOOKUP($T$175,'TAR FIN'!$A$1:$O$86,15,0)),0,VLOOKUP($T$175,'TAR FIN'!$A$1:$O$86,15,0))</f>
        <v>88.57</v>
      </c>
      <c r="X175" s="6">
        <f>IF(ISERROR(VLOOKUP($U$175,'TAR FIN'!$A$1:$O$86,15,0)),0,VLOOKUP($U$175,'TAR FIN'!$A$1:$O$86,15,0))</f>
        <v>110.08</v>
      </c>
      <c r="Y175" s="6"/>
      <c r="Z175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175" s="6">
        <f>('TE BE'!$AB$13+'TE BF'!$AB$13+'TE CVA'!$AB$13)*(1-CUSTOS!$M$34)</f>
        <v>87.113700432049427</v>
      </c>
      <c r="AB175" s="6">
        <f t="shared" si="12"/>
        <v>0</v>
      </c>
      <c r="AC175" s="6">
        <f>(L175-M175)*(W175+X175)+($W$218+$X$218-$W$175-$X$175)*(L175)</f>
        <v>7060.9373999999998</v>
      </c>
      <c r="AD175" s="6">
        <f t="shared" si="14"/>
        <v>0</v>
      </c>
      <c r="AE175" s="6">
        <f ca="1">(L175-M175)*(Z175+AA175)+($Z$218+$AA$218-$Z$175-$AA$175)*(L175)</f>
        <v>5706.7932517705076</v>
      </c>
      <c r="AF175" s="4" t="s">
        <v>651</v>
      </c>
    </row>
    <row r="176" spans="1:32" ht="11.25" customHeight="1" x14ac:dyDescent="0.25">
      <c r="A176" s="4" t="s">
        <v>21</v>
      </c>
      <c r="B176" s="4" t="s">
        <v>22</v>
      </c>
      <c r="C176" s="4" t="s">
        <v>23</v>
      </c>
      <c r="D176" s="4" t="s">
        <v>24</v>
      </c>
      <c r="E176" s="4" t="s">
        <v>28</v>
      </c>
      <c r="F176" s="4" t="s">
        <v>25</v>
      </c>
      <c r="G176" s="4" t="s">
        <v>25</v>
      </c>
      <c r="H176" s="4" t="s">
        <v>25</v>
      </c>
      <c r="I176" s="5">
        <v>44531</v>
      </c>
      <c r="J176" s="6">
        <v>0</v>
      </c>
      <c r="K176" s="6">
        <v>0</v>
      </c>
      <c r="L176" s="6">
        <v>19.260000000000002</v>
      </c>
      <c r="M176" s="6">
        <v>19.260000000000002</v>
      </c>
      <c r="N176" s="6">
        <v>19.260000000000002</v>
      </c>
      <c r="O176" s="6">
        <v>19.260000000000002</v>
      </c>
      <c r="P176" s="6">
        <v>14</v>
      </c>
      <c r="Q176" s="4" t="s">
        <v>26</v>
      </c>
      <c r="R176" s="4">
        <v>0</v>
      </c>
      <c r="S176" s="4">
        <v>0</v>
      </c>
      <c r="T176" s="4">
        <v>14</v>
      </c>
      <c r="U176" s="4">
        <v>52</v>
      </c>
      <c r="V176" s="6">
        <f>IF(ISERROR(VLOOKUP($S$176,'TAR FIN'!$A$1:$O$86,15,0)),0,VLOOKUP($S$176,'TAR FIN'!$A$1:$O$86,15,0))</f>
        <v>0</v>
      </c>
      <c r="W176" s="6">
        <f>IF(ISERROR(VLOOKUP($T$176,'TAR FIN'!$A$1:$O$86,15,0)),0,VLOOKUP($T$176,'TAR FIN'!$A$1:$O$86,15,0))</f>
        <v>88.57</v>
      </c>
      <c r="X176" s="6">
        <f>IF(ISERROR(VLOOKUP($U$176,'TAR FIN'!$A$1:$O$86,15,0)),0,VLOOKUP($U$176,'TAR FIN'!$A$1:$O$86,15,0))</f>
        <v>110.08</v>
      </c>
      <c r="Y176" s="6"/>
      <c r="Z176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176" s="6">
        <f>('TE BE'!$AB$13+'TE BF'!$AB$13+'TE CVA'!$AB$13)*(1-CUSTOS!$M$34)</f>
        <v>87.113700432049427</v>
      </c>
      <c r="AB176" s="6">
        <f t="shared" si="12"/>
        <v>0</v>
      </c>
      <c r="AC176" s="6">
        <f>(L176-M176)*(W176+X176)+($W$218+$X$218-$W$176-$X$176)*(L176)</f>
        <v>7105.2065999999995</v>
      </c>
      <c r="AD176" s="6">
        <f t="shared" si="14"/>
        <v>0</v>
      </c>
      <c r="AE176" s="6">
        <f ca="1">(L176-M176)*(Z176+AA176)+($Z$218+$AA$218-$Z$176-$AA$176)*(L176)</f>
        <v>5742.5725198066866</v>
      </c>
      <c r="AF176" s="4" t="s">
        <v>651</v>
      </c>
    </row>
    <row r="177" spans="1:32" ht="11.25" customHeight="1" x14ac:dyDescent="0.25">
      <c r="A177" s="4" t="s">
        <v>21</v>
      </c>
      <c r="B177" s="4" t="s">
        <v>22</v>
      </c>
      <c r="C177" s="4" t="s">
        <v>23</v>
      </c>
      <c r="D177" s="4" t="s">
        <v>24</v>
      </c>
      <c r="E177" s="4" t="s">
        <v>28</v>
      </c>
      <c r="F177" s="4" t="s">
        <v>25</v>
      </c>
      <c r="G177" s="4" t="s">
        <v>25</v>
      </c>
      <c r="H177" s="4" t="s">
        <v>25</v>
      </c>
      <c r="I177" s="5">
        <v>44562</v>
      </c>
      <c r="J177" s="6">
        <v>0</v>
      </c>
      <c r="K177" s="6">
        <v>0</v>
      </c>
      <c r="L177" s="6">
        <v>23.800999999999998</v>
      </c>
      <c r="M177" s="6">
        <v>23.800999999999998</v>
      </c>
      <c r="N177" s="6">
        <v>23.800999999999998</v>
      </c>
      <c r="O177" s="6">
        <v>23.800999999999998</v>
      </c>
      <c r="P177" s="6">
        <v>17</v>
      </c>
      <c r="Q177" s="4" t="s">
        <v>26</v>
      </c>
      <c r="R177" s="4">
        <v>0</v>
      </c>
      <c r="S177" s="4">
        <v>0</v>
      </c>
      <c r="T177" s="4">
        <v>14</v>
      </c>
      <c r="U177" s="4">
        <v>52</v>
      </c>
      <c r="V177" s="6">
        <f>IF(ISERROR(VLOOKUP($S$177,'TAR FIN'!$A$1:$O$86,15,0)),0,VLOOKUP($S$177,'TAR FIN'!$A$1:$O$86,15,0))</f>
        <v>0</v>
      </c>
      <c r="W177" s="6">
        <f>IF(ISERROR(VLOOKUP($T$177,'TAR FIN'!$A$1:$O$86,15,0)),0,VLOOKUP($T$177,'TAR FIN'!$A$1:$O$86,15,0))</f>
        <v>88.57</v>
      </c>
      <c r="X177" s="6">
        <f>IF(ISERROR(VLOOKUP($U$177,'TAR FIN'!$A$1:$O$86,15,0)),0,VLOOKUP($U$177,'TAR FIN'!$A$1:$O$86,15,0))</f>
        <v>110.08</v>
      </c>
      <c r="Y177" s="6"/>
      <c r="Z177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177" s="6">
        <f>('TE BE'!$AB$13+'TE BF'!$AB$13+'TE CVA'!$AB$13)*(1-CUSTOS!$M$34)</f>
        <v>87.113700432049427</v>
      </c>
      <c r="AB177" s="6">
        <f t="shared" si="12"/>
        <v>0</v>
      </c>
      <c r="AC177" s="6">
        <f>(L177-M177)*(W177+X177)+($W$218+$X$218-$W$177-$X$177)*(L177)</f>
        <v>8780.4269099999983</v>
      </c>
      <c r="AD177" s="6">
        <f t="shared" si="14"/>
        <v>0</v>
      </c>
      <c r="AE177" s="6">
        <f ca="1">(L177-M177)*(Z177+AA177)+($Z$218+$AA$218-$Z$177-$AA$177)*(L177)</f>
        <v>7096.5196544090832</v>
      </c>
      <c r="AF177" s="4" t="s">
        <v>651</v>
      </c>
    </row>
    <row r="178" spans="1:32" ht="11.25" customHeight="1" x14ac:dyDescent="0.25">
      <c r="A178" s="4" t="s">
        <v>27</v>
      </c>
      <c r="B178" s="4" t="s">
        <v>22</v>
      </c>
      <c r="C178" s="4" t="s">
        <v>23</v>
      </c>
      <c r="D178" s="4" t="s">
        <v>24</v>
      </c>
      <c r="E178" s="4" t="s">
        <v>28</v>
      </c>
      <c r="F178" s="4" t="s">
        <v>25</v>
      </c>
      <c r="G178" s="4" t="s">
        <v>25</v>
      </c>
      <c r="H178" s="4" t="s">
        <v>25</v>
      </c>
      <c r="I178" s="5">
        <v>44562</v>
      </c>
      <c r="J178" s="6">
        <v>0</v>
      </c>
      <c r="K178" s="6">
        <v>0</v>
      </c>
      <c r="L178" s="6">
        <v>9.6000000000000002E-2</v>
      </c>
      <c r="M178" s="6">
        <v>9.6000000000000002E-2</v>
      </c>
      <c r="N178" s="6">
        <v>9.6000000000000002E-2</v>
      </c>
      <c r="O178" s="6">
        <v>9.6000000000000002E-2</v>
      </c>
      <c r="P178" s="6">
        <v>0</v>
      </c>
      <c r="Q178" s="4" t="s">
        <v>26</v>
      </c>
      <c r="R178" s="4">
        <v>0</v>
      </c>
      <c r="S178" s="4">
        <v>0</v>
      </c>
      <c r="T178" s="4">
        <v>14</v>
      </c>
      <c r="U178" s="4">
        <v>52</v>
      </c>
      <c r="V178" s="6">
        <f>IF(ISERROR(VLOOKUP($S$178,'TAR FIN'!$A$1:$O$86,15,0)),0,VLOOKUP($S$178,'TAR FIN'!$A$1:$O$86,15,0))</f>
        <v>0</v>
      </c>
      <c r="W178" s="6">
        <f>IF(ISERROR(VLOOKUP($T$178,'TAR FIN'!$A$1:$O$86,15,0)),0,VLOOKUP($T$178,'TAR FIN'!$A$1:$O$86,15,0))</f>
        <v>88.57</v>
      </c>
      <c r="X178" s="6">
        <f>IF(ISERROR(VLOOKUP($U$178,'TAR FIN'!$A$1:$O$86,15,0)),0,VLOOKUP($U$178,'TAR FIN'!$A$1:$O$86,15,0))</f>
        <v>110.08</v>
      </c>
      <c r="Y178" s="6"/>
      <c r="Z178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178" s="6">
        <f>('TE BE'!$AB$13+'TE BF'!$AB$13+'TE CVA'!$AB$13)*(1-CUSTOS!$M$34)</f>
        <v>87.113700432049427</v>
      </c>
      <c r="AB178" s="6">
        <f t="shared" si="12"/>
        <v>0</v>
      </c>
      <c r="AC178" s="6">
        <f>(L178-M178)*(W178+X178)+($W$218+$X$218-$W$178-$X$178)*(L178)</f>
        <v>35.41536</v>
      </c>
      <c r="AD178" s="6">
        <f t="shared" si="14"/>
        <v>0</v>
      </c>
      <c r="AE178" s="6">
        <f ca="1">(L178-M178)*(Z178+AA178)+($Z$218+$AA$218-$Z$178-$AA$178)*(L178)</f>
        <v>28.623414428942986</v>
      </c>
      <c r="AF178" s="4" t="s">
        <v>651</v>
      </c>
    </row>
    <row r="179" spans="1:32" ht="11.25" customHeight="1" x14ac:dyDescent="0.25">
      <c r="A179" s="4" t="s">
        <v>21</v>
      </c>
      <c r="B179" s="4" t="s">
        <v>22</v>
      </c>
      <c r="C179" s="4" t="s">
        <v>23</v>
      </c>
      <c r="D179" s="4" t="s">
        <v>24</v>
      </c>
      <c r="E179" s="4" t="s">
        <v>28</v>
      </c>
      <c r="F179" s="4" t="s">
        <v>25</v>
      </c>
      <c r="G179" s="4" t="s">
        <v>25</v>
      </c>
      <c r="H179" s="4" t="s">
        <v>25</v>
      </c>
      <c r="I179" s="5">
        <v>44593</v>
      </c>
      <c r="J179" s="6">
        <v>0</v>
      </c>
      <c r="K179" s="6">
        <v>0</v>
      </c>
      <c r="L179" s="6">
        <v>24.66</v>
      </c>
      <c r="M179" s="6">
        <v>24.66</v>
      </c>
      <c r="N179" s="6">
        <v>24.66</v>
      </c>
      <c r="O179" s="6">
        <v>24.66</v>
      </c>
      <c r="P179" s="6">
        <v>19</v>
      </c>
      <c r="Q179" s="4" t="s">
        <v>26</v>
      </c>
      <c r="R179" s="4">
        <v>0</v>
      </c>
      <c r="S179" s="4">
        <v>0</v>
      </c>
      <c r="T179" s="4">
        <v>14</v>
      </c>
      <c r="U179" s="4">
        <v>52</v>
      </c>
      <c r="V179" s="6">
        <f>IF(ISERROR(VLOOKUP($S$179,'TAR FIN'!$A$1:$O$86,15,0)),0,VLOOKUP($S$179,'TAR FIN'!$A$1:$O$86,15,0))</f>
        <v>0</v>
      </c>
      <c r="W179" s="6">
        <f>IF(ISERROR(VLOOKUP($T$179,'TAR FIN'!$A$1:$O$86,15,0)),0,VLOOKUP($T$179,'TAR FIN'!$A$1:$O$86,15,0))</f>
        <v>88.57</v>
      </c>
      <c r="X179" s="6">
        <f>IF(ISERROR(VLOOKUP($U$179,'TAR FIN'!$A$1:$O$86,15,0)),0,VLOOKUP($U$179,'TAR FIN'!$A$1:$O$86,15,0))</f>
        <v>110.08</v>
      </c>
      <c r="Y179" s="6"/>
      <c r="Z179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179" s="6">
        <f>('TE BE'!$AB$13+'TE BF'!$AB$13+'TE CVA'!$AB$13)*(1-CUSTOS!$M$34)</f>
        <v>87.113700432049427</v>
      </c>
      <c r="AB179" s="6">
        <f t="shared" si="12"/>
        <v>0</v>
      </c>
      <c r="AC179" s="6">
        <f>(L179-M179)*(W179+X179)+($W$218+$X$218-$W$179-$X$179)*(L179)</f>
        <v>9097.3205999999991</v>
      </c>
      <c r="AD179" s="6">
        <f t="shared" si="14"/>
        <v>0</v>
      </c>
      <c r="AE179" s="6">
        <f ca="1">(L179-M179)*(Z179+AA179)+($Z$218+$AA$218-$Z$179-$AA$179)*(L179)</f>
        <v>7352.6395814347297</v>
      </c>
      <c r="AF179" s="4" t="s">
        <v>651</v>
      </c>
    </row>
    <row r="180" spans="1:32" ht="11.25" customHeight="1" x14ac:dyDescent="0.25">
      <c r="A180" s="4" t="s">
        <v>21</v>
      </c>
      <c r="B180" s="4" t="s">
        <v>22</v>
      </c>
      <c r="C180" s="4" t="s">
        <v>23</v>
      </c>
      <c r="D180" s="4" t="s">
        <v>24</v>
      </c>
      <c r="E180" s="4" t="s">
        <v>28</v>
      </c>
      <c r="F180" s="4" t="s">
        <v>25</v>
      </c>
      <c r="G180" s="4" t="s">
        <v>25</v>
      </c>
      <c r="H180" s="4" t="s">
        <v>25</v>
      </c>
      <c r="I180" s="5">
        <v>44621</v>
      </c>
      <c r="J180" s="6">
        <v>0</v>
      </c>
      <c r="K180" s="6">
        <v>0</v>
      </c>
      <c r="L180" s="6">
        <v>25.83</v>
      </c>
      <c r="M180" s="6">
        <v>25.83</v>
      </c>
      <c r="N180" s="6">
        <v>25.83</v>
      </c>
      <c r="O180" s="6">
        <v>25.83</v>
      </c>
      <c r="P180" s="6">
        <v>18</v>
      </c>
      <c r="Q180" s="4" t="s">
        <v>26</v>
      </c>
      <c r="R180" s="4">
        <v>0</v>
      </c>
      <c r="S180" s="4">
        <v>0</v>
      </c>
      <c r="T180" s="4">
        <v>14</v>
      </c>
      <c r="U180" s="4">
        <v>52</v>
      </c>
      <c r="V180" s="6">
        <f>IF(ISERROR(VLOOKUP($S$180,'TAR FIN'!$A$1:$O$86,15,0)),0,VLOOKUP($S$180,'TAR FIN'!$A$1:$O$86,15,0))</f>
        <v>0</v>
      </c>
      <c r="W180" s="6">
        <f>IF(ISERROR(VLOOKUP($T$180,'TAR FIN'!$A$1:$O$86,15,0)),0,VLOOKUP($T$180,'TAR FIN'!$A$1:$O$86,15,0))</f>
        <v>88.57</v>
      </c>
      <c r="X180" s="6">
        <f>IF(ISERROR(VLOOKUP($U$180,'TAR FIN'!$A$1:$O$86,15,0)),0,VLOOKUP($U$180,'TAR FIN'!$A$1:$O$86,15,0))</f>
        <v>110.08</v>
      </c>
      <c r="Y180" s="6"/>
      <c r="Z180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180" s="6">
        <f>('TE BE'!$AB$13+'TE BF'!$AB$13+'TE CVA'!$AB$13)*(1-CUSTOS!$M$34)</f>
        <v>87.113700432049427</v>
      </c>
      <c r="AB180" s="6">
        <f t="shared" si="12"/>
        <v>0</v>
      </c>
      <c r="AC180" s="6">
        <f>(L180-M180)*(W180+X180)+($W$218+$X$218-$W$180-$X$180)*(L180)</f>
        <v>9528.9452999999994</v>
      </c>
      <c r="AD180" s="6">
        <f t="shared" si="14"/>
        <v>0</v>
      </c>
      <c r="AE180" s="6">
        <f ca="1">(L180-M180)*(Z180+AA180)+($Z$218+$AA$218-$Z$180-$AA$180)*(L180)</f>
        <v>7701.4874447874718</v>
      </c>
      <c r="AF180" s="4" t="s">
        <v>651</v>
      </c>
    </row>
    <row r="181" spans="1:32" ht="11.25" customHeight="1" x14ac:dyDescent="0.25">
      <c r="A181" s="4" t="s">
        <v>21</v>
      </c>
      <c r="B181" s="4" t="s">
        <v>22</v>
      </c>
      <c r="C181" s="4" t="s">
        <v>23</v>
      </c>
      <c r="D181" s="4" t="s">
        <v>24</v>
      </c>
      <c r="E181" s="4" t="s">
        <v>28</v>
      </c>
      <c r="F181" s="4" t="s">
        <v>25</v>
      </c>
      <c r="G181" s="4" t="s">
        <v>25</v>
      </c>
      <c r="H181" s="4" t="s">
        <v>25</v>
      </c>
      <c r="I181" s="5">
        <v>44652</v>
      </c>
      <c r="J181" s="6">
        <v>0</v>
      </c>
      <c r="K181" s="6">
        <v>0</v>
      </c>
      <c r="L181" s="6">
        <v>26.37</v>
      </c>
      <c r="M181" s="6">
        <v>26.37</v>
      </c>
      <c r="N181" s="6">
        <v>26.37</v>
      </c>
      <c r="O181" s="6">
        <v>26.37</v>
      </c>
      <c r="P181" s="6">
        <v>25</v>
      </c>
      <c r="Q181" s="4" t="s">
        <v>26</v>
      </c>
      <c r="R181" s="4">
        <v>0</v>
      </c>
      <c r="S181" s="4">
        <v>0</v>
      </c>
      <c r="T181" s="4">
        <v>14</v>
      </c>
      <c r="U181" s="4">
        <v>52</v>
      </c>
      <c r="V181" s="6">
        <f>IF(ISERROR(VLOOKUP($S$181,'TAR FIN'!$A$1:$O$86,15,0)),0,VLOOKUP($S$181,'TAR FIN'!$A$1:$O$86,15,0))</f>
        <v>0</v>
      </c>
      <c r="W181" s="6">
        <f>IF(ISERROR(VLOOKUP($T$181,'TAR FIN'!$A$1:$O$86,15,0)),0,VLOOKUP($T$181,'TAR FIN'!$A$1:$O$86,15,0))</f>
        <v>88.57</v>
      </c>
      <c r="X181" s="6">
        <f>IF(ISERROR(VLOOKUP($U$181,'TAR FIN'!$A$1:$O$86,15,0)),0,VLOOKUP($U$181,'TAR FIN'!$A$1:$O$86,15,0))</f>
        <v>110.08</v>
      </c>
      <c r="Y181" s="6"/>
      <c r="Z181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181" s="6">
        <f>('TE BE'!$AB$13+'TE BF'!$AB$13+'TE CVA'!$AB$13)*(1-CUSTOS!$M$34)</f>
        <v>87.113700432049427</v>
      </c>
      <c r="AB181" s="6">
        <f t="shared" si="12"/>
        <v>0</v>
      </c>
      <c r="AC181" s="6">
        <f>(L181-M181)*(W181+X181)+($W$218+$X$218-$W$181-$X$181)*(L181)</f>
        <v>9728.1566999999995</v>
      </c>
      <c r="AD181" s="6">
        <f t="shared" si="14"/>
        <v>0</v>
      </c>
      <c r="AE181" s="6">
        <f ca="1">(L181-M181)*(Z181+AA181)+($Z$218+$AA$218-$Z$181-$AA$181)*(L181)</f>
        <v>7862.4941509502769</v>
      </c>
      <c r="AF181" s="4" t="s">
        <v>651</v>
      </c>
    </row>
    <row r="182" spans="1:32" ht="11.25" customHeight="1" x14ac:dyDescent="0.25">
      <c r="A182" s="4" t="s">
        <v>21</v>
      </c>
      <c r="B182" s="4" t="s">
        <v>22</v>
      </c>
      <c r="C182" s="4" t="s">
        <v>23</v>
      </c>
      <c r="D182" s="4" t="s">
        <v>24</v>
      </c>
      <c r="E182" s="4" t="s">
        <v>28</v>
      </c>
      <c r="F182" s="4" t="s">
        <v>25</v>
      </c>
      <c r="G182" s="4" t="s">
        <v>25</v>
      </c>
      <c r="H182" s="4" t="s">
        <v>25</v>
      </c>
      <c r="I182" s="5">
        <v>44682</v>
      </c>
      <c r="J182" s="6">
        <v>0</v>
      </c>
      <c r="K182" s="6">
        <v>0</v>
      </c>
      <c r="L182" s="6">
        <v>25.265999999999998</v>
      </c>
      <c r="M182" s="6">
        <v>25.265999999999998</v>
      </c>
      <c r="N182" s="6">
        <v>25.265999999999998</v>
      </c>
      <c r="O182" s="6">
        <v>25.265999999999998</v>
      </c>
      <c r="P182" s="6">
        <v>36</v>
      </c>
      <c r="Q182" s="4" t="s">
        <v>26</v>
      </c>
      <c r="R182" s="4">
        <v>0</v>
      </c>
      <c r="S182" s="4">
        <v>0</v>
      </c>
      <c r="T182" s="4">
        <v>14</v>
      </c>
      <c r="U182" s="4">
        <v>52</v>
      </c>
      <c r="V182" s="6">
        <f>IF(ISERROR(VLOOKUP($S$182,'TAR FIN'!$A$1:$O$86,15,0)),0,VLOOKUP($S$182,'TAR FIN'!$A$1:$O$86,15,0))</f>
        <v>0</v>
      </c>
      <c r="W182" s="6">
        <f>IF(ISERROR(VLOOKUP($T$182,'TAR FIN'!$A$1:$O$86,15,0)),0,VLOOKUP($T$182,'TAR FIN'!$A$1:$O$86,15,0))</f>
        <v>88.57</v>
      </c>
      <c r="X182" s="6">
        <f>IF(ISERROR(VLOOKUP($U$182,'TAR FIN'!$A$1:$O$86,15,0)),0,VLOOKUP($U$182,'TAR FIN'!$A$1:$O$86,15,0))</f>
        <v>110.08</v>
      </c>
      <c r="Y182" s="6"/>
      <c r="Z182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182" s="6">
        <f>('TE BE'!$AB$13+'TE BF'!$AB$13+'TE CVA'!$AB$13)*(1-CUSTOS!$M$34)</f>
        <v>87.113700432049427</v>
      </c>
      <c r="AB182" s="6">
        <f t="shared" si="12"/>
        <v>0</v>
      </c>
      <c r="AC182" s="6">
        <f>(L182-M182)*(W182+X182)+($W$218+$X$218-$W$182-$X$182)*(L182)</f>
        <v>9320.8800599999977</v>
      </c>
      <c r="AD182" s="6">
        <f t="shared" si="14"/>
        <v>0</v>
      </c>
      <c r="AE182" s="6">
        <f ca="1">(L182-M182)*(Z182+AA182)+($Z$218+$AA$218-$Z$182-$AA$182)*(L182)</f>
        <v>7533.3248850174314</v>
      </c>
      <c r="AF182" s="4" t="s">
        <v>651</v>
      </c>
    </row>
    <row r="183" spans="1:32" ht="11.25" customHeight="1" x14ac:dyDescent="0.25">
      <c r="A183" s="4" t="s">
        <v>27</v>
      </c>
      <c r="B183" s="4" t="s">
        <v>22</v>
      </c>
      <c r="C183" s="4" t="s">
        <v>23</v>
      </c>
      <c r="D183" s="4" t="s">
        <v>24</v>
      </c>
      <c r="E183" s="4" t="s">
        <v>28</v>
      </c>
      <c r="F183" s="4" t="s">
        <v>25</v>
      </c>
      <c r="G183" s="4" t="s">
        <v>25</v>
      </c>
      <c r="H183" s="4" t="s">
        <v>25</v>
      </c>
      <c r="I183" s="5">
        <v>44682</v>
      </c>
      <c r="J183" s="6">
        <v>0</v>
      </c>
      <c r="K183" s="6">
        <v>0</v>
      </c>
      <c r="L183" s="6">
        <v>0.03</v>
      </c>
      <c r="M183" s="6">
        <v>0.03</v>
      </c>
      <c r="N183" s="6">
        <v>0.03</v>
      </c>
      <c r="O183" s="6">
        <v>0.03</v>
      </c>
      <c r="P183" s="6">
        <v>0</v>
      </c>
      <c r="Q183" s="4" t="s">
        <v>26</v>
      </c>
      <c r="R183" s="4">
        <v>0</v>
      </c>
      <c r="S183" s="4">
        <v>0</v>
      </c>
      <c r="T183" s="4">
        <v>14</v>
      </c>
      <c r="U183" s="4">
        <v>52</v>
      </c>
      <c r="V183" s="6">
        <f>IF(ISERROR(VLOOKUP($S$183,'TAR FIN'!$A$1:$O$86,15,0)),0,VLOOKUP($S$183,'TAR FIN'!$A$1:$O$86,15,0))</f>
        <v>0</v>
      </c>
      <c r="W183" s="6">
        <f>IF(ISERROR(VLOOKUP($T$183,'TAR FIN'!$A$1:$O$86,15,0)),0,VLOOKUP($T$183,'TAR FIN'!$A$1:$O$86,15,0))</f>
        <v>88.57</v>
      </c>
      <c r="X183" s="6">
        <f>IF(ISERROR(VLOOKUP($U$183,'TAR FIN'!$A$1:$O$86,15,0)),0,VLOOKUP($U$183,'TAR FIN'!$A$1:$O$86,15,0))</f>
        <v>110.08</v>
      </c>
      <c r="Y183" s="6"/>
      <c r="Z183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183" s="6">
        <f>('TE BE'!$AB$13+'TE BF'!$AB$13+'TE CVA'!$AB$13)*(1-CUSTOS!$M$34)</f>
        <v>87.113700432049427</v>
      </c>
      <c r="AB183" s="6">
        <f t="shared" si="12"/>
        <v>0</v>
      </c>
      <c r="AC183" s="6">
        <f>(L183-M183)*(W183+X183)+($W$218+$X$218-$W$183-$X$183)*(L183)</f>
        <v>11.067299999999999</v>
      </c>
      <c r="AD183" s="6">
        <f t="shared" si="14"/>
        <v>0</v>
      </c>
      <c r="AE183" s="6">
        <f ca="1">(L183-M183)*(Z183+AA183)+($Z$218+$AA$218-$Z$183-$AA$183)*(L183)</f>
        <v>8.9448170090446819</v>
      </c>
      <c r="AF183" s="4" t="s">
        <v>651</v>
      </c>
    </row>
    <row r="184" spans="1:32" ht="11.25" customHeight="1" x14ac:dyDescent="0.25">
      <c r="A184" s="4" t="s">
        <v>55</v>
      </c>
      <c r="B184" s="4" t="s">
        <v>22</v>
      </c>
      <c r="C184" s="4" t="s">
        <v>23</v>
      </c>
      <c r="D184" s="4" t="s">
        <v>24</v>
      </c>
      <c r="E184" s="4" t="s">
        <v>28</v>
      </c>
      <c r="F184" s="4" t="s">
        <v>25</v>
      </c>
      <c r="G184" s="4" t="s">
        <v>25</v>
      </c>
      <c r="H184" s="4" t="s">
        <v>25</v>
      </c>
      <c r="I184" s="5">
        <v>44713</v>
      </c>
      <c r="J184" s="6">
        <v>0</v>
      </c>
      <c r="K184" s="6">
        <v>0</v>
      </c>
      <c r="L184" s="6">
        <v>25.265999999999998</v>
      </c>
      <c r="M184" s="6">
        <v>25.265999999999998</v>
      </c>
      <c r="N184" s="6">
        <v>25.265999999999998</v>
      </c>
      <c r="O184" s="6">
        <v>25.265999999999998</v>
      </c>
      <c r="P184" s="6">
        <v>36</v>
      </c>
      <c r="Q184" s="4" t="s">
        <v>26</v>
      </c>
      <c r="R184" s="4">
        <v>0</v>
      </c>
      <c r="S184" s="4">
        <v>0</v>
      </c>
      <c r="T184" s="4">
        <v>14</v>
      </c>
      <c r="U184" s="4">
        <v>52</v>
      </c>
      <c r="V184" s="6">
        <f>IF(ISERROR(VLOOKUP($S$184,'TAR FIN'!$A$1:$O$86,15,0)),0,VLOOKUP($S$184,'TAR FIN'!$A$1:$O$86,15,0))</f>
        <v>0</v>
      </c>
      <c r="W184" s="6">
        <f>IF(ISERROR(VLOOKUP($T$184,'TAR FIN'!$A$1:$O$86,15,0)),0,VLOOKUP($T$184,'TAR FIN'!$A$1:$O$86,15,0))</f>
        <v>88.57</v>
      </c>
      <c r="X184" s="6">
        <f>IF(ISERROR(VLOOKUP($U$184,'TAR FIN'!$A$1:$O$86,15,0)),0,VLOOKUP($U$184,'TAR FIN'!$A$1:$O$86,15,0))</f>
        <v>110.08</v>
      </c>
      <c r="Y184" s="6"/>
      <c r="Z184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184" s="6">
        <f>('TE BE'!$AB$13+'TE BF'!$AB$13+'TE CVA'!$AB$13)*(1-CUSTOS!$M$34)</f>
        <v>87.113700432049427</v>
      </c>
      <c r="AB184" s="6">
        <f t="shared" si="12"/>
        <v>0</v>
      </c>
      <c r="AC184" s="6">
        <f>(L184-M184)*(W184+X184)+($W$218+$X$218-$W$184-$X$184)*(L184)</f>
        <v>9320.8800599999977</v>
      </c>
      <c r="AD184" s="6">
        <f t="shared" si="14"/>
        <v>0</v>
      </c>
      <c r="AE184" s="6">
        <f ca="1">(L184-M184)*(Z184+AA184)+($Z$218+$AA$218-$Z$184-$AA$184)*(L184)</f>
        <v>7533.3248850174314</v>
      </c>
      <c r="AF184" s="4" t="s">
        <v>651</v>
      </c>
    </row>
    <row r="185" spans="1:32" ht="11.25" customHeight="1" x14ac:dyDescent="0.25">
      <c r="A185" s="4" t="s">
        <v>55</v>
      </c>
      <c r="B185" s="4" t="s">
        <v>22</v>
      </c>
      <c r="C185" s="4" t="s">
        <v>23</v>
      </c>
      <c r="D185" s="4" t="s">
        <v>24</v>
      </c>
      <c r="E185" s="4" t="s">
        <v>28</v>
      </c>
      <c r="F185" s="4" t="s">
        <v>25</v>
      </c>
      <c r="G185" s="4" t="s">
        <v>25</v>
      </c>
      <c r="H185" s="4" t="s">
        <v>25</v>
      </c>
      <c r="I185" s="5">
        <v>44713</v>
      </c>
      <c r="J185" s="6">
        <v>0</v>
      </c>
      <c r="K185" s="6">
        <v>0</v>
      </c>
      <c r="L185" s="6">
        <v>0.03</v>
      </c>
      <c r="M185" s="6">
        <v>0.03</v>
      </c>
      <c r="N185" s="6">
        <v>0.03</v>
      </c>
      <c r="O185" s="6">
        <v>0.03</v>
      </c>
      <c r="P185" s="6">
        <v>0</v>
      </c>
      <c r="Q185" s="4" t="s">
        <v>26</v>
      </c>
      <c r="R185" s="4">
        <v>0</v>
      </c>
      <c r="S185" s="4">
        <v>0</v>
      </c>
      <c r="T185" s="4">
        <v>14</v>
      </c>
      <c r="U185" s="4">
        <v>52</v>
      </c>
      <c r="V185" s="6">
        <f>IF(ISERROR(VLOOKUP($S$185,'TAR FIN'!$A$1:$O$86,15,0)),0,VLOOKUP($S$185,'TAR FIN'!$A$1:$O$86,15,0))</f>
        <v>0</v>
      </c>
      <c r="W185" s="6">
        <f>IF(ISERROR(VLOOKUP($T$185,'TAR FIN'!$A$1:$O$86,15,0)),0,VLOOKUP($T$185,'TAR FIN'!$A$1:$O$86,15,0))</f>
        <v>88.57</v>
      </c>
      <c r="X185" s="6">
        <f>IF(ISERROR(VLOOKUP($U$185,'TAR FIN'!$A$1:$O$86,15,0)),0,VLOOKUP($U$185,'TAR FIN'!$A$1:$O$86,15,0))</f>
        <v>110.08</v>
      </c>
      <c r="Y185" s="6"/>
      <c r="Z185" s="6">
        <f ca="1">('TUSD BE'!$AM$21+'TUSD BF'!$AM$21+'TUSD CVA'!$AM$21-('TUSD BE'!$P$21+'TUSD BF'!$P$21+'TUSD CVA'!$P$21)-('TUSD BE'!$Q$21+'TUSD BF'!$Q$21+'TUSD CVA'!$Q$21)-('TUSD BE'!$R$21+'TUSD BF'!$R$21+'TUSD CVA'!$R$21))*(1-CUSTOS!$M$34)</f>
        <v>73.434297166188458</v>
      </c>
      <c r="AA185" s="6">
        <f>('TE BE'!$AB$13+'TE BF'!$AB$13+'TE CVA'!$AB$13)*(1-CUSTOS!$M$34)</f>
        <v>87.113700432049427</v>
      </c>
      <c r="AB185" s="6">
        <f t="shared" si="12"/>
        <v>0</v>
      </c>
      <c r="AC185" s="6">
        <f>(L185-M185)*(W185+X185)+($W$218+$X$218-$W$185-$X$185)*(L185)</f>
        <v>11.067299999999999</v>
      </c>
      <c r="AD185" s="6">
        <f t="shared" si="14"/>
        <v>0</v>
      </c>
      <c r="AE185" s="6">
        <f ca="1">(L185-M185)*(Z185+AA185)+($Z$218+$AA$218-$Z$185-$AA$185)*(L185)</f>
        <v>8.9448170090446819</v>
      </c>
      <c r="AF185" s="4" t="s">
        <v>651</v>
      </c>
    </row>
    <row r="186" spans="1:32" ht="11.25" customHeight="1" x14ac:dyDescent="0.25">
      <c r="A186" s="4" t="s">
        <v>21</v>
      </c>
      <c r="B186" s="4" t="s">
        <v>22</v>
      </c>
      <c r="C186" s="4" t="s">
        <v>23</v>
      </c>
      <c r="D186" s="4" t="s">
        <v>24</v>
      </c>
      <c r="E186" s="4" t="s">
        <v>29</v>
      </c>
      <c r="F186" s="4" t="s">
        <v>25</v>
      </c>
      <c r="G186" s="4" t="s">
        <v>25</v>
      </c>
      <c r="H186" s="4" t="s">
        <v>25</v>
      </c>
      <c r="I186" s="5">
        <v>44378</v>
      </c>
      <c r="J186" s="6">
        <v>0</v>
      </c>
      <c r="K186" s="6">
        <v>0</v>
      </c>
      <c r="L186" s="6">
        <v>36.993000000000002</v>
      </c>
      <c r="M186" s="6">
        <v>36.993000000000002</v>
      </c>
      <c r="N186" s="6">
        <v>36.993000000000002</v>
      </c>
      <c r="O186" s="6">
        <v>36.993000000000002</v>
      </c>
      <c r="P186" s="6">
        <v>160</v>
      </c>
      <c r="Q186" s="4" t="s">
        <v>26</v>
      </c>
      <c r="R186" s="4">
        <v>0</v>
      </c>
      <c r="S186" s="4">
        <v>0</v>
      </c>
      <c r="T186" s="4">
        <v>6</v>
      </c>
      <c r="U186" s="4">
        <v>50</v>
      </c>
      <c r="V186" s="6">
        <f>IF(ISERROR(VLOOKUP($S$186,'TAR FIN'!$A$1:$O$86,15,0)),0,VLOOKUP($S$186,'TAR FIN'!$A$1:$O$86,15,0))</f>
        <v>0</v>
      </c>
      <c r="W186" s="6">
        <f>IF(ISERROR(VLOOKUP($T$186,'TAR FIN'!$A$1:$O$86,15,0)),0,VLOOKUP($T$186,'TAR FIN'!$A$1:$O$86,15,0))</f>
        <v>151.83000000000001</v>
      </c>
      <c r="X186" s="6">
        <f>IF(ISERROR(VLOOKUP($U$186,'TAR FIN'!$A$1:$O$86,15,0)),0,VLOOKUP($U$186,'TAR FIN'!$A$1:$O$86,15,0))</f>
        <v>188.71</v>
      </c>
      <c r="Y186" s="6"/>
      <c r="Z186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186" s="6">
        <f>('TE BE'!$AB$14+'TE BF'!$AB$14+'TE CVA'!$AB$14)*(1-CUSTOS!$M$35)</f>
        <v>149.33777216922758</v>
      </c>
      <c r="AB186" s="6">
        <f t="shared" si="12"/>
        <v>0</v>
      </c>
      <c r="AC186" s="6">
        <f>(L186-M186)*(W186+X186)+($W$218+$X$218-$W$186-$X$186)*(L186)</f>
        <v>8398.1508599999961</v>
      </c>
      <c r="AD186" s="6">
        <f t="shared" si="14"/>
        <v>0</v>
      </c>
      <c r="AE186" s="6">
        <f ca="1">(L186-M186)*(Z186+AA186)+($Z$218+$AA$218-$Z$186-$AA$186)*(L186)</f>
        <v>6787.6023716018472</v>
      </c>
      <c r="AF186" s="4" t="s">
        <v>651</v>
      </c>
    </row>
    <row r="187" spans="1:32" ht="11.25" customHeight="1" x14ac:dyDescent="0.25">
      <c r="A187" s="4" t="s">
        <v>21</v>
      </c>
      <c r="B187" s="4" t="s">
        <v>22</v>
      </c>
      <c r="C187" s="4" t="s">
        <v>23</v>
      </c>
      <c r="D187" s="4" t="s">
        <v>24</v>
      </c>
      <c r="E187" s="4" t="s">
        <v>29</v>
      </c>
      <c r="F187" s="4" t="s">
        <v>25</v>
      </c>
      <c r="G187" s="4" t="s">
        <v>25</v>
      </c>
      <c r="H187" s="4" t="s">
        <v>25</v>
      </c>
      <c r="I187" s="5">
        <v>44409</v>
      </c>
      <c r="J187" s="6">
        <v>0</v>
      </c>
      <c r="K187" s="6">
        <v>0</v>
      </c>
      <c r="L187" s="6">
        <v>38.11</v>
      </c>
      <c r="M187" s="6">
        <v>38.11</v>
      </c>
      <c r="N187" s="6">
        <v>38.11</v>
      </c>
      <c r="O187" s="6">
        <v>38.11</v>
      </c>
      <c r="P187" s="6">
        <v>158</v>
      </c>
      <c r="Q187" s="4" t="s">
        <v>26</v>
      </c>
      <c r="R187" s="4">
        <v>0</v>
      </c>
      <c r="S187" s="4">
        <v>0</v>
      </c>
      <c r="T187" s="4">
        <v>6</v>
      </c>
      <c r="U187" s="4">
        <v>50</v>
      </c>
      <c r="V187" s="6">
        <f>IF(ISERROR(VLOOKUP($S$187,'TAR FIN'!$A$1:$O$86,15,0)),0,VLOOKUP($S$187,'TAR FIN'!$A$1:$O$86,15,0))</f>
        <v>0</v>
      </c>
      <c r="W187" s="6">
        <f>IF(ISERROR(VLOOKUP($T$187,'TAR FIN'!$A$1:$O$86,15,0)),0,VLOOKUP($T$187,'TAR FIN'!$A$1:$O$86,15,0))</f>
        <v>151.83000000000001</v>
      </c>
      <c r="X187" s="6">
        <f>IF(ISERROR(VLOOKUP($U$187,'TAR FIN'!$A$1:$O$86,15,0)),0,VLOOKUP($U$187,'TAR FIN'!$A$1:$O$86,15,0))</f>
        <v>188.71</v>
      </c>
      <c r="Y187" s="6"/>
      <c r="Z187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187" s="6">
        <f>('TE BE'!$AB$14+'TE BF'!$AB$14+'TE CVA'!$AB$14)*(1-CUSTOS!$M$35)</f>
        <v>149.33777216922758</v>
      </c>
      <c r="AB187" s="6">
        <f t="shared" si="12"/>
        <v>0</v>
      </c>
      <c r="AC187" s="6">
        <f>(L187-M187)*(W187+X187)+($W$218+$X$218-$W$187-$X$187)*(L187)</f>
        <v>8651.7321999999967</v>
      </c>
      <c r="AD187" s="6">
        <f t="shared" si="14"/>
        <v>0</v>
      </c>
      <c r="AE187" s="6">
        <f ca="1">(L187-M187)*(Z187+AA187)+($Z$218+$AA$218-$Z$187-$AA$187)*(L187)</f>
        <v>6992.5533582501112</v>
      </c>
      <c r="AF187" s="4" t="s">
        <v>651</v>
      </c>
    </row>
    <row r="188" spans="1:32" ht="11.25" customHeight="1" x14ac:dyDescent="0.25">
      <c r="A188" s="4" t="s">
        <v>21</v>
      </c>
      <c r="B188" s="4" t="s">
        <v>22</v>
      </c>
      <c r="C188" s="4" t="s">
        <v>23</v>
      </c>
      <c r="D188" s="4" t="s">
        <v>24</v>
      </c>
      <c r="E188" s="4" t="s">
        <v>29</v>
      </c>
      <c r="F188" s="4" t="s">
        <v>25</v>
      </c>
      <c r="G188" s="4" t="s">
        <v>25</v>
      </c>
      <c r="H188" s="4" t="s">
        <v>25</v>
      </c>
      <c r="I188" s="5">
        <v>44440</v>
      </c>
      <c r="J188" s="6">
        <v>0</v>
      </c>
      <c r="K188" s="6">
        <v>0</v>
      </c>
      <c r="L188" s="6">
        <v>39.01</v>
      </c>
      <c r="M188" s="6">
        <v>39.01</v>
      </c>
      <c r="N188" s="6">
        <v>39.01</v>
      </c>
      <c r="O188" s="6">
        <v>39.01</v>
      </c>
      <c r="P188" s="6">
        <v>159</v>
      </c>
      <c r="Q188" s="4" t="s">
        <v>26</v>
      </c>
      <c r="R188" s="4">
        <v>0</v>
      </c>
      <c r="S188" s="4">
        <v>0</v>
      </c>
      <c r="T188" s="4">
        <v>6</v>
      </c>
      <c r="U188" s="4">
        <v>50</v>
      </c>
      <c r="V188" s="6">
        <f>IF(ISERROR(VLOOKUP($S$188,'TAR FIN'!$A$1:$O$86,15,0)),0,VLOOKUP($S$188,'TAR FIN'!$A$1:$O$86,15,0))</f>
        <v>0</v>
      </c>
      <c r="W188" s="6">
        <f>IF(ISERROR(VLOOKUP($T$188,'TAR FIN'!$A$1:$O$86,15,0)),0,VLOOKUP($T$188,'TAR FIN'!$A$1:$O$86,15,0))</f>
        <v>151.83000000000001</v>
      </c>
      <c r="X188" s="6">
        <f>IF(ISERROR(VLOOKUP($U$188,'TAR FIN'!$A$1:$O$86,15,0)),0,VLOOKUP($U$188,'TAR FIN'!$A$1:$O$86,15,0))</f>
        <v>188.71</v>
      </c>
      <c r="Y188" s="6"/>
      <c r="Z188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188" s="6">
        <f>('TE BE'!$AB$14+'TE BF'!$AB$14+'TE CVA'!$AB$14)*(1-CUSTOS!$M$35)</f>
        <v>149.33777216922758</v>
      </c>
      <c r="AB188" s="6">
        <f t="shared" si="12"/>
        <v>0</v>
      </c>
      <c r="AC188" s="6">
        <f>(L188-M188)*(W188+X188)+($W$218+$X$218-$W$188-$X$188)*(L188)</f>
        <v>8856.050199999996</v>
      </c>
      <c r="AD188" s="6">
        <f t="shared" si="14"/>
        <v>0</v>
      </c>
      <c r="AE188" s="6">
        <f ca="1">(L188-M188)*(Z188+AA188)+($Z$218+$AA$218-$Z$188-$AA$188)*(L188)</f>
        <v>7157.6884414940132</v>
      </c>
      <c r="AF188" s="4" t="s">
        <v>651</v>
      </c>
    </row>
    <row r="189" spans="1:32" ht="11.25" customHeight="1" x14ac:dyDescent="0.25">
      <c r="A189" s="4" t="s">
        <v>21</v>
      </c>
      <c r="B189" s="4" t="s">
        <v>22</v>
      </c>
      <c r="C189" s="4" t="s">
        <v>23</v>
      </c>
      <c r="D189" s="4" t="s">
        <v>24</v>
      </c>
      <c r="E189" s="4" t="s">
        <v>29</v>
      </c>
      <c r="F189" s="4" t="s">
        <v>25</v>
      </c>
      <c r="G189" s="4" t="s">
        <v>25</v>
      </c>
      <c r="H189" s="4" t="s">
        <v>25</v>
      </c>
      <c r="I189" s="5">
        <v>44470</v>
      </c>
      <c r="J189" s="6">
        <v>0</v>
      </c>
      <c r="K189" s="6">
        <v>0</v>
      </c>
      <c r="L189" s="6">
        <v>39.098999999999997</v>
      </c>
      <c r="M189" s="6">
        <v>39.098999999999997</v>
      </c>
      <c r="N189" s="6">
        <v>39.098999999999997</v>
      </c>
      <c r="O189" s="6">
        <v>39.098999999999997</v>
      </c>
      <c r="P189" s="6">
        <v>172</v>
      </c>
      <c r="Q189" s="4" t="s">
        <v>26</v>
      </c>
      <c r="R189" s="4">
        <v>0</v>
      </c>
      <c r="S189" s="4">
        <v>0</v>
      </c>
      <c r="T189" s="4">
        <v>6</v>
      </c>
      <c r="U189" s="4">
        <v>50</v>
      </c>
      <c r="V189" s="6">
        <f>IF(ISERROR(VLOOKUP($S$189,'TAR FIN'!$A$1:$O$86,15,0)),0,VLOOKUP($S$189,'TAR FIN'!$A$1:$O$86,15,0))</f>
        <v>0</v>
      </c>
      <c r="W189" s="6">
        <f>IF(ISERROR(VLOOKUP($T$189,'TAR FIN'!$A$1:$O$86,15,0)),0,VLOOKUP($T$189,'TAR FIN'!$A$1:$O$86,15,0))</f>
        <v>151.83000000000001</v>
      </c>
      <c r="X189" s="6">
        <f>IF(ISERROR(VLOOKUP($U$189,'TAR FIN'!$A$1:$O$86,15,0)),0,VLOOKUP($U$189,'TAR FIN'!$A$1:$O$86,15,0))</f>
        <v>188.71</v>
      </c>
      <c r="Y189" s="6"/>
      <c r="Z189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189" s="6">
        <f>('TE BE'!$AB$14+'TE BF'!$AB$14+'TE CVA'!$AB$14)*(1-CUSTOS!$M$35)</f>
        <v>149.33777216922758</v>
      </c>
      <c r="AB189" s="6">
        <f t="shared" si="12"/>
        <v>0</v>
      </c>
      <c r="AC189" s="6">
        <f>(L189-M189)*(W189+X189)+($W$218+$X$218-$W$189-$X$189)*(L189)</f>
        <v>8876.2549799999961</v>
      </c>
      <c r="AD189" s="6">
        <f t="shared" si="14"/>
        <v>0</v>
      </c>
      <c r="AE189" s="6">
        <f ca="1">(L189-M189)*(Z189+AA189)+($Z$218+$AA$218-$Z$189-$AA$189)*(L189)</f>
        <v>7174.0184663925766</v>
      </c>
      <c r="AF189" s="4" t="s">
        <v>651</v>
      </c>
    </row>
    <row r="190" spans="1:32" ht="11.25" customHeight="1" x14ac:dyDescent="0.25">
      <c r="A190" s="4" t="s">
        <v>21</v>
      </c>
      <c r="B190" s="4" t="s">
        <v>22</v>
      </c>
      <c r="C190" s="4" t="s">
        <v>23</v>
      </c>
      <c r="D190" s="4" t="s">
        <v>24</v>
      </c>
      <c r="E190" s="4" t="s">
        <v>29</v>
      </c>
      <c r="F190" s="4" t="s">
        <v>25</v>
      </c>
      <c r="G190" s="4" t="s">
        <v>25</v>
      </c>
      <c r="H190" s="4" t="s">
        <v>25</v>
      </c>
      <c r="I190" s="5">
        <v>44501</v>
      </c>
      <c r="J190" s="6">
        <v>0</v>
      </c>
      <c r="K190" s="6">
        <v>0</v>
      </c>
      <c r="L190" s="6">
        <v>40.432000000000002</v>
      </c>
      <c r="M190" s="6">
        <v>40.432000000000002</v>
      </c>
      <c r="N190" s="6">
        <v>40.432000000000002</v>
      </c>
      <c r="O190" s="6">
        <v>40.432000000000002</v>
      </c>
      <c r="P190" s="6">
        <v>130</v>
      </c>
      <c r="Q190" s="4" t="s">
        <v>26</v>
      </c>
      <c r="R190" s="4">
        <v>0</v>
      </c>
      <c r="S190" s="4">
        <v>0</v>
      </c>
      <c r="T190" s="4">
        <v>6</v>
      </c>
      <c r="U190" s="4">
        <v>50</v>
      </c>
      <c r="V190" s="6">
        <f>IF(ISERROR(VLOOKUP($S$190,'TAR FIN'!$A$1:$O$86,15,0)),0,VLOOKUP($S$190,'TAR FIN'!$A$1:$O$86,15,0))</f>
        <v>0</v>
      </c>
      <c r="W190" s="6">
        <f>IF(ISERROR(VLOOKUP($T$190,'TAR FIN'!$A$1:$O$86,15,0)),0,VLOOKUP($T$190,'TAR FIN'!$A$1:$O$86,15,0))</f>
        <v>151.83000000000001</v>
      </c>
      <c r="X190" s="6">
        <f>IF(ISERROR(VLOOKUP($U$190,'TAR FIN'!$A$1:$O$86,15,0)),0,VLOOKUP($U$190,'TAR FIN'!$A$1:$O$86,15,0))</f>
        <v>188.71</v>
      </c>
      <c r="Y190" s="6"/>
      <c r="Z190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190" s="6">
        <f>('TE BE'!$AB$14+'TE BF'!$AB$14+'TE CVA'!$AB$14)*(1-CUSTOS!$M$35)</f>
        <v>149.33777216922758</v>
      </c>
      <c r="AB190" s="6">
        <f t="shared" si="12"/>
        <v>0</v>
      </c>
      <c r="AC190" s="6">
        <f>(L190-M190)*(W190+X190)+($W$218+$X$218-$W$190-$X$190)*(L190)</f>
        <v>9178.872639999996</v>
      </c>
      <c r="AD190" s="6">
        <f t="shared" si="14"/>
        <v>0</v>
      </c>
      <c r="AE190" s="6">
        <f ca="1">(L190-M190)*(Z190+AA190)+($Z$218+$AA$218-$Z$190-$AA$190)*(L190)</f>
        <v>7418.6018730193791</v>
      </c>
      <c r="AF190" s="4" t="s">
        <v>651</v>
      </c>
    </row>
    <row r="191" spans="1:32" ht="11.25" customHeight="1" x14ac:dyDescent="0.25">
      <c r="A191" s="4" t="s">
        <v>21</v>
      </c>
      <c r="B191" s="4" t="s">
        <v>22</v>
      </c>
      <c r="C191" s="4" t="s">
        <v>23</v>
      </c>
      <c r="D191" s="4" t="s">
        <v>24</v>
      </c>
      <c r="E191" s="4" t="s">
        <v>29</v>
      </c>
      <c r="F191" s="4" t="s">
        <v>25</v>
      </c>
      <c r="G191" s="4" t="s">
        <v>25</v>
      </c>
      <c r="H191" s="4" t="s">
        <v>25</v>
      </c>
      <c r="I191" s="5">
        <v>44531</v>
      </c>
      <c r="J191" s="6">
        <v>0</v>
      </c>
      <c r="K191" s="6">
        <v>0</v>
      </c>
      <c r="L191" s="6">
        <v>40.813000000000002</v>
      </c>
      <c r="M191" s="6">
        <v>40.813000000000002</v>
      </c>
      <c r="N191" s="6">
        <v>40.813000000000002</v>
      </c>
      <c r="O191" s="6">
        <v>40.813000000000002</v>
      </c>
      <c r="P191" s="6">
        <v>116</v>
      </c>
      <c r="Q191" s="4" t="s">
        <v>26</v>
      </c>
      <c r="R191" s="4">
        <v>0</v>
      </c>
      <c r="S191" s="4">
        <v>0</v>
      </c>
      <c r="T191" s="4">
        <v>6</v>
      </c>
      <c r="U191" s="4">
        <v>50</v>
      </c>
      <c r="V191" s="6">
        <f>IF(ISERROR(VLOOKUP($S$191,'TAR FIN'!$A$1:$O$86,15,0)),0,VLOOKUP($S$191,'TAR FIN'!$A$1:$O$86,15,0))</f>
        <v>0</v>
      </c>
      <c r="W191" s="6">
        <f>IF(ISERROR(VLOOKUP($T$191,'TAR FIN'!$A$1:$O$86,15,0)),0,VLOOKUP($T$191,'TAR FIN'!$A$1:$O$86,15,0))</f>
        <v>151.83000000000001</v>
      </c>
      <c r="X191" s="6">
        <f>IF(ISERROR(VLOOKUP($U$191,'TAR FIN'!$A$1:$O$86,15,0)),0,VLOOKUP($U$191,'TAR FIN'!$A$1:$O$86,15,0))</f>
        <v>188.71</v>
      </c>
      <c r="Y191" s="6"/>
      <c r="Z191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191" s="6">
        <f>('TE BE'!$AB$14+'TE BF'!$AB$14+'TE CVA'!$AB$14)*(1-CUSTOS!$M$35)</f>
        <v>149.33777216922758</v>
      </c>
      <c r="AB191" s="6">
        <f t="shared" si="12"/>
        <v>0</v>
      </c>
      <c r="AC191" s="6">
        <f>(L191-M191)*(W191+X191)+($W$218+$X$218-$W$191-$X$191)*(L191)</f>
        <v>9265.3672599999954</v>
      </c>
      <c r="AD191" s="6">
        <f t="shared" si="14"/>
        <v>0</v>
      </c>
      <c r="AE191" s="6">
        <f ca="1">(L191-M191)*(Z191+AA191)+($Z$218+$AA$218-$Z$191-$AA$191)*(L191)</f>
        <v>7488.5090582592975</v>
      </c>
      <c r="AF191" s="4" t="s">
        <v>651</v>
      </c>
    </row>
    <row r="192" spans="1:32" ht="11.25" customHeight="1" x14ac:dyDescent="0.25">
      <c r="A192" s="4" t="s">
        <v>41</v>
      </c>
      <c r="B192" s="4" t="s">
        <v>22</v>
      </c>
      <c r="C192" s="4" t="s">
        <v>23</v>
      </c>
      <c r="D192" s="4" t="s">
        <v>24</v>
      </c>
      <c r="E192" s="4" t="s">
        <v>29</v>
      </c>
      <c r="F192" s="4" t="s">
        <v>25</v>
      </c>
      <c r="G192" s="4" t="s">
        <v>25</v>
      </c>
      <c r="H192" s="4" t="s">
        <v>25</v>
      </c>
      <c r="I192" s="5">
        <v>44531</v>
      </c>
      <c r="J192" s="6">
        <v>0</v>
      </c>
      <c r="K192" s="6">
        <v>0</v>
      </c>
      <c r="L192" s="6">
        <v>7.0000000000000007E-2</v>
      </c>
      <c r="M192" s="6">
        <v>7.0000000000000007E-2</v>
      </c>
      <c r="N192" s="6">
        <v>7.0000000000000007E-2</v>
      </c>
      <c r="O192" s="6">
        <v>7.0000000000000007E-2</v>
      </c>
      <c r="P192" s="6">
        <v>0</v>
      </c>
      <c r="Q192" s="4" t="s">
        <v>26</v>
      </c>
      <c r="R192" s="4">
        <v>0</v>
      </c>
      <c r="S192" s="4">
        <v>0</v>
      </c>
      <c r="T192" s="4">
        <v>6</v>
      </c>
      <c r="U192" s="4">
        <v>50</v>
      </c>
      <c r="V192" s="6">
        <f>IF(ISERROR(VLOOKUP($S$192,'TAR FIN'!$A$1:$O$86,15,0)),0,VLOOKUP($S$192,'TAR FIN'!$A$1:$O$86,15,0))</f>
        <v>0</v>
      </c>
      <c r="W192" s="6">
        <f>IF(ISERROR(VLOOKUP($T$192,'TAR FIN'!$A$1:$O$86,15,0)),0,VLOOKUP($T$192,'TAR FIN'!$A$1:$O$86,15,0))</f>
        <v>151.83000000000001</v>
      </c>
      <c r="X192" s="6">
        <f>IF(ISERROR(VLOOKUP($U$192,'TAR FIN'!$A$1:$O$86,15,0)),0,VLOOKUP($U$192,'TAR FIN'!$A$1:$O$86,15,0))</f>
        <v>188.71</v>
      </c>
      <c r="Y192" s="6"/>
      <c r="Z192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192" s="6">
        <f>('TE BE'!$AB$14+'TE BF'!$AB$14+'TE CVA'!$AB$14)*(1-CUSTOS!$M$35)</f>
        <v>149.33777216922758</v>
      </c>
      <c r="AB192" s="6">
        <f t="shared" si="12"/>
        <v>0</v>
      </c>
      <c r="AC192" s="6">
        <f>(L192-M192)*(W192+X192)+($W$218+$X$218-$W$192-$X$192)*(L192)</f>
        <v>15.891399999999994</v>
      </c>
      <c r="AD192" s="6">
        <f t="shared" si="14"/>
        <v>0</v>
      </c>
      <c r="AE192" s="6">
        <f ca="1">(L192-M192)*(Z192+AA192)+($Z$218+$AA$218-$Z$192-$AA$192)*(L192)</f>
        <v>12.843839807859036</v>
      </c>
      <c r="AF192" s="4" t="s">
        <v>651</v>
      </c>
    </row>
    <row r="193" spans="1:32" ht="11.25" customHeight="1" x14ac:dyDescent="0.25">
      <c r="A193" s="4" t="s">
        <v>21</v>
      </c>
      <c r="B193" s="4" t="s">
        <v>22</v>
      </c>
      <c r="C193" s="4" t="s">
        <v>23</v>
      </c>
      <c r="D193" s="4" t="s">
        <v>24</v>
      </c>
      <c r="E193" s="4" t="s">
        <v>29</v>
      </c>
      <c r="F193" s="4" t="s">
        <v>25</v>
      </c>
      <c r="G193" s="4" t="s">
        <v>25</v>
      </c>
      <c r="H193" s="4" t="s">
        <v>25</v>
      </c>
      <c r="I193" s="5">
        <v>44562</v>
      </c>
      <c r="J193" s="6">
        <v>0</v>
      </c>
      <c r="K193" s="6">
        <v>0</v>
      </c>
      <c r="L193" s="6">
        <v>51.213999999999999</v>
      </c>
      <c r="M193" s="6">
        <v>51.213999999999999</v>
      </c>
      <c r="N193" s="6">
        <v>51.213999999999999</v>
      </c>
      <c r="O193" s="6">
        <v>51.213999999999999</v>
      </c>
      <c r="P193" s="6">
        <v>112</v>
      </c>
      <c r="Q193" s="4" t="s">
        <v>26</v>
      </c>
      <c r="R193" s="4">
        <v>0</v>
      </c>
      <c r="S193" s="4">
        <v>0</v>
      </c>
      <c r="T193" s="4">
        <v>6</v>
      </c>
      <c r="U193" s="4">
        <v>50</v>
      </c>
      <c r="V193" s="6">
        <f>IF(ISERROR(VLOOKUP($S$193,'TAR FIN'!$A$1:$O$86,15,0)),0,VLOOKUP($S$193,'TAR FIN'!$A$1:$O$86,15,0))</f>
        <v>0</v>
      </c>
      <c r="W193" s="6">
        <f>IF(ISERROR(VLOOKUP($T$193,'TAR FIN'!$A$1:$O$86,15,0)),0,VLOOKUP($T$193,'TAR FIN'!$A$1:$O$86,15,0))</f>
        <v>151.83000000000001</v>
      </c>
      <c r="X193" s="6">
        <f>IF(ISERROR(VLOOKUP($U$193,'TAR FIN'!$A$1:$O$86,15,0)),0,VLOOKUP($U$193,'TAR FIN'!$A$1:$O$86,15,0))</f>
        <v>188.71</v>
      </c>
      <c r="Y193" s="6"/>
      <c r="Z193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193" s="6">
        <f>('TE BE'!$AB$14+'TE BF'!$AB$14+'TE CVA'!$AB$14)*(1-CUSTOS!$M$35)</f>
        <v>149.33777216922758</v>
      </c>
      <c r="AB193" s="6">
        <f t="shared" si="12"/>
        <v>0</v>
      </c>
      <c r="AC193" s="6">
        <f>(L193-M193)*(W193+X193)+($W$218+$X$218-$W$193-$X$193)*(L193)</f>
        <v>11626.602279999994</v>
      </c>
      <c r="AD193" s="6">
        <f t="shared" si="14"/>
        <v>0</v>
      </c>
      <c r="AE193" s="6">
        <f ca="1">(L193-M193)*(Z193+AA193)+($Z$218+$AA$218-$Z$193-$AA$193)*(L193)</f>
        <v>9396.9201702813225</v>
      </c>
      <c r="AF193" s="4" t="s">
        <v>651</v>
      </c>
    </row>
    <row r="194" spans="1:32" ht="11.25" customHeight="1" x14ac:dyDescent="0.25">
      <c r="A194" s="4" t="s">
        <v>27</v>
      </c>
      <c r="B194" s="4" t="s">
        <v>22</v>
      </c>
      <c r="C194" s="4" t="s">
        <v>23</v>
      </c>
      <c r="D194" s="4" t="s">
        <v>24</v>
      </c>
      <c r="E194" s="4" t="s">
        <v>29</v>
      </c>
      <c r="F194" s="4" t="s">
        <v>25</v>
      </c>
      <c r="G194" s="4" t="s">
        <v>25</v>
      </c>
      <c r="H194" s="4" t="s">
        <v>25</v>
      </c>
      <c r="I194" s="5">
        <v>44562</v>
      </c>
      <c r="J194" s="6">
        <v>0</v>
      </c>
      <c r="K194" s="6">
        <v>0</v>
      </c>
      <c r="L194" s="6">
        <v>7.0000000000000007E-2</v>
      </c>
      <c r="M194" s="6">
        <v>7.0000000000000007E-2</v>
      </c>
      <c r="N194" s="6">
        <v>7.0000000000000007E-2</v>
      </c>
      <c r="O194" s="6">
        <v>7.0000000000000007E-2</v>
      </c>
      <c r="P194" s="6">
        <v>0</v>
      </c>
      <c r="Q194" s="4" t="s">
        <v>26</v>
      </c>
      <c r="R194" s="4">
        <v>0</v>
      </c>
      <c r="S194" s="4">
        <v>0</v>
      </c>
      <c r="T194" s="4">
        <v>6</v>
      </c>
      <c r="U194" s="4">
        <v>50</v>
      </c>
      <c r="V194" s="6">
        <f>IF(ISERROR(VLOOKUP($S$194,'TAR FIN'!$A$1:$O$86,15,0)),0,VLOOKUP($S$194,'TAR FIN'!$A$1:$O$86,15,0))</f>
        <v>0</v>
      </c>
      <c r="W194" s="6">
        <f>IF(ISERROR(VLOOKUP($T$194,'TAR FIN'!$A$1:$O$86,15,0)),0,VLOOKUP($T$194,'TAR FIN'!$A$1:$O$86,15,0))</f>
        <v>151.83000000000001</v>
      </c>
      <c r="X194" s="6">
        <f>IF(ISERROR(VLOOKUP($U$194,'TAR FIN'!$A$1:$O$86,15,0)),0,VLOOKUP($U$194,'TAR FIN'!$A$1:$O$86,15,0))</f>
        <v>188.71</v>
      </c>
      <c r="Y194" s="6"/>
      <c r="Z194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194" s="6">
        <f>('TE BE'!$AB$14+'TE BF'!$AB$14+'TE CVA'!$AB$14)*(1-CUSTOS!$M$35)</f>
        <v>149.33777216922758</v>
      </c>
      <c r="AB194" s="6">
        <f t="shared" ref="AB194:AB257" si="16">(J194-K194)*V194</f>
        <v>0</v>
      </c>
      <c r="AC194" s="6">
        <f>(L194-M194)*(W194+X194)+($W$218+$X$218-$W$194-$X$194)*(L194)</f>
        <v>15.891399999999994</v>
      </c>
      <c r="AD194" s="6">
        <f t="shared" ref="AD194:AD257" si="17">(J194-K194)*Y194</f>
        <v>0</v>
      </c>
      <c r="AE194" s="6">
        <f ca="1">(L194-M194)*(Z194+AA194)+($Z$218+$AA$218-$Z$194-$AA$194)*(L194)</f>
        <v>12.843839807859036</v>
      </c>
      <c r="AF194" s="4" t="s">
        <v>651</v>
      </c>
    </row>
    <row r="195" spans="1:32" ht="11.25" customHeight="1" x14ac:dyDescent="0.25">
      <c r="A195" s="4" t="s">
        <v>21</v>
      </c>
      <c r="B195" s="4" t="s">
        <v>22</v>
      </c>
      <c r="C195" s="4" t="s">
        <v>23</v>
      </c>
      <c r="D195" s="4" t="s">
        <v>24</v>
      </c>
      <c r="E195" s="4" t="s">
        <v>29</v>
      </c>
      <c r="F195" s="4" t="s">
        <v>25</v>
      </c>
      <c r="G195" s="4" t="s">
        <v>25</v>
      </c>
      <c r="H195" s="4" t="s">
        <v>25</v>
      </c>
      <c r="I195" s="5">
        <v>44593</v>
      </c>
      <c r="J195" s="6">
        <v>0</v>
      </c>
      <c r="K195" s="6">
        <v>0</v>
      </c>
      <c r="L195" s="6">
        <v>51.893999999999998</v>
      </c>
      <c r="M195" s="6">
        <v>51.893999999999998</v>
      </c>
      <c r="N195" s="6">
        <v>51.893999999999998</v>
      </c>
      <c r="O195" s="6">
        <v>51.893999999999998</v>
      </c>
      <c r="P195" s="6">
        <v>159</v>
      </c>
      <c r="Q195" s="4" t="s">
        <v>26</v>
      </c>
      <c r="R195" s="4">
        <v>0</v>
      </c>
      <c r="S195" s="4">
        <v>0</v>
      </c>
      <c r="T195" s="4">
        <v>6</v>
      </c>
      <c r="U195" s="4">
        <v>50</v>
      </c>
      <c r="V195" s="6">
        <f>IF(ISERROR(VLOOKUP($S$195,'TAR FIN'!$A$1:$O$86,15,0)),0,VLOOKUP($S$195,'TAR FIN'!$A$1:$O$86,15,0))</f>
        <v>0</v>
      </c>
      <c r="W195" s="6">
        <f>IF(ISERROR(VLOOKUP($T$195,'TAR FIN'!$A$1:$O$86,15,0)),0,VLOOKUP($T$195,'TAR FIN'!$A$1:$O$86,15,0))</f>
        <v>151.83000000000001</v>
      </c>
      <c r="X195" s="6">
        <f>IF(ISERROR(VLOOKUP($U$195,'TAR FIN'!$A$1:$O$86,15,0)),0,VLOOKUP($U$195,'TAR FIN'!$A$1:$O$86,15,0))</f>
        <v>188.71</v>
      </c>
      <c r="Y195" s="6"/>
      <c r="Z195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195" s="6">
        <f>('TE BE'!$AB$14+'TE BF'!$AB$14+'TE CVA'!$AB$14)*(1-CUSTOS!$M$35)</f>
        <v>149.33777216922758</v>
      </c>
      <c r="AB195" s="6">
        <f t="shared" si="16"/>
        <v>0</v>
      </c>
      <c r="AC195" s="6">
        <f>(L195-M195)*(W195+X195)+($W$218+$X$218-$W$195-$X$195)*(L195)</f>
        <v>11780.975879999995</v>
      </c>
      <c r="AD195" s="6">
        <f t="shared" si="17"/>
        <v>0</v>
      </c>
      <c r="AE195" s="6">
        <f ca="1">(L195-M195)*(Z195+AA195)+($Z$218+$AA$218-$Z$195-$AA$195)*(L195)</f>
        <v>9521.6888998433824</v>
      </c>
      <c r="AF195" s="4" t="s">
        <v>651</v>
      </c>
    </row>
    <row r="196" spans="1:32" ht="11.25" customHeight="1" x14ac:dyDescent="0.25">
      <c r="A196" s="4" t="s">
        <v>21</v>
      </c>
      <c r="B196" s="4" t="s">
        <v>22</v>
      </c>
      <c r="C196" s="4" t="s">
        <v>23</v>
      </c>
      <c r="D196" s="4" t="s">
        <v>24</v>
      </c>
      <c r="E196" s="4" t="s">
        <v>29</v>
      </c>
      <c r="F196" s="4" t="s">
        <v>25</v>
      </c>
      <c r="G196" s="4" t="s">
        <v>25</v>
      </c>
      <c r="H196" s="4" t="s">
        <v>25</v>
      </c>
      <c r="I196" s="5">
        <v>44621</v>
      </c>
      <c r="J196" s="6">
        <v>0</v>
      </c>
      <c r="K196" s="6">
        <v>0</v>
      </c>
      <c r="L196" s="6">
        <v>55.418999999999997</v>
      </c>
      <c r="M196" s="6">
        <v>55.418999999999997</v>
      </c>
      <c r="N196" s="6">
        <v>55.418999999999997</v>
      </c>
      <c r="O196" s="6">
        <v>55.418999999999997</v>
      </c>
      <c r="P196" s="6">
        <v>147</v>
      </c>
      <c r="Q196" s="4" t="s">
        <v>26</v>
      </c>
      <c r="R196" s="4">
        <v>0</v>
      </c>
      <c r="S196" s="4">
        <v>0</v>
      </c>
      <c r="T196" s="4">
        <v>6</v>
      </c>
      <c r="U196" s="4">
        <v>50</v>
      </c>
      <c r="V196" s="6">
        <f>IF(ISERROR(VLOOKUP($S$196,'TAR FIN'!$A$1:$O$86,15,0)),0,VLOOKUP($S$196,'TAR FIN'!$A$1:$O$86,15,0))</f>
        <v>0</v>
      </c>
      <c r="W196" s="6">
        <f>IF(ISERROR(VLOOKUP($T$196,'TAR FIN'!$A$1:$O$86,15,0)),0,VLOOKUP($T$196,'TAR FIN'!$A$1:$O$86,15,0))</f>
        <v>151.83000000000001</v>
      </c>
      <c r="X196" s="6">
        <f>IF(ISERROR(VLOOKUP($U$196,'TAR FIN'!$A$1:$O$86,15,0)),0,VLOOKUP($U$196,'TAR FIN'!$A$1:$O$86,15,0))</f>
        <v>188.71</v>
      </c>
      <c r="Y196" s="6"/>
      <c r="Z196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196" s="6">
        <f>('TE BE'!$AB$14+'TE BF'!$AB$14+'TE CVA'!$AB$14)*(1-CUSTOS!$M$35)</f>
        <v>149.33777216922758</v>
      </c>
      <c r="AB196" s="6">
        <f t="shared" si="16"/>
        <v>0</v>
      </c>
      <c r="AC196" s="6">
        <f>(L196-M196)*(W196+X196)+($W$218+$X$218-$W$196-$X$196)*(L196)</f>
        <v>12581.221379999994</v>
      </c>
      <c r="AD196" s="6">
        <f t="shared" si="17"/>
        <v>0</v>
      </c>
      <c r="AE196" s="6">
        <f ca="1">(L196-M196)*(Z196+AA196)+($Z$218+$AA$218-$Z$196-$AA$196)*(L196)</f>
        <v>10168.467975881997</v>
      </c>
      <c r="AF196" s="4" t="s">
        <v>651</v>
      </c>
    </row>
    <row r="197" spans="1:32" ht="11.25" customHeight="1" x14ac:dyDescent="0.25">
      <c r="A197" s="4" t="s">
        <v>21</v>
      </c>
      <c r="B197" s="4" t="s">
        <v>22</v>
      </c>
      <c r="C197" s="4" t="s">
        <v>23</v>
      </c>
      <c r="D197" s="4" t="s">
        <v>24</v>
      </c>
      <c r="E197" s="4" t="s">
        <v>29</v>
      </c>
      <c r="F197" s="4" t="s">
        <v>25</v>
      </c>
      <c r="G197" s="4" t="s">
        <v>25</v>
      </c>
      <c r="H197" s="4" t="s">
        <v>25</v>
      </c>
      <c r="I197" s="5">
        <v>44652</v>
      </c>
      <c r="J197" s="6">
        <v>0</v>
      </c>
      <c r="K197" s="6">
        <v>0</v>
      </c>
      <c r="L197" s="6">
        <v>53.268999999999998</v>
      </c>
      <c r="M197" s="6">
        <v>53.268999999999998</v>
      </c>
      <c r="N197" s="6">
        <v>53.268999999999998</v>
      </c>
      <c r="O197" s="6">
        <v>53.268999999999998</v>
      </c>
      <c r="P197" s="6">
        <v>244</v>
      </c>
      <c r="Q197" s="4" t="s">
        <v>26</v>
      </c>
      <c r="R197" s="4">
        <v>0</v>
      </c>
      <c r="S197" s="4">
        <v>0</v>
      </c>
      <c r="T197" s="4">
        <v>6</v>
      </c>
      <c r="U197" s="4">
        <v>50</v>
      </c>
      <c r="V197" s="6">
        <f>IF(ISERROR(VLOOKUP($S$197,'TAR FIN'!$A$1:$O$86,15,0)),0,VLOOKUP($S$197,'TAR FIN'!$A$1:$O$86,15,0))</f>
        <v>0</v>
      </c>
      <c r="W197" s="6">
        <f>IF(ISERROR(VLOOKUP($T$197,'TAR FIN'!$A$1:$O$86,15,0)),0,VLOOKUP($T$197,'TAR FIN'!$A$1:$O$86,15,0))</f>
        <v>151.83000000000001</v>
      </c>
      <c r="X197" s="6">
        <f>IF(ISERROR(VLOOKUP($U$197,'TAR FIN'!$A$1:$O$86,15,0)),0,VLOOKUP($U$197,'TAR FIN'!$A$1:$O$86,15,0))</f>
        <v>188.71</v>
      </c>
      <c r="Y197" s="6"/>
      <c r="Z197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197" s="6">
        <f>('TE BE'!$AB$14+'TE BF'!$AB$14+'TE CVA'!$AB$14)*(1-CUSTOS!$M$35)</f>
        <v>149.33777216922758</v>
      </c>
      <c r="AB197" s="6">
        <f t="shared" si="16"/>
        <v>0</v>
      </c>
      <c r="AC197" s="6">
        <f>(L197-M197)*(W197+X197)+($W$218+$X$218-$W$197-$X$197)*(L197)</f>
        <v>12093.128379999995</v>
      </c>
      <c r="AD197" s="6">
        <f t="shared" si="17"/>
        <v>0</v>
      </c>
      <c r="AE197" s="6">
        <f ca="1">(L197-M197)*(Z197+AA197)+($Z$218+$AA$218-$Z$197-$AA$197)*(L197)</f>
        <v>9773.9786103548977</v>
      </c>
      <c r="AF197" s="4" t="s">
        <v>651</v>
      </c>
    </row>
    <row r="198" spans="1:32" ht="11.25" customHeight="1" x14ac:dyDescent="0.25">
      <c r="A198" s="4" t="s">
        <v>21</v>
      </c>
      <c r="B198" s="4" t="s">
        <v>22</v>
      </c>
      <c r="C198" s="4" t="s">
        <v>23</v>
      </c>
      <c r="D198" s="4" t="s">
        <v>24</v>
      </c>
      <c r="E198" s="4" t="s">
        <v>29</v>
      </c>
      <c r="F198" s="4" t="s">
        <v>25</v>
      </c>
      <c r="G198" s="4" t="s">
        <v>25</v>
      </c>
      <c r="H198" s="4" t="s">
        <v>25</v>
      </c>
      <c r="I198" s="5">
        <v>44682</v>
      </c>
      <c r="J198" s="6">
        <v>0</v>
      </c>
      <c r="K198" s="6">
        <v>0</v>
      </c>
      <c r="L198" s="6">
        <v>50.225000000000001</v>
      </c>
      <c r="M198" s="6">
        <v>50.225000000000001</v>
      </c>
      <c r="N198" s="6">
        <v>50.225000000000001</v>
      </c>
      <c r="O198" s="6">
        <v>50.225000000000001</v>
      </c>
      <c r="P198" s="6">
        <v>211</v>
      </c>
      <c r="Q198" s="4" t="s">
        <v>26</v>
      </c>
      <c r="R198" s="4">
        <v>0</v>
      </c>
      <c r="S198" s="4">
        <v>0</v>
      </c>
      <c r="T198" s="4">
        <v>6</v>
      </c>
      <c r="U198" s="4">
        <v>50</v>
      </c>
      <c r="V198" s="6">
        <f>IF(ISERROR(VLOOKUP($S$198,'TAR FIN'!$A$1:$O$86,15,0)),0,VLOOKUP($S$198,'TAR FIN'!$A$1:$O$86,15,0))</f>
        <v>0</v>
      </c>
      <c r="W198" s="6">
        <f>IF(ISERROR(VLOOKUP($T$198,'TAR FIN'!$A$1:$O$86,15,0)),0,VLOOKUP($T$198,'TAR FIN'!$A$1:$O$86,15,0))</f>
        <v>151.83000000000001</v>
      </c>
      <c r="X198" s="6">
        <f>IF(ISERROR(VLOOKUP($U$198,'TAR FIN'!$A$1:$O$86,15,0)),0,VLOOKUP($U$198,'TAR FIN'!$A$1:$O$86,15,0))</f>
        <v>188.71</v>
      </c>
      <c r="Y198" s="6"/>
      <c r="Z198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198" s="6">
        <f>('TE BE'!$AB$14+'TE BF'!$AB$14+'TE CVA'!$AB$14)*(1-CUSTOS!$M$35)</f>
        <v>149.33777216922758</v>
      </c>
      <c r="AB198" s="6">
        <f t="shared" si="16"/>
        <v>0</v>
      </c>
      <c r="AC198" s="6">
        <f>(L198-M198)*(W198+X198)+($W$218+$X$218-$W$198-$X$198)*(L198)</f>
        <v>11402.079499999994</v>
      </c>
      <c r="AD198" s="6">
        <f t="shared" si="17"/>
        <v>0</v>
      </c>
      <c r="AE198" s="6">
        <f ca="1">(L198-M198)*(Z198+AA198)+($Z$218+$AA$218-$Z$198-$AA$198)*(L198)</f>
        <v>9215.4550621388571</v>
      </c>
      <c r="AF198" s="4" t="s">
        <v>651</v>
      </c>
    </row>
    <row r="199" spans="1:32" ht="11.25" customHeight="1" x14ac:dyDescent="0.25">
      <c r="A199" s="4" t="s">
        <v>27</v>
      </c>
      <c r="B199" s="4" t="s">
        <v>22</v>
      </c>
      <c r="C199" s="4" t="s">
        <v>23</v>
      </c>
      <c r="D199" s="4" t="s">
        <v>24</v>
      </c>
      <c r="E199" s="4" t="s">
        <v>29</v>
      </c>
      <c r="F199" s="4" t="s">
        <v>25</v>
      </c>
      <c r="G199" s="4" t="s">
        <v>25</v>
      </c>
      <c r="H199" s="4" t="s">
        <v>25</v>
      </c>
      <c r="I199" s="5">
        <v>44682</v>
      </c>
      <c r="J199" s="6">
        <v>0</v>
      </c>
      <c r="K199" s="6">
        <v>0</v>
      </c>
      <c r="L199" s="6">
        <v>7.0000000000000007E-2</v>
      </c>
      <c r="M199" s="6">
        <v>7.0000000000000007E-2</v>
      </c>
      <c r="N199" s="6">
        <v>7.0000000000000007E-2</v>
      </c>
      <c r="O199" s="6">
        <v>7.0000000000000007E-2</v>
      </c>
      <c r="P199" s="6">
        <v>0</v>
      </c>
      <c r="Q199" s="4" t="s">
        <v>26</v>
      </c>
      <c r="R199" s="4">
        <v>0</v>
      </c>
      <c r="S199" s="4">
        <v>0</v>
      </c>
      <c r="T199" s="4">
        <v>6</v>
      </c>
      <c r="U199" s="4">
        <v>50</v>
      </c>
      <c r="V199" s="6">
        <f>IF(ISERROR(VLOOKUP($S$199,'TAR FIN'!$A$1:$O$86,15,0)),0,VLOOKUP($S$199,'TAR FIN'!$A$1:$O$86,15,0))</f>
        <v>0</v>
      </c>
      <c r="W199" s="6">
        <f>IF(ISERROR(VLOOKUP($T$199,'TAR FIN'!$A$1:$O$86,15,0)),0,VLOOKUP($T$199,'TAR FIN'!$A$1:$O$86,15,0))</f>
        <v>151.83000000000001</v>
      </c>
      <c r="X199" s="6">
        <f>IF(ISERROR(VLOOKUP($U$199,'TAR FIN'!$A$1:$O$86,15,0)),0,VLOOKUP($U$199,'TAR FIN'!$A$1:$O$86,15,0))</f>
        <v>188.71</v>
      </c>
      <c r="Y199" s="6"/>
      <c r="Z199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199" s="6">
        <f>('TE BE'!$AB$14+'TE BF'!$AB$14+'TE CVA'!$AB$14)*(1-CUSTOS!$M$35)</f>
        <v>149.33777216922758</v>
      </c>
      <c r="AB199" s="6">
        <f t="shared" si="16"/>
        <v>0</v>
      </c>
      <c r="AC199" s="6">
        <f>(L199-M199)*(W199+X199)+($W$218+$X$218-$W$199-$X$199)*(L199)</f>
        <v>15.891399999999994</v>
      </c>
      <c r="AD199" s="6">
        <f t="shared" si="17"/>
        <v>0</v>
      </c>
      <c r="AE199" s="6">
        <f ca="1">(L199-M199)*(Z199+AA199)+($Z$218+$AA$218-$Z$199-$AA$199)*(L199)</f>
        <v>12.843839807859036</v>
      </c>
      <c r="AF199" s="4" t="s">
        <v>651</v>
      </c>
    </row>
    <row r="200" spans="1:32" ht="11.25" customHeight="1" x14ac:dyDescent="0.25">
      <c r="A200" s="4" t="s">
        <v>55</v>
      </c>
      <c r="B200" s="4" t="s">
        <v>22</v>
      </c>
      <c r="C200" s="4" t="s">
        <v>23</v>
      </c>
      <c r="D200" s="4" t="s">
        <v>24</v>
      </c>
      <c r="E200" s="4" t="s">
        <v>29</v>
      </c>
      <c r="F200" s="4" t="s">
        <v>25</v>
      </c>
      <c r="G200" s="4" t="s">
        <v>25</v>
      </c>
      <c r="H200" s="4" t="s">
        <v>25</v>
      </c>
      <c r="I200" s="5">
        <v>44713</v>
      </c>
      <c r="J200" s="6">
        <v>0</v>
      </c>
      <c r="K200" s="6">
        <v>0</v>
      </c>
      <c r="L200" s="6">
        <v>50.225000000000001</v>
      </c>
      <c r="M200" s="6">
        <v>50.225000000000001</v>
      </c>
      <c r="N200" s="6">
        <v>50.225000000000001</v>
      </c>
      <c r="O200" s="6">
        <v>50.225000000000001</v>
      </c>
      <c r="P200" s="6">
        <v>211</v>
      </c>
      <c r="Q200" s="4" t="s">
        <v>26</v>
      </c>
      <c r="R200" s="4">
        <v>0</v>
      </c>
      <c r="S200" s="4">
        <v>0</v>
      </c>
      <c r="T200" s="4">
        <v>6</v>
      </c>
      <c r="U200" s="4">
        <v>50</v>
      </c>
      <c r="V200" s="6">
        <f>IF(ISERROR(VLOOKUP($S$200,'TAR FIN'!$A$1:$O$86,15,0)),0,VLOOKUP($S$200,'TAR FIN'!$A$1:$O$86,15,0))</f>
        <v>0</v>
      </c>
      <c r="W200" s="6">
        <f>IF(ISERROR(VLOOKUP($T$200,'TAR FIN'!$A$1:$O$86,15,0)),0,VLOOKUP($T$200,'TAR FIN'!$A$1:$O$86,15,0))</f>
        <v>151.83000000000001</v>
      </c>
      <c r="X200" s="6">
        <f>IF(ISERROR(VLOOKUP($U$200,'TAR FIN'!$A$1:$O$86,15,0)),0,VLOOKUP($U$200,'TAR FIN'!$A$1:$O$86,15,0))</f>
        <v>188.71</v>
      </c>
      <c r="Y200" s="6"/>
      <c r="Z200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200" s="6">
        <f>('TE BE'!$AB$14+'TE BF'!$AB$14+'TE CVA'!$AB$14)*(1-CUSTOS!$M$35)</f>
        <v>149.33777216922758</v>
      </c>
      <c r="AB200" s="6">
        <f t="shared" si="16"/>
        <v>0</v>
      </c>
      <c r="AC200" s="6">
        <f>(L200-M200)*(W200+X200)+($W$218+$X$218-$W$200-$X$200)*(L200)</f>
        <v>11402.079499999994</v>
      </c>
      <c r="AD200" s="6">
        <f t="shared" si="17"/>
        <v>0</v>
      </c>
      <c r="AE200" s="6">
        <f ca="1">(L200-M200)*(Z200+AA200)+($Z$218+$AA$218-$Z$200-$AA$200)*(L200)</f>
        <v>9215.4550621388571</v>
      </c>
      <c r="AF200" s="4" t="s">
        <v>651</v>
      </c>
    </row>
    <row r="201" spans="1:32" ht="11.25" customHeight="1" x14ac:dyDescent="0.25">
      <c r="A201" s="4" t="s">
        <v>55</v>
      </c>
      <c r="B201" s="4" t="s">
        <v>22</v>
      </c>
      <c r="C201" s="4" t="s">
        <v>23</v>
      </c>
      <c r="D201" s="4" t="s">
        <v>24</v>
      </c>
      <c r="E201" s="4" t="s">
        <v>29</v>
      </c>
      <c r="F201" s="4" t="s">
        <v>25</v>
      </c>
      <c r="G201" s="4" t="s">
        <v>25</v>
      </c>
      <c r="H201" s="4" t="s">
        <v>25</v>
      </c>
      <c r="I201" s="5">
        <v>44713</v>
      </c>
      <c r="J201" s="6">
        <v>0</v>
      </c>
      <c r="K201" s="6">
        <v>0</v>
      </c>
      <c r="L201" s="6">
        <v>7.0000000000000007E-2</v>
      </c>
      <c r="M201" s="6">
        <v>7.0000000000000007E-2</v>
      </c>
      <c r="N201" s="6">
        <v>7.0000000000000007E-2</v>
      </c>
      <c r="O201" s="6">
        <v>7.0000000000000007E-2</v>
      </c>
      <c r="P201" s="6">
        <v>0</v>
      </c>
      <c r="Q201" s="4" t="s">
        <v>26</v>
      </c>
      <c r="R201" s="4">
        <v>0</v>
      </c>
      <c r="S201" s="4">
        <v>0</v>
      </c>
      <c r="T201" s="4">
        <v>6</v>
      </c>
      <c r="U201" s="4">
        <v>50</v>
      </c>
      <c r="V201" s="6">
        <f>IF(ISERROR(VLOOKUP($S$201,'TAR FIN'!$A$1:$O$86,15,0)),0,VLOOKUP($S$201,'TAR FIN'!$A$1:$O$86,15,0))</f>
        <v>0</v>
      </c>
      <c r="W201" s="6">
        <f>IF(ISERROR(VLOOKUP($T$201,'TAR FIN'!$A$1:$O$86,15,0)),0,VLOOKUP($T$201,'TAR FIN'!$A$1:$O$86,15,0))</f>
        <v>151.83000000000001</v>
      </c>
      <c r="X201" s="6">
        <f>IF(ISERROR(VLOOKUP($U$201,'TAR FIN'!$A$1:$O$86,15,0)),0,VLOOKUP($U$201,'TAR FIN'!$A$1:$O$86,15,0))</f>
        <v>188.71</v>
      </c>
      <c r="Y201" s="6"/>
      <c r="Z201" s="6">
        <f ca="1">('TUSD BE'!$AM$22+'TUSD BF'!$AM$22+'TUSD CVA'!$AM$22-('TUSD BE'!$P$22+'TUSD BF'!$P$22+'TUSD CVA'!$P$22)-('TUSD BE'!$Q$22+'TUSD BF'!$Q$22+'TUSD CVA'!$Q$22)-('TUSD BE'!$R$22+'TUSD BF'!$R$22+'TUSD CVA'!$R$22))*(1-CUSTOS!$M$35)</f>
        <v>125.88736657060878</v>
      </c>
      <c r="AA201" s="6">
        <f>('TE BE'!$AB$14+'TE BF'!$AB$14+'TE CVA'!$AB$14)*(1-CUSTOS!$M$35)</f>
        <v>149.33777216922758</v>
      </c>
      <c r="AB201" s="6">
        <f t="shared" si="16"/>
        <v>0</v>
      </c>
      <c r="AC201" s="6">
        <f>(L201-M201)*(W201+X201)+($W$218+$X$218-$W$201-$X$201)*(L201)</f>
        <v>15.891399999999994</v>
      </c>
      <c r="AD201" s="6">
        <f t="shared" si="17"/>
        <v>0</v>
      </c>
      <c r="AE201" s="6">
        <f ca="1">(L201-M201)*(Z201+AA201)+($Z$218+$AA$218-$Z$201-$AA$201)*(L201)</f>
        <v>12.843839807859036</v>
      </c>
      <c r="AF201" s="4" t="s">
        <v>651</v>
      </c>
    </row>
    <row r="202" spans="1:32" ht="11.25" customHeight="1" x14ac:dyDescent="0.25">
      <c r="A202" s="4" t="s">
        <v>21</v>
      </c>
      <c r="B202" s="4" t="s">
        <v>22</v>
      </c>
      <c r="C202" s="4" t="s">
        <v>23</v>
      </c>
      <c r="D202" s="4" t="s">
        <v>24</v>
      </c>
      <c r="E202" s="4" t="s">
        <v>30</v>
      </c>
      <c r="F202" s="4" t="s">
        <v>25</v>
      </c>
      <c r="G202" s="4" t="s">
        <v>25</v>
      </c>
      <c r="H202" s="4" t="s">
        <v>25</v>
      </c>
      <c r="I202" s="5">
        <v>44378</v>
      </c>
      <c r="J202" s="6">
        <v>0</v>
      </c>
      <c r="K202" s="6">
        <v>0</v>
      </c>
      <c r="L202" s="6">
        <v>30.233000000000001</v>
      </c>
      <c r="M202" s="6">
        <v>30.233000000000001</v>
      </c>
      <c r="N202" s="6">
        <v>30.233000000000001</v>
      </c>
      <c r="O202" s="6">
        <v>30.233000000000001</v>
      </c>
      <c r="P202" s="6">
        <v>328</v>
      </c>
      <c r="Q202" s="4" t="s">
        <v>26</v>
      </c>
      <c r="R202" s="4">
        <v>0</v>
      </c>
      <c r="S202" s="4">
        <v>0</v>
      </c>
      <c r="T202" s="4">
        <v>10</v>
      </c>
      <c r="U202" s="4">
        <v>55</v>
      </c>
      <c r="V202" s="6">
        <f>IF(ISERROR(VLOOKUP($S$202,'TAR FIN'!$A$1:$O$86,15,0)),0,VLOOKUP($S$202,'TAR FIN'!$A$1:$O$86,15,0))</f>
        <v>0</v>
      </c>
      <c r="W202" s="6">
        <f>IF(ISERROR(VLOOKUP($T$202,'TAR FIN'!$A$1:$O$86,15,0)),0,VLOOKUP($T$202,'TAR FIN'!$A$1:$O$86,15,0))</f>
        <v>227.74</v>
      </c>
      <c r="X202" s="6">
        <f>IF(ISERROR(VLOOKUP($U$202,'TAR FIN'!$A$1:$O$86,15,0)),0,VLOOKUP($U$202,'TAR FIN'!$A$1:$O$86,15,0))</f>
        <v>283.07</v>
      </c>
      <c r="Y202" s="6"/>
      <c r="Z202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202" s="6">
        <f>('TE BE'!$AB$15+'TE BF'!$AB$15+'TE CVA'!$AB$15)*(1-CUSTOS!$M$36)</f>
        <v>224.00665825384141</v>
      </c>
      <c r="AB202" s="6">
        <f t="shared" si="16"/>
        <v>0</v>
      </c>
      <c r="AC202" s="6">
        <f>(L202-M202)*(W202+X202)+($W$218+$X$218-$W$202-$X$202)*(L202)</f>
        <v>1715.7227499999983</v>
      </c>
      <c r="AD202" s="6">
        <f t="shared" si="17"/>
        <v>0</v>
      </c>
      <c r="AE202" s="6">
        <f ca="1">(L202-M202)*(Z202+AA202)+($Z$218+$AA$218-$Z$202-$AA$202)*(L202)</f>
        <v>1386.8136032535785</v>
      </c>
      <c r="AF202" s="4" t="s">
        <v>651</v>
      </c>
    </row>
    <row r="203" spans="1:32" ht="11.25" customHeight="1" x14ac:dyDescent="0.25">
      <c r="A203" s="4" t="s">
        <v>21</v>
      </c>
      <c r="B203" s="4" t="s">
        <v>22</v>
      </c>
      <c r="C203" s="4" t="s">
        <v>23</v>
      </c>
      <c r="D203" s="4" t="s">
        <v>24</v>
      </c>
      <c r="E203" s="4" t="s">
        <v>30</v>
      </c>
      <c r="F203" s="4" t="s">
        <v>25</v>
      </c>
      <c r="G203" s="4" t="s">
        <v>25</v>
      </c>
      <c r="H203" s="4" t="s">
        <v>25</v>
      </c>
      <c r="I203" s="5">
        <v>44409</v>
      </c>
      <c r="J203" s="6">
        <v>0</v>
      </c>
      <c r="K203" s="6">
        <v>0</v>
      </c>
      <c r="L203" s="6">
        <v>32.238</v>
      </c>
      <c r="M203" s="6">
        <v>32.238</v>
      </c>
      <c r="N203" s="6">
        <v>32.238</v>
      </c>
      <c r="O203" s="6">
        <v>32.238</v>
      </c>
      <c r="P203" s="6">
        <v>335</v>
      </c>
      <c r="Q203" s="4" t="s">
        <v>26</v>
      </c>
      <c r="R203" s="4">
        <v>0</v>
      </c>
      <c r="S203" s="4">
        <v>0</v>
      </c>
      <c r="T203" s="4">
        <v>10</v>
      </c>
      <c r="U203" s="4">
        <v>55</v>
      </c>
      <c r="V203" s="6">
        <f>IF(ISERROR(VLOOKUP($S$203,'TAR FIN'!$A$1:$O$86,15,0)),0,VLOOKUP($S$203,'TAR FIN'!$A$1:$O$86,15,0))</f>
        <v>0</v>
      </c>
      <c r="W203" s="6">
        <f>IF(ISERROR(VLOOKUP($T$203,'TAR FIN'!$A$1:$O$86,15,0)),0,VLOOKUP($T$203,'TAR FIN'!$A$1:$O$86,15,0))</f>
        <v>227.74</v>
      </c>
      <c r="X203" s="6">
        <f>IF(ISERROR(VLOOKUP($U$203,'TAR FIN'!$A$1:$O$86,15,0)),0,VLOOKUP($U$203,'TAR FIN'!$A$1:$O$86,15,0))</f>
        <v>283.07</v>
      </c>
      <c r="Y203" s="6"/>
      <c r="Z203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203" s="6">
        <f>('TE BE'!$AB$15+'TE BF'!$AB$15+'TE CVA'!$AB$15)*(1-CUSTOS!$M$36)</f>
        <v>224.00665825384141</v>
      </c>
      <c r="AB203" s="6">
        <f t="shared" si="16"/>
        <v>0</v>
      </c>
      <c r="AC203" s="6">
        <f>(L203-M203)*(W203+X203)+($W$218+$X$218-$W$203-$X$203)*(L203)</f>
        <v>1829.5064999999981</v>
      </c>
      <c r="AD203" s="6">
        <f t="shared" si="17"/>
        <v>0</v>
      </c>
      <c r="AE203" s="6">
        <f ca="1">(L203-M203)*(Z203+AA203)+($Z$218+$AA$218-$Z$203-$AA$203)*(L203)</f>
        <v>1478.7846704491405</v>
      </c>
      <c r="AF203" s="4" t="s">
        <v>651</v>
      </c>
    </row>
    <row r="204" spans="1:32" ht="11.25" customHeight="1" x14ac:dyDescent="0.25">
      <c r="A204" s="4" t="s">
        <v>21</v>
      </c>
      <c r="B204" s="4" t="s">
        <v>22</v>
      </c>
      <c r="C204" s="4" t="s">
        <v>23</v>
      </c>
      <c r="D204" s="4" t="s">
        <v>24</v>
      </c>
      <c r="E204" s="4" t="s">
        <v>30</v>
      </c>
      <c r="F204" s="4" t="s">
        <v>25</v>
      </c>
      <c r="G204" s="4" t="s">
        <v>25</v>
      </c>
      <c r="H204" s="4" t="s">
        <v>25</v>
      </c>
      <c r="I204" s="5">
        <v>44440</v>
      </c>
      <c r="J204" s="6">
        <v>0</v>
      </c>
      <c r="K204" s="6">
        <v>0</v>
      </c>
      <c r="L204" s="6">
        <v>31.712</v>
      </c>
      <c r="M204" s="6">
        <v>31.712</v>
      </c>
      <c r="N204" s="6">
        <v>31.712</v>
      </c>
      <c r="O204" s="6">
        <v>31.712</v>
      </c>
      <c r="P204" s="6">
        <v>351</v>
      </c>
      <c r="Q204" s="4" t="s">
        <v>26</v>
      </c>
      <c r="R204" s="4">
        <v>0</v>
      </c>
      <c r="S204" s="4">
        <v>0</v>
      </c>
      <c r="T204" s="4">
        <v>10</v>
      </c>
      <c r="U204" s="4">
        <v>55</v>
      </c>
      <c r="V204" s="6">
        <f>IF(ISERROR(VLOOKUP($S$204,'TAR FIN'!$A$1:$O$86,15,0)),0,VLOOKUP($S$204,'TAR FIN'!$A$1:$O$86,15,0))</f>
        <v>0</v>
      </c>
      <c r="W204" s="6">
        <f>IF(ISERROR(VLOOKUP($T$204,'TAR FIN'!$A$1:$O$86,15,0)),0,VLOOKUP($T$204,'TAR FIN'!$A$1:$O$86,15,0))</f>
        <v>227.74</v>
      </c>
      <c r="X204" s="6">
        <f>IF(ISERROR(VLOOKUP($U$204,'TAR FIN'!$A$1:$O$86,15,0)),0,VLOOKUP($U$204,'TAR FIN'!$A$1:$O$86,15,0))</f>
        <v>283.07</v>
      </c>
      <c r="Y204" s="6"/>
      <c r="Z204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204" s="6">
        <f>('TE BE'!$AB$15+'TE BF'!$AB$15+'TE CVA'!$AB$15)*(1-CUSTOS!$M$36)</f>
        <v>224.00665825384141</v>
      </c>
      <c r="AB204" s="6">
        <f t="shared" si="16"/>
        <v>0</v>
      </c>
      <c r="AC204" s="6">
        <f>(L204-M204)*(W204+X204)+($W$218+$X$218-$W$204-$X$204)*(L204)</f>
        <v>1799.6559999999981</v>
      </c>
      <c r="AD204" s="6">
        <f t="shared" si="17"/>
        <v>0</v>
      </c>
      <c r="AE204" s="6">
        <f ca="1">(L204-M204)*(Z204+AA204)+($Z$218+$AA$218-$Z$204-$AA$204)*(L204)</f>
        <v>1454.6565999529482</v>
      </c>
      <c r="AF204" s="4" t="s">
        <v>651</v>
      </c>
    </row>
    <row r="205" spans="1:32" ht="11.25" customHeight="1" x14ac:dyDescent="0.25">
      <c r="A205" s="4" t="s">
        <v>21</v>
      </c>
      <c r="B205" s="4" t="s">
        <v>22</v>
      </c>
      <c r="C205" s="4" t="s">
        <v>23</v>
      </c>
      <c r="D205" s="4" t="s">
        <v>24</v>
      </c>
      <c r="E205" s="4" t="s">
        <v>30</v>
      </c>
      <c r="F205" s="4" t="s">
        <v>25</v>
      </c>
      <c r="G205" s="4" t="s">
        <v>25</v>
      </c>
      <c r="H205" s="4" t="s">
        <v>25</v>
      </c>
      <c r="I205" s="5">
        <v>44470</v>
      </c>
      <c r="J205" s="6">
        <v>0</v>
      </c>
      <c r="K205" s="6">
        <v>0</v>
      </c>
      <c r="L205" s="6">
        <v>29.334</v>
      </c>
      <c r="M205" s="6">
        <v>29.334</v>
      </c>
      <c r="N205" s="6">
        <v>29.334</v>
      </c>
      <c r="O205" s="6">
        <v>29.334</v>
      </c>
      <c r="P205" s="6">
        <v>354</v>
      </c>
      <c r="Q205" s="4" t="s">
        <v>26</v>
      </c>
      <c r="R205" s="4">
        <v>0</v>
      </c>
      <c r="S205" s="4">
        <v>0</v>
      </c>
      <c r="T205" s="4">
        <v>10</v>
      </c>
      <c r="U205" s="4">
        <v>55</v>
      </c>
      <c r="V205" s="6">
        <f>IF(ISERROR(VLOOKUP($S$205,'TAR FIN'!$A$1:$O$86,15,0)),0,VLOOKUP($S$205,'TAR FIN'!$A$1:$O$86,15,0))</f>
        <v>0</v>
      </c>
      <c r="W205" s="6">
        <f>IF(ISERROR(VLOOKUP($T$205,'TAR FIN'!$A$1:$O$86,15,0)),0,VLOOKUP($T$205,'TAR FIN'!$A$1:$O$86,15,0))</f>
        <v>227.74</v>
      </c>
      <c r="X205" s="6">
        <f>IF(ISERROR(VLOOKUP($U$205,'TAR FIN'!$A$1:$O$86,15,0)),0,VLOOKUP($U$205,'TAR FIN'!$A$1:$O$86,15,0))</f>
        <v>283.07</v>
      </c>
      <c r="Y205" s="6"/>
      <c r="Z205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205" s="6">
        <f>('TE BE'!$AB$15+'TE BF'!$AB$15+'TE CVA'!$AB$15)*(1-CUSTOS!$M$36)</f>
        <v>224.00665825384141</v>
      </c>
      <c r="AB205" s="6">
        <f t="shared" si="16"/>
        <v>0</v>
      </c>
      <c r="AC205" s="6">
        <f>(L205-M205)*(W205+X205)+($W$218+$X$218-$W$205-$X$205)*(L205)</f>
        <v>1664.7044999999982</v>
      </c>
      <c r="AD205" s="6">
        <f t="shared" si="17"/>
        <v>0</v>
      </c>
      <c r="AE205" s="6">
        <f ca="1">(L205-M205)*(Z205+AA205)+($Z$218+$AA$218-$Z$205-$AA$205)*(L205)</f>
        <v>1345.5757032990598</v>
      </c>
      <c r="AF205" s="4" t="s">
        <v>651</v>
      </c>
    </row>
    <row r="206" spans="1:32" ht="11.25" customHeight="1" x14ac:dyDescent="0.25">
      <c r="A206" s="4" t="s">
        <v>21</v>
      </c>
      <c r="B206" s="4" t="s">
        <v>22</v>
      </c>
      <c r="C206" s="4" t="s">
        <v>23</v>
      </c>
      <c r="D206" s="4" t="s">
        <v>24</v>
      </c>
      <c r="E206" s="4" t="s">
        <v>30</v>
      </c>
      <c r="F206" s="4" t="s">
        <v>25</v>
      </c>
      <c r="G206" s="4" t="s">
        <v>25</v>
      </c>
      <c r="H206" s="4" t="s">
        <v>25</v>
      </c>
      <c r="I206" s="5">
        <v>44501</v>
      </c>
      <c r="J206" s="6">
        <v>0</v>
      </c>
      <c r="K206" s="6">
        <v>0</v>
      </c>
      <c r="L206" s="6">
        <v>36.238999999999997</v>
      </c>
      <c r="M206" s="6">
        <v>36.238999999999997</v>
      </c>
      <c r="N206" s="6">
        <v>36.238999999999997</v>
      </c>
      <c r="O206" s="6">
        <v>36.238999999999997</v>
      </c>
      <c r="P206" s="6">
        <v>366</v>
      </c>
      <c r="Q206" s="4" t="s">
        <v>26</v>
      </c>
      <c r="R206" s="4">
        <v>0</v>
      </c>
      <c r="S206" s="4">
        <v>0</v>
      </c>
      <c r="T206" s="4">
        <v>10</v>
      </c>
      <c r="U206" s="4">
        <v>55</v>
      </c>
      <c r="V206" s="6">
        <f>IF(ISERROR(VLOOKUP($S$206,'TAR FIN'!$A$1:$O$86,15,0)),0,VLOOKUP($S$206,'TAR FIN'!$A$1:$O$86,15,0))</f>
        <v>0</v>
      </c>
      <c r="W206" s="6">
        <f>IF(ISERROR(VLOOKUP($T$206,'TAR FIN'!$A$1:$O$86,15,0)),0,VLOOKUP($T$206,'TAR FIN'!$A$1:$O$86,15,0))</f>
        <v>227.74</v>
      </c>
      <c r="X206" s="6">
        <f>IF(ISERROR(VLOOKUP($U$206,'TAR FIN'!$A$1:$O$86,15,0)),0,VLOOKUP($U$206,'TAR FIN'!$A$1:$O$86,15,0))</f>
        <v>283.07</v>
      </c>
      <c r="Y206" s="6"/>
      <c r="Z206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206" s="6">
        <f>('TE BE'!$AB$15+'TE BF'!$AB$15+'TE CVA'!$AB$15)*(1-CUSTOS!$M$36)</f>
        <v>224.00665825384141</v>
      </c>
      <c r="AB206" s="6">
        <f t="shared" si="16"/>
        <v>0</v>
      </c>
      <c r="AC206" s="6">
        <f>(L206-M206)*(W206+X206)+($W$218+$X$218-$W$206-$X$206)*(L206)</f>
        <v>2056.5632499999979</v>
      </c>
      <c r="AD206" s="6">
        <f t="shared" si="17"/>
        <v>0</v>
      </c>
      <c r="AE206" s="6">
        <f ca="1">(L206-M206)*(Z206+AA206)+($Z$218+$AA$218-$Z$206-$AA$206)*(L206)</f>
        <v>1662.3139671321546</v>
      </c>
      <c r="AF206" s="4" t="s">
        <v>651</v>
      </c>
    </row>
    <row r="207" spans="1:32" ht="11.25" customHeight="1" x14ac:dyDescent="0.25">
      <c r="A207" s="4" t="s">
        <v>21</v>
      </c>
      <c r="B207" s="4" t="s">
        <v>22</v>
      </c>
      <c r="C207" s="4" t="s">
        <v>23</v>
      </c>
      <c r="D207" s="4" t="s">
        <v>24</v>
      </c>
      <c r="E207" s="4" t="s">
        <v>30</v>
      </c>
      <c r="F207" s="4" t="s">
        <v>25</v>
      </c>
      <c r="G207" s="4" t="s">
        <v>25</v>
      </c>
      <c r="H207" s="4" t="s">
        <v>25</v>
      </c>
      <c r="I207" s="5">
        <v>44531</v>
      </c>
      <c r="J207" s="6">
        <v>0</v>
      </c>
      <c r="K207" s="6">
        <v>0</v>
      </c>
      <c r="L207" s="6">
        <v>38.335999999999999</v>
      </c>
      <c r="M207" s="6">
        <v>38.335999999999999</v>
      </c>
      <c r="N207" s="6">
        <v>38.335999999999999</v>
      </c>
      <c r="O207" s="6">
        <v>38.335999999999999</v>
      </c>
      <c r="P207" s="6">
        <v>358</v>
      </c>
      <c r="Q207" s="4" t="s">
        <v>26</v>
      </c>
      <c r="R207" s="4">
        <v>0</v>
      </c>
      <c r="S207" s="4">
        <v>0</v>
      </c>
      <c r="T207" s="4">
        <v>10</v>
      </c>
      <c r="U207" s="4">
        <v>55</v>
      </c>
      <c r="V207" s="6">
        <f>IF(ISERROR(VLOOKUP($S$207,'TAR FIN'!$A$1:$O$86,15,0)),0,VLOOKUP($S$207,'TAR FIN'!$A$1:$O$86,15,0))</f>
        <v>0</v>
      </c>
      <c r="W207" s="6">
        <f>IF(ISERROR(VLOOKUP($T$207,'TAR FIN'!$A$1:$O$86,15,0)),0,VLOOKUP($T$207,'TAR FIN'!$A$1:$O$86,15,0))</f>
        <v>227.74</v>
      </c>
      <c r="X207" s="6">
        <f>IF(ISERROR(VLOOKUP($U$207,'TAR FIN'!$A$1:$O$86,15,0)),0,VLOOKUP($U$207,'TAR FIN'!$A$1:$O$86,15,0))</f>
        <v>283.07</v>
      </c>
      <c r="Y207" s="6"/>
      <c r="Z207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207" s="6">
        <f>('TE BE'!$AB$15+'TE BF'!$AB$15+'TE CVA'!$AB$15)*(1-CUSTOS!$M$36)</f>
        <v>224.00665825384141</v>
      </c>
      <c r="AB207" s="6">
        <f t="shared" si="16"/>
        <v>0</v>
      </c>
      <c r="AC207" s="6">
        <f>(L207-M207)*(W207+X207)+($W$218+$X$218-$W$207-$X$207)*(L207)</f>
        <v>2175.5679999999979</v>
      </c>
      <c r="AD207" s="6">
        <f t="shared" si="17"/>
        <v>0</v>
      </c>
      <c r="AE207" s="6">
        <f ca="1">(L207-M207)*(Z207+AA207)+($Z$218+$AA$218-$Z$207-$AA$207)*(L207)</f>
        <v>1758.5051531217275</v>
      </c>
      <c r="AF207" s="4" t="s">
        <v>651</v>
      </c>
    </row>
    <row r="208" spans="1:32" ht="11.25" customHeight="1" x14ac:dyDescent="0.25">
      <c r="A208" s="4" t="s">
        <v>41</v>
      </c>
      <c r="B208" s="4" t="s">
        <v>22</v>
      </c>
      <c r="C208" s="4" t="s">
        <v>23</v>
      </c>
      <c r="D208" s="4" t="s">
        <v>24</v>
      </c>
      <c r="E208" s="4" t="s">
        <v>30</v>
      </c>
      <c r="F208" s="4" t="s">
        <v>25</v>
      </c>
      <c r="G208" s="4" t="s">
        <v>25</v>
      </c>
      <c r="H208" s="4" t="s">
        <v>25</v>
      </c>
      <c r="I208" s="5">
        <v>44531</v>
      </c>
      <c r="J208" s="6">
        <v>0</v>
      </c>
      <c r="K208" s="6">
        <v>0</v>
      </c>
      <c r="L208" s="6">
        <v>0.08</v>
      </c>
      <c r="M208" s="6">
        <v>0.08</v>
      </c>
      <c r="N208" s="6">
        <v>0.08</v>
      </c>
      <c r="O208" s="6">
        <v>0.08</v>
      </c>
      <c r="P208" s="6">
        <v>0</v>
      </c>
      <c r="Q208" s="4" t="s">
        <v>26</v>
      </c>
      <c r="R208" s="4">
        <v>0</v>
      </c>
      <c r="S208" s="4">
        <v>0</v>
      </c>
      <c r="T208" s="4">
        <v>10</v>
      </c>
      <c r="U208" s="4">
        <v>55</v>
      </c>
      <c r="V208" s="6">
        <f>IF(ISERROR(VLOOKUP($S$208,'TAR FIN'!$A$1:$O$86,15,0)),0,VLOOKUP($S$208,'TAR FIN'!$A$1:$O$86,15,0))</f>
        <v>0</v>
      </c>
      <c r="W208" s="6">
        <f>IF(ISERROR(VLOOKUP($T$208,'TAR FIN'!$A$1:$O$86,15,0)),0,VLOOKUP($T$208,'TAR FIN'!$A$1:$O$86,15,0))</f>
        <v>227.74</v>
      </c>
      <c r="X208" s="6">
        <f>IF(ISERROR(VLOOKUP($U$208,'TAR FIN'!$A$1:$O$86,15,0)),0,VLOOKUP($U$208,'TAR FIN'!$A$1:$O$86,15,0))</f>
        <v>283.07</v>
      </c>
      <c r="Y208" s="6"/>
      <c r="Z208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208" s="6">
        <f>('TE BE'!$AB$15+'TE BF'!$AB$15+'TE CVA'!$AB$15)*(1-CUSTOS!$M$36)</f>
        <v>224.00665825384141</v>
      </c>
      <c r="AB208" s="6">
        <f t="shared" si="16"/>
        <v>0</v>
      </c>
      <c r="AC208" s="6">
        <f>(L208-M208)*(W208+X208)+($W$218+$X$218-$W$208-$X$208)*(L208)</f>
        <v>4.5399999999999956</v>
      </c>
      <c r="AD208" s="6">
        <f t="shared" si="17"/>
        <v>0</v>
      </c>
      <c r="AE208" s="6">
        <f ca="1">(L208-M208)*(Z208+AA208)+($Z$218+$AA$218-$Z$208-$AA$208)*(L208)</f>
        <v>3.6696685165311509</v>
      </c>
      <c r="AF208" s="4" t="s">
        <v>651</v>
      </c>
    </row>
    <row r="209" spans="1:32" ht="11.25" customHeight="1" x14ac:dyDescent="0.25">
      <c r="A209" s="4" t="s">
        <v>21</v>
      </c>
      <c r="B209" s="4" t="s">
        <v>22</v>
      </c>
      <c r="C209" s="4" t="s">
        <v>23</v>
      </c>
      <c r="D209" s="4" t="s">
        <v>24</v>
      </c>
      <c r="E209" s="4" t="s">
        <v>30</v>
      </c>
      <c r="F209" s="4" t="s">
        <v>25</v>
      </c>
      <c r="G209" s="4" t="s">
        <v>25</v>
      </c>
      <c r="H209" s="4" t="s">
        <v>25</v>
      </c>
      <c r="I209" s="5">
        <v>44562</v>
      </c>
      <c r="J209" s="6">
        <v>0</v>
      </c>
      <c r="K209" s="6">
        <v>0</v>
      </c>
      <c r="L209" s="6">
        <v>52.743000000000002</v>
      </c>
      <c r="M209" s="6">
        <v>52.743000000000002</v>
      </c>
      <c r="N209" s="6">
        <v>52.743000000000002</v>
      </c>
      <c r="O209" s="6">
        <v>52.743000000000002</v>
      </c>
      <c r="P209" s="6">
        <v>437</v>
      </c>
      <c r="Q209" s="4" t="s">
        <v>26</v>
      </c>
      <c r="R209" s="4">
        <v>0</v>
      </c>
      <c r="S209" s="4">
        <v>0</v>
      </c>
      <c r="T209" s="4">
        <v>10</v>
      </c>
      <c r="U209" s="4">
        <v>55</v>
      </c>
      <c r="V209" s="6">
        <f>IF(ISERROR(VLOOKUP($S$209,'TAR FIN'!$A$1:$O$86,15,0)),0,VLOOKUP($S$209,'TAR FIN'!$A$1:$O$86,15,0))</f>
        <v>0</v>
      </c>
      <c r="W209" s="6">
        <f>IF(ISERROR(VLOOKUP($T$209,'TAR FIN'!$A$1:$O$86,15,0)),0,VLOOKUP($T$209,'TAR FIN'!$A$1:$O$86,15,0))</f>
        <v>227.74</v>
      </c>
      <c r="X209" s="6">
        <f>IF(ISERROR(VLOOKUP($U$209,'TAR FIN'!$A$1:$O$86,15,0)),0,VLOOKUP($U$209,'TAR FIN'!$A$1:$O$86,15,0))</f>
        <v>283.07</v>
      </c>
      <c r="Y209" s="6"/>
      <c r="Z209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209" s="6">
        <f>('TE BE'!$AB$15+'TE BF'!$AB$15+'TE CVA'!$AB$15)*(1-CUSTOS!$M$36)</f>
        <v>224.00665825384141</v>
      </c>
      <c r="AB209" s="6">
        <f t="shared" si="16"/>
        <v>0</v>
      </c>
      <c r="AC209" s="6">
        <f>(L209-M209)*(W209+X209)+($W$218+$X$218-$W$209-$X$209)*(L209)</f>
        <v>2993.1652499999973</v>
      </c>
      <c r="AD209" s="6">
        <f t="shared" si="17"/>
        <v>0</v>
      </c>
      <c r="AE209" s="6">
        <f ca="1">(L209-M209)*(Z209+AA209)+($Z$218+$AA$218-$Z$209-$AA$209)*(L209)</f>
        <v>2419.3665820925312</v>
      </c>
      <c r="AF209" s="4" t="s">
        <v>651</v>
      </c>
    </row>
    <row r="210" spans="1:32" ht="11.25" customHeight="1" x14ac:dyDescent="0.25">
      <c r="A210" s="4" t="s">
        <v>27</v>
      </c>
      <c r="B210" s="4" t="s">
        <v>22</v>
      </c>
      <c r="C210" s="4" t="s">
        <v>23</v>
      </c>
      <c r="D210" s="4" t="s">
        <v>24</v>
      </c>
      <c r="E210" s="4" t="s">
        <v>30</v>
      </c>
      <c r="F210" s="4" t="s">
        <v>25</v>
      </c>
      <c r="G210" s="4" t="s">
        <v>25</v>
      </c>
      <c r="H210" s="4" t="s">
        <v>25</v>
      </c>
      <c r="I210" s="5">
        <v>44562</v>
      </c>
      <c r="J210" s="6">
        <v>0</v>
      </c>
      <c r="K210" s="6">
        <v>0</v>
      </c>
      <c r="L210" s="6">
        <v>0.12</v>
      </c>
      <c r="M210" s="6">
        <v>0.12</v>
      </c>
      <c r="N210" s="6">
        <v>0.12</v>
      </c>
      <c r="O210" s="6">
        <v>0.12</v>
      </c>
      <c r="P210" s="6">
        <v>0</v>
      </c>
      <c r="Q210" s="4" t="s">
        <v>26</v>
      </c>
      <c r="R210" s="4">
        <v>0</v>
      </c>
      <c r="S210" s="4">
        <v>0</v>
      </c>
      <c r="T210" s="4">
        <v>10</v>
      </c>
      <c r="U210" s="4">
        <v>55</v>
      </c>
      <c r="V210" s="6">
        <f>IF(ISERROR(VLOOKUP($S$210,'TAR FIN'!$A$1:$O$86,15,0)),0,VLOOKUP($S$210,'TAR FIN'!$A$1:$O$86,15,0))</f>
        <v>0</v>
      </c>
      <c r="W210" s="6">
        <f>IF(ISERROR(VLOOKUP($T$210,'TAR FIN'!$A$1:$O$86,15,0)),0,VLOOKUP($T$210,'TAR FIN'!$A$1:$O$86,15,0))</f>
        <v>227.74</v>
      </c>
      <c r="X210" s="6">
        <f>IF(ISERROR(VLOOKUP($U$210,'TAR FIN'!$A$1:$O$86,15,0)),0,VLOOKUP($U$210,'TAR FIN'!$A$1:$O$86,15,0))</f>
        <v>283.07</v>
      </c>
      <c r="Y210" s="6"/>
      <c r="Z210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210" s="6">
        <f>('TE BE'!$AB$15+'TE BF'!$AB$15+'TE CVA'!$AB$15)*(1-CUSTOS!$M$36)</f>
        <v>224.00665825384141</v>
      </c>
      <c r="AB210" s="6">
        <f t="shared" si="16"/>
        <v>0</v>
      </c>
      <c r="AC210" s="6">
        <f>(L210-M210)*(W210+X210)+($W$218+$X$218-$W$210-$X$210)*(L210)</f>
        <v>6.8099999999999925</v>
      </c>
      <c r="AD210" s="6">
        <f t="shared" si="17"/>
        <v>0</v>
      </c>
      <c r="AE210" s="6">
        <f ca="1">(L210-M210)*(Z210+AA210)+($Z$218+$AA$218-$Z$210-$AA$210)*(L210)</f>
        <v>5.5045027747967259</v>
      </c>
      <c r="AF210" s="4" t="s">
        <v>651</v>
      </c>
    </row>
    <row r="211" spans="1:32" ht="11.25" customHeight="1" x14ac:dyDescent="0.25">
      <c r="A211" s="4" t="s">
        <v>21</v>
      </c>
      <c r="B211" s="4" t="s">
        <v>22</v>
      </c>
      <c r="C211" s="4" t="s">
        <v>23</v>
      </c>
      <c r="D211" s="4" t="s">
        <v>24</v>
      </c>
      <c r="E211" s="4" t="s">
        <v>30</v>
      </c>
      <c r="F211" s="4" t="s">
        <v>25</v>
      </c>
      <c r="G211" s="4" t="s">
        <v>25</v>
      </c>
      <c r="H211" s="4" t="s">
        <v>25</v>
      </c>
      <c r="I211" s="5">
        <v>44593</v>
      </c>
      <c r="J211" s="6">
        <v>0</v>
      </c>
      <c r="K211" s="6">
        <v>0</v>
      </c>
      <c r="L211" s="6">
        <v>46.892000000000003</v>
      </c>
      <c r="M211" s="6">
        <v>46.892000000000003</v>
      </c>
      <c r="N211" s="6">
        <v>46.892000000000003</v>
      </c>
      <c r="O211" s="6">
        <v>46.892000000000003</v>
      </c>
      <c r="P211" s="6">
        <v>460</v>
      </c>
      <c r="Q211" s="4" t="s">
        <v>26</v>
      </c>
      <c r="R211" s="4">
        <v>0</v>
      </c>
      <c r="S211" s="4">
        <v>0</v>
      </c>
      <c r="T211" s="4">
        <v>10</v>
      </c>
      <c r="U211" s="4">
        <v>55</v>
      </c>
      <c r="V211" s="6">
        <f>IF(ISERROR(VLOOKUP($S$211,'TAR FIN'!$A$1:$O$86,15,0)),0,VLOOKUP($S$211,'TAR FIN'!$A$1:$O$86,15,0))</f>
        <v>0</v>
      </c>
      <c r="W211" s="6">
        <f>IF(ISERROR(VLOOKUP($T$211,'TAR FIN'!$A$1:$O$86,15,0)),0,VLOOKUP($T$211,'TAR FIN'!$A$1:$O$86,15,0))</f>
        <v>227.74</v>
      </c>
      <c r="X211" s="6">
        <f>IF(ISERROR(VLOOKUP($U$211,'TAR FIN'!$A$1:$O$86,15,0)),0,VLOOKUP($U$211,'TAR FIN'!$A$1:$O$86,15,0))</f>
        <v>283.07</v>
      </c>
      <c r="Y211" s="6"/>
      <c r="Z211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211" s="6">
        <f>('TE BE'!$AB$15+'TE BF'!$AB$15+'TE CVA'!$AB$15)*(1-CUSTOS!$M$36)</f>
        <v>224.00665825384141</v>
      </c>
      <c r="AB211" s="6">
        <f t="shared" si="16"/>
        <v>0</v>
      </c>
      <c r="AC211" s="6">
        <f>(L211-M211)*(W211+X211)+($W$218+$X$218-$W$211-$X$211)*(L211)</f>
        <v>2661.1209999999974</v>
      </c>
      <c r="AD211" s="6">
        <f t="shared" si="17"/>
        <v>0</v>
      </c>
      <c r="AE211" s="6">
        <f ca="1">(L211-M211)*(Z211+AA211)+($Z$218+$AA$218-$Z$211-$AA$211)*(L211)</f>
        <v>2150.9762009647343</v>
      </c>
      <c r="AF211" s="4" t="s">
        <v>651</v>
      </c>
    </row>
    <row r="212" spans="1:32" ht="11.25" customHeight="1" x14ac:dyDescent="0.25">
      <c r="A212" s="4" t="s">
        <v>21</v>
      </c>
      <c r="B212" s="4" t="s">
        <v>22</v>
      </c>
      <c r="C212" s="4" t="s">
        <v>23</v>
      </c>
      <c r="D212" s="4" t="s">
        <v>24</v>
      </c>
      <c r="E212" s="4" t="s">
        <v>30</v>
      </c>
      <c r="F212" s="4" t="s">
        <v>25</v>
      </c>
      <c r="G212" s="4" t="s">
        <v>25</v>
      </c>
      <c r="H212" s="4" t="s">
        <v>25</v>
      </c>
      <c r="I212" s="5">
        <v>44621</v>
      </c>
      <c r="J212" s="6">
        <v>0</v>
      </c>
      <c r="K212" s="6">
        <v>0</v>
      </c>
      <c r="L212" s="6">
        <v>57.16</v>
      </c>
      <c r="M212" s="6">
        <v>57.16</v>
      </c>
      <c r="N212" s="6">
        <v>57.16</v>
      </c>
      <c r="O212" s="6">
        <v>57.16</v>
      </c>
      <c r="P212" s="6">
        <v>441</v>
      </c>
      <c r="Q212" s="4" t="s">
        <v>26</v>
      </c>
      <c r="R212" s="4">
        <v>0</v>
      </c>
      <c r="S212" s="4">
        <v>0</v>
      </c>
      <c r="T212" s="4">
        <v>10</v>
      </c>
      <c r="U212" s="4">
        <v>55</v>
      </c>
      <c r="V212" s="6">
        <f>IF(ISERROR(VLOOKUP($S$212,'TAR FIN'!$A$1:$O$86,15,0)),0,VLOOKUP($S$212,'TAR FIN'!$A$1:$O$86,15,0))</f>
        <v>0</v>
      </c>
      <c r="W212" s="6">
        <f>IF(ISERROR(VLOOKUP($T$212,'TAR FIN'!$A$1:$O$86,15,0)),0,VLOOKUP($T$212,'TAR FIN'!$A$1:$O$86,15,0))</f>
        <v>227.74</v>
      </c>
      <c r="X212" s="6">
        <f>IF(ISERROR(VLOOKUP($U$212,'TAR FIN'!$A$1:$O$86,15,0)),0,VLOOKUP($U$212,'TAR FIN'!$A$1:$O$86,15,0))</f>
        <v>283.07</v>
      </c>
      <c r="Y212" s="6"/>
      <c r="Z212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212" s="6">
        <f>('TE BE'!$AB$15+'TE BF'!$AB$15+'TE CVA'!$AB$15)*(1-CUSTOS!$M$36)</f>
        <v>224.00665825384141</v>
      </c>
      <c r="AB212" s="6">
        <f t="shared" si="16"/>
        <v>0</v>
      </c>
      <c r="AC212" s="6">
        <f>(L212-M212)*(W212+X212)+($W$218+$X$218-$W$212-$X$212)*(L212)</f>
        <v>3243.8299999999967</v>
      </c>
      <c r="AD212" s="6">
        <f t="shared" si="17"/>
        <v>0</v>
      </c>
      <c r="AE212" s="6">
        <f ca="1">(L212-M212)*(Z212+AA212)+($Z$218+$AA$218-$Z$212-$AA$212)*(L212)</f>
        <v>2621.9781550615071</v>
      </c>
      <c r="AF212" s="4" t="s">
        <v>651</v>
      </c>
    </row>
    <row r="213" spans="1:32" ht="11.25" customHeight="1" x14ac:dyDescent="0.25">
      <c r="A213" s="4" t="s">
        <v>21</v>
      </c>
      <c r="B213" s="4" t="s">
        <v>22</v>
      </c>
      <c r="C213" s="4" t="s">
        <v>23</v>
      </c>
      <c r="D213" s="4" t="s">
        <v>24</v>
      </c>
      <c r="E213" s="4" t="s">
        <v>30</v>
      </c>
      <c r="F213" s="4" t="s">
        <v>25</v>
      </c>
      <c r="G213" s="4" t="s">
        <v>25</v>
      </c>
      <c r="H213" s="4" t="s">
        <v>25</v>
      </c>
      <c r="I213" s="5">
        <v>44652</v>
      </c>
      <c r="J213" s="6">
        <v>0</v>
      </c>
      <c r="K213" s="6">
        <v>0</v>
      </c>
      <c r="L213" s="6">
        <v>41.701999999999998</v>
      </c>
      <c r="M213" s="6">
        <v>41.701999999999998</v>
      </c>
      <c r="N213" s="6">
        <v>41.701999999999998</v>
      </c>
      <c r="O213" s="6">
        <v>41.701999999999998</v>
      </c>
      <c r="P213" s="6">
        <v>478</v>
      </c>
      <c r="Q213" s="4" t="s">
        <v>26</v>
      </c>
      <c r="R213" s="4">
        <v>0</v>
      </c>
      <c r="S213" s="4">
        <v>0</v>
      </c>
      <c r="T213" s="4">
        <v>10</v>
      </c>
      <c r="U213" s="4">
        <v>55</v>
      </c>
      <c r="V213" s="6">
        <f>IF(ISERROR(VLOOKUP($S$213,'TAR FIN'!$A$1:$O$86,15,0)),0,VLOOKUP($S$213,'TAR FIN'!$A$1:$O$86,15,0))</f>
        <v>0</v>
      </c>
      <c r="W213" s="6">
        <f>IF(ISERROR(VLOOKUP($T$213,'TAR FIN'!$A$1:$O$86,15,0)),0,VLOOKUP($T$213,'TAR FIN'!$A$1:$O$86,15,0))</f>
        <v>227.74</v>
      </c>
      <c r="X213" s="6">
        <f>IF(ISERROR(VLOOKUP($U$213,'TAR FIN'!$A$1:$O$86,15,0)),0,VLOOKUP($U$213,'TAR FIN'!$A$1:$O$86,15,0))</f>
        <v>283.07</v>
      </c>
      <c r="Y213" s="6"/>
      <c r="Z213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213" s="6">
        <f>('TE BE'!$AB$15+'TE BF'!$AB$15+'TE CVA'!$AB$15)*(1-CUSTOS!$M$36)</f>
        <v>224.00665825384141</v>
      </c>
      <c r="AB213" s="6">
        <f t="shared" si="16"/>
        <v>0</v>
      </c>
      <c r="AC213" s="6">
        <f>(L213-M213)*(W213+X213)+($W$218+$X$218-$W$213-$X$213)*(L213)</f>
        <v>2366.5884999999976</v>
      </c>
      <c r="AD213" s="6">
        <f t="shared" si="17"/>
        <v>0</v>
      </c>
      <c r="AE213" s="6">
        <f ca="1">(L213-M213)*(Z213+AA213)+($Z$218+$AA$218-$Z$213-$AA$213)*(L213)</f>
        <v>1912.9064559547758</v>
      </c>
      <c r="AF213" s="4" t="s">
        <v>651</v>
      </c>
    </row>
    <row r="214" spans="1:32" ht="11.25" customHeight="1" x14ac:dyDescent="0.25">
      <c r="A214" s="4" t="s">
        <v>21</v>
      </c>
      <c r="B214" s="4" t="s">
        <v>22</v>
      </c>
      <c r="C214" s="4" t="s">
        <v>23</v>
      </c>
      <c r="D214" s="4" t="s">
        <v>24</v>
      </c>
      <c r="E214" s="4" t="s">
        <v>30</v>
      </c>
      <c r="F214" s="4" t="s">
        <v>25</v>
      </c>
      <c r="G214" s="4" t="s">
        <v>25</v>
      </c>
      <c r="H214" s="4" t="s">
        <v>25</v>
      </c>
      <c r="I214" s="5">
        <v>44682</v>
      </c>
      <c r="J214" s="6">
        <v>0</v>
      </c>
      <c r="K214" s="6">
        <v>0</v>
      </c>
      <c r="L214" s="6">
        <v>41.686999999999998</v>
      </c>
      <c r="M214" s="6">
        <v>41.686999999999998</v>
      </c>
      <c r="N214" s="6">
        <v>41.686999999999998</v>
      </c>
      <c r="O214" s="6">
        <v>41.686999999999998</v>
      </c>
      <c r="P214" s="6">
        <v>437</v>
      </c>
      <c r="Q214" s="4" t="s">
        <v>26</v>
      </c>
      <c r="R214" s="4">
        <v>0</v>
      </c>
      <c r="S214" s="4">
        <v>0</v>
      </c>
      <c r="T214" s="4">
        <v>10</v>
      </c>
      <c r="U214" s="4">
        <v>55</v>
      </c>
      <c r="V214" s="6">
        <f>IF(ISERROR(VLOOKUP($S$214,'TAR FIN'!$A$1:$O$86,15,0)),0,VLOOKUP($S$214,'TAR FIN'!$A$1:$O$86,15,0))</f>
        <v>0</v>
      </c>
      <c r="W214" s="6">
        <f>IF(ISERROR(VLOOKUP($T$214,'TAR FIN'!$A$1:$O$86,15,0)),0,VLOOKUP($T$214,'TAR FIN'!$A$1:$O$86,15,0))</f>
        <v>227.74</v>
      </c>
      <c r="X214" s="6">
        <f>IF(ISERROR(VLOOKUP($U$214,'TAR FIN'!$A$1:$O$86,15,0)),0,VLOOKUP($U$214,'TAR FIN'!$A$1:$O$86,15,0))</f>
        <v>283.07</v>
      </c>
      <c r="Y214" s="6"/>
      <c r="Z214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214" s="6">
        <f>('TE BE'!$AB$15+'TE BF'!$AB$15+'TE CVA'!$AB$15)*(1-CUSTOS!$M$36)</f>
        <v>224.00665825384141</v>
      </c>
      <c r="AB214" s="6">
        <f t="shared" si="16"/>
        <v>0</v>
      </c>
      <c r="AC214" s="6">
        <f>(L214-M214)*(W214+X214)+($W$218+$X$218-$W$214-$X$214)*(L214)</f>
        <v>2365.7372499999974</v>
      </c>
      <c r="AD214" s="6">
        <f t="shared" si="17"/>
        <v>0</v>
      </c>
      <c r="AE214" s="6">
        <f ca="1">(L214-M214)*(Z214+AA214)+($Z$218+$AA$218-$Z$214-$AA$214)*(L214)</f>
        <v>1912.218393107926</v>
      </c>
      <c r="AF214" s="4" t="s">
        <v>651</v>
      </c>
    </row>
    <row r="215" spans="1:32" ht="11.25" customHeight="1" x14ac:dyDescent="0.25">
      <c r="A215" s="4" t="s">
        <v>27</v>
      </c>
      <c r="B215" s="4" t="s">
        <v>22</v>
      </c>
      <c r="C215" s="4" t="s">
        <v>23</v>
      </c>
      <c r="D215" s="4" t="s">
        <v>24</v>
      </c>
      <c r="E215" s="4" t="s">
        <v>30</v>
      </c>
      <c r="F215" s="4" t="s">
        <v>25</v>
      </c>
      <c r="G215" s="4" t="s">
        <v>25</v>
      </c>
      <c r="H215" s="4" t="s">
        <v>25</v>
      </c>
      <c r="I215" s="5">
        <v>44682</v>
      </c>
      <c r="J215" s="6">
        <v>0</v>
      </c>
      <c r="K215" s="6">
        <v>0</v>
      </c>
      <c r="L215" s="6">
        <v>0.01</v>
      </c>
      <c r="M215" s="6">
        <v>0.01</v>
      </c>
      <c r="N215" s="6">
        <v>0.01</v>
      </c>
      <c r="O215" s="6">
        <v>0.01</v>
      </c>
      <c r="P215" s="6">
        <v>1</v>
      </c>
      <c r="Q215" s="4" t="s">
        <v>26</v>
      </c>
      <c r="R215" s="4">
        <v>0</v>
      </c>
      <c r="S215" s="4">
        <v>0</v>
      </c>
      <c r="T215" s="4">
        <v>10</v>
      </c>
      <c r="U215" s="4">
        <v>55</v>
      </c>
      <c r="V215" s="6">
        <f>IF(ISERROR(VLOOKUP($S$215,'TAR FIN'!$A$1:$O$86,15,0)),0,VLOOKUP($S$215,'TAR FIN'!$A$1:$O$86,15,0))</f>
        <v>0</v>
      </c>
      <c r="W215" s="6">
        <f>IF(ISERROR(VLOOKUP($T$215,'TAR FIN'!$A$1:$O$86,15,0)),0,VLOOKUP($T$215,'TAR FIN'!$A$1:$O$86,15,0))</f>
        <v>227.74</v>
      </c>
      <c r="X215" s="6">
        <f>IF(ISERROR(VLOOKUP($U$215,'TAR FIN'!$A$1:$O$86,15,0)),0,VLOOKUP($U$215,'TAR FIN'!$A$1:$O$86,15,0))</f>
        <v>283.07</v>
      </c>
      <c r="Y215" s="6"/>
      <c r="Z215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215" s="6">
        <f>('TE BE'!$AB$15+'TE BF'!$AB$15+'TE CVA'!$AB$15)*(1-CUSTOS!$M$36)</f>
        <v>224.00665825384141</v>
      </c>
      <c r="AB215" s="6">
        <f t="shared" si="16"/>
        <v>0</v>
      </c>
      <c r="AC215" s="6">
        <f>(L215-M215)*(W215+X215)+($W$218+$X$218-$W$215-$X$215)*(L215)</f>
        <v>0.56749999999999945</v>
      </c>
      <c r="AD215" s="6">
        <f t="shared" si="17"/>
        <v>0</v>
      </c>
      <c r="AE215" s="6">
        <f ca="1">(L215-M215)*(Z215+AA215)+($Z$218+$AA$218-$Z$215-$AA$215)*(L215)</f>
        <v>0.45870856456639386</v>
      </c>
      <c r="AF215" s="4" t="s">
        <v>651</v>
      </c>
    </row>
    <row r="216" spans="1:32" ht="11.25" customHeight="1" x14ac:dyDescent="0.25">
      <c r="A216" s="4" t="s">
        <v>55</v>
      </c>
      <c r="B216" s="4" t="s">
        <v>22</v>
      </c>
      <c r="C216" s="4" t="s">
        <v>23</v>
      </c>
      <c r="D216" s="4" t="s">
        <v>24</v>
      </c>
      <c r="E216" s="4" t="s">
        <v>30</v>
      </c>
      <c r="F216" s="4" t="s">
        <v>25</v>
      </c>
      <c r="G216" s="4" t="s">
        <v>25</v>
      </c>
      <c r="H216" s="4" t="s">
        <v>25</v>
      </c>
      <c r="I216" s="5">
        <v>44713</v>
      </c>
      <c r="J216" s="6">
        <v>0</v>
      </c>
      <c r="K216" s="6">
        <v>0</v>
      </c>
      <c r="L216" s="6">
        <v>41.686999999999998</v>
      </c>
      <c r="M216" s="6">
        <v>41.686999999999998</v>
      </c>
      <c r="N216" s="6">
        <v>41.686999999999998</v>
      </c>
      <c r="O216" s="6">
        <v>41.686999999999998</v>
      </c>
      <c r="P216" s="6">
        <v>437</v>
      </c>
      <c r="Q216" s="4" t="s">
        <v>26</v>
      </c>
      <c r="R216" s="4">
        <v>0</v>
      </c>
      <c r="S216" s="4">
        <v>0</v>
      </c>
      <c r="T216" s="4">
        <v>10</v>
      </c>
      <c r="U216" s="4">
        <v>55</v>
      </c>
      <c r="V216" s="6">
        <f>IF(ISERROR(VLOOKUP($S$216,'TAR FIN'!$A$1:$O$86,15,0)),0,VLOOKUP($S$216,'TAR FIN'!$A$1:$O$86,15,0))</f>
        <v>0</v>
      </c>
      <c r="W216" s="6">
        <f>IF(ISERROR(VLOOKUP($T$216,'TAR FIN'!$A$1:$O$86,15,0)),0,VLOOKUP($T$216,'TAR FIN'!$A$1:$O$86,15,0))</f>
        <v>227.74</v>
      </c>
      <c r="X216" s="6">
        <f>IF(ISERROR(VLOOKUP($U$216,'TAR FIN'!$A$1:$O$86,15,0)),0,VLOOKUP($U$216,'TAR FIN'!$A$1:$O$86,15,0))</f>
        <v>283.07</v>
      </c>
      <c r="Y216" s="6"/>
      <c r="Z216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216" s="6">
        <f>('TE BE'!$AB$15+'TE BF'!$AB$15+'TE CVA'!$AB$15)*(1-CUSTOS!$M$36)</f>
        <v>224.00665825384141</v>
      </c>
      <c r="AB216" s="6">
        <f t="shared" si="16"/>
        <v>0</v>
      </c>
      <c r="AC216" s="6">
        <f>(L216-M216)*(W216+X216)+($W$218+$X$218-$W$216-$X$216)*(L216)</f>
        <v>2365.7372499999974</v>
      </c>
      <c r="AD216" s="6">
        <f t="shared" si="17"/>
        <v>0</v>
      </c>
      <c r="AE216" s="6">
        <f ca="1">(L216-M216)*(Z216+AA216)+($Z$218+$AA$218-$Z$216-$AA$216)*(L216)</f>
        <v>1912.218393107926</v>
      </c>
      <c r="AF216" s="4" t="s">
        <v>651</v>
      </c>
    </row>
    <row r="217" spans="1:32" ht="11.25" customHeight="1" x14ac:dyDescent="0.25">
      <c r="A217" s="4" t="s">
        <v>55</v>
      </c>
      <c r="B217" s="4" t="s">
        <v>22</v>
      </c>
      <c r="C217" s="4" t="s">
        <v>23</v>
      </c>
      <c r="D217" s="4" t="s">
        <v>24</v>
      </c>
      <c r="E217" s="4" t="s">
        <v>30</v>
      </c>
      <c r="F217" s="4" t="s">
        <v>25</v>
      </c>
      <c r="G217" s="4" t="s">
        <v>25</v>
      </c>
      <c r="H217" s="4" t="s">
        <v>25</v>
      </c>
      <c r="I217" s="5">
        <v>44713</v>
      </c>
      <c r="J217" s="6">
        <v>0</v>
      </c>
      <c r="K217" s="6">
        <v>0</v>
      </c>
      <c r="L217" s="6">
        <v>0.01</v>
      </c>
      <c r="M217" s="6">
        <v>0.01</v>
      </c>
      <c r="N217" s="6">
        <v>0.01</v>
      </c>
      <c r="O217" s="6">
        <v>0.01</v>
      </c>
      <c r="P217" s="6">
        <v>1</v>
      </c>
      <c r="Q217" s="4" t="s">
        <v>26</v>
      </c>
      <c r="R217" s="4">
        <v>0</v>
      </c>
      <c r="S217" s="4">
        <v>0</v>
      </c>
      <c r="T217" s="4">
        <v>10</v>
      </c>
      <c r="U217" s="4">
        <v>55</v>
      </c>
      <c r="V217" s="6">
        <f>IF(ISERROR(VLOOKUP($S$217,'TAR FIN'!$A$1:$O$86,15,0)),0,VLOOKUP($S$217,'TAR FIN'!$A$1:$O$86,15,0))</f>
        <v>0</v>
      </c>
      <c r="W217" s="6">
        <f>IF(ISERROR(VLOOKUP($T$217,'TAR FIN'!$A$1:$O$86,15,0)),0,VLOOKUP($T$217,'TAR FIN'!$A$1:$O$86,15,0))</f>
        <v>227.74</v>
      </c>
      <c r="X217" s="6">
        <f>IF(ISERROR(VLOOKUP($U$217,'TAR FIN'!$A$1:$O$86,15,0)),0,VLOOKUP($U$217,'TAR FIN'!$A$1:$O$86,15,0))</f>
        <v>283.07</v>
      </c>
      <c r="Y217" s="6"/>
      <c r="Z217" s="6">
        <f ca="1">('TUSD BE'!$AM$23+'TUSD BF'!$AM$23+'TUSD CVA'!$AM$23-('TUSD BE'!$P$23+'TUSD BF'!$P$23+'TUSD CVA'!$P$23)-('TUSD BE'!$Q$23+'TUSD BF'!$Q$23+'TUSD CVA'!$Q$23)-('TUSD BE'!$R$23+'TUSD BF'!$R$23+'TUSD CVA'!$R$23))*(1-CUSTOS!$M$36)</f>
        <v>188.83104985591316</v>
      </c>
      <c r="AA217" s="6">
        <f>('TE BE'!$AB$15+'TE BF'!$AB$15+'TE CVA'!$AB$15)*(1-CUSTOS!$M$36)</f>
        <v>224.00665825384141</v>
      </c>
      <c r="AB217" s="6">
        <f t="shared" si="16"/>
        <v>0</v>
      </c>
      <c r="AC217" s="6">
        <f>(L217-M217)*(W217+X217)+($W$218+$X$218-$W$217-$X$217)*(L217)</f>
        <v>0.56749999999999945</v>
      </c>
      <c r="AD217" s="6">
        <f t="shared" si="17"/>
        <v>0</v>
      </c>
      <c r="AE217" s="6">
        <f ca="1">(L217-M217)*(Z217+AA217)+($Z$218+$AA$218-$Z$217-$AA$217)*(L217)</f>
        <v>0.45870856456639386</v>
      </c>
      <c r="AF217" s="4" t="s">
        <v>651</v>
      </c>
    </row>
    <row r="218" spans="1:32" ht="11.25" customHeight="1" x14ac:dyDescent="0.25">
      <c r="A218" s="4" t="s">
        <v>21</v>
      </c>
      <c r="B218" s="4" t="s">
        <v>22</v>
      </c>
      <c r="C218" s="4" t="s">
        <v>23</v>
      </c>
      <c r="D218" s="4" t="s">
        <v>24</v>
      </c>
      <c r="E218" s="4" t="s">
        <v>31</v>
      </c>
      <c r="F218" s="4" t="s">
        <v>25</v>
      </c>
      <c r="G218" s="4" t="s">
        <v>25</v>
      </c>
      <c r="H218" s="4" t="s">
        <v>25</v>
      </c>
      <c r="I218" s="5">
        <v>44378</v>
      </c>
      <c r="J218" s="6">
        <v>0</v>
      </c>
      <c r="K218" s="6">
        <v>0</v>
      </c>
      <c r="L218" s="6">
        <v>7.76</v>
      </c>
      <c r="M218" s="6">
        <v>7.76</v>
      </c>
      <c r="N218" s="6">
        <v>7.76</v>
      </c>
      <c r="O218" s="6">
        <v>7.76</v>
      </c>
      <c r="P218" s="6">
        <v>106</v>
      </c>
      <c r="Q218" s="4" t="s">
        <v>26</v>
      </c>
      <c r="R218" s="4">
        <v>0</v>
      </c>
      <c r="S218" s="4">
        <v>0</v>
      </c>
      <c r="T218" s="4">
        <v>20</v>
      </c>
      <c r="U218" s="4">
        <v>39</v>
      </c>
      <c r="V218" s="6">
        <f>IF(ISERROR(VLOOKUP($S$218,'TAR FIN'!$A$1:$O$86,15,0)),0,VLOOKUP($S$218,'TAR FIN'!$A$1:$O$86,15,0))</f>
        <v>0</v>
      </c>
      <c r="W218" s="6">
        <f>IF(ISERROR(VLOOKUP($T$218,'TAR FIN'!$A$1:$O$86,15,0)),0,VLOOKUP($T$218,'TAR FIN'!$A$1:$O$86,15,0))</f>
        <v>253.04</v>
      </c>
      <c r="X218" s="6">
        <f>IF(ISERROR(VLOOKUP($U$218,'TAR FIN'!$A$1:$O$86,15,0)),0,VLOOKUP($U$218,'TAR FIN'!$A$1:$O$86,15,0))</f>
        <v>314.52</v>
      </c>
      <c r="Y218" s="6"/>
      <c r="Z218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218" s="6">
        <f>('TE BE'!$AB$16+'TE BF'!$AB$16+'TE CVA'!$AB$16)*(1-CUSTOS!$M$37)</f>
        <v>248.89628694871266</v>
      </c>
      <c r="AB218" s="6">
        <f t="shared" si="16"/>
        <v>0</v>
      </c>
      <c r="AC218" s="6">
        <f>(L218-M218)*(W218+X218)+($W$218+$X$218-$W$218-$X$218)*(L218)</f>
        <v>0</v>
      </c>
      <c r="AD218" s="6">
        <f t="shared" si="17"/>
        <v>0</v>
      </c>
      <c r="AE218" s="6">
        <f ca="1">(L218-M218)*(Z218+AA218)+($Z$218+$AA$218-$Z$218-$AA$218)*(L218)</f>
        <v>2.2055246517993509E-13</v>
      </c>
      <c r="AF218" s="4" t="s">
        <v>651</v>
      </c>
    </row>
    <row r="219" spans="1:32" ht="11.25" customHeight="1" x14ac:dyDescent="0.25">
      <c r="A219" s="4" t="s">
        <v>21</v>
      </c>
      <c r="B219" s="4" t="s">
        <v>22</v>
      </c>
      <c r="C219" s="4" t="s">
        <v>23</v>
      </c>
      <c r="D219" s="4" t="s">
        <v>24</v>
      </c>
      <c r="E219" s="4" t="s">
        <v>31</v>
      </c>
      <c r="F219" s="4" t="s">
        <v>25</v>
      </c>
      <c r="G219" s="4" t="s">
        <v>25</v>
      </c>
      <c r="H219" s="4" t="s">
        <v>25</v>
      </c>
      <c r="I219" s="5">
        <v>44409</v>
      </c>
      <c r="J219" s="6">
        <v>0</v>
      </c>
      <c r="K219" s="6">
        <v>0</v>
      </c>
      <c r="L219" s="6">
        <v>7.2859999999999996</v>
      </c>
      <c r="M219" s="6">
        <v>7.2859999999999996</v>
      </c>
      <c r="N219" s="6">
        <v>7.2859999999999996</v>
      </c>
      <c r="O219" s="6">
        <v>7.2859999999999996</v>
      </c>
      <c r="P219" s="6">
        <v>113</v>
      </c>
      <c r="Q219" s="4" t="s">
        <v>26</v>
      </c>
      <c r="R219" s="4">
        <v>0</v>
      </c>
      <c r="S219" s="4">
        <v>0</v>
      </c>
      <c r="T219" s="4">
        <v>20</v>
      </c>
      <c r="U219" s="4">
        <v>39</v>
      </c>
      <c r="V219" s="6">
        <f>IF(ISERROR(VLOOKUP($S$219,'TAR FIN'!$A$1:$O$86,15,0)),0,VLOOKUP($S$219,'TAR FIN'!$A$1:$O$86,15,0))</f>
        <v>0</v>
      </c>
      <c r="W219" s="6">
        <f>IF(ISERROR(VLOOKUP($T$219,'TAR FIN'!$A$1:$O$86,15,0)),0,VLOOKUP($T$219,'TAR FIN'!$A$1:$O$86,15,0))</f>
        <v>253.04</v>
      </c>
      <c r="X219" s="6">
        <f>IF(ISERROR(VLOOKUP($U$219,'TAR FIN'!$A$1:$O$86,15,0)),0,VLOOKUP($U$219,'TAR FIN'!$A$1:$O$86,15,0))</f>
        <v>314.52</v>
      </c>
      <c r="Y219" s="6"/>
      <c r="Z219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219" s="6">
        <f>('TE BE'!$AB$16+'TE BF'!$AB$16+'TE CVA'!$AB$16)*(1-CUSTOS!$M$37)</f>
        <v>248.89628694871266</v>
      </c>
      <c r="AB219" s="6">
        <f t="shared" si="16"/>
        <v>0</v>
      </c>
      <c r="AC219" s="6">
        <f>(L219-M219)*(W219+X219)+($W$218+$X$218-$W$219-$X$219)*(L219)</f>
        <v>0</v>
      </c>
      <c r="AD219" s="6">
        <f t="shared" si="17"/>
        <v>0</v>
      </c>
      <c r="AE219" s="6">
        <f ca="1">(L219-M219)*(Z219+AA219)+($Z$218+$AA$218-$Z$219-$AA$219)*(L219)</f>
        <v>2.0708057490992359E-13</v>
      </c>
      <c r="AF219" s="4" t="s">
        <v>651</v>
      </c>
    </row>
    <row r="220" spans="1:32" ht="11.25" customHeight="1" x14ac:dyDescent="0.25">
      <c r="A220" s="4" t="s">
        <v>21</v>
      </c>
      <c r="B220" s="4" t="s">
        <v>22</v>
      </c>
      <c r="C220" s="4" t="s">
        <v>23</v>
      </c>
      <c r="D220" s="4" t="s">
        <v>24</v>
      </c>
      <c r="E220" s="4" t="s">
        <v>31</v>
      </c>
      <c r="F220" s="4" t="s">
        <v>25</v>
      </c>
      <c r="G220" s="4" t="s">
        <v>25</v>
      </c>
      <c r="H220" s="4" t="s">
        <v>25</v>
      </c>
      <c r="I220" s="5">
        <v>44440</v>
      </c>
      <c r="J220" s="6">
        <v>0</v>
      </c>
      <c r="K220" s="6">
        <v>0</v>
      </c>
      <c r="L220" s="6">
        <v>6.76</v>
      </c>
      <c r="M220" s="6">
        <v>6.76</v>
      </c>
      <c r="N220" s="6">
        <v>6.76</v>
      </c>
      <c r="O220" s="6">
        <v>6.76</v>
      </c>
      <c r="P220" s="6">
        <v>105</v>
      </c>
      <c r="Q220" s="4" t="s">
        <v>26</v>
      </c>
      <c r="R220" s="4">
        <v>0</v>
      </c>
      <c r="S220" s="4">
        <v>0</v>
      </c>
      <c r="T220" s="4">
        <v>20</v>
      </c>
      <c r="U220" s="4">
        <v>39</v>
      </c>
      <c r="V220" s="6">
        <f>IF(ISERROR(VLOOKUP($S$220,'TAR FIN'!$A$1:$O$86,15,0)),0,VLOOKUP($S$220,'TAR FIN'!$A$1:$O$86,15,0))</f>
        <v>0</v>
      </c>
      <c r="W220" s="6">
        <f>IF(ISERROR(VLOOKUP($T$220,'TAR FIN'!$A$1:$O$86,15,0)),0,VLOOKUP($T$220,'TAR FIN'!$A$1:$O$86,15,0))</f>
        <v>253.04</v>
      </c>
      <c r="X220" s="6">
        <f>IF(ISERROR(VLOOKUP($U$220,'TAR FIN'!$A$1:$O$86,15,0)),0,VLOOKUP($U$220,'TAR FIN'!$A$1:$O$86,15,0))</f>
        <v>314.52</v>
      </c>
      <c r="Y220" s="6"/>
      <c r="Z220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220" s="6">
        <f>('TE BE'!$AB$16+'TE BF'!$AB$16+'TE CVA'!$AB$16)*(1-CUSTOS!$M$37)</f>
        <v>248.89628694871266</v>
      </c>
      <c r="AB220" s="6">
        <f t="shared" si="16"/>
        <v>0</v>
      </c>
      <c r="AC220" s="6">
        <f>(L220-M220)*(W220+X220)+($W$218+$X$218-$W$220-$X$220)*(L220)</f>
        <v>0</v>
      </c>
      <c r="AD220" s="6">
        <f t="shared" si="17"/>
        <v>0</v>
      </c>
      <c r="AE220" s="6">
        <f ca="1">(L220-M220)*(Z220+AA220)+($Z$218+$AA$218-$Z$220-$AA$220)*(L220)</f>
        <v>1.9213075574953108E-13</v>
      </c>
      <c r="AF220" s="4" t="s">
        <v>651</v>
      </c>
    </row>
    <row r="221" spans="1:32" ht="11.25" customHeight="1" x14ac:dyDescent="0.25">
      <c r="A221" s="4" t="s">
        <v>21</v>
      </c>
      <c r="B221" s="4" t="s">
        <v>22</v>
      </c>
      <c r="C221" s="4" t="s">
        <v>23</v>
      </c>
      <c r="D221" s="4" t="s">
        <v>24</v>
      </c>
      <c r="E221" s="4" t="s">
        <v>31</v>
      </c>
      <c r="F221" s="4" t="s">
        <v>25</v>
      </c>
      <c r="G221" s="4" t="s">
        <v>25</v>
      </c>
      <c r="H221" s="4" t="s">
        <v>25</v>
      </c>
      <c r="I221" s="5">
        <v>44470</v>
      </c>
      <c r="J221" s="6">
        <v>0</v>
      </c>
      <c r="K221" s="6">
        <v>0</v>
      </c>
      <c r="L221" s="6">
        <v>5.4669999999999996</v>
      </c>
      <c r="M221" s="6">
        <v>5.4669999999999996</v>
      </c>
      <c r="N221" s="6">
        <v>5.4669999999999996</v>
      </c>
      <c r="O221" s="6">
        <v>5.4669999999999996</v>
      </c>
      <c r="P221" s="6">
        <v>89</v>
      </c>
      <c r="Q221" s="4" t="s">
        <v>26</v>
      </c>
      <c r="R221" s="4">
        <v>0</v>
      </c>
      <c r="S221" s="4">
        <v>0</v>
      </c>
      <c r="T221" s="4">
        <v>20</v>
      </c>
      <c r="U221" s="4">
        <v>39</v>
      </c>
      <c r="V221" s="6">
        <f>IF(ISERROR(VLOOKUP($S$221,'TAR FIN'!$A$1:$O$86,15,0)),0,VLOOKUP($S$221,'TAR FIN'!$A$1:$O$86,15,0))</f>
        <v>0</v>
      </c>
      <c r="W221" s="6">
        <f>IF(ISERROR(VLOOKUP($T$221,'TAR FIN'!$A$1:$O$86,15,0)),0,VLOOKUP($T$221,'TAR FIN'!$A$1:$O$86,15,0))</f>
        <v>253.04</v>
      </c>
      <c r="X221" s="6">
        <f>IF(ISERROR(VLOOKUP($U$221,'TAR FIN'!$A$1:$O$86,15,0)),0,VLOOKUP($U$221,'TAR FIN'!$A$1:$O$86,15,0))</f>
        <v>314.52</v>
      </c>
      <c r="Y221" s="6"/>
      <c r="Z221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221" s="6">
        <f>('TE BE'!$AB$16+'TE BF'!$AB$16+'TE CVA'!$AB$16)*(1-CUSTOS!$M$37)</f>
        <v>248.89628694871266</v>
      </c>
      <c r="AB221" s="6">
        <f t="shared" si="16"/>
        <v>0</v>
      </c>
      <c r="AC221" s="6">
        <f>(L221-M221)*(W221+X221)+($W$218+$X$218-$W$221-$X$221)*(L221)</f>
        <v>0</v>
      </c>
      <c r="AD221" s="6">
        <f t="shared" si="17"/>
        <v>0</v>
      </c>
      <c r="AE221" s="6">
        <f ca="1">(L221-M221)*(Z221+AA221)+($Z$218+$AA$218-$Z$221-$AA$221)*(L221)</f>
        <v>1.553814854560187E-13</v>
      </c>
      <c r="AF221" s="4" t="s">
        <v>651</v>
      </c>
    </row>
    <row r="222" spans="1:32" ht="11.25" customHeight="1" x14ac:dyDescent="0.25">
      <c r="A222" s="4" t="s">
        <v>21</v>
      </c>
      <c r="B222" s="4" t="s">
        <v>22</v>
      </c>
      <c r="C222" s="4" t="s">
        <v>23</v>
      </c>
      <c r="D222" s="4" t="s">
        <v>24</v>
      </c>
      <c r="E222" s="4" t="s">
        <v>31</v>
      </c>
      <c r="F222" s="4" t="s">
        <v>25</v>
      </c>
      <c r="G222" s="4" t="s">
        <v>25</v>
      </c>
      <c r="H222" s="4" t="s">
        <v>25</v>
      </c>
      <c r="I222" s="5">
        <v>44501</v>
      </c>
      <c r="J222" s="6">
        <v>0</v>
      </c>
      <c r="K222" s="6">
        <v>0</v>
      </c>
      <c r="L222" s="6">
        <v>9.23</v>
      </c>
      <c r="M222" s="6">
        <v>9.23</v>
      </c>
      <c r="N222" s="6">
        <v>9.23</v>
      </c>
      <c r="O222" s="6">
        <v>9.23</v>
      </c>
      <c r="P222" s="6">
        <v>128</v>
      </c>
      <c r="Q222" s="4" t="s">
        <v>26</v>
      </c>
      <c r="R222" s="4">
        <v>0</v>
      </c>
      <c r="S222" s="4">
        <v>0</v>
      </c>
      <c r="T222" s="4">
        <v>20</v>
      </c>
      <c r="U222" s="4">
        <v>39</v>
      </c>
      <c r="V222" s="6">
        <f>IF(ISERROR(VLOOKUP($S$222,'TAR FIN'!$A$1:$O$86,15,0)),0,VLOOKUP($S$222,'TAR FIN'!$A$1:$O$86,15,0))</f>
        <v>0</v>
      </c>
      <c r="W222" s="6">
        <f>IF(ISERROR(VLOOKUP($T$222,'TAR FIN'!$A$1:$O$86,15,0)),0,VLOOKUP($T$222,'TAR FIN'!$A$1:$O$86,15,0))</f>
        <v>253.04</v>
      </c>
      <c r="X222" s="6">
        <f>IF(ISERROR(VLOOKUP($U$222,'TAR FIN'!$A$1:$O$86,15,0)),0,VLOOKUP($U$222,'TAR FIN'!$A$1:$O$86,15,0))</f>
        <v>314.52</v>
      </c>
      <c r="Y222" s="6"/>
      <c r="Z222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222" s="6">
        <f>('TE BE'!$AB$16+'TE BF'!$AB$16+'TE CVA'!$AB$16)*(1-CUSTOS!$M$37)</f>
        <v>248.89628694871266</v>
      </c>
      <c r="AB222" s="6">
        <f t="shared" si="16"/>
        <v>0</v>
      </c>
      <c r="AC222" s="6">
        <f>(L222-M222)*(W222+X222)+($W$218+$X$218-$W$222-$X$222)*(L222)</f>
        <v>0</v>
      </c>
      <c r="AD222" s="6">
        <f t="shared" si="17"/>
        <v>0</v>
      </c>
      <c r="AE222" s="6">
        <f ca="1">(L222-M222)*(Z222+AA222)+($Z$218+$AA$218-$Z$222-$AA$222)*(L222)</f>
        <v>2.62332378042629E-13</v>
      </c>
      <c r="AF222" s="4" t="s">
        <v>651</v>
      </c>
    </row>
    <row r="223" spans="1:32" ht="11.25" customHeight="1" x14ac:dyDescent="0.25">
      <c r="A223" s="4" t="s">
        <v>21</v>
      </c>
      <c r="B223" s="4" t="s">
        <v>22</v>
      </c>
      <c r="C223" s="4" t="s">
        <v>23</v>
      </c>
      <c r="D223" s="4" t="s">
        <v>24</v>
      </c>
      <c r="E223" s="4" t="s">
        <v>31</v>
      </c>
      <c r="F223" s="4" t="s">
        <v>25</v>
      </c>
      <c r="G223" s="4" t="s">
        <v>25</v>
      </c>
      <c r="H223" s="4" t="s">
        <v>25</v>
      </c>
      <c r="I223" s="5">
        <v>44531</v>
      </c>
      <c r="J223" s="6">
        <v>0</v>
      </c>
      <c r="K223" s="6">
        <v>0</v>
      </c>
      <c r="L223" s="6">
        <v>12.256</v>
      </c>
      <c r="M223" s="6">
        <v>12.256</v>
      </c>
      <c r="N223" s="6">
        <v>12.256</v>
      </c>
      <c r="O223" s="6">
        <v>12.256</v>
      </c>
      <c r="P223" s="6">
        <v>154</v>
      </c>
      <c r="Q223" s="4" t="s">
        <v>26</v>
      </c>
      <c r="R223" s="4">
        <v>0</v>
      </c>
      <c r="S223" s="4">
        <v>0</v>
      </c>
      <c r="T223" s="4">
        <v>20</v>
      </c>
      <c r="U223" s="4">
        <v>39</v>
      </c>
      <c r="V223" s="6">
        <f>IF(ISERROR(VLOOKUP($S$223,'TAR FIN'!$A$1:$O$86,15,0)),0,VLOOKUP($S$223,'TAR FIN'!$A$1:$O$86,15,0))</f>
        <v>0</v>
      </c>
      <c r="W223" s="6">
        <f>IF(ISERROR(VLOOKUP($T$223,'TAR FIN'!$A$1:$O$86,15,0)),0,VLOOKUP($T$223,'TAR FIN'!$A$1:$O$86,15,0))</f>
        <v>253.04</v>
      </c>
      <c r="X223" s="6">
        <f>IF(ISERROR(VLOOKUP($U$223,'TAR FIN'!$A$1:$O$86,15,0)),0,VLOOKUP($U$223,'TAR FIN'!$A$1:$O$86,15,0))</f>
        <v>314.52</v>
      </c>
      <c r="Y223" s="6"/>
      <c r="Z223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223" s="6">
        <f>('TE BE'!$AB$16+'TE BF'!$AB$16+'TE CVA'!$AB$16)*(1-CUSTOS!$M$37)</f>
        <v>248.89628694871266</v>
      </c>
      <c r="AB223" s="6">
        <f t="shared" si="16"/>
        <v>0</v>
      </c>
      <c r="AC223" s="6">
        <f>(L223-M223)*(W223+X223)+($W$218+$X$218-$W$223-$X$223)*(L223)</f>
        <v>0</v>
      </c>
      <c r="AD223" s="6">
        <f t="shared" si="17"/>
        <v>0</v>
      </c>
      <c r="AE223" s="6">
        <f ca="1">(L223-M223)*(Z223+AA223)+($Z$218+$AA$218-$Z$223-$AA$223)*(L223)</f>
        <v>3.4833647077903152E-13</v>
      </c>
      <c r="AF223" s="4" t="s">
        <v>651</v>
      </c>
    </row>
    <row r="224" spans="1:32" ht="11.25" customHeight="1" x14ac:dyDescent="0.25">
      <c r="A224" s="4" t="s">
        <v>21</v>
      </c>
      <c r="B224" s="4" t="s">
        <v>22</v>
      </c>
      <c r="C224" s="4" t="s">
        <v>23</v>
      </c>
      <c r="D224" s="4" t="s">
        <v>24</v>
      </c>
      <c r="E224" s="4" t="s">
        <v>31</v>
      </c>
      <c r="F224" s="4" t="s">
        <v>25</v>
      </c>
      <c r="G224" s="4" t="s">
        <v>25</v>
      </c>
      <c r="H224" s="4" t="s">
        <v>25</v>
      </c>
      <c r="I224" s="5">
        <v>44562</v>
      </c>
      <c r="J224" s="6">
        <v>0</v>
      </c>
      <c r="K224" s="6">
        <v>0</v>
      </c>
      <c r="L224" s="6">
        <v>22.824999999999999</v>
      </c>
      <c r="M224" s="6">
        <v>22.824999999999999</v>
      </c>
      <c r="N224" s="6">
        <v>22.824999999999999</v>
      </c>
      <c r="O224" s="6">
        <v>22.824999999999999</v>
      </c>
      <c r="P224" s="6">
        <v>226</v>
      </c>
      <c r="Q224" s="4" t="s">
        <v>26</v>
      </c>
      <c r="R224" s="4">
        <v>0</v>
      </c>
      <c r="S224" s="4">
        <v>0</v>
      </c>
      <c r="T224" s="4">
        <v>20</v>
      </c>
      <c r="U224" s="4">
        <v>39</v>
      </c>
      <c r="V224" s="6">
        <f>IF(ISERROR(VLOOKUP($S$224,'TAR FIN'!$A$1:$O$86,15,0)),0,VLOOKUP($S$224,'TAR FIN'!$A$1:$O$86,15,0))</f>
        <v>0</v>
      </c>
      <c r="W224" s="6">
        <f>IF(ISERROR(VLOOKUP($T$224,'TAR FIN'!$A$1:$O$86,15,0)),0,VLOOKUP($T$224,'TAR FIN'!$A$1:$O$86,15,0))</f>
        <v>253.04</v>
      </c>
      <c r="X224" s="6">
        <f>IF(ISERROR(VLOOKUP($U$224,'TAR FIN'!$A$1:$O$86,15,0)),0,VLOOKUP($U$224,'TAR FIN'!$A$1:$O$86,15,0))</f>
        <v>314.52</v>
      </c>
      <c r="Y224" s="6"/>
      <c r="Z224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224" s="6">
        <f>('TE BE'!$AB$16+'TE BF'!$AB$16+'TE CVA'!$AB$16)*(1-CUSTOS!$M$37)</f>
        <v>248.89628694871266</v>
      </c>
      <c r="AB224" s="6">
        <f t="shared" si="16"/>
        <v>0</v>
      </c>
      <c r="AC224" s="6">
        <f>(L224-M224)*(W224+X224)+($W$218+$X$218-$W$224-$X$224)*(L224)</f>
        <v>0</v>
      </c>
      <c r="AD224" s="6">
        <f t="shared" si="17"/>
        <v>0</v>
      </c>
      <c r="AE224" s="6">
        <f ca="1">(L224-M224)*(Z224+AA224)+($Z$218+$AA$218-$Z$224-$AA$224)*(L224)</f>
        <v>6.4872551774897145E-13</v>
      </c>
      <c r="AF224" s="4" t="s">
        <v>651</v>
      </c>
    </row>
    <row r="225" spans="1:32" ht="11.25" customHeight="1" x14ac:dyDescent="0.25">
      <c r="A225" s="4" t="s">
        <v>27</v>
      </c>
      <c r="B225" s="4" t="s">
        <v>22</v>
      </c>
      <c r="C225" s="4" t="s">
        <v>23</v>
      </c>
      <c r="D225" s="4" t="s">
        <v>24</v>
      </c>
      <c r="E225" s="4" t="s">
        <v>31</v>
      </c>
      <c r="F225" s="4" t="s">
        <v>25</v>
      </c>
      <c r="G225" s="4" t="s">
        <v>25</v>
      </c>
      <c r="H225" s="4" t="s">
        <v>25</v>
      </c>
      <c r="I225" s="5">
        <v>44562</v>
      </c>
      <c r="J225" s="6">
        <v>0</v>
      </c>
      <c r="K225" s="6">
        <v>0</v>
      </c>
      <c r="L225" s="6">
        <v>0.10299999999999999</v>
      </c>
      <c r="M225" s="6">
        <v>0.10299999999999999</v>
      </c>
      <c r="N225" s="6">
        <v>0.10299999999999999</v>
      </c>
      <c r="O225" s="6">
        <v>0.10299999999999999</v>
      </c>
      <c r="P225" s="6">
        <v>4</v>
      </c>
      <c r="Q225" s="4" t="s">
        <v>26</v>
      </c>
      <c r="R225" s="4">
        <v>0</v>
      </c>
      <c r="S225" s="4">
        <v>0</v>
      </c>
      <c r="T225" s="4">
        <v>20</v>
      </c>
      <c r="U225" s="4">
        <v>39</v>
      </c>
      <c r="V225" s="6">
        <f>IF(ISERROR(VLOOKUP($S$225,'TAR FIN'!$A$1:$O$86,15,0)),0,VLOOKUP($S$225,'TAR FIN'!$A$1:$O$86,15,0))</f>
        <v>0</v>
      </c>
      <c r="W225" s="6">
        <f>IF(ISERROR(VLOOKUP($T$225,'TAR FIN'!$A$1:$O$86,15,0)),0,VLOOKUP($T$225,'TAR FIN'!$A$1:$O$86,15,0))</f>
        <v>253.04</v>
      </c>
      <c r="X225" s="6">
        <f>IF(ISERROR(VLOOKUP($U$225,'TAR FIN'!$A$1:$O$86,15,0)),0,VLOOKUP($U$225,'TAR FIN'!$A$1:$O$86,15,0))</f>
        <v>314.52</v>
      </c>
      <c r="Y225" s="6"/>
      <c r="Z225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225" s="6">
        <f>('TE BE'!$AB$16+'TE BF'!$AB$16+'TE CVA'!$AB$16)*(1-CUSTOS!$M$37)</f>
        <v>248.89628694871266</v>
      </c>
      <c r="AB225" s="6">
        <f t="shared" si="16"/>
        <v>0</v>
      </c>
      <c r="AC225" s="6">
        <f>(L225-M225)*(W225+X225)+($W$218+$X$218-$W$225-$X$225)*(L225)</f>
        <v>0</v>
      </c>
      <c r="AD225" s="6">
        <f t="shared" si="17"/>
        <v>0</v>
      </c>
      <c r="AE225" s="6">
        <f ca="1">(L225-M225)*(Z225+AA225)+($Z$218+$AA$218-$Z$225-$AA$225)*(L225)</f>
        <v>2.9274360713316126E-15</v>
      </c>
      <c r="AF225" s="4" t="s">
        <v>651</v>
      </c>
    </row>
    <row r="226" spans="1:32" ht="11.25" customHeight="1" x14ac:dyDescent="0.25">
      <c r="A226" s="4" t="s">
        <v>21</v>
      </c>
      <c r="B226" s="4" t="s">
        <v>22</v>
      </c>
      <c r="C226" s="4" t="s">
        <v>23</v>
      </c>
      <c r="D226" s="4" t="s">
        <v>24</v>
      </c>
      <c r="E226" s="4" t="s">
        <v>31</v>
      </c>
      <c r="F226" s="4" t="s">
        <v>25</v>
      </c>
      <c r="G226" s="4" t="s">
        <v>25</v>
      </c>
      <c r="H226" s="4" t="s">
        <v>25</v>
      </c>
      <c r="I226" s="5">
        <v>44593</v>
      </c>
      <c r="J226" s="6">
        <v>0</v>
      </c>
      <c r="K226" s="6">
        <v>0</v>
      </c>
      <c r="L226" s="6">
        <v>16.157</v>
      </c>
      <c r="M226" s="6">
        <v>16.157</v>
      </c>
      <c r="N226" s="6">
        <v>16.157</v>
      </c>
      <c r="O226" s="6">
        <v>16.157</v>
      </c>
      <c r="P226" s="6">
        <v>184</v>
      </c>
      <c r="Q226" s="4" t="s">
        <v>26</v>
      </c>
      <c r="R226" s="4">
        <v>0</v>
      </c>
      <c r="S226" s="4">
        <v>0</v>
      </c>
      <c r="T226" s="4">
        <v>20</v>
      </c>
      <c r="U226" s="4">
        <v>39</v>
      </c>
      <c r="V226" s="6">
        <f>IF(ISERROR(VLOOKUP($S$226,'TAR FIN'!$A$1:$O$86,15,0)),0,VLOOKUP($S$226,'TAR FIN'!$A$1:$O$86,15,0))</f>
        <v>0</v>
      </c>
      <c r="W226" s="6">
        <f>IF(ISERROR(VLOOKUP($T$226,'TAR FIN'!$A$1:$O$86,15,0)),0,VLOOKUP($T$226,'TAR FIN'!$A$1:$O$86,15,0))</f>
        <v>253.04</v>
      </c>
      <c r="X226" s="6">
        <f>IF(ISERROR(VLOOKUP($U$226,'TAR FIN'!$A$1:$O$86,15,0)),0,VLOOKUP($U$226,'TAR FIN'!$A$1:$O$86,15,0))</f>
        <v>314.52</v>
      </c>
      <c r="Y226" s="6"/>
      <c r="Z226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226" s="6">
        <f>('TE BE'!$AB$16+'TE BF'!$AB$16+'TE CVA'!$AB$16)*(1-CUSTOS!$M$37)</f>
        <v>248.89628694871266</v>
      </c>
      <c r="AB226" s="6">
        <f t="shared" si="16"/>
        <v>0</v>
      </c>
      <c r="AC226" s="6">
        <f>(L226-M226)*(W226+X226)+($W$218+$X$218-$W$226-$X$226)*(L226)</f>
        <v>0</v>
      </c>
      <c r="AD226" s="6">
        <f t="shared" si="17"/>
        <v>0</v>
      </c>
      <c r="AE226" s="6">
        <f ca="1">(L226-M226)*(Z226+AA226)+($Z$218+$AA$218-$Z$226-$AA$226)*(L226)</f>
        <v>4.5920955926703755E-13</v>
      </c>
      <c r="AF226" s="4" t="s">
        <v>651</v>
      </c>
    </row>
    <row r="227" spans="1:32" ht="11.25" customHeight="1" x14ac:dyDescent="0.25">
      <c r="A227" s="4" t="s">
        <v>21</v>
      </c>
      <c r="B227" s="4" t="s">
        <v>22</v>
      </c>
      <c r="C227" s="4" t="s">
        <v>23</v>
      </c>
      <c r="D227" s="4" t="s">
        <v>24</v>
      </c>
      <c r="E227" s="4" t="s">
        <v>31</v>
      </c>
      <c r="F227" s="4" t="s">
        <v>25</v>
      </c>
      <c r="G227" s="4" t="s">
        <v>25</v>
      </c>
      <c r="H227" s="4" t="s">
        <v>25</v>
      </c>
      <c r="I227" s="5">
        <v>44621</v>
      </c>
      <c r="J227" s="6">
        <v>0</v>
      </c>
      <c r="K227" s="6">
        <v>0</v>
      </c>
      <c r="L227" s="6">
        <v>24.401</v>
      </c>
      <c r="M227" s="6">
        <v>24.401</v>
      </c>
      <c r="N227" s="6">
        <v>24.401</v>
      </c>
      <c r="O227" s="6">
        <v>24.401</v>
      </c>
      <c r="P227" s="6">
        <v>255</v>
      </c>
      <c r="Q227" s="4" t="s">
        <v>26</v>
      </c>
      <c r="R227" s="4">
        <v>0</v>
      </c>
      <c r="S227" s="4">
        <v>0</v>
      </c>
      <c r="T227" s="4">
        <v>20</v>
      </c>
      <c r="U227" s="4">
        <v>39</v>
      </c>
      <c r="V227" s="6">
        <f>IF(ISERROR(VLOOKUP($S$227,'TAR FIN'!$A$1:$O$86,15,0)),0,VLOOKUP($S$227,'TAR FIN'!$A$1:$O$86,15,0))</f>
        <v>0</v>
      </c>
      <c r="W227" s="6">
        <f>IF(ISERROR(VLOOKUP($T$227,'TAR FIN'!$A$1:$O$86,15,0)),0,VLOOKUP($T$227,'TAR FIN'!$A$1:$O$86,15,0))</f>
        <v>253.04</v>
      </c>
      <c r="X227" s="6">
        <f>IF(ISERROR(VLOOKUP($U$227,'TAR FIN'!$A$1:$O$86,15,0)),0,VLOOKUP($U$227,'TAR FIN'!$A$1:$O$86,15,0))</f>
        <v>314.52</v>
      </c>
      <c r="Y227" s="6"/>
      <c r="Z227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227" s="6">
        <f>('TE BE'!$AB$16+'TE BF'!$AB$16+'TE CVA'!$AB$16)*(1-CUSTOS!$M$37)</f>
        <v>248.89628694871266</v>
      </c>
      <c r="AB227" s="6">
        <f t="shared" si="16"/>
        <v>0</v>
      </c>
      <c r="AC227" s="6">
        <f>(L227-M227)*(W227+X227)+($W$218+$X$218-$W$227-$X$227)*(L227)</f>
        <v>0</v>
      </c>
      <c r="AD227" s="6">
        <f t="shared" si="17"/>
        <v>0</v>
      </c>
      <c r="AE227" s="6">
        <f ca="1">(L227-M227)*(Z227+AA227)+($Z$218+$AA$218-$Z$227-$AA$227)*(L227)</f>
        <v>6.9351813181128818E-13</v>
      </c>
      <c r="AF227" s="4" t="s">
        <v>651</v>
      </c>
    </row>
    <row r="228" spans="1:32" ht="11.25" customHeight="1" x14ac:dyDescent="0.25">
      <c r="A228" s="4" t="s">
        <v>21</v>
      </c>
      <c r="B228" s="4" t="s">
        <v>22</v>
      </c>
      <c r="C228" s="4" t="s">
        <v>23</v>
      </c>
      <c r="D228" s="4" t="s">
        <v>24</v>
      </c>
      <c r="E228" s="4" t="s">
        <v>31</v>
      </c>
      <c r="F228" s="4" t="s">
        <v>25</v>
      </c>
      <c r="G228" s="4" t="s">
        <v>25</v>
      </c>
      <c r="H228" s="4" t="s">
        <v>25</v>
      </c>
      <c r="I228" s="5">
        <v>44652</v>
      </c>
      <c r="J228" s="6">
        <v>0</v>
      </c>
      <c r="K228" s="6">
        <v>0</v>
      </c>
      <c r="L228" s="6">
        <v>10.157999999999999</v>
      </c>
      <c r="M228" s="6">
        <v>10.157999999999999</v>
      </c>
      <c r="N228" s="6">
        <v>10.157999999999999</v>
      </c>
      <c r="O228" s="6">
        <v>10.157999999999999</v>
      </c>
      <c r="P228" s="6">
        <v>132</v>
      </c>
      <c r="Q228" s="4" t="s">
        <v>26</v>
      </c>
      <c r="R228" s="4">
        <v>0</v>
      </c>
      <c r="S228" s="4">
        <v>0</v>
      </c>
      <c r="T228" s="4">
        <v>20</v>
      </c>
      <c r="U228" s="4">
        <v>39</v>
      </c>
      <c r="V228" s="6">
        <f>IF(ISERROR(VLOOKUP($S$228,'TAR FIN'!$A$1:$O$86,15,0)),0,VLOOKUP($S$228,'TAR FIN'!$A$1:$O$86,15,0))</f>
        <v>0</v>
      </c>
      <c r="W228" s="6">
        <f>IF(ISERROR(VLOOKUP($T$228,'TAR FIN'!$A$1:$O$86,15,0)),0,VLOOKUP($T$228,'TAR FIN'!$A$1:$O$86,15,0))</f>
        <v>253.04</v>
      </c>
      <c r="X228" s="6">
        <f>IF(ISERROR(VLOOKUP($U$228,'TAR FIN'!$A$1:$O$86,15,0)),0,VLOOKUP($U$228,'TAR FIN'!$A$1:$O$86,15,0))</f>
        <v>314.52</v>
      </c>
      <c r="Y228" s="6"/>
      <c r="Z228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228" s="6">
        <f>('TE BE'!$AB$16+'TE BF'!$AB$16+'TE CVA'!$AB$16)*(1-CUSTOS!$M$37)</f>
        <v>248.89628694871266</v>
      </c>
      <c r="AB228" s="6">
        <f t="shared" si="16"/>
        <v>0</v>
      </c>
      <c r="AC228" s="6">
        <f>(L228-M228)*(W228+X228)+($W$218+$X$218-$W$228-$X$228)*(L228)</f>
        <v>0</v>
      </c>
      <c r="AD228" s="6">
        <f t="shared" si="17"/>
        <v>0</v>
      </c>
      <c r="AE228" s="6">
        <f ca="1">(L228-M228)*(Z228+AA228)+($Z$218+$AA$218-$Z$228-$AA$228)*(L228)</f>
        <v>2.8870772439404389E-13</v>
      </c>
      <c r="AF228" s="4" t="s">
        <v>651</v>
      </c>
    </row>
    <row r="229" spans="1:32" ht="11.25" customHeight="1" x14ac:dyDescent="0.25">
      <c r="A229" s="4" t="s">
        <v>21</v>
      </c>
      <c r="B229" s="4" t="s">
        <v>22</v>
      </c>
      <c r="C229" s="4" t="s">
        <v>23</v>
      </c>
      <c r="D229" s="4" t="s">
        <v>24</v>
      </c>
      <c r="E229" s="4" t="s">
        <v>31</v>
      </c>
      <c r="F229" s="4" t="s">
        <v>25</v>
      </c>
      <c r="G229" s="4" t="s">
        <v>25</v>
      </c>
      <c r="H229" s="4" t="s">
        <v>25</v>
      </c>
      <c r="I229" s="5">
        <v>44682</v>
      </c>
      <c r="J229" s="6">
        <v>0</v>
      </c>
      <c r="K229" s="6">
        <v>0</v>
      </c>
      <c r="L229" s="6">
        <v>11.754</v>
      </c>
      <c r="M229" s="6">
        <v>11.754</v>
      </c>
      <c r="N229" s="6">
        <v>11.754</v>
      </c>
      <c r="O229" s="6">
        <v>11.754</v>
      </c>
      <c r="P229" s="6">
        <v>152</v>
      </c>
      <c r="Q229" s="4" t="s">
        <v>26</v>
      </c>
      <c r="R229" s="4">
        <v>0</v>
      </c>
      <c r="S229" s="4">
        <v>0</v>
      </c>
      <c r="T229" s="4">
        <v>20</v>
      </c>
      <c r="U229" s="4">
        <v>39</v>
      </c>
      <c r="V229" s="6">
        <f>IF(ISERROR(VLOOKUP($S$229,'TAR FIN'!$A$1:$O$86,15,0)),0,VLOOKUP($S$229,'TAR FIN'!$A$1:$O$86,15,0))</f>
        <v>0</v>
      </c>
      <c r="W229" s="6">
        <f>IF(ISERROR(VLOOKUP($T$229,'TAR FIN'!$A$1:$O$86,15,0)),0,VLOOKUP($T$229,'TAR FIN'!$A$1:$O$86,15,0))</f>
        <v>253.04</v>
      </c>
      <c r="X229" s="6">
        <f>IF(ISERROR(VLOOKUP($U$229,'TAR FIN'!$A$1:$O$86,15,0)),0,VLOOKUP($U$229,'TAR FIN'!$A$1:$O$86,15,0))</f>
        <v>314.52</v>
      </c>
      <c r="Y229" s="6"/>
      <c r="Z229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229" s="6">
        <f>('TE BE'!$AB$16+'TE BF'!$AB$16+'TE CVA'!$AB$16)*(1-CUSTOS!$M$37)</f>
        <v>248.89628694871266</v>
      </c>
      <c r="AB229" s="6">
        <f t="shared" si="16"/>
        <v>0</v>
      </c>
      <c r="AC229" s="6">
        <f>(L229-M229)*(W229+X229)+($W$218+$X$218-$W$229-$X$229)*(L229)</f>
        <v>0</v>
      </c>
      <c r="AD229" s="6">
        <f t="shared" si="17"/>
        <v>0</v>
      </c>
      <c r="AE229" s="6">
        <f ca="1">(L229-M229)*(Z229+AA229)+($Z$218+$AA$218-$Z$229-$AA$229)*(L229)</f>
        <v>3.3406877264496869E-13</v>
      </c>
      <c r="AF229" s="4" t="s">
        <v>651</v>
      </c>
    </row>
    <row r="230" spans="1:32" ht="11.25" customHeight="1" x14ac:dyDescent="0.25">
      <c r="A230" s="4" t="s">
        <v>55</v>
      </c>
      <c r="B230" s="4" t="s">
        <v>22</v>
      </c>
      <c r="C230" s="4" t="s">
        <v>23</v>
      </c>
      <c r="D230" s="4" t="s">
        <v>24</v>
      </c>
      <c r="E230" s="4" t="s">
        <v>31</v>
      </c>
      <c r="F230" s="4" t="s">
        <v>25</v>
      </c>
      <c r="G230" s="4" t="s">
        <v>25</v>
      </c>
      <c r="H230" s="4" t="s">
        <v>25</v>
      </c>
      <c r="I230" s="5">
        <v>44713</v>
      </c>
      <c r="J230" s="6">
        <v>0</v>
      </c>
      <c r="K230" s="6">
        <v>0</v>
      </c>
      <c r="L230" s="6">
        <v>11.754</v>
      </c>
      <c r="M230" s="6">
        <v>11.754</v>
      </c>
      <c r="N230" s="6">
        <v>11.754</v>
      </c>
      <c r="O230" s="6">
        <v>11.754</v>
      </c>
      <c r="P230" s="6">
        <v>152</v>
      </c>
      <c r="Q230" s="4" t="s">
        <v>26</v>
      </c>
      <c r="R230" s="4">
        <v>0</v>
      </c>
      <c r="S230" s="4">
        <v>0</v>
      </c>
      <c r="T230" s="4">
        <v>20</v>
      </c>
      <c r="U230" s="4">
        <v>39</v>
      </c>
      <c r="V230" s="6">
        <f>IF(ISERROR(VLOOKUP($S$230,'TAR FIN'!$A$1:$O$86,15,0)),0,VLOOKUP($S$230,'TAR FIN'!$A$1:$O$86,15,0))</f>
        <v>0</v>
      </c>
      <c r="W230" s="6">
        <f>IF(ISERROR(VLOOKUP($T$230,'TAR FIN'!$A$1:$O$86,15,0)),0,VLOOKUP($T$230,'TAR FIN'!$A$1:$O$86,15,0))</f>
        <v>253.04</v>
      </c>
      <c r="X230" s="6">
        <f>IF(ISERROR(VLOOKUP($U$230,'TAR FIN'!$A$1:$O$86,15,0)),0,VLOOKUP($U$230,'TAR FIN'!$A$1:$O$86,15,0))</f>
        <v>314.52</v>
      </c>
      <c r="Y230" s="6"/>
      <c r="Z230" s="6">
        <f ca="1">('TUSD BE'!$AM$24+'TUSD BF'!$AM$24+'TUSD CVA'!$AM$24-('TUSD BE'!$P$24+'TUSD BF'!$P$24+'TUSD CVA'!$P$24)-('TUSD BE'!$Q$24+'TUSD BF'!$Q$24+'TUSD CVA'!$Q$24)-('TUSD BE'!$R$24+'TUSD BF'!$R$24+'TUSD CVA'!$R$24))*(1-CUSTOS!$M$37)</f>
        <v>209.8122776176813</v>
      </c>
      <c r="AA230" s="6">
        <f>('TE BE'!$AB$16+'TE BF'!$AB$16+'TE CVA'!$AB$16)*(1-CUSTOS!$M$37)</f>
        <v>248.89628694871266</v>
      </c>
      <c r="AB230" s="6">
        <f t="shared" si="16"/>
        <v>0</v>
      </c>
      <c r="AC230" s="6">
        <f>(L230-M230)*(W230+X230)+($W$218+$X$218-$W$230-$X$230)*(L230)</f>
        <v>0</v>
      </c>
      <c r="AD230" s="6">
        <f t="shared" si="17"/>
        <v>0</v>
      </c>
      <c r="AE230" s="6">
        <f ca="1">(L230-M230)*(Z230+AA230)+($Z$218+$AA$218-$Z$230-$AA$230)*(L230)</f>
        <v>3.3406877264496869E-13</v>
      </c>
      <c r="AF230" s="4" t="s">
        <v>651</v>
      </c>
    </row>
    <row r="231" spans="1:32" ht="11.25" customHeight="1" x14ac:dyDescent="0.25">
      <c r="A231" s="4" t="s">
        <v>21</v>
      </c>
      <c r="B231" s="4" t="s">
        <v>42</v>
      </c>
      <c r="C231" s="4" t="s">
        <v>23</v>
      </c>
      <c r="D231" s="4" t="s">
        <v>43</v>
      </c>
      <c r="E231" s="4" t="s">
        <v>52</v>
      </c>
      <c r="F231" s="4" t="s">
        <v>53</v>
      </c>
      <c r="G231" s="4" t="s">
        <v>25</v>
      </c>
      <c r="H231" s="4" t="s">
        <v>25</v>
      </c>
      <c r="I231" s="5">
        <v>44378</v>
      </c>
      <c r="J231" s="6">
        <v>0</v>
      </c>
      <c r="K231" s="6">
        <v>0</v>
      </c>
      <c r="L231" s="6">
        <v>0.1</v>
      </c>
      <c r="M231" s="6">
        <v>0.1</v>
      </c>
      <c r="N231" s="6">
        <v>0.1</v>
      </c>
      <c r="O231" s="6">
        <v>0.1</v>
      </c>
      <c r="P231" s="6">
        <v>0</v>
      </c>
      <c r="Q231" s="4" t="s">
        <v>26</v>
      </c>
      <c r="R231" s="4">
        <v>0</v>
      </c>
      <c r="S231" s="4">
        <v>0</v>
      </c>
      <c r="T231" s="4">
        <v>32</v>
      </c>
      <c r="U231" s="4">
        <v>56</v>
      </c>
      <c r="V231" s="6">
        <f>IF(ISERROR(VLOOKUP($S$231,'TAR FIN'!$A$1:$O$86,15,0)),0,VLOOKUP($S$231,'TAR FIN'!$A$1:$O$86,15,0))</f>
        <v>0</v>
      </c>
      <c r="W231" s="6">
        <f>IF(ISERROR(VLOOKUP($T$231,'TAR FIN'!$A$1:$O$86,15,0)),0,VLOOKUP($T$231,'TAR FIN'!$A$1:$O$86,15,0))</f>
        <v>287.75</v>
      </c>
      <c r="X231" s="6">
        <f>IF(ISERROR(VLOOKUP($U$231,'TAR FIN'!$A$1:$O$86,15,0)),0,VLOOKUP($U$231,'TAR FIN'!$A$1:$O$86,15,0))</f>
        <v>276.77999999999997</v>
      </c>
      <c r="Y231" s="6"/>
      <c r="Z231" s="6">
        <f ca="1">('TUSD BE'!$AM$33+'TUSD BF'!$AM$33+'TUSD CVA'!$AM$33)*(1-CUSTOS!$M$38)</f>
        <v>295.07903341788727</v>
      </c>
      <c r="AA231" s="6">
        <f>('TE BE'!$AB$25+'TE BF'!$AB$25+'TE CVA'!$AB$25)*(1-CUSTOS!$M$38)</f>
        <v>233.96250973178988</v>
      </c>
      <c r="AB231" s="6">
        <f t="shared" si="16"/>
        <v>0</v>
      </c>
      <c r="AC231" s="6">
        <f>(L231-M231)*(W231+X231)+($W$170+$X$170-$W$231-$X$231)*(L231)</f>
        <v>7.6970000000000027</v>
      </c>
      <c r="AD231" s="6">
        <f t="shared" si="17"/>
        <v>0</v>
      </c>
      <c r="AE231" s="6">
        <f ca="1">(L231-M231)*(Z231+AA231)+($Z$170+$AA$170-$Z$231-$AA$231)*(L231)</f>
        <v>3.3768609137213419</v>
      </c>
      <c r="AF231" s="4" t="s">
        <v>649</v>
      </c>
    </row>
    <row r="232" spans="1:32" ht="11.25" customHeight="1" x14ac:dyDescent="0.25">
      <c r="A232" s="4" t="s">
        <v>21</v>
      </c>
      <c r="B232" s="4" t="s">
        <v>42</v>
      </c>
      <c r="C232" s="4" t="s">
        <v>23</v>
      </c>
      <c r="D232" s="4" t="s">
        <v>43</v>
      </c>
      <c r="E232" s="4" t="s">
        <v>52</v>
      </c>
      <c r="F232" s="4" t="s">
        <v>53</v>
      </c>
      <c r="G232" s="4" t="s">
        <v>25</v>
      </c>
      <c r="H232" s="4" t="s">
        <v>25</v>
      </c>
      <c r="I232" s="5">
        <v>44409</v>
      </c>
      <c r="J232" s="6">
        <v>0</v>
      </c>
      <c r="K232" s="6">
        <v>0</v>
      </c>
      <c r="L232" s="6">
        <v>0.1</v>
      </c>
      <c r="M232" s="6">
        <v>0.1</v>
      </c>
      <c r="N232" s="6">
        <v>0.1</v>
      </c>
      <c r="O232" s="6">
        <v>0.1</v>
      </c>
      <c r="P232" s="6">
        <v>0</v>
      </c>
      <c r="Q232" s="4" t="s">
        <v>26</v>
      </c>
      <c r="R232" s="4">
        <v>0</v>
      </c>
      <c r="S232" s="4">
        <v>0</v>
      </c>
      <c r="T232" s="4">
        <v>32</v>
      </c>
      <c r="U232" s="4">
        <v>56</v>
      </c>
      <c r="V232" s="6">
        <f>IF(ISERROR(VLOOKUP($S$232,'TAR FIN'!$A$1:$O$86,15,0)),0,VLOOKUP($S$232,'TAR FIN'!$A$1:$O$86,15,0))</f>
        <v>0</v>
      </c>
      <c r="W232" s="6">
        <f>IF(ISERROR(VLOOKUP($T$232,'TAR FIN'!$A$1:$O$86,15,0)),0,VLOOKUP($T$232,'TAR FIN'!$A$1:$O$86,15,0))</f>
        <v>287.75</v>
      </c>
      <c r="X232" s="6">
        <f>IF(ISERROR(VLOOKUP($U$232,'TAR FIN'!$A$1:$O$86,15,0)),0,VLOOKUP($U$232,'TAR FIN'!$A$1:$O$86,15,0))</f>
        <v>276.77999999999997</v>
      </c>
      <c r="Y232" s="6"/>
      <c r="Z232" s="6">
        <f ca="1">('TUSD BE'!$AM$33+'TUSD BF'!$AM$33+'TUSD CVA'!$AM$33)*(1-CUSTOS!$M$38)</f>
        <v>295.07903341788727</v>
      </c>
      <c r="AA232" s="6">
        <f>('TE BE'!$AB$25+'TE BF'!$AB$25+'TE CVA'!$AB$25)*(1-CUSTOS!$M$38)</f>
        <v>233.96250973178988</v>
      </c>
      <c r="AB232" s="6">
        <f t="shared" si="16"/>
        <v>0</v>
      </c>
      <c r="AC232" s="6">
        <f>(L232-M232)*(W232+X232)+($W$170+$X$170-$W$232-$X$232)*(L232)</f>
        <v>7.6970000000000027</v>
      </c>
      <c r="AD232" s="6">
        <f t="shared" si="17"/>
        <v>0</v>
      </c>
      <c r="AE232" s="6">
        <f ca="1">(L232-M232)*(Z232+AA232)+($Z$170+$AA$170-$Z$232-$AA$232)*(L232)</f>
        <v>3.3768609137213419</v>
      </c>
      <c r="AF232" s="4" t="s">
        <v>649</v>
      </c>
    </row>
    <row r="233" spans="1:32" ht="11.25" customHeight="1" x14ac:dyDescent="0.25">
      <c r="A233" s="4" t="s">
        <v>21</v>
      </c>
      <c r="B233" s="4" t="s">
        <v>42</v>
      </c>
      <c r="C233" s="4" t="s">
        <v>23</v>
      </c>
      <c r="D233" s="4" t="s">
        <v>43</v>
      </c>
      <c r="E233" s="4" t="s">
        <v>52</v>
      </c>
      <c r="F233" s="4" t="s">
        <v>53</v>
      </c>
      <c r="G233" s="4" t="s">
        <v>25</v>
      </c>
      <c r="H233" s="4" t="s">
        <v>25</v>
      </c>
      <c r="I233" s="5">
        <v>44440</v>
      </c>
      <c r="J233" s="6">
        <v>0</v>
      </c>
      <c r="K233" s="6">
        <v>0</v>
      </c>
      <c r="L233" s="6">
        <v>5.8999999999999997E-2</v>
      </c>
      <c r="M233" s="6">
        <v>5.8999999999999997E-2</v>
      </c>
      <c r="N233" s="6">
        <v>5.8999999999999997E-2</v>
      </c>
      <c r="O233" s="6">
        <v>5.8999999999999997E-2</v>
      </c>
      <c r="P233" s="6">
        <v>0</v>
      </c>
      <c r="Q233" s="4" t="s">
        <v>26</v>
      </c>
      <c r="R233" s="4">
        <v>0</v>
      </c>
      <c r="S233" s="4">
        <v>0</v>
      </c>
      <c r="T233" s="4">
        <v>32</v>
      </c>
      <c r="U233" s="4">
        <v>56</v>
      </c>
      <c r="V233" s="6">
        <f>IF(ISERROR(VLOOKUP($S$233,'TAR FIN'!$A$1:$O$86,15,0)),0,VLOOKUP($S$233,'TAR FIN'!$A$1:$O$86,15,0))</f>
        <v>0</v>
      </c>
      <c r="W233" s="6">
        <f>IF(ISERROR(VLOOKUP($T$233,'TAR FIN'!$A$1:$O$86,15,0)),0,VLOOKUP($T$233,'TAR FIN'!$A$1:$O$86,15,0))</f>
        <v>287.75</v>
      </c>
      <c r="X233" s="6">
        <f>IF(ISERROR(VLOOKUP($U$233,'TAR FIN'!$A$1:$O$86,15,0)),0,VLOOKUP($U$233,'TAR FIN'!$A$1:$O$86,15,0))</f>
        <v>276.77999999999997</v>
      </c>
      <c r="Y233" s="6"/>
      <c r="Z233" s="6">
        <f ca="1">('TUSD BE'!$AM$33+'TUSD BF'!$AM$33+'TUSD CVA'!$AM$33)*(1-CUSTOS!$M$38)</f>
        <v>295.07903341788727</v>
      </c>
      <c r="AA233" s="6">
        <f>('TE BE'!$AB$25+'TE BF'!$AB$25+'TE CVA'!$AB$25)*(1-CUSTOS!$M$38)</f>
        <v>233.96250973178988</v>
      </c>
      <c r="AB233" s="6">
        <f t="shared" si="16"/>
        <v>0</v>
      </c>
      <c r="AC233" s="6">
        <f>(L233-M233)*(W233+X233)+($W$170+$X$170-$W$233-$X$233)*(L233)</f>
        <v>4.5412300000000014</v>
      </c>
      <c r="AD233" s="6">
        <f t="shared" si="17"/>
        <v>0</v>
      </c>
      <c r="AE233" s="6">
        <f ca="1">(L233-M233)*(Z233+AA233)+($Z$170+$AA$170-$Z$233-$AA$233)*(L233)</f>
        <v>1.9923479390955916</v>
      </c>
      <c r="AF233" s="4" t="s">
        <v>649</v>
      </c>
    </row>
    <row r="234" spans="1:32" ht="11.25" customHeight="1" x14ac:dyDescent="0.25">
      <c r="A234" s="4" t="s">
        <v>21</v>
      </c>
      <c r="B234" s="4" t="s">
        <v>42</v>
      </c>
      <c r="C234" s="4" t="s">
        <v>23</v>
      </c>
      <c r="D234" s="4" t="s">
        <v>43</v>
      </c>
      <c r="E234" s="4" t="s">
        <v>52</v>
      </c>
      <c r="F234" s="4" t="s">
        <v>53</v>
      </c>
      <c r="G234" s="4" t="s">
        <v>25</v>
      </c>
      <c r="H234" s="4" t="s">
        <v>25</v>
      </c>
      <c r="I234" s="5">
        <v>44470</v>
      </c>
      <c r="J234" s="6">
        <v>0</v>
      </c>
      <c r="K234" s="6">
        <v>0</v>
      </c>
      <c r="L234" s="6">
        <v>5.8999999999999997E-2</v>
      </c>
      <c r="M234" s="6">
        <v>5.8999999999999997E-2</v>
      </c>
      <c r="N234" s="6">
        <v>5.8999999999999997E-2</v>
      </c>
      <c r="O234" s="6">
        <v>5.8999999999999997E-2</v>
      </c>
      <c r="P234" s="6">
        <v>0</v>
      </c>
      <c r="Q234" s="4" t="s">
        <v>26</v>
      </c>
      <c r="R234" s="4">
        <v>0</v>
      </c>
      <c r="S234" s="4">
        <v>0</v>
      </c>
      <c r="T234" s="4">
        <v>32</v>
      </c>
      <c r="U234" s="4">
        <v>56</v>
      </c>
      <c r="V234" s="6">
        <f>IF(ISERROR(VLOOKUP($S$234,'TAR FIN'!$A$1:$O$86,15,0)),0,VLOOKUP($S$234,'TAR FIN'!$A$1:$O$86,15,0))</f>
        <v>0</v>
      </c>
      <c r="W234" s="6">
        <f>IF(ISERROR(VLOOKUP($T$234,'TAR FIN'!$A$1:$O$86,15,0)),0,VLOOKUP($T$234,'TAR FIN'!$A$1:$O$86,15,0))</f>
        <v>287.75</v>
      </c>
      <c r="X234" s="6">
        <f>IF(ISERROR(VLOOKUP($U$234,'TAR FIN'!$A$1:$O$86,15,0)),0,VLOOKUP($U$234,'TAR FIN'!$A$1:$O$86,15,0))</f>
        <v>276.77999999999997</v>
      </c>
      <c r="Y234" s="6"/>
      <c r="Z234" s="6">
        <f ca="1">('TUSD BE'!$AM$33+'TUSD BF'!$AM$33+'TUSD CVA'!$AM$33)*(1-CUSTOS!$M$38)</f>
        <v>295.07903341788727</v>
      </c>
      <c r="AA234" s="6">
        <f>('TE BE'!$AB$25+'TE BF'!$AB$25+'TE CVA'!$AB$25)*(1-CUSTOS!$M$38)</f>
        <v>233.96250973178988</v>
      </c>
      <c r="AB234" s="6">
        <f t="shared" si="16"/>
        <v>0</v>
      </c>
      <c r="AC234" s="6">
        <f>(L234-M234)*(W234+X234)+($W$170+$X$170-$W$234-$X$234)*(L234)</f>
        <v>4.5412300000000014</v>
      </c>
      <c r="AD234" s="6">
        <f t="shared" si="17"/>
        <v>0</v>
      </c>
      <c r="AE234" s="6">
        <f ca="1">(L234-M234)*(Z234+AA234)+($Z$170+$AA$170-$Z$234-$AA$234)*(L234)</f>
        <v>1.9923479390955916</v>
      </c>
      <c r="AF234" s="4" t="s">
        <v>649</v>
      </c>
    </row>
    <row r="235" spans="1:32" ht="11.25" customHeight="1" x14ac:dyDescent="0.25">
      <c r="A235" s="4" t="s">
        <v>21</v>
      </c>
      <c r="B235" s="4" t="s">
        <v>42</v>
      </c>
      <c r="C235" s="4" t="s">
        <v>23</v>
      </c>
      <c r="D235" s="4" t="s">
        <v>43</v>
      </c>
      <c r="E235" s="4" t="s">
        <v>52</v>
      </c>
      <c r="F235" s="4" t="s">
        <v>53</v>
      </c>
      <c r="G235" s="4" t="s">
        <v>25</v>
      </c>
      <c r="H235" s="4" t="s">
        <v>25</v>
      </c>
      <c r="I235" s="5">
        <v>44501</v>
      </c>
      <c r="J235" s="6">
        <v>0</v>
      </c>
      <c r="K235" s="6">
        <v>0</v>
      </c>
      <c r="L235" s="6">
        <v>1.649</v>
      </c>
      <c r="M235" s="6">
        <v>1.649</v>
      </c>
      <c r="N235" s="6">
        <v>1.649</v>
      </c>
      <c r="O235" s="6">
        <v>1.649</v>
      </c>
      <c r="P235" s="6">
        <v>0</v>
      </c>
      <c r="Q235" s="4" t="s">
        <v>26</v>
      </c>
      <c r="R235" s="4">
        <v>0</v>
      </c>
      <c r="S235" s="4">
        <v>0</v>
      </c>
      <c r="T235" s="4">
        <v>32</v>
      </c>
      <c r="U235" s="4">
        <v>56</v>
      </c>
      <c r="V235" s="6">
        <f>IF(ISERROR(VLOOKUP($S$235,'TAR FIN'!$A$1:$O$86,15,0)),0,VLOOKUP($S$235,'TAR FIN'!$A$1:$O$86,15,0))</f>
        <v>0</v>
      </c>
      <c r="W235" s="6">
        <f>IF(ISERROR(VLOOKUP($T$235,'TAR FIN'!$A$1:$O$86,15,0)),0,VLOOKUP($T$235,'TAR FIN'!$A$1:$O$86,15,0))</f>
        <v>287.75</v>
      </c>
      <c r="X235" s="6">
        <f>IF(ISERROR(VLOOKUP($U$235,'TAR FIN'!$A$1:$O$86,15,0)),0,VLOOKUP($U$235,'TAR FIN'!$A$1:$O$86,15,0))</f>
        <v>276.77999999999997</v>
      </c>
      <c r="Y235" s="6"/>
      <c r="Z235" s="6">
        <f ca="1">('TUSD BE'!$AM$33+'TUSD BF'!$AM$33+'TUSD CVA'!$AM$33)*(1-CUSTOS!$M$38)</f>
        <v>295.07903341788727</v>
      </c>
      <c r="AA235" s="6">
        <f>('TE BE'!$AB$25+'TE BF'!$AB$25+'TE CVA'!$AB$25)*(1-CUSTOS!$M$38)</f>
        <v>233.96250973178988</v>
      </c>
      <c r="AB235" s="6">
        <f t="shared" si="16"/>
        <v>0</v>
      </c>
      <c r="AC235" s="6">
        <f>(L235-M235)*(W235+X235)+($W$170+$X$170-$W$235-$X$235)*(L235)</f>
        <v>126.92353000000004</v>
      </c>
      <c r="AD235" s="6">
        <f t="shared" si="17"/>
        <v>0</v>
      </c>
      <c r="AE235" s="6">
        <f ca="1">(L235-M235)*(Z235+AA235)+($Z$170+$AA$170-$Z$235-$AA$235)*(L235)</f>
        <v>55.684436467264923</v>
      </c>
      <c r="AF235" s="4" t="s">
        <v>649</v>
      </c>
    </row>
    <row r="236" spans="1:32" ht="11.25" customHeight="1" x14ac:dyDescent="0.25">
      <c r="A236" s="4" t="s">
        <v>21</v>
      </c>
      <c r="B236" s="4" t="s">
        <v>42</v>
      </c>
      <c r="C236" s="4" t="s">
        <v>23</v>
      </c>
      <c r="D236" s="4" t="s">
        <v>43</v>
      </c>
      <c r="E236" s="4" t="s">
        <v>52</v>
      </c>
      <c r="F236" s="4" t="s">
        <v>53</v>
      </c>
      <c r="G236" s="4" t="s">
        <v>25</v>
      </c>
      <c r="H236" s="4" t="s">
        <v>25</v>
      </c>
      <c r="I236" s="5">
        <v>44531</v>
      </c>
      <c r="J236" s="6">
        <v>0</v>
      </c>
      <c r="K236" s="6">
        <v>0</v>
      </c>
      <c r="L236" s="6">
        <v>1.54</v>
      </c>
      <c r="M236" s="6">
        <v>1.54</v>
      </c>
      <c r="N236" s="6">
        <v>1.54</v>
      </c>
      <c r="O236" s="6">
        <v>1.54</v>
      </c>
      <c r="P236" s="6">
        <v>0</v>
      </c>
      <c r="Q236" s="4" t="s">
        <v>26</v>
      </c>
      <c r="R236" s="4">
        <v>0</v>
      </c>
      <c r="S236" s="4">
        <v>0</v>
      </c>
      <c r="T236" s="4">
        <v>32</v>
      </c>
      <c r="U236" s="4">
        <v>56</v>
      </c>
      <c r="V236" s="6">
        <f>IF(ISERROR(VLOOKUP($S$236,'TAR FIN'!$A$1:$O$86,15,0)),0,VLOOKUP($S$236,'TAR FIN'!$A$1:$O$86,15,0))</f>
        <v>0</v>
      </c>
      <c r="W236" s="6">
        <f>IF(ISERROR(VLOOKUP($T$236,'TAR FIN'!$A$1:$O$86,15,0)),0,VLOOKUP($T$236,'TAR FIN'!$A$1:$O$86,15,0))</f>
        <v>287.75</v>
      </c>
      <c r="X236" s="6">
        <f>IF(ISERROR(VLOOKUP($U$236,'TAR FIN'!$A$1:$O$86,15,0)),0,VLOOKUP($U$236,'TAR FIN'!$A$1:$O$86,15,0))</f>
        <v>276.77999999999997</v>
      </c>
      <c r="Y236" s="6"/>
      <c r="Z236" s="6">
        <f ca="1">('TUSD BE'!$AM$33+'TUSD BF'!$AM$33+'TUSD CVA'!$AM$33)*(1-CUSTOS!$M$38)</f>
        <v>295.07903341788727</v>
      </c>
      <c r="AA236" s="6">
        <f>('TE BE'!$AB$25+'TE BF'!$AB$25+'TE CVA'!$AB$25)*(1-CUSTOS!$M$38)</f>
        <v>233.96250973178988</v>
      </c>
      <c r="AB236" s="6">
        <f t="shared" si="16"/>
        <v>0</v>
      </c>
      <c r="AC236" s="6">
        <f>(L236-M236)*(W236+X236)+($W$170+$X$170-$W$236-$X$236)*(L236)</f>
        <v>118.53380000000004</v>
      </c>
      <c r="AD236" s="6">
        <f t="shared" si="17"/>
        <v>0</v>
      </c>
      <c r="AE236" s="6">
        <f ca="1">(L236-M236)*(Z236+AA236)+($Z$170+$AA$170-$Z$236-$AA$236)*(L236)</f>
        <v>52.003658071308664</v>
      </c>
      <c r="AF236" s="4" t="s">
        <v>649</v>
      </c>
    </row>
    <row r="237" spans="1:32" ht="11.25" customHeight="1" x14ac:dyDescent="0.25">
      <c r="A237" s="4" t="s">
        <v>21</v>
      </c>
      <c r="B237" s="4" t="s">
        <v>42</v>
      </c>
      <c r="C237" s="4" t="s">
        <v>23</v>
      </c>
      <c r="D237" s="4" t="s">
        <v>43</v>
      </c>
      <c r="E237" s="4" t="s">
        <v>52</v>
      </c>
      <c r="F237" s="4" t="s">
        <v>53</v>
      </c>
      <c r="G237" s="4" t="s">
        <v>25</v>
      </c>
      <c r="H237" s="4" t="s">
        <v>25</v>
      </c>
      <c r="I237" s="5">
        <v>44562</v>
      </c>
      <c r="J237" s="6">
        <v>0</v>
      </c>
      <c r="K237" s="6">
        <v>0</v>
      </c>
      <c r="L237" s="6">
        <v>2.0259999999999998</v>
      </c>
      <c r="M237" s="6">
        <v>2.0259999999999998</v>
      </c>
      <c r="N237" s="6">
        <v>2.0259999999999998</v>
      </c>
      <c r="O237" s="6">
        <v>2.0259999999999998</v>
      </c>
      <c r="P237" s="6">
        <v>0</v>
      </c>
      <c r="Q237" s="4" t="s">
        <v>26</v>
      </c>
      <c r="R237" s="4">
        <v>0</v>
      </c>
      <c r="S237" s="4">
        <v>0</v>
      </c>
      <c r="T237" s="4">
        <v>32</v>
      </c>
      <c r="U237" s="4">
        <v>56</v>
      </c>
      <c r="V237" s="6">
        <f>IF(ISERROR(VLOOKUP($S$237,'TAR FIN'!$A$1:$O$86,15,0)),0,VLOOKUP($S$237,'TAR FIN'!$A$1:$O$86,15,0))</f>
        <v>0</v>
      </c>
      <c r="W237" s="6">
        <f>IF(ISERROR(VLOOKUP($T$237,'TAR FIN'!$A$1:$O$86,15,0)),0,VLOOKUP($T$237,'TAR FIN'!$A$1:$O$86,15,0))</f>
        <v>287.75</v>
      </c>
      <c r="X237" s="6">
        <f>IF(ISERROR(VLOOKUP($U$237,'TAR FIN'!$A$1:$O$86,15,0)),0,VLOOKUP($U$237,'TAR FIN'!$A$1:$O$86,15,0))</f>
        <v>276.77999999999997</v>
      </c>
      <c r="Y237" s="6"/>
      <c r="Z237" s="6">
        <f ca="1">('TUSD BE'!$AM$33+'TUSD BF'!$AM$33+'TUSD CVA'!$AM$33)*(1-CUSTOS!$M$38)</f>
        <v>295.07903341788727</v>
      </c>
      <c r="AA237" s="6">
        <f>('TE BE'!$AB$25+'TE BF'!$AB$25+'TE CVA'!$AB$25)*(1-CUSTOS!$M$38)</f>
        <v>233.96250973178988</v>
      </c>
      <c r="AB237" s="6">
        <f t="shared" si="16"/>
        <v>0</v>
      </c>
      <c r="AC237" s="6">
        <f>(L237-M237)*(W237+X237)+($W$170+$X$170-$W$237-$X$237)*(L237)</f>
        <v>155.94122000000004</v>
      </c>
      <c r="AD237" s="6">
        <f t="shared" si="17"/>
        <v>0</v>
      </c>
      <c r="AE237" s="6">
        <f ca="1">(L237-M237)*(Z237+AA237)+($Z$170+$AA$170-$Z$237-$AA$237)*(L237)</f>
        <v>68.415202111994375</v>
      </c>
      <c r="AF237" s="4" t="s">
        <v>649</v>
      </c>
    </row>
    <row r="238" spans="1:32" ht="11.25" customHeight="1" x14ac:dyDescent="0.25">
      <c r="A238" s="4" t="s">
        <v>21</v>
      </c>
      <c r="B238" s="4" t="s">
        <v>42</v>
      </c>
      <c r="C238" s="4" t="s">
        <v>23</v>
      </c>
      <c r="D238" s="4" t="s">
        <v>43</v>
      </c>
      <c r="E238" s="4" t="s">
        <v>52</v>
      </c>
      <c r="F238" s="4" t="s">
        <v>53</v>
      </c>
      <c r="G238" s="4" t="s">
        <v>25</v>
      </c>
      <c r="H238" s="4" t="s">
        <v>25</v>
      </c>
      <c r="I238" s="5">
        <v>44593</v>
      </c>
      <c r="J238" s="6">
        <v>0</v>
      </c>
      <c r="K238" s="6">
        <v>0</v>
      </c>
      <c r="L238" s="6">
        <v>0.251</v>
      </c>
      <c r="M238" s="6">
        <v>0.251</v>
      </c>
      <c r="N238" s="6">
        <v>0.251</v>
      </c>
      <c r="O238" s="6">
        <v>0.251</v>
      </c>
      <c r="P238" s="6">
        <v>0</v>
      </c>
      <c r="Q238" s="4" t="s">
        <v>26</v>
      </c>
      <c r="R238" s="4">
        <v>0</v>
      </c>
      <c r="S238" s="4">
        <v>0</v>
      </c>
      <c r="T238" s="4">
        <v>32</v>
      </c>
      <c r="U238" s="4">
        <v>56</v>
      </c>
      <c r="V238" s="6">
        <f>IF(ISERROR(VLOOKUP($S$238,'TAR FIN'!$A$1:$O$86,15,0)),0,VLOOKUP($S$238,'TAR FIN'!$A$1:$O$86,15,0))</f>
        <v>0</v>
      </c>
      <c r="W238" s="6">
        <f>IF(ISERROR(VLOOKUP($T$238,'TAR FIN'!$A$1:$O$86,15,0)),0,VLOOKUP($T$238,'TAR FIN'!$A$1:$O$86,15,0))</f>
        <v>287.75</v>
      </c>
      <c r="X238" s="6">
        <f>IF(ISERROR(VLOOKUP($U$238,'TAR FIN'!$A$1:$O$86,15,0)),0,VLOOKUP($U$238,'TAR FIN'!$A$1:$O$86,15,0))</f>
        <v>276.77999999999997</v>
      </c>
      <c r="Y238" s="6"/>
      <c r="Z238" s="6">
        <f ca="1">('TUSD BE'!$AM$33+'TUSD BF'!$AM$33+'TUSD CVA'!$AM$33)*(1-CUSTOS!$M$38)</f>
        <v>295.07903341788727</v>
      </c>
      <c r="AA238" s="6">
        <f>('TE BE'!$AB$25+'TE BF'!$AB$25+'TE CVA'!$AB$25)*(1-CUSTOS!$M$38)</f>
        <v>233.96250973178988</v>
      </c>
      <c r="AB238" s="6">
        <f t="shared" si="16"/>
        <v>0</v>
      </c>
      <c r="AC238" s="6">
        <f>(L238-M238)*(W238+X238)+($W$170+$X$170-$W$238-$X$238)*(L238)</f>
        <v>19.319470000000006</v>
      </c>
      <c r="AD238" s="6">
        <f t="shared" si="17"/>
        <v>0</v>
      </c>
      <c r="AE238" s="6">
        <f ca="1">(L238-M238)*(Z238+AA238)+($Z$170+$AA$170-$Z$238-$AA$238)*(L238)</f>
        <v>8.4759208934405681</v>
      </c>
      <c r="AF238" s="4" t="s">
        <v>649</v>
      </c>
    </row>
    <row r="239" spans="1:32" ht="11.25" customHeight="1" x14ac:dyDescent="0.25">
      <c r="A239" s="4" t="s">
        <v>21</v>
      </c>
      <c r="B239" s="4" t="s">
        <v>42</v>
      </c>
      <c r="C239" s="4" t="s">
        <v>23</v>
      </c>
      <c r="D239" s="4" t="s">
        <v>43</v>
      </c>
      <c r="E239" s="4" t="s">
        <v>52</v>
      </c>
      <c r="F239" s="4" t="s">
        <v>53</v>
      </c>
      <c r="G239" s="4" t="s">
        <v>25</v>
      </c>
      <c r="H239" s="4" t="s">
        <v>25</v>
      </c>
      <c r="I239" s="5">
        <v>44621</v>
      </c>
      <c r="J239" s="6">
        <v>0</v>
      </c>
      <c r="K239" s="6">
        <v>0</v>
      </c>
      <c r="L239" s="6">
        <v>0.1</v>
      </c>
      <c r="M239" s="6">
        <v>0.1</v>
      </c>
      <c r="N239" s="6">
        <v>0.1</v>
      </c>
      <c r="O239" s="6">
        <v>0.1</v>
      </c>
      <c r="P239" s="6">
        <v>0</v>
      </c>
      <c r="Q239" s="4" t="s">
        <v>26</v>
      </c>
      <c r="R239" s="4">
        <v>0</v>
      </c>
      <c r="S239" s="4">
        <v>0</v>
      </c>
      <c r="T239" s="4">
        <v>32</v>
      </c>
      <c r="U239" s="4">
        <v>56</v>
      </c>
      <c r="V239" s="6">
        <f>IF(ISERROR(VLOOKUP($S$239,'TAR FIN'!$A$1:$O$86,15,0)),0,VLOOKUP($S$239,'TAR FIN'!$A$1:$O$86,15,0))</f>
        <v>0</v>
      </c>
      <c r="W239" s="6">
        <f>IF(ISERROR(VLOOKUP($T$239,'TAR FIN'!$A$1:$O$86,15,0)),0,VLOOKUP($T$239,'TAR FIN'!$A$1:$O$86,15,0))</f>
        <v>287.75</v>
      </c>
      <c r="X239" s="6">
        <f>IF(ISERROR(VLOOKUP($U$239,'TAR FIN'!$A$1:$O$86,15,0)),0,VLOOKUP($U$239,'TAR FIN'!$A$1:$O$86,15,0))</f>
        <v>276.77999999999997</v>
      </c>
      <c r="Y239" s="6"/>
      <c r="Z239" s="6">
        <f ca="1">('TUSD BE'!$AM$33+'TUSD BF'!$AM$33+'TUSD CVA'!$AM$33)*(1-CUSTOS!$M$38)</f>
        <v>295.07903341788727</v>
      </c>
      <c r="AA239" s="6">
        <f>('TE BE'!$AB$25+'TE BF'!$AB$25+'TE CVA'!$AB$25)*(1-CUSTOS!$M$38)</f>
        <v>233.96250973178988</v>
      </c>
      <c r="AB239" s="6">
        <f t="shared" si="16"/>
        <v>0</v>
      </c>
      <c r="AC239" s="6">
        <f>(L239-M239)*(W239+X239)+($W$170+$X$170-$W$239-$X$239)*(L239)</f>
        <v>7.6970000000000027</v>
      </c>
      <c r="AD239" s="6">
        <f t="shared" si="17"/>
        <v>0</v>
      </c>
      <c r="AE239" s="6">
        <f ca="1">(L239-M239)*(Z239+AA239)+($Z$170+$AA$170-$Z$239-$AA$239)*(L239)</f>
        <v>3.3768609137213419</v>
      </c>
      <c r="AF239" s="4" t="s">
        <v>649</v>
      </c>
    </row>
    <row r="240" spans="1:32" ht="11.25" customHeight="1" x14ac:dyDescent="0.25">
      <c r="A240" s="4" t="s">
        <v>21</v>
      </c>
      <c r="B240" s="4" t="s">
        <v>42</v>
      </c>
      <c r="C240" s="4" t="s">
        <v>23</v>
      </c>
      <c r="D240" s="4" t="s">
        <v>43</v>
      </c>
      <c r="E240" s="4" t="s">
        <v>52</v>
      </c>
      <c r="F240" s="4" t="s">
        <v>53</v>
      </c>
      <c r="G240" s="4" t="s">
        <v>25</v>
      </c>
      <c r="H240" s="4" t="s">
        <v>25</v>
      </c>
      <c r="I240" s="5">
        <v>44652</v>
      </c>
      <c r="J240" s="6">
        <v>0</v>
      </c>
      <c r="K240" s="6">
        <v>0</v>
      </c>
      <c r="L240" s="6">
        <v>0.1</v>
      </c>
      <c r="M240" s="6">
        <v>0.1</v>
      </c>
      <c r="N240" s="6">
        <v>0.1</v>
      </c>
      <c r="O240" s="6">
        <v>0.1</v>
      </c>
      <c r="P240" s="6">
        <v>0</v>
      </c>
      <c r="Q240" s="4" t="s">
        <v>26</v>
      </c>
      <c r="R240" s="4">
        <v>0</v>
      </c>
      <c r="S240" s="4">
        <v>0</v>
      </c>
      <c r="T240" s="4">
        <v>32</v>
      </c>
      <c r="U240" s="4">
        <v>56</v>
      </c>
      <c r="V240" s="6">
        <f>IF(ISERROR(VLOOKUP($S$240,'TAR FIN'!$A$1:$O$86,15,0)),0,VLOOKUP($S$240,'TAR FIN'!$A$1:$O$86,15,0))</f>
        <v>0</v>
      </c>
      <c r="W240" s="6">
        <f>IF(ISERROR(VLOOKUP($T$240,'TAR FIN'!$A$1:$O$86,15,0)),0,VLOOKUP($T$240,'TAR FIN'!$A$1:$O$86,15,0))</f>
        <v>287.75</v>
      </c>
      <c r="X240" s="6">
        <f>IF(ISERROR(VLOOKUP($U$240,'TAR FIN'!$A$1:$O$86,15,0)),0,VLOOKUP($U$240,'TAR FIN'!$A$1:$O$86,15,0))</f>
        <v>276.77999999999997</v>
      </c>
      <c r="Y240" s="6"/>
      <c r="Z240" s="6">
        <f ca="1">('TUSD BE'!$AM$33+'TUSD BF'!$AM$33+'TUSD CVA'!$AM$33)*(1-CUSTOS!$M$38)</f>
        <v>295.07903341788727</v>
      </c>
      <c r="AA240" s="6">
        <f>('TE BE'!$AB$25+'TE BF'!$AB$25+'TE CVA'!$AB$25)*(1-CUSTOS!$M$38)</f>
        <v>233.96250973178988</v>
      </c>
      <c r="AB240" s="6">
        <f t="shared" si="16"/>
        <v>0</v>
      </c>
      <c r="AC240" s="6">
        <f>(L240-M240)*(W240+X240)+($W$170+$X$170-$W$240-$X$240)*(L240)</f>
        <v>7.6970000000000027</v>
      </c>
      <c r="AD240" s="6">
        <f t="shared" si="17"/>
        <v>0</v>
      </c>
      <c r="AE240" s="6">
        <f ca="1">(L240-M240)*(Z240+AA240)+($Z$170+$AA$170-$Z$240-$AA$240)*(L240)</f>
        <v>3.3768609137213419</v>
      </c>
      <c r="AF240" s="4" t="s">
        <v>649</v>
      </c>
    </row>
    <row r="241" spans="1:32" ht="11.25" customHeight="1" x14ac:dyDescent="0.25">
      <c r="A241" s="4" t="s">
        <v>21</v>
      </c>
      <c r="B241" s="4" t="s">
        <v>42</v>
      </c>
      <c r="C241" s="4" t="s">
        <v>23</v>
      </c>
      <c r="D241" s="4" t="s">
        <v>43</v>
      </c>
      <c r="E241" s="4" t="s">
        <v>52</v>
      </c>
      <c r="F241" s="4" t="s">
        <v>53</v>
      </c>
      <c r="G241" s="4" t="s">
        <v>25</v>
      </c>
      <c r="H241" s="4" t="s">
        <v>25</v>
      </c>
      <c r="I241" s="5">
        <v>44682</v>
      </c>
      <c r="J241" s="6">
        <v>0</v>
      </c>
      <c r="K241" s="6">
        <v>0</v>
      </c>
      <c r="L241" s="6">
        <v>5.8999999999999997E-2</v>
      </c>
      <c r="M241" s="6">
        <v>5.8999999999999997E-2</v>
      </c>
      <c r="N241" s="6">
        <v>5.8999999999999997E-2</v>
      </c>
      <c r="O241" s="6">
        <v>5.8999999999999997E-2</v>
      </c>
      <c r="P241" s="6">
        <v>0</v>
      </c>
      <c r="Q241" s="4" t="s">
        <v>26</v>
      </c>
      <c r="R241" s="4">
        <v>0</v>
      </c>
      <c r="S241" s="4">
        <v>0</v>
      </c>
      <c r="T241" s="4">
        <v>32</v>
      </c>
      <c r="U241" s="4">
        <v>56</v>
      </c>
      <c r="V241" s="6">
        <f>IF(ISERROR(VLOOKUP($S$241,'TAR FIN'!$A$1:$O$86,15,0)),0,VLOOKUP($S$241,'TAR FIN'!$A$1:$O$86,15,0))</f>
        <v>0</v>
      </c>
      <c r="W241" s="6">
        <f>IF(ISERROR(VLOOKUP($T$241,'TAR FIN'!$A$1:$O$86,15,0)),0,VLOOKUP($T$241,'TAR FIN'!$A$1:$O$86,15,0))</f>
        <v>287.75</v>
      </c>
      <c r="X241" s="6">
        <f>IF(ISERROR(VLOOKUP($U$241,'TAR FIN'!$A$1:$O$86,15,0)),0,VLOOKUP($U$241,'TAR FIN'!$A$1:$O$86,15,0))</f>
        <v>276.77999999999997</v>
      </c>
      <c r="Y241" s="6"/>
      <c r="Z241" s="6">
        <f ca="1">('TUSD BE'!$AM$33+'TUSD BF'!$AM$33+'TUSD CVA'!$AM$33)*(1-CUSTOS!$M$38)</f>
        <v>295.07903341788727</v>
      </c>
      <c r="AA241" s="6">
        <f>('TE BE'!$AB$25+'TE BF'!$AB$25+'TE CVA'!$AB$25)*(1-CUSTOS!$M$38)</f>
        <v>233.96250973178988</v>
      </c>
      <c r="AB241" s="6">
        <f t="shared" si="16"/>
        <v>0</v>
      </c>
      <c r="AC241" s="6">
        <f>(L241-M241)*(W241+X241)+($W$170+$X$170-$W$241-$X$241)*(L241)</f>
        <v>4.5412300000000014</v>
      </c>
      <c r="AD241" s="6">
        <f t="shared" si="17"/>
        <v>0</v>
      </c>
      <c r="AE241" s="6">
        <f ca="1">(L241-M241)*(Z241+AA241)+($Z$170+$AA$170-$Z$241-$AA$241)*(L241)</f>
        <v>1.9923479390955916</v>
      </c>
      <c r="AF241" s="4" t="s">
        <v>649</v>
      </c>
    </row>
    <row r="242" spans="1:32" ht="11.25" customHeight="1" x14ac:dyDescent="0.25">
      <c r="A242" s="4" t="s">
        <v>55</v>
      </c>
      <c r="B242" s="4" t="s">
        <v>42</v>
      </c>
      <c r="C242" s="4" t="s">
        <v>23</v>
      </c>
      <c r="D242" s="4" t="s">
        <v>43</v>
      </c>
      <c r="E242" s="4" t="s">
        <v>52</v>
      </c>
      <c r="F242" s="4" t="s">
        <v>53</v>
      </c>
      <c r="G242" s="4" t="s">
        <v>25</v>
      </c>
      <c r="H242" s="4" t="s">
        <v>25</v>
      </c>
      <c r="I242" s="5">
        <v>44713</v>
      </c>
      <c r="J242" s="6">
        <v>0</v>
      </c>
      <c r="K242" s="6">
        <v>0</v>
      </c>
      <c r="L242" s="6">
        <v>5.8999999999999997E-2</v>
      </c>
      <c r="M242" s="6">
        <v>5.8999999999999997E-2</v>
      </c>
      <c r="N242" s="6">
        <v>5.8999999999999997E-2</v>
      </c>
      <c r="O242" s="6">
        <v>5.8999999999999997E-2</v>
      </c>
      <c r="P242" s="6">
        <v>0</v>
      </c>
      <c r="Q242" s="4" t="s">
        <v>26</v>
      </c>
      <c r="R242" s="4">
        <v>0</v>
      </c>
      <c r="S242" s="4">
        <v>0</v>
      </c>
      <c r="T242" s="4">
        <v>32</v>
      </c>
      <c r="U242" s="4">
        <v>56</v>
      </c>
      <c r="V242" s="6">
        <f>IF(ISERROR(VLOOKUP($S$242,'TAR FIN'!$A$1:$O$86,15,0)),0,VLOOKUP($S$242,'TAR FIN'!$A$1:$O$86,15,0))</f>
        <v>0</v>
      </c>
      <c r="W242" s="6">
        <f>IF(ISERROR(VLOOKUP($T$242,'TAR FIN'!$A$1:$O$86,15,0)),0,VLOOKUP($T$242,'TAR FIN'!$A$1:$O$86,15,0))</f>
        <v>287.75</v>
      </c>
      <c r="X242" s="6">
        <f>IF(ISERROR(VLOOKUP($U$242,'TAR FIN'!$A$1:$O$86,15,0)),0,VLOOKUP($U$242,'TAR FIN'!$A$1:$O$86,15,0))</f>
        <v>276.77999999999997</v>
      </c>
      <c r="Y242" s="6"/>
      <c r="Z242" s="6">
        <f ca="1">('TUSD BE'!$AM$33+'TUSD BF'!$AM$33+'TUSD CVA'!$AM$33)*(1-CUSTOS!$M$38)</f>
        <v>295.07903341788727</v>
      </c>
      <c r="AA242" s="6">
        <f>('TE BE'!$AB$25+'TE BF'!$AB$25+'TE CVA'!$AB$25)*(1-CUSTOS!$M$38)</f>
        <v>233.96250973178988</v>
      </c>
      <c r="AB242" s="6">
        <f t="shared" si="16"/>
        <v>0</v>
      </c>
      <c r="AC242" s="6">
        <f>(L242-M242)*(W242+X242)+($W$170+$X$170-$W$242-$X$242)*(L242)</f>
        <v>4.5412300000000014</v>
      </c>
      <c r="AD242" s="6">
        <f t="shared" si="17"/>
        <v>0</v>
      </c>
      <c r="AE242" s="6">
        <f ca="1">(L242-M242)*(Z242+AA242)+($Z$170+$AA$170-$Z$242-$AA$242)*(L242)</f>
        <v>1.9923479390955916</v>
      </c>
      <c r="AF242" s="4" t="s">
        <v>649</v>
      </c>
    </row>
    <row r="243" spans="1:32" ht="11.25" customHeight="1" x14ac:dyDescent="0.25">
      <c r="A243" s="4" t="s">
        <v>21</v>
      </c>
      <c r="B243" s="4" t="s">
        <v>42</v>
      </c>
      <c r="C243" s="4" t="s">
        <v>23</v>
      </c>
      <c r="D243" s="4" t="s">
        <v>43</v>
      </c>
      <c r="E243" s="4" t="s">
        <v>52</v>
      </c>
      <c r="F243" s="4" t="s">
        <v>54</v>
      </c>
      <c r="G243" s="4" t="s">
        <v>25</v>
      </c>
      <c r="H243" s="4" t="s">
        <v>25</v>
      </c>
      <c r="I243" s="5">
        <v>44440</v>
      </c>
      <c r="J243" s="6">
        <v>0</v>
      </c>
      <c r="K243" s="6">
        <v>0</v>
      </c>
      <c r="L243" s="6">
        <v>4.1000000000000002E-2</v>
      </c>
      <c r="M243" s="6">
        <v>1.6400000000000001E-2</v>
      </c>
      <c r="N243" s="6">
        <v>4.1000000000000002E-2</v>
      </c>
      <c r="O243" s="6">
        <v>1.6400000000000001E-2</v>
      </c>
      <c r="P243" s="6">
        <v>0</v>
      </c>
      <c r="Q243" s="4" t="s">
        <v>26</v>
      </c>
      <c r="R243" s="4">
        <v>0</v>
      </c>
      <c r="S243" s="4">
        <v>0</v>
      </c>
      <c r="T243" s="4">
        <v>32</v>
      </c>
      <c r="U243" s="4">
        <v>56</v>
      </c>
      <c r="V243" s="6">
        <f>IF(ISERROR(VLOOKUP($S$243,'TAR FIN'!$A$1:$O$86,15,0)),0,VLOOKUP($S$243,'TAR FIN'!$A$1:$O$86,15,0))</f>
        <v>0</v>
      </c>
      <c r="W243" s="6">
        <f>IF(ISERROR(VLOOKUP($T$243,'TAR FIN'!$A$1:$O$86,15,0)),0,VLOOKUP($T$243,'TAR FIN'!$A$1:$O$86,15,0))</f>
        <v>287.75</v>
      </c>
      <c r="X243" s="6">
        <f>IF(ISERROR(VLOOKUP($U$243,'TAR FIN'!$A$1:$O$86,15,0)),0,VLOOKUP($U$243,'TAR FIN'!$A$1:$O$86,15,0))</f>
        <v>276.77999999999997</v>
      </c>
      <c r="Y243" s="6"/>
      <c r="Z243" s="6">
        <f ca="1">('TUSD BE'!$AM$33+'TUSD BF'!$AM$33+'TUSD CVA'!$AM$33)*(1-CUSTOS!$M$38)</f>
        <v>295.07903341788727</v>
      </c>
      <c r="AA243" s="6">
        <f>('TE BE'!$AB$25+'TE BF'!$AB$25+'TE CVA'!$AB$25)*(1-CUSTOS!$M$38)</f>
        <v>233.96250973178988</v>
      </c>
      <c r="AB243" s="6">
        <f t="shared" si="16"/>
        <v>0</v>
      </c>
      <c r="AC243" s="6">
        <f>(L243-M243)*(W243+X243)+($W$170+$X$170-$W$243-$X$243)*(L243)</f>
        <v>17.043208</v>
      </c>
      <c r="AD243" s="6">
        <f t="shared" si="17"/>
        <v>0</v>
      </c>
      <c r="AE243" s="6">
        <f ca="1">(L243-M243)*(Z243+AA243)+($Z$170+$AA$170-$Z$243-$AA$243)*(L243)</f>
        <v>14.398934936107809</v>
      </c>
      <c r="AF243" s="4" t="s">
        <v>650</v>
      </c>
    </row>
    <row r="244" spans="1:32" ht="11.25" customHeight="1" x14ac:dyDescent="0.25">
      <c r="A244" s="4" t="s">
        <v>21</v>
      </c>
      <c r="B244" s="4" t="s">
        <v>42</v>
      </c>
      <c r="C244" s="4" t="s">
        <v>23</v>
      </c>
      <c r="D244" s="4" t="s">
        <v>43</v>
      </c>
      <c r="E244" s="4" t="s">
        <v>52</v>
      </c>
      <c r="F244" s="4" t="s">
        <v>54</v>
      </c>
      <c r="G244" s="4" t="s">
        <v>25</v>
      </c>
      <c r="H244" s="4" t="s">
        <v>25</v>
      </c>
      <c r="I244" s="5">
        <v>44470</v>
      </c>
      <c r="J244" s="6">
        <v>0</v>
      </c>
      <c r="K244" s="6">
        <v>0</v>
      </c>
      <c r="L244" s="6">
        <v>4.1000000000000002E-2</v>
      </c>
      <c r="M244" s="6">
        <v>1.6400000000000001E-2</v>
      </c>
      <c r="N244" s="6">
        <v>4.1000000000000002E-2</v>
      </c>
      <c r="O244" s="6">
        <v>1.6400000000000001E-2</v>
      </c>
      <c r="P244" s="6">
        <v>0</v>
      </c>
      <c r="Q244" s="4" t="s">
        <v>26</v>
      </c>
      <c r="R244" s="4">
        <v>0</v>
      </c>
      <c r="S244" s="4">
        <v>0</v>
      </c>
      <c r="T244" s="4">
        <v>32</v>
      </c>
      <c r="U244" s="4">
        <v>56</v>
      </c>
      <c r="V244" s="6">
        <f>IF(ISERROR(VLOOKUP($S$244,'TAR FIN'!$A$1:$O$86,15,0)),0,VLOOKUP($S$244,'TAR FIN'!$A$1:$O$86,15,0))</f>
        <v>0</v>
      </c>
      <c r="W244" s="6">
        <f>IF(ISERROR(VLOOKUP($T$244,'TAR FIN'!$A$1:$O$86,15,0)),0,VLOOKUP($T$244,'TAR FIN'!$A$1:$O$86,15,0))</f>
        <v>287.75</v>
      </c>
      <c r="X244" s="6">
        <f>IF(ISERROR(VLOOKUP($U$244,'TAR FIN'!$A$1:$O$86,15,0)),0,VLOOKUP($U$244,'TAR FIN'!$A$1:$O$86,15,0))</f>
        <v>276.77999999999997</v>
      </c>
      <c r="Y244" s="6"/>
      <c r="Z244" s="6">
        <f ca="1">('TUSD BE'!$AM$33+'TUSD BF'!$AM$33+'TUSD CVA'!$AM$33)*(1-CUSTOS!$M$38)</f>
        <v>295.07903341788727</v>
      </c>
      <c r="AA244" s="6">
        <f>('TE BE'!$AB$25+'TE BF'!$AB$25+'TE CVA'!$AB$25)*(1-CUSTOS!$M$38)</f>
        <v>233.96250973178988</v>
      </c>
      <c r="AB244" s="6">
        <f t="shared" si="16"/>
        <v>0</v>
      </c>
      <c r="AC244" s="6">
        <f>(L244-M244)*(W244+X244)+($W$170+$X$170-$W$244-$X$244)*(L244)</f>
        <v>17.043208</v>
      </c>
      <c r="AD244" s="6">
        <f t="shared" si="17"/>
        <v>0</v>
      </c>
      <c r="AE244" s="6">
        <f ca="1">(L244-M244)*(Z244+AA244)+($Z$170+$AA$170-$Z$244-$AA$244)*(L244)</f>
        <v>14.398934936107809</v>
      </c>
      <c r="AF244" s="4" t="s">
        <v>650</v>
      </c>
    </row>
    <row r="245" spans="1:32" ht="11.25" customHeight="1" x14ac:dyDescent="0.25">
      <c r="A245" s="4" t="s">
        <v>21</v>
      </c>
      <c r="B245" s="4" t="s">
        <v>42</v>
      </c>
      <c r="C245" s="4" t="s">
        <v>23</v>
      </c>
      <c r="D245" s="4" t="s">
        <v>43</v>
      </c>
      <c r="E245" s="4" t="s">
        <v>52</v>
      </c>
      <c r="F245" s="4" t="s">
        <v>54</v>
      </c>
      <c r="G245" s="4" t="s">
        <v>25</v>
      </c>
      <c r="H245" s="4" t="s">
        <v>25</v>
      </c>
      <c r="I245" s="5">
        <v>44501</v>
      </c>
      <c r="J245" s="6">
        <v>0</v>
      </c>
      <c r="K245" s="6">
        <v>0</v>
      </c>
      <c r="L245" s="6">
        <v>1.1890000000000001</v>
      </c>
      <c r="M245" s="6">
        <v>0.47560000000000002</v>
      </c>
      <c r="N245" s="6">
        <v>1.1890000000000001</v>
      </c>
      <c r="O245" s="6">
        <v>0.47560000000000002</v>
      </c>
      <c r="P245" s="6">
        <v>0</v>
      </c>
      <c r="Q245" s="4" t="s">
        <v>26</v>
      </c>
      <c r="R245" s="4">
        <v>0</v>
      </c>
      <c r="S245" s="4">
        <v>0</v>
      </c>
      <c r="T245" s="4">
        <v>32</v>
      </c>
      <c r="U245" s="4">
        <v>56</v>
      </c>
      <c r="V245" s="6">
        <f>IF(ISERROR(VLOOKUP($S$245,'TAR FIN'!$A$1:$O$86,15,0)),0,VLOOKUP($S$245,'TAR FIN'!$A$1:$O$86,15,0))</f>
        <v>0</v>
      </c>
      <c r="W245" s="6">
        <f>IF(ISERROR(VLOOKUP($T$245,'TAR FIN'!$A$1:$O$86,15,0)),0,VLOOKUP($T$245,'TAR FIN'!$A$1:$O$86,15,0))</f>
        <v>287.75</v>
      </c>
      <c r="X245" s="6">
        <f>IF(ISERROR(VLOOKUP($U$245,'TAR FIN'!$A$1:$O$86,15,0)),0,VLOOKUP($U$245,'TAR FIN'!$A$1:$O$86,15,0))</f>
        <v>276.77999999999997</v>
      </c>
      <c r="Y245" s="6"/>
      <c r="Z245" s="6">
        <f ca="1">('TUSD BE'!$AM$33+'TUSD BF'!$AM$33+'TUSD CVA'!$AM$33)*(1-CUSTOS!$M$38)</f>
        <v>295.07903341788727</v>
      </c>
      <c r="AA245" s="6">
        <f>('TE BE'!$AB$25+'TE BF'!$AB$25+'TE CVA'!$AB$25)*(1-CUSTOS!$M$38)</f>
        <v>233.96250973178988</v>
      </c>
      <c r="AB245" s="6">
        <f t="shared" si="16"/>
        <v>0</v>
      </c>
      <c r="AC245" s="6">
        <f>(L245-M245)*(W245+X245)+($W$170+$X$170-$W$245-$X$245)*(L245)</f>
        <v>494.25303200000008</v>
      </c>
      <c r="AD245" s="6">
        <f t="shared" si="17"/>
        <v>0</v>
      </c>
      <c r="AE245" s="6">
        <f ca="1">(L245-M245)*(Z245+AA245)+($Z$170+$AA$170-$Z$245-$AA$245)*(L245)</f>
        <v>417.56911314712647</v>
      </c>
      <c r="AF245" s="4" t="s">
        <v>650</v>
      </c>
    </row>
    <row r="246" spans="1:32" ht="11.25" customHeight="1" x14ac:dyDescent="0.25">
      <c r="A246" s="4" t="s">
        <v>21</v>
      </c>
      <c r="B246" s="4" t="s">
        <v>42</v>
      </c>
      <c r="C246" s="4" t="s">
        <v>23</v>
      </c>
      <c r="D246" s="4" t="s">
        <v>43</v>
      </c>
      <c r="E246" s="4" t="s">
        <v>52</v>
      </c>
      <c r="F246" s="4" t="s">
        <v>54</v>
      </c>
      <c r="G246" s="4" t="s">
        <v>25</v>
      </c>
      <c r="H246" s="4" t="s">
        <v>25</v>
      </c>
      <c r="I246" s="5">
        <v>44531</v>
      </c>
      <c r="J246" s="6">
        <v>0</v>
      </c>
      <c r="K246" s="6">
        <v>0</v>
      </c>
      <c r="L246" s="6">
        <v>1.8859999999999999</v>
      </c>
      <c r="M246" s="6">
        <v>0.75439999999999996</v>
      </c>
      <c r="N246" s="6">
        <v>1.8859999999999999</v>
      </c>
      <c r="O246" s="6">
        <v>0.75439999999999996</v>
      </c>
      <c r="P246" s="6">
        <v>0</v>
      </c>
      <c r="Q246" s="4" t="s">
        <v>26</v>
      </c>
      <c r="R246" s="4">
        <v>0</v>
      </c>
      <c r="S246" s="4">
        <v>0</v>
      </c>
      <c r="T246" s="4">
        <v>32</v>
      </c>
      <c r="U246" s="4">
        <v>56</v>
      </c>
      <c r="V246" s="6">
        <f>IF(ISERROR(VLOOKUP($S$246,'TAR FIN'!$A$1:$O$86,15,0)),0,VLOOKUP($S$246,'TAR FIN'!$A$1:$O$86,15,0))</f>
        <v>0</v>
      </c>
      <c r="W246" s="6">
        <f>IF(ISERROR(VLOOKUP($T$246,'TAR FIN'!$A$1:$O$86,15,0)),0,VLOOKUP($T$246,'TAR FIN'!$A$1:$O$86,15,0))</f>
        <v>287.75</v>
      </c>
      <c r="X246" s="6">
        <f>IF(ISERROR(VLOOKUP($U$246,'TAR FIN'!$A$1:$O$86,15,0)),0,VLOOKUP($U$246,'TAR FIN'!$A$1:$O$86,15,0))</f>
        <v>276.77999999999997</v>
      </c>
      <c r="Y246" s="6"/>
      <c r="Z246" s="6">
        <f ca="1">('TUSD BE'!$AM$33+'TUSD BF'!$AM$33+'TUSD CVA'!$AM$33)*(1-CUSTOS!$M$38)</f>
        <v>295.07903341788727</v>
      </c>
      <c r="AA246" s="6">
        <f>('TE BE'!$AB$25+'TE BF'!$AB$25+'TE CVA'!$AB$25)*(1-CUSTOS!$M$38)</f>
        <v>233.96250973178988</v>
      </c>
      <c r="AB246" s="6">
        <f t="shared" si="16"/>
        <v>0</v>
      </c>
      <c r="AC246" s="6">
        <f>(L246-M246)*(W246+X246)+($W$170+$X$170-$W$246-$X$246)*(L246)</f>
        <v>783.98756800000001</v>
      </c>
      <c r="AD246" s="6">
        <f t="shared" si="17"/>
        <v>0</v>
      </c>
      <c r="AE246" s="6">
        <f ca="1">(L246-M246)*(Z246+AA246)+($Z$170+$AA$170-$Z$246-$AA$246)*(L246)</f>
        <v>662.3510070609592</v>
      </c>
      <c r="AF246" s="4" t="s">
        <v>650</v>
      </c>
    </row>
    <row r="247" spans="1:32" ht="11.25" customHeight="1" x14ac:dyDescent="0.25">
      <c r="A247" s="4" t="s">
        <v>21</v>
      </c>
      <c r="B247" s="4" t="s">
        <v>42</v>
      </c>
      <c r="C247" s="4" t="s">
        <v>23</v>
      </c>
      <c r="D247" s="4" t="s">
        <v>43</v>
      </c>
      <c r="E247" s="4" t="s">
        <v>52</v>
      </c>
      <c r="F247" s="4" t="s">
        <v>54</v>
      </c>
      <c r="G247" s="4" t="s">
        <v>25</v>
      </c>
      <c r="H247" s="4" t="s">
        <v>25</v>
      </c>
      <c r="I247" s="5">
        <v>44562</v>
      </c>
      <c r="J247" s="6">
        <v>0</v>
      </c>
      <c r="K247" s="6">
        <v>0</v>
      </c>
      <c r="L247" s="6">
        <v>1.927</v>
      </c>
      <c r="M247" s="6">
        <v>0.77080000000000004</v>
      </c>
      <c r="N247" s="6">
        <v>1.927</v>
      </c>
      <c r="O247" s="6">
        <v>0.77080000000000004</v>
      </c>
      <c r="P247" s="6">
        <v>0</v>
      </c>
      <c r="Q247" s="4" t="s">
        <v>26</v>
      </c>
      <c r="R247" s="4">
        <v>0</v>
      </c>
      <c r="S247" s="4">
        <v>0</v>
      </c>
      <c r="T247" s="4">
        <v>32</v>
      </c>
      <c r="U247" s="4">
        <v>56</v>
      </c>
      <c r="V247" s="6">
        <f>IF(ISERROR(VLOOKUP($S$247,'TAR FIN'!$A$1:$O$86,15,0)),0,VLOOKUP($S$247,'TAR FIN'!$A$1:$O$86,15,0))</f>
        <v>0</v>
      </c>
      <c r="W247" s="6">
        <f>IF(ISERROR(VLOOKUP($T$247,'TAR FIN'!$A$1:$O$86,15,0)),0,VLOOKUP($T$247,'TAR FIN'!$A$1:$O$86,15,0))</f>
        <v>287.75</v>
      </c>
      <c r="X247" s="6">
        <f>IF(ISERROR(VLOOKUP($U$247,'TAR FIN'!$A$1:$O$86,15,0)),0,VLOOKUP($U$247,'TAR FIN'!$A$1:$O$86,15,0))</f>
        <v>276.77999999999997</v>
      </c>
      <c r="Y247" s="6"/>
      <c r="Z247" s="6">
        <f ca="1">('TUSD BE'!$AM$33+'TUSD BF'!$AM$33+'TUSD CVA'!$AM$33)*(1-CUSTOS!$M$38)</f>
        <v>295.07903341788727</v>
      </c>
      <c r="AA247" s="6">
        <f>('TE BE'!$AB$25+'TE BF'!$AB$25+'TE CVA'!$AB$25)*(1-CUSTOS!$M$38)</f>
        <v>233.96250973178988</v>
      </c>
      <c r="AB247" s="6">
        <f t="shared" si="16"/>
        <v>0</v>
      </c>
      <c r="AC247" s="6">
        <f>(L247-M247)*(W247+X247)+($W$170+$X$170-$W$247-$X$247)*(L247)</f>
        <v>801.03077600000006</v>
      </c>
      <c r="AD247" s="6">
        <f t="shared" si="17"/>
        <v>0</v>
      </c>
      <c r="AE247" s="6">
        <f ca="1">(L247-M247)*(Z247+AA247)+($Z$170+$AA$170-$Z$247-$AA$247)*(L247)</f>
        <v>676.74994199706703</v>
      </c>
      <c r="AF247" s="4" t="s">
        <v>650</v>
      </c>
    </row>
    <row r="248" spans="1:32" ht="11.25" customHeight="1" x14ac:dyDescent="0.25">
      <c r="A248" s="4" t="s">
        <v>21</v>
      </c>
      <c r="B248" s="4" t="s">
        <v>42</v>
      </c>
      <c r="C248" s="4" t="s">
        <v>23</v>
      </c>
      <c r="D248" s="4" t="s">
        <v>43</v>
      </c>
      <c r="E248" s="4" t="s">
        <v>52</v>
      </c>
      <c r="F248" s="4" t="s">
        <v>54</v>
      </c>
      <c r="G248" s="4" t="s">
        <v>25</v>
      </c>
      <c r="H248" s="4" t="s">
        <v>25</v>
      </c>
      <c r="I248" s="5">
        <v>44682</v>
      </c>
      <c r="J248" s="6">
        <v>0</v>
      </c>
      <c r="K248" s="6">
        <v>0</v>
      </c>
      <c r="L248" s="6">
        <v>4.1000000000000002E-2</v>
      </c>
      <c r="M248" s="6">
        <v>1.6400000000000001E-2</v>
      </c>
      <c r="N248" s="6">
        <v>4.1000000000000002E-2</v>
      </c>
      <c r="O248" s="6">
        <v>1.6400000000000001E-2</v>
      </c>
      <c r="P248" s="6">
        <v>0</v>
      </c>
      <c r="Q248" s="4" t="s">
        <v>26</v>
      </c>
      <c r="R248" s="4">
        <v>0</v>
      </c>
      <c r="S248" s="4">
        <v>0</v>
      </c>
      <c r="T248" s="4">
        <v>32</v>
      </c>
      <c r="U248" s="4">
        <v>56</v>
      </c>
      <c r="V248" s="6">
        <f>IF(ISERROR(VLOOKUP($S$248,'TAR FIN'!$A$1:$O$86,15,0)),0,VLOOKUP($S$248,'TAR FIN'!$A$1:$O$86,15,0))</f>
        <v>0</v>
      </c>
      <c r="W248" s="6">
        <f>IF(ISERROR(VLOOKUP($T$248,'TAR FIN'!$A$1:$O$86,15,0)),0,VLOOKUP($T$248,'TAR FIN'!$A$1:$O$86,15,0))</f>
        <v>287.75</v>
      </c>
      <c r="X248" s="6">
        <f>IF(ISERROR(VLOOKUP($U$248,'TAR FIN'!$A$1:$O$86,15,0)),0,VLOOKUP($U$248,'TAR FIN'!$A$1:$O$86,15,0))</f>
        <v>276.77999999999997</v>
      </c>
      <c r="Y248" s="6"/>
      <c r="Z248" s="6">
        <f ca="1">('TUSD BE'!$AM$33+'TUSD BF'!$AM$33+'TUSD CVA'!$AM$33)*(1-CUSTOS!$M$38)</f>
        <v>295.07903341788727</v>
      </c>
      <c r="AA248" s="6">
        <f>('TE BE'!$AB$25+'TE BF'!$AB$25+'TE CVA'!$AB$25)*(1-CUSTOS!$M$38)</f>
        <v>233.96250973178988</v>
      </c>
      <c r="AB248" s="6">
        <f t="shared" si="16"/>
        <v>0</v>
      </c>
      <c r="AC248" s="6">
        <f>(L248-M248)*(W248+X248)+($W$170+$X$170-$W$248-$X$248)*(L248)</f>
        <v>17.043208</v>
      </c>
      <c r="AD248" s="6">
        <f t="shared" si="17"/>
        <v>0</v>
      </c>
      <c r="AE248" s="6">
        <f ca="1">(L248-M248)*(Z248+AA248)+($Z$170+$AA$170-$Z$248-$AA$248)*(L248)</f>
        <v>14.398934936107809</v>
      </c>
      <c r="AF248" s="4" t="s">
        <v>650</v>
      </c>
    </row>
    <row r="249" spans="1:32" ht="11.25" customHeight="1" x14ac:dyDescent="0.25">
      <c r="A249" s="4" t="s">
        <v>55</v>
      </c>
      <c r="B249" s="4" t="s">
        <v>42</v>
      </c>
      <c r="C249" s="4" t="s">
        <v>23</v>
      </c>
      <c r="D249" s="4" t="s">
        <v>43</v>
      </c>
      <c r="E249" s="4" t="s">
        <v>52</v>
      </c>
      <c r="F249" s="4" t="s">
        <v>54</v>
      </c>
      <c r="G249" s="4" t="s">
        <v>25</v>
      </c>
      <c r="H249" s="4" t="s">
        <v>25</v>
      </c>
      <c r="I249" s="5">
        <v>44713</v>
      </c>
      <c r="J249" s="6">
        <v>0</v>
      </c>
      <c r="K249" s="6">
        <v>0</v>
      </c>
      <c r="L249" s="6">
        <v>4.1000000000000002E-2</v>
      </c>
      <c r="M249" s="6">
        <v>1.6400000000000001E-2</v>
      </c>
      <c r="N249" s="6">
        <v>4.1000000000000002E-2</v>
      </c>
      <c r="O249" s="6">
        <v>1.6400000000000001E-2</v>
      </c>
      <c r="P249" s="6">
        <v>0</v>
      </c>
      <c r="Q249" s="4" t="s">
        <v>26</v>
      </c>
      <c r="R249" s="4">
        <v>0</v>
      </c>
      <c r="S249" s="4">
        <v>0</v>
      </c>
      <c r="T249" s="4">
        <v>32</v>
      </c>
      <c r="U249" s="4">
        <v>56</v>
      </c>
      <c r="V249" s="6">
        <f>IF(ISERROR(VLOOKUP($S$249,'TAR FIN'!$A$1:$O$86,15,0)),0,VLOOKUP($S$249,'TAR FIN'!$A$1:$O$86,15,0))</f>
        <v>0</v>
      </c>
      <c r="W249" s="6">
        <f>IF(ISERROR(VLOOKUP($T$249,'TAR FIN'!$A$1:$O$86,15,0)),0,VLOOKUP($T$249,'TAR FIN'!$A$1:$O$86,15,0))</f>
        <v>287.75</v>
      </c>
      <c r="X249" s="6">
        <f>IF(ISERROR(VLOOKUP($U$249,'TAR FIN'!$A$1:$O$86,15,0)),0,VLOOKUP($U$249,'TAR FIN'!$A$1:$O$86,15,0))</f>
        <v>276.77999999999997</v>
      </c>
      <c r="Y249" s="6"/>
      <c r="Z249" s="6">
        <f ca="1">('TUSD BE'!$AM$33+'TUSD BF'!$AM$33+'TUSD CVA'!$AM$33)*(1-CUSTOS!$M$38)</f>
        <v>295.07903341788727</v>
      </c>
      <c r="AA249" s="6">
        <f>('TE BE'!$AB$25+'TE BF'!$AB$25+'TE CVA'!$AB$25)*(1-CUSTOS!$M$38)</f>
        <v>233.96250973178988</v>
      </c>
      <c r="AB249" s="6">
        <f t="shared" si="16"/>
        <v>0</v>
      </c>
      <c r="AC249" s="6">
        <f>(L249-M249)*(W249+X249)+($W$170+$X$170-$W$249-$X$249)*(L249)</f>
        <v>17.043208</v>
      </c>
      <c r="AD249" s="6">
        <f t="shared" si="17"/>
        <v>0</v>
      </c>
      <c r="AE249" s="6">
        <f ca="1">(L249-M249)*(Z249+AA249)+($Z$170+$AA$170-$Z$249-$AA$249)*(L249)</f>
        <v>14.398934936107809</v>
      </c>
      <c r="AF249" s="4" t="s">
        <v>650</v>
      </c>
    </row>
    <row r="250" spans="1:32" ht="11.25" customHeight="1" x14ac:dyDescent="0.25">
      <c r="A250" s="4" t="s">
        <v>21</v>
      </c>
      <c r="B250" s="4" t="s">
        <v>42</v>
      </c>
      <c r="C250" s="4" t="s">
        <v>23</v>
      </c>
      <c r="D250" s="4" t="s">
        <v>43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44378</v>
      </c>
      <c r="J250" s="6">
        <v>0</v>
      </c>
      <c r="K250" s="6">
        <v>0</v>
      </c>
      <c r="L250" s="6">
        <v>131.71799999999999</v>
      </c>
      <c r="M250" s="6">
        <v>131.71799999999999</v>
      </c>
      <c r="N250" s="6">
        <v>131.71799999999999</v>
      </c>
      <c r="O250" s="6">
        <v>131.71799999999999</v>
      </c>
      <c r="P250" s="6">
        <v>208</v>
      </c>
      <c r="Q250" s="4" t="s">
        <v>26</v>
      </c>
      <c r="R250" s="4">
        <v>0</v>
      </c>
      <c r="S250" s="4">
        <v>0</v>
      </c>
      <c r="T250" s="4">
        <v>32</v>
      </c>
      <c r="U250" s="4">
        <v>56</v>
      </c>
      <c r="V250" s="6">
        <f>IF(ISERROR(VLOOKUP($S$250,'TAR FIN'!$A$1:$O$86,15,0)),0,VLOOKUP($S$250,'TAR FIN'!$A$1:$O$86,15,0))</f>
        <v>0</v>
      </c>
      <c r="W250" s="6">
        <f>IF(ISERROR(VLOOKUP($T$250,'TAR FIN'!$A$1:$O$86,15,0)),0,VLOOKUP($T$250,'TAR FIN'!$A$1:$O$86,15,0))</f>
        <v>287.75</v>
      </c>
      <c r="X250" s="6">
        <f>IF(ISERROR(VLOOKUP($U$250,'TAR FIN'!$A$1:$O$86,15,0)),0,VLOOKUP($U$250,'TAR FIN'!$A$1:$O$86,15,0))</f>
        <v>276.77999999999997</v>
      </c>
      <c r="Y250" s="6"/>
      <c r="Z250" s="6">
        <f ca="1">('TUSD BE'!$AM$33+'TUSD BF'!$AM$33+'TUSD CVA'!$AM$33)*(1-CUSTOS!$M$38)</f>
        <v>295.07903341788727</v>
      </c>
      <c r="AA250" s="6">
        <f>('TE BE'!$AB$25+'TE BF'!$AB$25+'TE CVA'!$AB$25)*(1-CUSTOS!$M$38)</f>
        <v>233.96250973178988</v>
      </c>
      <c r="AB250" s="6">
        <f t="shared" si="16"/>
        <v>0</v>
      </c>
      <c r="AC250" s="6">
        <f>(L250-M250)*(W250+X250)+($W$170+$X$170-$W$250-$X$250)*(L250)</f>
        <v>10138.334460000004</v>
      </c>
      <c r="AD250" s="6">
        <f t="shared" si="17"/>
        <v>0</v>
      </c>
      <c r="AE250" s="6">
        <f ca="1">(L250-M250)*(Z250+AA250)+($Z$170+$AA$170-$Z$250-$AA$250)*(L250)</f>
        <v>4447.9336583354761</v>
      </c>
      <c r="AF250" s="4" t="s">
        <v>649</v>
      </c>
    </row>
    <row r="251" spans="1:32" ht="11.25" customHeight="1" x14ac:dyDescent="0.25">
      <c r="A251" s="4" t="s">
        <v>21</v>
      </c>
      <c r="B251" s="4" t="s">
        <v>42</v>
      </c>
      <c r="C251" s="4" t="s">
        <v>23</v>
      </c>
      <c r="D251" s="4" t="s">
        <v>43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44409</v>
      </c>
      <c r="J251" s="6">
        <v>0</v>
      </c>
      <c r="K251" s="6">
        <v>0</v>
      </c>
      <c r="L251" s="6">
        <v>123.667</v>
      </c>
      <c r="M251" s="6">
        <v>123.667</v>
      </c>
      <c r="N251" s="6">
        <v>123.667</v>
      </c>
      <c r="O251" s="6">
        <v>123.667</v>
      </c>
      <c r="P251" s="6">
        <v>207</v>
      </c>
      <c r="Q251" s="4" t="s">
        <v>26</v>
      </c>
      <c r="R251" s="4">
        <v>0</v>
      </c>
      <c r="S251" s="4">
        <v>0</v>
      </c>
      <c r="T251" s="4">
        <v>32</v>
      </c>
      <c r="U251" s="4">
        <v>56</v>
      </c>
      <c r="V251" s="6">
        <f>IF(ISERROR(VLOOKUP($S$251,'TAR FIN'!$A$1:$O$86,15,0)),0,VLOOKUP($S$251,'TAR FIN'!$A$1:$O$86,15,0))</f>
        <v>0</v>
      </c>
      <c r="W251" s="6">
        <f>IF(ISERROR(VLOOKUP($T$251,'TAR FIN'!$A$1:$O$86,15,0)),0,VLOOKUP($T$251,'TAR FIN'!$A$1:$O$86,15,0))</f>
        <v>287.75</v>
      </c>
      <c r="X251" s="6">
        <f>IF(ISERROR(VLOOKUP($U$251,'TAR FIN'!$A$1:$O$86,15,0)),0,VLOOKUP($U$251,'TAR FIN'!$A$1:$O$86,15,0))</f>
        <v>276.77999999999997</v>
      </c>
      <c r="Y251" s="6"/>
      <c r="Z251" s="6">
        <f ca="1">('TUSD BE'!$AM$33+'TUSD BF'!$AM$33+'TUSD CVA'!$AM$33)*(1-CUSTOS!$M$38)</f>
        <v>295.07903341788727</v>
      </c>
      <c r="AA251" s="6">
        <f>('TE BE'!$AB$25+'TE BF'!$AB$25+'TE CVA'!$AB$25)*(1-CUSTOS!$M$38)</f>
        <v>233.96250973178988</v>
      </c>
      <c r="AB251" s="6">
        <f t="shared" si="16"/>
        <v>0</v>
      </c>
      <c r="AC251" s="6">
        <f>(L251-M251)*(W251+X251)+($W$170+$X$170-$W$251-$X$251)*(L251)</f>
        <v>9518.6489900000033</v>
      </c>
      <c r="AD251" s="6">
        <f t="shared" si="17"/>
        <v>0</v>
      </c>
      <c r="AE251" s="6">
        <f ca="1">(L251-M251)*(Z251+AA251)+($Z$170+$AA$170-$Z$251-$AA$251)*(L251)</f>
        <v>4176.0625861717717</v>
      </c>
      <c r="AF251" s="4" t="s">
        <v>649</v>
      </c>
    </row>
    <row r="252" spans="1:32" ht="11.25" customHeight="1" x14ac:dyDescent="0.25">
      <c r="A252" s="4" t="s">
        <v>21</v>
      </c>
      <c r="B252" s="4" t="s">
        <v>42</v>
      </c>
      <c r="C252" s="4" t="s">
        <v>23</v>
      </c>
      <c r="D252" s="4" t="s">
        <v>43</v>
      </c>
      <c r="E252" s="4" t="s">
        <v>25</v>
      </c>
      <c r="F252" s="4" t="s">
        <v>25</v>
      </c>
      <c r="G252" s="4" t="s">
        <v>25</v>
      </c>
      <c r="H252" s="4" t="s">
        <v>25</v>
      </c>
      <c r="I252" s="5">
        <v>44440</v>
      </c>
      <c r="J252" s="6">
        <v>0</v>
      </c>
      <c r="K252" s="6">
        <v>0</v>
      </c>
      <c r="L252" s="6">
        <v>134.45599999999999</v>
      </c>
      <c r="M252" s="6">
        <v>134.45599999999999</v>
      </c>
      <c r="N252" s="6">
        <v>134.45599999999999</v>
      </c>
      <c r="O252" s="6">
        <v>134.45599999999999</v>
      </c>
      <c r="P252" s="6">
        <v>207</v>
      </c>
      <c r="Q252" s="4" t="s">
        <v>26</v>
      </c>
      <c r="R252" s="4">
        <v>0</v>
      </c>
      <c r="S252" s="4">
        <v>0</v>
      </c>
      <c r="T252" s="4">
        <v>32</v>
      </c>
      <c r="U252" s="4">
        <v>56</v>
      </c>
      <c r="V252" s="6">
        <f>IF(ISERROR(VLOOKUP($S$252,'TAR FIN'!$A$1:$O$86,15,0)),0,VLOOKUP($S$252,'TAR FIN'!$A$1:$O$86,15,0))</f>
        <v>0</v>
      </c>
      <c r="W252" s="6">
        <f>IF(ISERROR(VLOOKUP($T$252,'TAR FIN'!$A$1:$O$86,15,0)),0,VLOOKUP($T$252,'TAR FIN'!$A$1:$O$86,15,0))</f>
        <v>287.75</v>
      </c>
      <c r="X252" s="6">
        <f>IF(ISERROR(VLOOKUP($U$252,'TAR FIN'!$A$1:$O$86,15,0)),0,VLOOKUP($U$252,'TAR FIN'!$A$1:$O$86,15,0))</f>
        <v>276.77999999999997</v>
      </c>
      <c r="Y252" s="6"/>
      <c r="Z252" s="6">
        <f ca="1">('TUSD BE'!$AM$33+'TUSD BF'!$AM$33+'TUSD CVA'!$AM$33)*(1-CUSTOS!$M$38)</f>
        <v>295.07903341788727</v>
      </c>
      <c r="AA252" s="6">
        <f>('TE BE'!$AB$25+'TE BF'!$AB$25+'TE CVA'!$AB$25)*(1-CUSTOS!$M$38)</f>
        <v>233.96250973178988</v>
      </c>
      <c r="AB252" s="6">
        <f t="shared" si="16"/>
        <v>0</v>
      </c>
      <c r="AC252" s="6">
        <f>(L252-M252)*(W252+X252)+($W$170+$X$170-$W$252-$X$252)*(L252)</f>
        <v>10349.078320000002</v>
      </c>
      <c r="AD252" s="6">
        <f t="shared" si="17"/>
        <v>0</v>
      </c>
      <c r="AE252" s="6">
        <f ca="1">(L252-M252)*(Z252+AA252)+($Z$170+$AA$170-$Z$252-$AA$252)*(L252)</f>
        <v>4540.3921101531669</v>
      </c>
      <c r="AF252" s="4" t="s">
        <v>649</v>
      </c>
    </row>
    <row r="253" spans="1:32" ht="11.25" customHeight="1" x14ac:dyDescent="0.25">
      <c r="A253" s="4" t="s">
        <v>21</v>
      </c>
      <c r="B253" s="4" t="s">
        <v>42</v>
      </c>
      <c r="C253" s="4" t="s">
        <v>23</v>
      </c>
      <c r="D253" s="4" t="s">
        <v>43</v>
      </c>
      <c r="E253" s="4" t="s">
        <v>25</v>
      </c>
      <c r="F253" s="4" t="s">
        <v>25</v>
      </c>
      <c r="G253" s="4" t="s">
        <v>25</v>
      </c>
      <c r="H253" s="4" t="s">
        <v>25</v>
      </c>
      <c r="I253" s="5">
        <v>44470</v>
      </c>
      <c r="J253" s="6">
        <v>0</v>
      </c>
      <c r="K253" s="6">
        <v>0</v>
      </c>
      <c r="L253" s="6">
        <v>126.17400000000001</v>
      </c>
      <c r="M253" s="6">
        <v>126.17400000000001</v>
      </c>
      <c r="N253" s="6">
        <v>126.17400000000001</v>
      </c>
      <c r="O253" s="6">
        <v>126.17400000000001</v>
      </c>
      <c r="P253" s="6">
        <v>207</v>
      </c>
      <c r="Q253" s="4" t="s">
        <v>26</v>
      </c>
      <c r="R253" s="4">
        <v>0</v>
      </c>
      <c r="S253" s="4">
        <v>0</v>
      </c>
      <c r="T253" s="4">
        <v>32</v>
      </c>
      <c r="U253" s="4">
        <v>56</v>
      </c>
      <c r="V253" s="6">
        <f>IF(ISERROR(VLOOKUP($S$253,'TAR FIN'!$A$1:$O$86,15,0)),0,VLOOKUP($S$253,'TAR FIN'!$A$1:$O$86,15,0))</f>
        <v>0</v>
      </c>
      <c r="W253" s="6">
        <f>IF(ISERROR(VLOOKUP($T$253,'TAR FIN'!$A$1:$O$86,15,0)),0,VLOOKUP($T$253,'TAR FIN'!$A$1:$O$86,15,0))</f>
        <v>287.75</v>
      </c>
      <c r="X253" s="6">
        <f>IF(ISERROR(VLOOKUP($U$253,'TAR FIN'!$A$1:$O$86,15,0)),0,VLOOKUP($U$253,'TAR FIN'!$A$1:$O$86,15,0))</f>
        <v>276.77999999999997</v>
      </c>
      <c r="Y253" s="6"/>
      <c r="Z253" s="6">
        <f ca="1">('TUSD BE'!$AM$33+'TUSD BF'!$AM$33+'TUSD CVA'!$AM$33)*(1-CUSTOS!$M$38)</f>
        <v>295.07903341788727</v>
      </c>
      <c r="AA253" s="6">
        <f>('TE BE'!$AB$25+'TE BF'!$AB$25+'TE CVA'!$AB$25)*(1-CUSTOS!$M$38)</f>
        <v>233.96250973178988</v>
      </c>
      <c r="AB253" s="6">
        <f t="shared" si="16"/>
        <v>0</v>
      </c>
      <c r="AC253" s="6">
        <f>(L253-M253)*(W253+X253)+($W$170+$X$170-$W$253-$X$253)*(L253)</f>
        <v>9711.6127800000031</v>
      </c>
      <c r="AD253" s="6">
        <f t="shared" si="17"/>
        <v>0</v>
      </c>
      <c r="AE253" s="6">
        <f ca="1">(L253-M253)*(Z253+AA253)+($Z$170+$AA$170-$Z$253-$AA$253)*(L253)</f>
        <v>4260.7204892787659</v>
      </c>
      <c r="AF253" s="4" t="s">
        <v>649</v>
      </c>
    </row>
    <row r="254" spans="1:32" ht="11.25" customHeight="1" x14ac:dyDescent="0.25">
      <c r="A254" s="4" t="s">
        <v>27</v>
      </c>
      <c r="B254" s="4" t="s">
        <v>42</v>
      </c>
      <c r="C254" s="4" t="s">
        <v>23</v>
      </c>
      <c r="D254" s="4" t="s">
        <v>43</v>
      </c>
      <c r="E254" s="4" t="s">
        <v>25</v>
      </c>
      <c r="F254" s="4" t="s">
        <v>25</v>
      </c>
      <c r="G254" s="4" t="s">
        <v>25</v>
      </c>
      <c r="H254" s="4" t="s">
        <v>25</v>
      </c>
      <c r="I254" s="5">
        <v>44470</v>
      </c>
      <c r="J254" s="6">
        <v>0</v>
      </c>
      <c r="K254" s="6">
        <v>0</v>
      </c>
      <c r="L254" s="6">
        <v>0.05</v>
      </c>
      <c r="M254" s="6">
        <v>0.05</v>
      </c>
      <c r="N254" s="6">
        <v>0.05</v>
      </c>
      <c r="O254" s="6">
        <v>0.05</v>
      </c>
      <c r="P254" s="6">
        <v>1</v>
      </c>
      <c r="Q254" s="4" t="s">
        <v>26</v>
      </c>
      <c r="R254" s="4">
        <v>0</v>
      </c>
      <c r="S254" s="4">
        <v>0</v>
      </c>
      <c r="T254" s="4">
        <v>32</v>
      </c>
      <c r="U254" s="4">
        <v>56</v>
      </c>
      <c r="V254" s="6">
        <f>IF(ISERROR(VLOOKUP($S$254,'TAR FIN'!$A$1:$O$86,15,0)),0,VLOOKUP($S$254,'TAR FIN'!$A$1:$O$86,15,0))</f>
        <v>0</v>
      </c>
      <c r="W254" s="6">
        <f>IF(ISERROR(VLOOKUP($T$254,'TAR FIN'!$A$1:$O$86,15,0)),0,VLOOKUP($T$254,'TAR FIN'!$A$1:$O$86,15,0))</f>
        <v>287.75</v>
      </c>
      <c r="X254" s="6">
        <f>IF(ISERROR(VLOOKUP($U$254,'TAR FIN'!$A$1:$O$86,15,0)),0,VLOOKUP($U$254,'TAR FIN'!$A$1:$O$86,15,0))</f>
        <v>276.77999999999997</v>
      </c>
      <c r="Y254" s="6"/>
      <c r="Z254" s="6">
        <f ca="1">('TUSD BE'!$AM$33+'TUSD BF'!$AM$33+'TUSD CVA'!$AM$33)*(1-CUSTOS!$M$38)</f>
        <v>295.07903341788727</v>
      </c>
      <c r="AA254" s="6">
        <f>('TE BE'!$AB$25+'TE BF'!$AB$25+'TE CVA'!$AB$25)*(1-CUSTOS!$M$38)</f>
        <v>233.96250973178988</v>
      </c>
      <c r="AB254" s="6">
        <f t="shared" si="16"/>
        <v>0</v>
      </c>
      <c r="AC254" s="6">
        <f>(L254-M254)*(W254+X254)+($W$170+$X$170-$W$254-$X$254)*(L254)</f>
        <v>3.8485000000000014</v>
      </c>
      <c r="AD254" s="6">
        <f t="shared" si="17"/>
        <v>0</v>
      </c>
      <c r="AE254" s="6">
        <f ca="1">(L254-M254)*(Z254+AA254)+($Z$170+$AA$170-$Z$254-$AA$254)*(L254)</f>
        <v>1.6884304568606709</v>
      </c>
      <c r="AF254" s="4" t="s">
        <v>649</v>
      </c>
    </row>
    <row r="255" spans="1:32" ht="11.25" customHeight="1" x14ac:dyDescent="0.25">
      <c r="A255" s="4" t="s">
        <v>21</v>
      </c>
      <c r="B255" s="4" t="s">
        <v>42</v>
      </c>
      <c r="C255" s="4" t="s">
        <v>23</v>
      </c>
      <c r="D255" s="4" t="s">
        <v>43</v>
      </c>
      <c r="E255" s="4" t="s">
        <v>25</v>
      </c>
      <c r="F255" s="4" t="s">
        <v>25</v>
      </c>
      <c r="G255" s="4" t="s">
        <v>25</v>
      </c>
      <c r="H255" s="4" t="s">
        <v>25</v>
      </c>
      <c r="I255" s="5">
        <v>44501</v>
      </c>
      <c r="J255" s="6">
        <v>0</v>
      </c>
      <c r="K255" s="6">
        <v>0</v>
      </c>
      <c r="L255" s="6">
        <v>154.369</v>
      </c>
      <c r="M255" s="6">
        <v>154.369</v>
      </c>
      <c r="N255" s="6">
        <v>154.369</v>
      </c>
      <c r="O255" s="6">
        <v>154.369</v>
      </c>
      <c r="P255" s="6">
        <v>205</v>
      </c>
      <c r="Q255" s="4" t="s">
        <v>26</v>
      </c>
      <c r="R255" s="4">
        <v>0</v>
      </c>
      <c r="S255" s="4">
        <v>0</v>
      </c>
      <c r="T255" s="4">
        <v>32</v>
      </c>
      <c r="U255" s="4">
        <v>56</v>
      </c>
      <c r="V255" s="6">
        <f>IF(ISERROR(VLOOKUP($S$255,'TAR FIN'!$A$1:$O$86,15,0)),0,VLOOKUP($S$255,'TAR FIN'!$A$1:$O$86,15,0))</f>
        <v>0</v>
      </c>
      <c r="W255" s="6">
        <f>IF(ISERROR(VLOOKUP($T$255,'TAR FIN'!$A$1:$O$86,15,0)),0,VLOOKUP($T$255,'TAR FIN'!$A$1:$O$86,15,0))</f>
        <v>287.75</v>
      </c>
      <c r="X255" s="6">
        <f>IF(ISERROR(VLOOKUP($U$255,'TAR FIN'!$A$1:$O$86,15,0)),0,VLOOKUP($U$255,'TAR FIN'!$A$1:$O$86,15,0))</f>
        <v>276.77999999999997</v>
      </c>
      <c r="Y255" s="6"/>
      <c r="Z255" s="6">
        <f ca="1">('TUSD BE'!$AM$33+'TUSD BF'!$AM$33+'TUSD CVA'!$AM$33)*(1-CUSTOS!$M$38)</f>
        <v>295.07903341788727</v>
      </c>
      <c r="AA255" s="6">
        <f>('TE BE'!$AB$25+'TE BF'!$AB$25+'TE CVA'!$AB$25)*(1-CUSTOS!$M$38)</f>
        <v>233.96250973178988</v>
      </c>
      <c r="AB255" s="6">
        <f t="shared" si="16"/>
        <v>0</v>
      </c>
      <c r="AC255" s="6">
        <f>(L255-M255)*(W255+X255)+($W$170+$X$170-$W$255-$X$255)*(L255)</f>
        <v>11881.781930000005</v>
      </c>
      <c r="AD255" s="6">
        <f t="shared" si="17"/>
        <v>0</v>
      </c>
      <c r="AE255" s="6">
        <f ca="1">(L255-M255)*(Z255+AA255)+($Z$170+$AA$170-$Z$255-$AA$255)*(L255)</f>
        <v>5212.8264239024984</v>
      </c>
      <c r="AF255" s="4" t="s">
        <v>649</v>
      </c>
    </row>
    <row r="256" spans="1:32" ht="11.25" customHeight="1" x14ac:dyDescent="0.25">
      <c r="A256" s="4" t="s">
        <v>27</v>
      </c>
      <c r="B256" s="4" t="s">
        <v>42</v>
      </c>
      <c r="C256" s="4" t="s">
        <v>23</v>
      </c>
      <c r="D256" s="4" t="s">
        <v>43</v>
      </c>
      <c r="E256" s="4" t="s">
        <v>25</v>
      </c>
      <c r="F256" s="4" t="s">
        <v>25</v>
      </c>
      <c r="G256" s="4" t="s">
        <v>25</v>
      </c>
      <c r="H256" s="4" t="s">
        <v>25</v>
      </c>
      <c r="I256" s="5">
        <v>44501</v>
      </c>
      <c r="J256" s="6">
        <v>0</v>
      </c>
      <c r="K256" s="6">
        <v>0</v>
      </c>
      <c r="L256" s="6">
        <v>0.21</v>
      </c>
      <c r="M256" s="6">
        <v>0.21</v>
      </c>
      <c r="N256" s="6">
        <v>0.21</v>
      </c>
      <c r="O256" s="6">
        <v>0.21</v>
      </c>
      <c r="P256" s="6">
        <v>2</v>
      </c>
      <c r="Q256" s="4" t="s">
        <v>26</v>
      </c>
      <c r="R256" s="4">
        <v>0</v>
      </c>
      <c r="S256" s="4">
        <v>0</v>
      </c>
      <c r="T256" s="4">
        <v>32</v>
      </c>
      <c r="U256" s="4">
        <v>56</v>
      </c>
      <c r="V256" s="6">
        <f>IF(ISERROR(VLOOKUP($S$256,'TAR FIN'!$A$1:$O$86,15,0)),0,VLOOKUP($S$256,'TAR FIN'!$A$1:$O$86,15,0))</f>
        <v>0</v>
      </c>
      <c r="W256" s="6">
        <f>IF(ISERROR(VLOOKUP($T$256,'TAR FIN'!$A$1:$O$86,15,0)),0,VLOOKUP($T$256,'TAR FIN'!$A$1:$O$86,15,0))</f>
        <v>287.75</v>
      </c>
      <c r="X256" s="6">
        <f>IF(ISERROR(VLOOKUP($U$256,'TAR FIN'!$A$1:$O$86,15,0)),0,VLOOKUP($U$256,'TAR FIN'!$A$1:$O$86,15,0))</f>
        <v>276.77999999999997</v>
      </c>
      <c r="Y256" s="6"/>
      <c r="Z256" s="6">
        <f ca="1">('TUSD BE'!$AM$33+'TUSD BF'!$AM$33+'TUSD CVA'!$AM$33)*(1-CUSTOS!$M$38)</f>
        <v>295.07903341788727</v>
      </c>
      <c r="AA256" s="6">
        <f>('TE BE'!$AB$25+'TE BF'!$AB$25+'TE CVA'!$AB$25)*(1-CUSTOS!$M$38)</f>
        <v>233.96250973178988</v>
      </c>
      <c r="AB256" s="6">
        <f t="shared" si="16"/>
        <v>0</v>
      </c>
      <c r="AC256" s="6">
        <f>(L256-M256)*(W256+X256)+($W$170+$X$170-$W$256-$X$256)*(L256)</f>
        <v>16.163700000000006</v>
      </c>
      <c r="AD256" s="6">
        <f t="shared" si="17"/>
        <v>0</v>
      </c>
      <c r="AE256" s="6">
        <f ca="1">(L256-M256)*(Z256+AA256)+($Z$170+$AA$170-$Z$256-$AA$256)*(L256)</f>
        <v>7.0914079188148174</v>
      </c>
      <c r="AF256" s="4" t="s">
        <v>649</v>
      </c>
    </row>
    <row r="257" spans="1:32" ht="11.25" customHeight="1" x14ac:dyDescent="0.25">
      <c r="A257" s="4" t="s">
        <v>21</v>
      </c>
      <c r="B257" s="4" t="s">
        <v>42</v>
      </c>
      <c r="C257" s="4" t="s">
        <v>23</v>
      </c>
      <c r="D257" s="4" t="s">
        <v>43</v>
      </c>
      <c r="E257" s="4" t="s">
        <v>25</v>
      </c>
      <c r="F257" s="4" t="s">
        <v>25</v>
      </c>
      <c r="G257" s="4" t="s">
        <v>25</v>
      </c>
      <c r="H257" s="4" t="s">
        <v>25</v>
      </c>
      <c r="I257" s="5">
        <v>44531</v>
      </c>
      <c r="J257" s="6">
        <v>0</v>
      </c>
      <c r="K257" s="6">
        <v>0</v>
      </c>
      <c r="L257" s="6">
        <v>143.977</v>
      </c>
      <c r="M257" s="6">
        <v>143.977</v>
      </c>
      <c r="N257" s="6">
        <v>143.977</v>
      </c>
      <c r="O257" s="6">
        <v>143.977</v>
      </c>
      <c r="P257" s="6">
        <v>203</v>
      </c>
      <c r="Q257" s="4" t="s">
        <v>26</v>
      </c>
      <c r="R257" s="4">
        <v>0</v>
      </c>
      <c r="S257" s="4">
        <v>0</v>
      </c>
      <c r="T257" s="4">
        <v>32</v>
      </c>
      <c r="U257" s="4">
        <v>56</v>
      </c>
      <c r="V257" s="6">
        <f>IF(ISERROR(VLOOKUP($S$257,'TAR FIN'!$A$1:$O$86,15,0)),0,VLOOKUP($S$257,'TAR FIN'!$A$1:$O$86,15,0))</f>
        <v>0</v>
      </c>
      <c r="W257" s="6">
        <f>IF(ISERROR(VLOOKUP($T$257,'TAR FIN'!$A$1:$O$86,15,0)),0,VLOOKUP($T$257,'TAR FIN'!$A$1:$O$86,15,0))</f>
        <v>287.75</v>
      </c>
      <c r="X257" s="6">
        <f>IF(ISERROR(VLOOKUP($U$257,'TAR FIN'!$A$1:$O$86,15,0)),0,VLOOKUP($U$257,'TAR FIN'!$A$1:$O$86,15,0))</f>
        <v>276.77999999999997</v>
      </c>
      <c r="Y257" s="6"/>
      <c r="Z257" s="6">
        <f ca="1">('TUSD BE'!$AM$33+'TUSD BF'!$AM$33+'TUSD CVA'!$AM$33)*(1-CUSTOS!$M$38)</f>
        <v>295.07903341788727</v>
      </c>
      <c r="AA257" s="6">
        <f>('TE BE'!$AB$25+'TE BF'!$AB$25+'TE CVA'!$AB$25)*(1-CUSTOS!$M$38)</f>
        <v>233.96250973178988</v>
      </c>
      <c r="AB257" s="6">
        <f t="shared" si="16"/>
        <v>0</v>
      </c>
      <c r="AC257" s="6">
        <f>(L257-M257)*(W257+X257)+($W$170+$X$170-$W$257-$X$257)*(L257)</f>
        <v>11081.909690000004</v>
      </c>
      <c r="AD257" s="6">
        <f t="shared" si="17"/>
        <v>0</v>
      </c>
      <c r="AE257" s="6">
        <f ca="1">(L257-M257)*(Z257+AA257)+($Z$170+$AA$170-$Z$257-$AA$257)*(L257)</f>
        <v>4861.903037748576</v>
      </c>
      <c r="AF257" s="4" t="s">
        <v>649</v>
      </c>
    </row>
    <row r="258" spans="1:32" ht="11.25" customHeight="1" x14ac:dyDescent="0.25">
      <c r="A258" s="4" t="s">
        <v>41</v>
      </c>
      <c r="B258" s="4" t="s">
        <v>42</v>
      </c>
      <c r="C258" s="4" t="s">
        <v>23</v>
      </c>
      <c r="D258" s="4" t="s">
        <v>43</v>
      </c>
      <c r="E258" s="4" t="s">
        <v>25</v>
      </c>
      <c r="F258" s="4" t="s">
        <v>25</v>
      </c>
      <c r="G258" s="4" t="s">
        <v>25</v>
      </c>
      <c r="H258" s="4" t="s">
        <v>25</v>
      </c>
      <c r="I258" s="5">
        <v>44531</v>
      </c>
      <c r="J258" s="6">
        <v>0</v>
      </c>
      <c r="K258" s="6">
        <v>0</v>
      </c>
      <c r="L258" s="6">
        <v>-1.627</v>
      </c>
      <c r="M258" s="6">
        <v>-1.627</v>
      </c>
      <c r="N258" s="6">
        <v>-1.627</v>
      </c>
      <c r="O258" s="6">
        <v>-1.627</v>
      </c>
      <c r="P258" s="6">
        <v>0</v>
      </c>
      <c r="Q258" s="4" t="s">
        <v>26</v>
      </c>
      <c r="R258" s="4">
        <v>0</v>
      </c>
      <c r="S258" s="4">
        <v>0</v>
      </c>
      <c r="T258" s="4">
        <v>32</v>
      </c>
      <c r="U258" s="4">
        <v>56</v>
      </c>
      <c r="V258" s="6">
        <f>IF(ISERROR(VLOOKUP($S$258,'TAR FIN'!$A$1:$O$86,15,0)),0,VLOOKUP($S$258,'TAR FIN'!$A$1:$O$86,15,0))</f>
        <v>0</v>
      </c>
      <c r="W258" s="6">
        <f>IF(ISERROR(VLOOKUP($T$258,'TAR FIN'!$A$1:$O$86,15,0)),0,VLOOKUP($T$258,'TAR FIN'!$A$1:$O$86,15,0))</f>
        <v>287.75</v>
      </c>
      <c r="X258" s="6">
        <f>IF(ISERROR(VLOOKUP($U$258,'TAR FIN'!$A$1:$O$86,15,0)),0,VLOOKUP($U$258,'TAR FIN'!$A$1:$O$86,15,0))</f>
        <v>276.77999999999997</v>
      </c>
      <c r="Y258" s="6"/>
      <c r="Z258" s="6">
        <f ca="1">('TUSD BE'!$AM$33+'TUSD BF'!$AM$33+'TUSD CVA'!$AM$33)*(1-CUSTOS!$M$38)</f>
        <v>295.07903341788727</v>
      </c>
      <c r="AA258" s="6">
        <f>('TE BE'!$AB$25+'TE BF'!$AB$25+'TE CVA'!$AB$25)*(1-CUSTOS!$M$38)</f>
        <v>233.96250973178988</v>
      </c>
      <c r="AB258" s="6">
        <f t="shared" ref="AB258:AB272" si="18">(J258-K258)*V258</f>
        <v>0</v>
      </c>
      <c r="AC258" s="6">
        <f>(L258-M258)*(W258+X258)+($W$170+$X$170-$W$258-$X$258)*(L258)</f>
        <v>-125.23019000000005</v>
      </c>
      <c r="AD258" s="6">
        <f t="shared" ref="AD258:AD272" si="19">(J258-K258)*Y258</f>
        <v>0</v>
      </c>
      <c r="AE258" s="6">
        <f ca="1">(L258-M258)*(Z258+AA258)+($Z$170+$AA$170-$Z$258-$AA$258)*(L258)</f>
        <v>-54.941527066246231</v>
      </c>
      <c r="AF258" s="4" t="s">
        <v>649</v>
      </c>
    </row>
    <row r="259" spans="1:32" ht="11.25" customHeight="1" x14ac:dyDescent="0.25">
      <c r="A259" s="4" t="s">
        <v>27</v>
      </c>
      <c r="B259" s="4" t="s">
        <v>42</v>
      </c>
      <c r="C259" s="4" t="s">
        <v>23</v>
      </c>
      <c r="D259" s="4" t="s">
        <v>43</v>
      </c>
      <c r="E259" s="4" t="s">
        <v>25</v>
      </c>
      <c r="F259" s="4" t="s">
        <v>25</v>
      </c>
      <c r="G259" s="4" t="s">
        <v>25</v>
      </c>
      <c r="H259" s="4" t="s">
        <v>25</v>
      </c>
      <c r="I259" s="5">
        <v>44531</v>
      </c>
      <c r="J259" s="6">
        <v>0</v>
      </c>
      <c r="K259" s="6">
        <v>0</v>
      </c>
      <c r="L259" s="6">
        <v>0.41699999999999998</v>
      </c>
      <c r="M259" s="6">
        <v>0.41699999999999998</v>
      </c>
      <c r="N259" s="6">
        <v>0.41699999999999998</v>
      </c>
      <c r="O259" s="6">
        <v>0.41699999999999998</v>
      </c>
      <c r="P259" s="6">
        <v>4</v>
      </c>
      <c r="Q259" s="4" t="s">
        <v>26</v>
      </c>
      <c r="R259" s="4">
        <v>0</v>
      </c>
      <c r="S259" s="4">
        <v>0</v>
      </c>
      <c r="T259" s="4">
        <v>32</v>
      </c>
      <c r="U259" s="4">
        <v>56</v>
      </c>
      <c r="V259" s="6">
        <f>IF(ISERROR(VLOOKUP($S$259,'TAR FIN'!$A$1:$O$86,15,0)),0,VLOOKUP($S$259,'TAR FIN'!$A$1:$O$86,15,0))</f>
        <v>0</v>
      </c>
      <c r="W259" s="6">
        <f>IF(ISERROR(VLOOKUP($T$259,'TAR FIN'!$A$1:$O$86,15,0)),0,VLOOKUP($T$259,'TAR FIN'!$A$1:$O$86,15,0))</f>
        <v>287.75</v>
      </c>
      <c r="X259" s="6">
        <f>IF(ISERROR(VLOOKUP($U$259,'TAR FIN'!$A$1:$O$86,15,0)),0,VLOOKUP($U$259,'TAR FIN'!$A$1:$O$86,15,0))</f>
        <v>276.77999999999997</v>
      </c>
      <c r="Y259" s="6"/>
      <c r="Z259" s="6">
        <f ca="1">('TUSD BE'!$AM$33+'TUSD BF'!$AM$33+'TUSD CVA'!$AM$33)*(1-CUSTOS!$M$38)</f>
        <v>295.07903341788727</v>
      </c>
      <c r="AA259" s="6">
        <f>('TE BE'!$AB$25+'TE BF'!$AB$25+'TE CVA'!$AB$25)*(1-CUSTOS!$M$38)</f>
        <v>233.96250973178988</v>
      </c>
      <c r="AB259" s="6">
        <f t="shared" si="18"/>
        <v>0</v>
      </c>
      <c r="AC259" s="6">
        <f>(L259-M259)*(W259+X259)+($W$170+$X$170-$W$259-$X$259)*(L259)</f>
        <v>32.09649000000001</v>
      </c>
      <c r="AD259" s="6">
        <f t="shared" si="19"/>
        <v>0</v>
      </c>
      <c r="AE259" s="6">
        <f ca="1">(L259-M259)*(Z259+AA259)+($Z$170+$AA$170-$Z$259-$AA$259)*(L259)</f>
        <v>14.081510010217995</v>
      </c>
      <c r="AF259" s="4" t="s">
        <v>649</v>
      </c>
    </row>
    <row r="260" spans="1:32" ht="11.25" customHeight="1" x14ac:dyDescent="0.25">
      <c r="A260" s="4" t="s">
        <v>21</v>
      </c>
      <c r="B260" s="4" t="s">
        <v>42</v>
      </c>
      <c r="C260" s="4" t="s">
        <v>23</v>
      </c>
      <c r="D260" s="4" t="s">
        <v>43</v>
      </c>
      <c r="E260" s="4" t="s">
        <v>25</v>
      </c>
      <c r="F260" s="4" t="s">
        <v>25</v>
      </c>
      <c r="G260" s="4" t="s">
        <v>25</v>
      </c>
      <c r="H260" s="4" t="s">
        <v>25</v>
      </c>
      <c r="I260" s="5">
        <v>44562</v>
      </c>
      <c r="J260" s="6">
        <v>0</v>
      </c>
      <c r="K260" s="6">
        <v>0</v>
      </c>
      <c r="L260" s="6">
        <v>155.065</v>
      </c>
      <c r="M260" s="6">
        <v>155.065</v>
      </c>
      <c r="N260" s="6">
        <v>155.065</v>
      </c>
      <c r="O260" s="6">
        <v>155.065</v>
      </c>
      <c r="P260" s="6">
        <v>202</v>
      </c>
      <c r="Q260" s="4" t="s">
        <v>26</v>
      </c>
      <c r="R260" s="4">
        <v>0</v>
      </c>
      <c r="S260" s="4">
        <v>0</v>
      </c>
      <c r="T260" s="4">
        <v>32</v>
      </c>
      <c r="U260" s="4">
        <v>56</v>
      </c>
      <c r="V260" s="6">
        <f>IF(ISERROR(VLOOKUP($S$260,'TAR FIN'!$A$1:$O$86,15,0)),0,VLOOKUP($S$260,'TAR FIN'!$A$1:$O$86,15,0))</f>
        <v>0</v>
      </c>
      <c r="W260" s="6">
        <f>IF(ISERROR(VLOOKUP($T$260,'TAR FIN'!$A$1:$O$86,15,0)),0,VLOOKUP($T$260,'TAR FIN'!$A$1:$O$86,15,0))</f>
        <v>287.75</v>
      </c>
      <c r="X260" s="6">
        <f>IF(ISERROR(VLOOKUP($U$260,'TAR FIN'!$A$1:$O$86,15,0)),0,VLOOKUP($U$260,'TAR FIN'!$A$1:$O$86,15,0))</f>
        <v>276.77999999999997</v>
      </c>
      <c r="Y260" s="6"/>
      <c r="Z260" s="6">
        <f ca="1">('TUSD BE'!$AM$33+'TUSD BF'!$AM$33+'TUSD CVA'!$AM$33)*(1-CUSTOS!$M$38)</f>
        <v>295.07903341788727</v>
      </c>
      <c r="AA260" s="6">
        <f>('TE BE'!$AB$25+'TE BF'!$AB$25+'TE CVA'!$AB$25)*(1-CUSTOS!$M$38)</f>
        <v>233.96250973178988</v>
      </c>
      <c r="AB260" s="6">
        <f t="shared" si="18"/>
        <v>0</v>
      </c>
      <c r="AC260" s="6">
        <f>(L260-M260)*(W260+X260)+($W$170+$X$170-$W$260-$X$260)*(L260)</f>
        <v>11935.353050000003</v>
      </c>
      <c r="AD260" s="6">
        <f t="shared" si="19"/>
        <v>0</v>
      </c>
      <c r="AE260" s="6">
        <f ca="1">(L260-M260)*(Z260+AA260)+($Z$170+$AA$170-$Z$260-$AA$260)*(L260)</f>
        <v>5236.3293758619984</v>
      </c>
      <c r="AF260" s="4" t="s">
        <v>649</v>
      </c>
    </row>
    <row r="261" spans="1:32" ht="11.25" customHeight="1" x14ac:dyDescent="0.25">
      <c r="A261" s="4" t="s">
        <v>27</v>
      </c>
      <c r="B261" s="4" t="s">
        <v>42</v>
      </c>
      <c r="C261" s="4" t="s">
        <v>23</v>
      </c>
      <c r="D261" s="4" t="s">
        <v>43</v>
      </c>
      <c r="E261" s="4" t="s">
        <v>25</v>
      </c>
      <c r="F261" s="4" t="s">
        <v>25</v>
      </c>
      <c r="G261" s="4" t="s">
        <v>25</v>
      </c>
      <c r="H261" s="4" t="s">
        <v>25</v>
      </c>
      <c r="I261" s="5">
        <v>44562</v>
      </c>
      <c r="J261" s="6">
        <v>0</v>
      </c>
      <c r="K261" s="6">
        <v>0</v>
      </c>
      <c r="L261" s="6">
        <v>0.52400000000000002</v>
      </c>
      <c r="M261" s="6">
        <v>0.52400000000000002</v>
      </c>
      <c r="N261" s="6">
        <v>0.52400000000000002</v>
      </c>
      <c r="O261" s="6">
        <v>0.52400000000000002</v>
      </c>
      <c r="P261" s="6">
        <v>5</v>
      </c>
      <c r="Q261" s="4" t="s">
        <v>26</v>
      </c>
      <c r="R261" s="4">
        <v>0</v>
      </c>
      <c r="S261" s="4">
        <v>0</v>
      </c>
      <c r="T261" s="4">
        <v>32</v>
      </c>
      <c r="U261" s="4">
        <v>56</v>
      </c>
      <c r="V261" s="6">
        <f>IF(ISERROR(VLOOKUP($S$261,'TAR FIN'!$A$1:$O$86,15,0)),0,VLOOKUP($S$261,'TAR FIN'!$A$1:$O$86,15,0))</f>
        <v>0</v>
      </c>
      <c r="W261" s="6">
        <f>IF(ISERROR(VLOOKUP($T$261,'TAR FIN'!$A$1:$O$86,15,0)),0,VLOOKUP($T$261,'TAR FIN'!$A$1:$O$86,15,0))</f>
        <v>287.75</v>
      </c>
      <c r="X261" s="6">
        <f>IF(ISERROR(VLOOKUP($U$261,'TAR FIN'!$A$1:$O$86,15,0)),0,VLOOKUP($U$261,'TAR FIN'!$A$1:$O$86,15,0))</f>
        <v>276.77999999999997</v>
      </c>
      <c r="Y261" s="6"/>
      <c r="Z261" s="6">
        <f ca="1">('TUSD BE'!$AM$33+'TUSD BF'!$AM$33+'TUSD CVA'!$AM$33)*(1-CUSTOS!$M$38)</f>
        <v>295.07903341788727</v>
      </c>
      <c r="AA261" s="6">
        <f>('TE BE'!$AB$25+'TE BF'!$AB$25+'TE CVA'!$AB$25)*(1-CUSTOS!$M$38)</f>
        <v>233.96250973178988</v>
      </c>
      <c r="AB261" s="6">
        <f t="shared" si="18"/>
        <v>0</v>
      </c>
      <c r="AC261" s="6">
        <f>(L261-M261)*(W261+X261)+($W$170+$X$170-$W$261-$X$261)*(L261)</f>
        <v>40.332280000000019</v>
      </c>
      <c r="AD261" s="6">
        <f t="shared" si="19"/>
        <v>0</v>
      </c>
      <c r="AE261" s="6">
        <f ca="1">(L261-M261)*(Z261+AA261)+($Z$170+$AA$170-$Z$261-$AA$261)*(L261)</f>
        <v>17.694751187899833</v>
      </c>
      <c r="AF261" s="4" t="s">
        <v>649</v>
      </c>
    </row>
    <row r="262" spans="1:32" ht="11.25" customHeight="1" x14ac:dyDescent="0.25">
      <c r="A262" s="4" t="s">
        <v>21</v>
      </c>
      <c r="B262" s="4" t="s">
        <v>42</v>
      </c>
      <c r="C262" s="4" t="s">
        <v>23</v>
      </c>
      <c r="D262" s="4" t="s">
        <v>43</v>
      </c>
      <c r="E262" s="4" t="s">
        <v>25</v>
      </c>
      <c r="F262" s="4" t="s">
        <v>25</v>
      </c>
      <c r="G262" s="4" t="s">
        <v>25</v>
      </c>
      <c r="H262" s="4" t="s">
        <v>25</v>
      </c>
      <c r="I262" s="5">
        <v>44593</v>
      </c>
      <c r="J262" s="6">
        <v>0</v>
      </c>
      <c r="K262" s="6">
        <v>0</v>
      </c>
      <c r="L262" s="6">
        <v>154.22800000000001</v>
      </c>
      <c r="M262" s="6">
        <v>154.22800000000001</v>
      </c>
      <c r="N262" s="6">
        <v>154.22800000000001</v>
      </c>
      <c r="O262" s="6">
        <v>154.22800000000001</v>
      </c>
      <c r="P262" s="6">
        <v>203</v>
      </c>
      <c r="Q262" s="4" t="s">
        <v>26</v>
      </c>
      <c r="R262" s="4">
        <v>0</v>
      </c>
      <c r="S262" s="4">
        <v>0</v>
      </c>
      <c r="T262" s="4">
        <v>32</v>
      </c>
      <c r="U262" s="4">
        <v>56</v>
      </c>
      <c r="V262" s="6">
        <f>IF(ISERROR(VLOOKUP($S$262,'TAR FIN'!$A$1:$O$86,15,0)),0,VLOOKUP($S$262,'TAR FIN'!$A$1:$O$86,15,0))</f>
        <v>0</v>
      </c>
      <c r="W262" s="6">
        <f>IF(ISERROR(VLOOKUP($T$262,'TAR FIN'!$A$1:$O$86,15,0)),0,VLOOKUP($T$262,'TAR FIN'!$A$1:$O$86,15,0))</f>
        <v>287.75</v>
      </c>
      <c r="X262" s="6">
        <f>IF(ISERROR(VLOOKUP($U$262,'TAR FIN'!$A$1:$O$86,15,0)),0,VLOOKUP($U$262,'TAR FIN'!$A$1:$O$86,15,0))</f>
        <v>276.77999999999997</v>
      </c>
      <c r="Y262" s="6"/>
      <c r="Z262" s="6">
        <f ca="1">('TUSD BE'!$AM$33+'TUSD BF'!$AM$33+'TUSD CVA'!$AM$33)*(1-CUSTOS!$M$38)</f>
        <v>295.07903341788727</v>
      </c>
      <c r="AA262" s="6">
        <f>('TE BE'!$AB$25+'TE BF'!$AB$25+'TE CVA'!$AB$25)*(1-CUSTOS!$M$38)</f>
        <v>233.96250973178988</v>
      </c>
      <c r="AB262" s="6">
        <f t="shared" si="18"/>
        <v>0</v>
      </c>
      <c r="AC262" s="6">
        <f>(L262-M262)*(W262+X262)+($W$170+$X$170-$W$262-$X$262)*(L262)</f>
        <v>11870.929160000005</v>
      </c>
      <c r="AD262" s="6">
        <f t="shared" si="19"/>
        <v>0</v>
      </c>
      <c r="AE262" s="6">
        <f ca="1">(L262-M262)*(Z262+AA262)+($Z$170+$AA$170-$Z$262-$AA$262)*(L262)</f>
        <v>5208.065050014151</v>
      </c>
      <c r="AF262" s="4" t="s">
        <v>649</v>
      </c>
    </row>
    <row r="263" spans="1:32" ht="11.25" customHeight="1" x14ac:dyDescent="0.25">
      <c r="A263" s="4" t="s">
        <v>27</v>
      </c>
      <c r="B263" s="4" t="s">
        <v>42</v>
      </c>
      <c r="C263" s="4" t="s">
        <v>23</v>
      </c>
      <c r="D263" s="4" t="s">
        <v>43</v>
      </c>
      <c r="E263" s="4" t="s">
        <v>25</v>
      </c>
      <c r="F263" s="4" t="s">
        <v>25</v>
      </c>
      <c r="G263" s="4" t="s">
        <v>25</v>
      </c>
      <c r="H263" s="4" t="s">
        <v>25</v>
      </c>
      <c r="I263" s="5">
        <v>44593</v>
      </c>
      <c r="J263" s="6">
        <v>0</v>
      </c>
      <c r="K263" s="6">
        <v>0</v>
      </c>
      <c r="L263" s="6">
        <v>0.70199999999999996</v>
      </c>
      <c r="M263" s="6">
        <v>0.70199999999999996</v>
      </c>
      <c r="N263" s="6">
        <v>0.70199999999999996</v>
      </c>
      <c r="O263" s="6">
        <v>0.70199999999999996</v>
      </c>
      <c r="P263" s="6">
        <v>5</v>
      </c>
      <c r="Q263" s="4" t="s">
        <v>26</v>
      </c>
      <c r="R263" s="4">
        <v>0</v>
      </c>
      <c r="S263" s="4">
        <v>0</v>
      </c>
      <c r="T263" s="4">
        <v>32</v>
      </c>
      <c r="U263" s="4">
        <v>56</v>
      </c>
      <c r="V263" s="6">
        <f>IF(ISERROR(VLOOKUP($S$263,'TAR FIN'!$A$1:$O$86,15,0)),0,VLOOKUP($S$263,'TAR FIN'!$A$1:$O$86,15,0))</f>
        <v>0</v>
      </c>
      <c r="W263" s="6">
        <f>IF(ISERROR(VLOOKUP($T$263,'TAR FIN'!$A$1:$O$86,15,0)),0,VLOOKUP($T$263,'TAR FIN'!$A$1:$O$86,15,0))</f>
        <v>287.75</v>
      </c>
      <c r="X263" s="6">
        <f>IF(ISERROR(VLOOKUP($U$263,'TAR FIN'!$A$1:$O$86,15,0)),0,VLOOKUP($U$263,'TAR FIN'!$A$1:$O$86,15,0))</f>
        <v>276.77999999999997</v>
      </c>
      <c r="Y263" s="6"/>
      <c r="Z263" s="6">
        <f ca="1">('TUSD BE'!$AM$33+'TUSD BF'!$AM$33+'TUSD CVA'!$AM$33)*(1-CUSTOS!$M$38)</f>
        <v>295.07903341788727</v>
      </c>
      <c r="AA263" s="6">
        <f>('TE BE'!$AB$25+'TE BF'!$AB$25+'TE CVA'!$AB$25)*(1-CUSTOS!$M$38)</f>
        <v>233.96250973178988</v>
      </c>
      <c r="AB263" s="6">
        <f t="shared" si="18"/>
        <v>0</v>
      </c>
      <c r="AC263" s="6">
        <f>(L263-M263)*(W263+X263)+($W$170+$X$170-$W$263-$X$263)*(L263)</f>
        <v>54.032940000000018</v>
      </c>
      <c r="AD263" s="6">
        <f t="shared" si="19"/>
        <v>0</v>
      </c>
      <c r="AE263" s="6">
        <f ca="1">(L263-M263)*(Z263+AA263)+($Z$170+$AA$170-$Z$263-$AA$263)*(L263)</f>
        <v>23.705563614323818</v>
      </c>
      <c r="AF263" s="4" t="s">
        <v>649</v>
      </c>
    </row>
    <row r="264" spans="1:32" ht="11.25" customHeight="1" x14ac:dyDescent="0.25">
      <c r="A264" s="4" t="s">
        <v>21</v>
      </c>
      <c r="B264" s="4" t="s">
        <v>42</v>
      </c>
      <c r="C264" s="4" t="s">
        <v>23</v>
      </c>
      <c r="D264" s="4" t="s">
        <v>43</v>
      </c>
      <c r="E264" s="4" t="s">
        <v>25</v>
      </c>
      <c r="F264" s="4" t="s">
        <v>25</v>
      </c>
      <c r="G264" s="4" t="s">
        <v>25</v>
      </c>
      <c r="H264" s="4" t="s">
        <v>25</v>
      </c>
      <c r="I264" s="5">
        <v>44621</v>
      </c>
      <c r="J264" s="6">
        <v>0</v>
      </c>
      <c r="K264" s="6">
        <v>0</v>
      </c>
      <c r="L264" s="6">
        <v>136.06200000000001</v>
      </c>
      <c r="M264" s="6">
        <v>136.06200000000001</v>
      </c>
      <c r="N264" s="6">
        <v>136.06200000000001</v>
      </c>
      <c r="O264" s="6">
        <v>136.06200000000001</v>
      </c>
      <c r="P264" s="6">
        <v>203</v>
      </c>
      <c r="Q264" s="4" t="s">
        <v>26</v>
      </c>
      <c r="R264" s="4">
        <v>0</v>
      </c>
      <c r="S264" s="4">
        <v>0</v>
      </c>
      <c r="T264" s="4">
        <v>32</v>
      </c>
      <c r="U264" s="4">
        <v>56</v>
      </c>
      <c r="V264" s="6">
        <f>IF(ISERROR(VLOOKUP($S$264,'TAR FIN'!$A$1:$O$86,15,0)),0,VLOOKUP($S$264,'TAR FIN'!$A$1:$O$86,15,0))</f>
        <v>0</v>
      </c>
      <c r="W264" s="6">
        <f>IF(ISERROR(VLOOKUP($T$264,'TAR FIN'!$A$1:$O$86,15,0)),0,VLOOKUP($T$264,'TAR FIN'!$A$1:$O$86,15,0))</f>
        <v>287.75</v>
      </c>
      <c r="X264" s="6">
        <f>IF(ISERROR(VLOOKUP($U$264,'TAR FIN'!$A$1:$O$86,15,0)),0,VLOOKUP($U$264,'TAR FIN'!$A$1:$O$86,15,0))</f>
        <v>276.77999999999997</v>
      </c>
      <c r="Y264" s="6"/>
      <c r="Z264" s="6">
        <f ca="1">('TUSD BE'!$AM$33+'TUSD BF'!$AM$33+'TUSD CVA'!$AM$33)*(1-CUSTOS!$M$38)</f>
        <v>295.07903341788727</v>
      </c>
      <c r="AA264" s="6">
        <f>('TE BE'!$AB$25+'TE BF'!$AB$25+'TE CVA'!$AB$25)*(1-CUSTOS!$M$38)</f>
        <v>233.96250973178988</v>
      </c>
      <c r="AB264" s="6">
        <f t="shared" si="18"/>
        <v>0</v>
      </c>
      <c r="AC264" s="6">
        <f>(L264-M264)*(W264+X264)+($W$170+$X$170-$W$264-$X$264)*(L264)</f>
        <v>10472.692140000005</v>
      </c>
      <c r="AD264" s="6">
        <f t="shared" si="19"/>
        <v>0</v>
      </c>
      <c r="AE264" s="6">
        <f ca="1">(L264-M264)*(Z264+AA264)+($Z$170+$AA$170-$Z$264-$AA$264)*(L264)</f>
        <v>4594.624496427532</v>
      </c>
      <c r="AF264" s="4" t="s">
        <v>649</v>
      </c>
    </row>
    <row r="265" spans="1:32" ht="11.25" customHeight="1" x14ac:dyDescent="0.25">
      <c r="A265" s="4" t="s">
        <v>41</v>
      </c>
      <c r="B265" s="4" t="s">
        <v>42</v>
      </c>
      <c r="C265" s="4" t="s">
        <v>23</v>
      </c>
      <c r="D265" s="4" t="s">
        <v>43</v>
      </c>
      <c r="E265" s="4" t="s">
        <v>25</v>
      </c>
      <c r="F265" s="4" t="s">
        <v>25</v>
      </c>
      <c r="G265" s="4" t="s">
        <v>25</v>
      </c>
      <c r="H265" s="4" t="s">
        <v>25</v>
      </c>
      <c r="I265" s="5">
        <v>44621</v>
      </c>
      <c r="J265" s="6">
        <v>0</v>
      </c>
      <c r="K265" s="6">
        <v>0</v>
      </c>
      <c r="L265" s="6">
        <v>0.16</v>
      </c>
      <c r="M265" s="6">
        <v>0.16</v>
      </c>
      <c r="N265" s="6">
        <v>0.16</v>
      </c>
      <c r="O265" s="6">
        <v>0.16</v>
      </c>
      <c r="P265" s="6">
        <v>0</v>
      </c>
      <c r="Q265" s="4" t="s">
        <v>26</v>
      </c>
      <c r="R265" s="4">
        <v>0</v>
      </c>
      <c r="S265" s="4">
        <v>0</v>
      </c>
      <c r="T265" s="4">
        <v>32</v>
      </c>
      <c r="U265" s="4">
        <v>56</v>
      </c>
      <c r="V265" s="6">
        <f>IF(ISERROR(VLOOKUP($S$265,'TAR FIN'!$A$1:$O$86,15,0)),0,VLOOKUP($S$265,'TAR FIN'!$A$1:$O$86,15,0))</f>
        <v>0</v>
      </c>
      <c r="W265" s="6">
        <f>IF(ISERROR(VLOOKUP($T$265,'TAR FIN'!$A$1:$O$86,15,0)),0,VLOOKUP($T$265,'TAR FIN'!$A$1:$O$86,15,0))</f>
        <v>287.75</v>
      </c>
      <c r="X265" s="6">
        <f>IF(ISERROR(VLOOKUP($U$265,'TAR FIN'!$A$1:$O$86,15,0)),0,VLOOKUP($U$265,'TAR FIN'!$A$1:$O$86,15,0))</f>
        <v>276.77999999999997</v>
      </c>
      <c r="Y265" s="6"/>
      <c r="Z265" s="6">
        <f ca="1">('TUSD BE'!$AM$33+'TUSD BF'!$AM$33+'TUSD CVA'!$AM$33)*(1-CUSTOS!$M$38)</f>
        <v>295.07903341788727</v>
      </c>
      <c r="AA265" s="6">
        <f>('TE BE'!$AB$25+'TE BF'!$AB$25+'TE CVA'!$AB$25)*(1-CUSTOS!$M$38)</f>
        <v>233.96250973178988</v>
      </c>
      <c r="AB265" s="6">
        <f t="shared" si="18"/>
        <v>0</v>
      </c>
      <c r="AC265" s="6">
        <f>(L265-M265)*(W265+X265)+($W$170+$X$170-$W$265-$X$265)*(L265)</f>
        <v>12.315200000000004</v>
      </c>
      <c r="AD265" s="6">
        <f t="shared" si="19"/>
        <v>0</v>
      </c>
      <c r="AE265" s="6">
        <f ca="1">(L265-M265)*(Z265+AA265)+($Z$170+$AA$170-$Z$265-$AA$265)*(L265)</f>
        <v>5.4029774619541469</v>
      </c>
      <c r="AF265" s="4" t="s">
        <v>649</v>
      </c>
    </row>
    <row r="266" spans="1:32" ht="11.25" customHeight="1" x14ac:dyDescent="0.25">
      <c r="A266" s="4" t="s">
        <v>27</v>
      </c>
      <c r="B266" s="4" t="s">
        <v>42</v>
      </c>
      <c r="C266" s="4" t="s">
        <v>23</v>
      </c>
      <c r="D266" s="4" t="s">
        <v>43</v>
      </c>
      <c r="E266" s="4" t="s">
        <v>25</v>
      </c>
      <c r="F266" s="4" t="s">
        <v>25</v>
      </c>
      <c r="G266" s="4" t="s">
        <v>25</v>
      </c>
      <c r="H266" s="4" t="s">
        <v>25</v>
      </c>
      <c r="I266" s="5">
        <v>44621</v>
      </c>
      <c r="J266" s="6">
        <v>0</v>
      </c>
      <c r="K266" s="6">
        <v>0</v>
      </c>
      <c r="L266" s="6">
        <v>0.46899999999999997</v>
      </c>
      <c r="M266" s="6">
        <v>0.46899999999999997</v>
      </c>
      <c r="N266" s="6">
        <v>0.46899999999999997</v>
      </c>
      <c r="O266" s="6">
        <v>0.46899999999999997</v>
      </c>
      <c r="P266" s="6">
        <v>5</v>
      </c>
      <c r="Q266" s="4" t="s">
        <v>26</v>
      </c>
      <c r="R266" s="4">
        <v>0</v>
      </c>
      <c r="S266" s="4">
        <v>0</v>
      </c>
      <c r="T266" s="4">
        <v>32</v>
      </c>
      <c r="U266" s="4">
        <v>56</v>
      </c>
      <c r="V266" s="6">
        <f>IF(ISERROR(VLOOKUP($S$266,'TAR FIN'!$A$1:$O$86,15,0)),0,VLOOKUP($S$266,'TAR FIN'!$A$1:$O$86,15,0))</f>
        <v>0</v>
      </c>
      <c r="W266" s="6">
        <f>IF(ISERROR(VLOOKUP($T$266,'TAR FIN'!$A$1:$O$86,15,0)),0,VLOOKUP($T$266,'TAR FIN'!$A$1:$O$86,15,0))</f>
        <v>287.75</v>
      </c>
      <c r="X266" s="6">
        <f>IF(ISERROR(VLOOKUP($U$266,'TAR FIN'!$A$1:$O$86,15,0)),0,VLOOKUP($U$266,'TAR FIN'!$A$1:$O$86,15,0))</f>
        <v>276.77999999999997</v>
      </c>
      <c r="Y266" s="6"/>
      <c r="Z266" s="6">
        <f ca="1">('TUSD BE'!$AM$33+'TUSD BF'!$AM$33+'TUSD CVA'!$AM$33)*(1-CUSTOS!$M$38)</f>
        <v>295.07903341788727</v>
      </c>
      <c r="AA266" s="6">
        <f>('TE BE'!$AB$25+'TE BF'!$AB$25+'TE CVA'!$AB$25)*(1-CUSTOS!$M$38)</f>
        <v>233.96250973178988</v>
      </c>
      <c r="AB266" s="6">
        <f t="shared" si="18"/>
        <v>0</v>
      </c>
      <c r="AC266" s="6">
        <f>(L266-M266)*(W266+X266)+($W$170+$X$170-$W$266-$X$266)*(L266)</f>
        <v>36.09893000000001</v>
      </c>
      <c r="AD266" s="6">
        <f t="shared" si="19"/>
        <v>0</v>
      </c>
      <c r="AE266" s="6">
        <f ca="1">(L266-M266)*(Z266+AA266)+($Z$170+$AA$170-$Z$266-$AA$266)*(L266)</f>
        <v>15.837477685353091</v>
      </c>
      <c r="AF266" s="4" t="s">
        <v>649</v>
      </c>
    </row>
    <row r="267" spans="1:32" ht="11.25" customHeight="1" x14ac:dyDescent="0.25">
      <c r="A267" s="4" t="s">
        <v>21</v>
      </c>
      <c r="B267" s="4" t="s">
        <v>42</v>
      </c>
      <c r="C267" s="4" t="s">
        <v>23</v>
      </c>
      <c r="D267" s="4" t="s">
        <v>43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44652</v>
      </c>
      <c r="J267" s="6">
        <v>0</v>
      </c>
      <c r="K267" s="6">
        <v>0</v>
      </c>
      <c r="L267" s="6">
        <v>149.77799999999999</v>
      </c>
      <c r="M267" s="6">
        <v>149.77799999999999</v>
      </c>
      <c r="N267" s="6">
        <v>149.77799999999999</v>
      </c>
      <c r="O267" s="6">
        <v>149.77799999999999</v>
      </c>
      <c r="P267" s="6">
        <v>203</v>
      </c>
      <c r="Q267" s="4" t="s">
        <v>26</v>
      </c>
      <c r="R267" s="4">
        <v>0</v>
      </c>
      <c r="S267" s="4">
        <v>0</v>
      </c>
      <c r="T267" s="4">
        <v>32</v>
      </c>
      <c r="U267" s="4">
        <v>56</v>
      </c>
      <c r="V267" s="6">
        <f>IF(ISERROR(VLOOKUP($S$267,'TAR FIN'!$A$1:$O$86,15,0)),0,VLOOKUP($S$267,'TAR FIN'!$A$1:$O$86,15,0))</f>
        <v>0</v>
      </c>
      <c r="W267" s="6">
        <f>IF(ISERROR(VLOOKUP($T$267,'TAR FIN'!$A$1:$O$86,15,0)),0,VLOOKUP($T$267,'TAR FIN'!$A$1:$O$86,15,0))</f>
        <v>287.75</v>
      </c>
      <c r="X267" s="6">
        <f>IF(ISERROR(VLOOKUP($U$267,'TAR FIN'!$A$1:$O$86,15,0)),0,VLOOKUP($U$267,'TAR FIN'!$A$1:$O$86,15,0))</f>
        <v>276.77999999999997</v>
      </c>
      <c r="Y267" s="6"/>
      <c r="Z267" s="6">
        <f ca="1">('TUSD BE'!$AM$33+'TUSD BF'!$AM$33+'TUSD CVA'!$AM$33)*(1-CUSTOS!$M$38)</f>
        <v>295.07903341788727</v>
      </c>
      <c r="AA267" s="6">
        <f>('TE BE'!$AB$25+'TE BF'!$AB$25+'TE CVA'!$AB$25)*(1-CUSTOS!$M$38)</f>
        <v>233.96250973178988</v>
      </c>
      <c r="AB267" s="6">
        <f t="shared" si="18"/>
        <v>0</v>
      </c>
      <c r="AC267" s="6">
        <f>(L267-M267)*(W267+X267)+($W$170+$X$170-$W$267-$X$267)*(L267)</f>
        <v>11528.412660000004</v>
      </c>
      <c r="AD267" s="6">
        <f t="shared" si="19"/>
        <v>0</v>
      </c>
      <c r="AE267" s="6">
        <f ca="1">(L267-M267)*(Z267+AA267)+($Z$170+$AA$170-$Z$267-$AA$267)*(L267)</f>
        <v>5057.7947393535505</v>
      </c>
      <c r="AF267" s="4" t="s">
        <v>649</v>
      </c>
    </row>
    <row r="268" spans="1:32" ht="11.25" customHeight="1" x14ac:dyDescent="0.25">
      <c r="A268" s="4" t="s">
        <v>27</v>
      </c>
      <c r="B268" s="4" t="s">
        <v>42</v>
      </c>
      <c r="C268" s="4" t="s">
        <v>23</v>
      </c>
      <c r="D268" s="4" t="s">
        <v>43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44652</v>
      </c>
      <c r="J268" s="6">
        <v>0</v>
      </c>
      <c r="K268" s="6">
        <v>0</v>
      </c>
      <c r="L268" s="6">
        <v>1.0640000000000001</v>
      </c>
      <c r="M268" s="6">
        <v>1.0640000000000001</v>
      </c>
      <c r="N268" s="6">
        <v>1.0640000000000001</v>
      </c>
      <c r="O268" s="6">
        <v>1.0640000000000001</v>
      </c>
      <c r="P268" s="6">
        <v>5</v>
      </c>
      <c r="Q268" s="4" t="s">
        <v>26</v>
      </c>
      <c r="R268" s="4">
        <v>0</v>
      </c>
      <c r="S268" s="4">
        <v>0</v>
      </c>
      <c r="T268" s="4">
        <v>32</v>
      </c>
      <c r="U268" s="4">
        <v>56</v>
      </c>
      <c r="V268" s="6">
        <f>IF(ISERROR(VLOOKUP($S$268,'TAR FIN'!$A$1:$O$86,15,0)),0,VLOOKUP($S$268,'TAR FIN'!$A$1:$O$86,15,0))</f>
        <v>0</v>
      </c>
      <c r="W268" s="6">
        <f>IF(ISERROR(VLOOKUP($T$268,'TAR FIN'!$A$1:$O$86,15,0)),0,VLOOKUP($T$268,'TAR FIN'!$A$1:$O$86,15,0))</f>
        <v>287.75</v>
      </c>
      <c r="X268" s="6">
        <f>IF(ISERROR(VLOOKUP($U$268,'TAR FIN'!$A$1:$O$86,15,0)),0,VLOOKUP($U$268,'TAR FIN'!$A$1:$O$86,15,0))</f>
        <v>276.77999999999997</v>
      </c>
      <c r="Y268" s="6"/>
      <c r="Z268" s="6">
        <f ca="1">('TUSD BE'!$AM$33+'TUSD BF'!$AM$33+'TUSD CVA'!$AM$33)*(1-CUSTOS!$M$38)</f>
        <v>295.07903341788727</v>
      </c>
      <c r="AA268" s="6">
        <f>('TE BE'!$AB$25+'TE BF'!$AB$25+'TE CVA'!$AB$25)*(1-CUSTOS!$M$38)</f>
        <v>233.96250973178988</v>
      </c>
      <c r="AB268" s="6">
        <f t="shared" si="18"/>
        <v>0</v>
      </c>
      <c r="AC268" s="6">
        <f>(L268-M268)*(W268+X268)+($W$170+$X$170-$W$268-$X$268)*(L268)</f>
        <v>81.89608000000004</v>
      </c>
      <c r="AD268" s="6">
        <f t="shared" si="19"/>
        <v>0</v>
      </c>
      <c r="AE268" s="6">
        <f ca="1">(L268-M268)*(Z268+AA268)+($Z$170+$AA$170-$Z$268-$AA$268)*(L268)</f>
        <v>35.929800121995079</v>
      </c>
      <c r="AF268" s="4" t="s">
        <v>649</v>
      </c>
    </row>
    <row r="269" spans="1:32" ht="11.25" customHeight="1" x14ac:dyDescent="0.25">
      <c r="A269" s="4" t="s">
        <v>21</v>
      </c>
      <c r="B269" s="4" t="s">
        <v>42</v>
      </c>
      <c r="C269" s="4" t="s">
        <v>23</v>
      </c>
      <c r="D269" s="4" t="s">
        <v>43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44682</v>
      </c>
      <c r="J269" s="6">
        <v>0</v>
      </c>
      <c r="K269" s="6">
        <v>0</v>
      </c>
      <c r="L269" s="6">
        <v>129.52199999999999</v>
      </c>
      <c r="M269" s="6">
        <v>129.52199999999999</v>
      </c>
      <c r="N269" s="6">
        <v>129.52199999999999</v>
      </c>
      <c r="O269" s="6">
        <v>129.52199999999999</v>
      </c>
      <c r="P269" s="6">
        <v>202</v>
      </c>
      <c r="Q269" s="4" t="s">
        <v>26</v>
      </c>
      <c r="R269" s="4">
        <v>0</v>
      </c>
      <c r="S269" s="4">
        <v>0</v>
      </c>
      <c r="T269" s="4">
        <v>32</v>
      </c>
      <c r="U269" s="4">
        <v>56</v>
      </c>
      <c r="V269" s="6">
        <f>IF(ISERROR(VLOOKUP($S$269,'TAR FIN'!$A$1:$O$86,15,0)),0,VLOOKUP($S$269,'TAR FIN'!$A$1:$O$86,15,0))</f>
        <v>0</v>
      </c>
      <c r="W269" s="6">
        <f>IF(ISERROR(VLOOKUP($T$269,'TAR FIN'!$A$1:$O$86,15,0)),0,VLOOKUP($T$269,'TAR FIN'!$A$1:$O$86,15,0))</f>
        <v>287.75</v>
      </c>
      <c r="X269" s="6">
        <f>IF(ISERROR(VLOOKUP($U$269,'TAR FIN'!$A$1:$O$86,15,0)),0,VLOOKUP($U$269,'TAR FIN'!$A$1:$O$86,15,0))</f>
        <v>276.77999999999997</v>
      </c>
      <c r="Y269" s="6"/>
      <c r="Z269" s="6">
        <f ca="1">('TUSD BE'!$AM$33+'TUSD BF'!$AM$33+'TUSD CVA'!$AM$33)*(1-CUSTOS!$M$38)</f>
        <v>295.07903341788727</v>
      </c>
      <c r="AA269" s="6">
        <f>('TE BE'!$AB$25+'TE BF'!$AB$25+'TE CVA'!$AB$25)*(1-CUSTOS!$M$38)</f>
        <v>233.96250973178988</v>
      </c>
      <c r="AB269" s="6">
        <f t="shared" si="18"/>
        <v>0</v>
      </c>
      <c r="AC269" s="6">
        <f>(L269-M269)*(W269+X269)+($W$170+$X$170-$W$269-$X$269)*(L269)</f>
        <v>9969.3083400000032</v>
      </c>
      <c r="AD269" s="6">
        <f t="shared" si="19"/>
        <v>0</v>
      </c>
      <c r="AE269" s="6">
        <f ca="1">(L269-M269)*(Z269+AA269)+($Z$170+$AA$170-$Z$269-$AA$269)*(L269)</f>
        <v>4373.7777926701556</v>
      </c>
      <c r="AF269" s="4" t="s">
        <v>649</v>
      </c>
    </row>
    <row r="270" spans="1:32" ht="11.25" customHeight="1" x14ac:dyDescent="0.25">
      <c r="A270" s="4" t="s">
        <v>27</v>
      </c>
      <c r="B270" s="4" t="s">
        <v>42</v>
      </c>
      <c r="C270" s="4" t="s">
        <v>23</v>
      </c>
      <c r="D270" s="4" t="s">
        <v>43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44682</v>
      </c>
      <c r="J270" s="6">
        <v>0</v>
      </c>
      <c r="K270" s="6">
        <v>0</v>
      </c>
      <c r="L270" s="6">
        <v>6.4989999999999997</v>
      </c>
      <c r="M270" s="6">
        <v>6.4989999999999997</v>
      </c>
      <c r="N270" s="6">
        <v>6.4989999999999997</v>
      </c>
      <c r="O270" s="6">
        <v>6.4989999999999997</v>
      </c>
      <c r="P270" s="6">
        <v>6</v>
      </c>
      <c r="Q270" s="4" t="s">
        <v>26</v>
      </c>
      <c r="R270" s="4">
        <v>0</v>
      </c>
      <c r="S270" s="4">
        <v>0</v>
      </c>
      <c r="T270" s="4">
        <v>32</v>
      </c>
      <c r="U270" s="4">
        <v>56</v>
      </c>
      <c r="V270" s="6">
        <f>IF(ISERROR(VLOOKUP($S$270,'TAR FIN'!$A$1:$O$86,15,0)),0,VLOOKUP($S$270,'TAR FIN'!$A$1:$O$86,15,0))</f>
        <v>0</v>
      </c>
      <c r="W270" s="6">
        <f>IF(ISERROR(VLOOKUP($T$270,'TAR FIN'!$A$1:$O$86,15,0)),0,VLOOKUP($T$270,'TAR FIN'!$A$1:$O$86,15,0))</f>
        <v>287.75</v>
      </c>
      <c r="X270" s="6">
        <f>IF(ISERROR(VLOOKUP($U$270,'TAR FIN'!$A$1:$O$86,15,0)),0,VLOOKUP($U$270,'TAR FIN'!$A$1:$O$86,15,0))</f>
        <v>276.77999999999997</v>
      </c>
      <c r="Y270" s="6"/>
      <c r="Z270" s="6">
        <f ca="1">('TUSD BE'!$AM$33+'TUSD BF'!$AM$33+'TUSD CVA'!$AM$33)*(1-CUSTOS!$M$38)</f>
        <v>295.07903341788727</v>
      </c>
      <c r="AA270" s="6">
        <f>('TE BE'!$AB$25+'TE BF'!$AB$25+'TE CVA'!$AB$25)*(1-CUSTOS!$M$38)</f>
        <v>233.96250973178988</v>
      </c>
      <c r="AB270" s="6">
        <f t="shared" si="18"/>
        <v>0</v>
      </c>
      <c r="AC270" s="6">
        <f>(L270-M270)*(W270+X270)+($W$170+$X$170-$W$270-$X$270)*(L270)</f>
        <v>500.22803000000016</v>
      </c>
      <c r="AD270" s="6">
        <f t="shared" si="19"/>
        <v>0</v>
      </c>
      <c r="AE270" s="6">
        <f ca="1">(L270-M270)*(Z270+AA270)+($Z$170+$AA$170-$Z$270-$AA$270)*(L270)</f>
        <v>219.46219078274999</v>
      </c>
      <c r="AF270" s="4" t="s">
        <v>649</v>
      </c>
    </row>
    <row r="271" spans="1:32" ht="11.25" customHeight="1" x14ac:dyDescent="0.25">
      <c r="A271" s="4" t="s">
        <v>55</v>
      </c>
      <c r="B271" s="4" t="s">
        <v>42</v>
      </c>
      <c r="C271" s="4" t="s">
        <v>23</v>
      </c>
      <c r="D271" s="4" t="s">
        <v>43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44713</v>
      </c>
      <c r="J271" s="6">
        <v>0</v>
      </c>
      <c r="K271" s="6">
        <v>0</v>
      </c>
      <c r="L271" s="6">
        <v>129.52199999999999</v>
      </c>
      <c r="M271" s="6">
        <v>129.52199999999999</v>
      </c>
      <c r="N271" s="6">
        <v>129.52199999999999</v>
      </c>
      <c r="O271" s="6">
        <v>129.52199999999999</v>
      </c>
      <c r="P271" s="6">
        <v>202</v>
      </c>
      <c r="Q271" s="4" t="s">
        <v>26</v>
      </c>
      <c r="R271" s="4">
        <v>0</v>
      </c>
      <c r="S271" s="4">
        <v>0</v>
      </c>
      <c r="T271" s="4">
        <v>32</v>
      </c>
      <c r="U271" s="4">
        <v>56</v>
      </c>
      <c r="V271" s="6">
        <f>IF(ISERROR(VLOOKUP($S$271,'TAR FIN'!$A$1:$O$86,15,0)),0,VLOOKUP($S$271,'TAR FIN'!$A$1:$O$86,15,0))</f>
        <v>0</v>
      </c>
      <c r="W271" s="6">
        <f>IF(ISERROR(VLOOKUP($T$271,'TAR FIN'!$A$1:$O$86,15,0)),0,VLOOKUP($T$271,'TAR FIN'!$A$1:$O$86,15,0))</f>
        <v>287.75</v>
      </c>
      <c r="X271" s="6">
        <f>IF(ISERROR(VLOOKUP($U$271,'TAR FIN'!$A$1:$O$86,15,0)),0,VLOOKUP($U$271,'TAR FIN'!$A$1:$O$86,15,0))</f>
        <v>276.77999999999997</v>
      </c>
      <c r="Y271" s="6"/>
      <c r="Z271" s="6">
        <f ca="1">('TUSD BE'!$AM$33+'TUSD BF'!$AM$33+'TUSD CVA'!$AM$33)*(1-CUSTOS!$M$38)</f>
        <v>295.07903341788727</v>
      </c>
      <c r="AA271" s="6">
        <f>('TE BE'!$AB$25+'TE BF'!$AB$25+'TE CVA'!$AB$25)*(1-CUSTOS!$M$38)</f>
        <v>233.96250973178988</v>
      </c>
      <c r="AB271" s="6">
        <f t="shared" si="18"/>
        <v>0</v>
      </c>
      <c r="AC271" s="6">
        <f>(L271-M271)*(W271+X271)+($W$170+$X$170-$W$271-$X$271)*(L271)</f>
        <v>9969.3083400000032</v>
      </c>
      <c r="AD271" s="6">
        <f t="shared" si="19"/>
        <v>0</v>
      </c>
      <c r="AE271" s="6">
        <f ca="1">(L271-M271)*(Z271+AA271)+($Z$170+$AA$170-$Z$271-$AA$271)*(L271)</f>
        <v>4373.7777926701556</v>
      </c>
      <c r="AF271" s="4" t="s">
        <v>649</v>
      </c>
    </row>
    <row r="272" spans="1:32" ht="11.25" customHeight="1" x14ac:dyDescent="0.25">
      <c r="A272" s="4" t="s">
        <v>55</v>
      </c>
      <c r="B272" s="4" t="s">
        <v>42</v>
      </c>
      <c r="C272" s="4" t="s">
        <v>23</v>
      </c>
      <c r="D272" s="4" t="s">
        <v>43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44713</v>
      </c>
      <c r="J272" s="6">
        <v>0</v>
      </c>
      <c r="K272" s="6">
        <v>0</v>
      </c>
      <c r="L272" s="6">
        <v>6.4989999999999997</v>
      </c>
      <c r="M272" s="6">
        <v>6.4989999999999997</v>
      </c>
      <c r="N272" s="6">
        <v>6.4989999999999997</v>
      </c>
      <c r="O272" s="6">
        <v>6.4989999999999997</v>
      </c>
      <c r="P272" s="6">
        <v>6</v>
      </c>
      <c r="Q272" s="4" t="s">
        <v>26</v>
      </c>
      <c r="R272" s="4">
        <v>0</v>
      </c>
      <c r="S272" s="4">
        <v>0</v>
      </c>
      <c r="T272" s="4">
        <v>32</v>
      </c>
      <c r="U272" s="4">
        <v>56</v>
      </c>
      <c r="V272" s="6">
        <f>IF(ISERROR(VLOOKUP($S$272,'TAR FIN'!$A$1:$O$86,15,0)),0,VLOOKUP($S$272,'TAR FIN'!$A$1:$O$86,15,0))</f>
        <v>0</v>
      </c>
      <c r="W272" s="6">
        <f>IF(ISERROR(VLOOKUP($T$272,'TAR FIN'!$A$1:$O$86,15,0)),0,VLOOKUP($T$272,'TAR FIN'!$A$1:$O$86,15,0))</f>
        <v>287.75</v>
      </c>
      <c r="X272" s="6">
        <f>IF(ISERROR(VLOOKUP($U$272,'TAR FIN'!$A$1:$O$86,15,0)),0,VLOOKUP($U$272,'TAR FIN'!$A$1:$O$86,15,0))</f>
        <v>276.77999999999997</v>
      </c>
      <c r="Y272" s="6"/>
      <c r="Z272" s="6">
        <f ca="1">('TUSD BE'!$AM$33+'TUSD BF'!$AM$33+'TUSD CVA'!$AM$33)*(1-CUSTOS!$M$38)</f>
        <v>295.07903341788727</v>
      </c>
      <c r="AA272" s="6">
        <f>('TE BE'!$AB$25+'TE BF'!$AB$25+'TE CVA'!$AB$25)*(1-CUSTOS!$M$38)</f>
        <v>233.96250973178988</v>
      </c>
      <c r="AB272" s="6">
        <f t="shared" si="18"/>
        <v>0</v>
      </c>
      <c r="AC272" s="6">
        <f>(L272-M272)*(W272+X272)+($W$170+$X$170-$W$272-$X$272)*(L272)</f>
        <v>500.22803000000016</v>
      </c>
      <c r="AD272" s="6">
        <f t="shared" si="19"/>
        <v>0</v>
      </c>
      <c r="AE272" s="6">
        <f ca="1">(L272-M272)*(Z272+AA272)+($Z$170+$AA$170-$Z$272-$AA$272)*(L272)</f>
        <v>219.46219078274999</v>
      </c>
      <c r="AF272" s="4" t="s">
        <v>649</v>
      </c>
    </row>
    <row r="273" spans="1:32" ht="11.25" customHeight="1" x14ac:dyDescent="0.25">
      <c r="A273" s="4" t="s">
        <v>21</v>
      </c>
      <c r="B273" s="4" t="s">
        <v>36</v>
      </c>
      <c r="C273" s="4" t="s">
        <v>23</v>
      </c>
      <c r="D273" s="4" t="s">
        <v>48</v>
      </c>
      <c r="E273" s="4" t="s">
        <v>49</v>
      </c>
      <c r="F273" s="4" t="s">
        <v>25</v>
      </c>
      <c r="G273" s="4" t="s">
        <v>25</v>
      </c>
      <c r="H273" s="4" t="s">
        <v>25</v>
      </c>
      <c r="I273" s="5">
        <v>44378</v>
      </c>
      <c r="J273" s="6">
        <v>0</v>
      </c>
      <c r="K273" s="96">
        <v>0</v>
      </c>
      <c r="L273" s="6">
        <v>128.226</v>
      </c>
      <c r="M273" s="96">
        <v>128.226</v>
      </c>
      <c r="N273" s="6">
        <v>128.226</v>
      </c>
      <c r="O273" s="96">
        <v>128.226</v>
      </c>
      <c r="P273" s="6">
        <v>23</v>
      </c>
      <c r="Q273" s="4" t="s">
        <v>26</v>
      </c>
      <c r="R273" s="4">
        <v>0</v>
      </c>
      <c r="S273" s="4">
        <v>0</v>
      </c>
      <c r="T273" s="4">
        <v>68</v>
      </c>
      <c r="U273" s="4">
        <v>76</v>
      </c>
      <c r="V273" s="96">
        <f>IF(ISERROR(VLOOKUP($S$273,'TAR FIN'!$A$1:$O$86,15,0)),0,VLOOKUP($S$273,'TAR FIN'!$A$1:$O$86,15,0))</f>
        <v>0</v>
      </c>
      <c r="W273" s="96">
        <f>IF(ISERROR(VLOOKUP($T$273,'TAR FIN'!$A$1:$O$86,15,0)),0,VLOOKUP($T$273,'TAR FIN'!$A$1:$O$86,15,0))*(1-0.06)</f>
        <v>307.3612</v>
      </c>
      <c r="X273" s="96">
        <f>IF(ISERROR(VLOOKUP($U$273,'TAR FIN'!$A$1:$O$86,15,0)),0,VLOOKUP($U$273,'TAR FIN'!$A$1:$O$86,15,0))*(1-0.06)</f>
        <v>295.64879999999999</v>
      </c>
      <c r="Y273" s="96"/>
      <c r="Z273" s="96">
        <f ca="1">('TUSD BE'!$AM$48+'TUSD BF'!$AM$48+'TUSD CVA'!$AM$48)*1*(1-0.03)</f>
        <v>304.49644937803265</v>
      </c>
      <c r="AA273" s="96">
        <f>('TE BE'!$AB$40+'TE BF'!$AB$40+'TE CVA'!$AB$40)*1*(1-0.03)</f>
        <v>241.42939834025128</v>
      </c>
      <c r="AB273" s="96">
        <f>(SUBSIDIO!$J$273*SUBSIDIO!$V$273)*(0.06)/(1-0.06)</f>
        <v>0</v>
      </c>
      <c r="AC273" s="96">
        <f>((SUBSIDIO!$L$273*SUBSIDIO!$W$273)+(SUBSIDIO!$N$273*SUBSIDIO!$X$273))*(0.06)/(1-0.06)</f>
        <v>4935.4187400000001</v>
      </c>
      <c r="AD273" s="96">
        <f>(SUBSIDIO!$J$273*SUBSIDIO!$Y$273)*(0.03)/(1-0.03)</f>
        <v>0</v>
      </c>
      <c r="AE273" s="96">
        <f ca="1">((SUBSIDIO!$L$273*SUBSIDIO!$Z$273)+(SUBSIDIO!$N$273*SUBSIDIO!$AA$273))*(0.03)/(1-0.03)</f>
        <v>2165.0068376141649</v>
      </c>
      <c r="AF273" s="4" t="s">
        <v>646</v>
      </c>
    </row>
    <row r="274" spans="1:32" ht="11.25" customHeight="1" x14ac:dyDescent="0.25">
      <c r="A274" s="4" t="s">
        <v>21</v>
      </c>
      <c r="B274" s="4" t="s">
        <v>36</v>
      </c>
      <c r="C274" s="4" t="s">
        <v>23</v>
      </c>
      <c r="D274" s="4" t="s">
        <v>48</v>
      </c>
      <c r="E274" s="4" t="s">
        <v>49</v>
      </c>
      <c r="F274" s="4" t="s">
        <v>25</v>
      </c>
      <c r="G274" s="4" t="s">
        <v>25</v>
      </c>
      <c r="H274" s="4" t="s">
        <v>25</v>
      </c>
      <c r="I274" s="5">
        <v>44409</v>
      </c>
      <c r="J274" s="6">
        <v>0</v>
      </c>
      <c r="K274" s="96">
        <v>0</v>
      </c>
      <c r="L274" s="6">
        <v>134.18799999999999</v>
      </c>
      <c r="M274" s="96">
        <v>134.18799999999999</v>
      </c>
      <c r="N274" s="6">
        <v>134.18799999999999</v>
      </c>
      <c r="O274" s="96">
        <v>134.18799999999999</v>
      </c>
      <c r="P274" s="6">
        <v>23</v>
      </c>
      <c r="Q274" s="4" t="s">
        <v>26</v>
      </c>
      <c r="R274" s="4">
        <v>0</v>
      </c>
      <c r="S274" s="4">
        <v>0</v>
      </c>
      <c r="T274" s="4">
        <v>68</v>
      </c>
      <c r="U274" s="4">
        <v>76</v>
      </c>
      <c r="V274" s="96">
        <f>IF(ISERROR(VLOOKUP($S$274,'TAR FIN'!$A$1:$O$86,15,0)),0,VLOOKUP($S$274,'TAR FIN'!$A$1:$O$86,15,0))</f>
        <v>0</v>
      </c>
      <c r="W274" s="96">
        <f>IF(ISERROR(VLOOKUP($T$274,'TAR FIN'!$A$1:$O$86,15,0)),0,VLOOKUP($T$274,'TAR FIN'!$A$1:$O$86,15,0))*(1-0.06)</f>
        <v>307.3612</v>
      </c>
      <c r="X274" s="96">
        <f>IF(ISERROR(VLOOKUP($U$274,'TAR FIN'!$A$1:$O$86,15,0)),0,VLOOKUP($U$274,'TAR FIN'!$A$1:$O$86,15,0))*(1-0.06)</f>
        <v>295.64879999999999</v>
      </c>
      <c r="Y274" s="96"/>
      <c r="Z274" s="96">
        <f ca="1">('TUSD BE'!$AM$48+'TUSD BF'!$AM$48+'TUSD CVA'!$AM$48)*1*(1-0.03)</f>
        <v>304.49644937803265</v>
      </c>
      <c r="AA274" s="96">
        <f>('TE BE'!$AB$40+'TE BF'!$AB$40+'TE CVA'!$AB$40)*1*(1-0.03)</f>
        <v>241.42939834025128</v>
      </c>
      <c r="AB274" s="96">
        <f>(SUBSIDIO!$J$274*SUBSIDIO!$V$274)*(0.06)/(1-0.06)</f>
        <v>0</v>
      </c>
      <c r="AC274" s="96">
        <f>((SUBSIDIO!$L$274*SUBSIDIO!$W$274)+(SUBSIDIO!$N$274*SUBSIDIO!$X$274))*(0.06)/(1-0.06)</f>
        <v>5164.8961199999994</v>
      </c>
      <c r="AD274" s="96">
        <f>(SUBSIDIO!$J$274*SUBSIDIO!$Y$274)*(0.03)/(1-0.03)</f>
        <v>0</v>
      </c>
      <c r="AE274" s="96">
        <f ca="1">((SUBSIDIO!$L$274*SUBSIDIO!$Z$274)+(SUBSIDIO!$N$274*SUBSIDIO!$AA$274))*(0.03)/(1-0.03)</f>
        <v>2265.6710614521985</v>
      </c>
      <c r="AF274" s="4" t="s">
        <v>646</v>
      </c>
    </row>
    <row r="275" spans="1:32" ht="11.25" customHeight="1" x14ac:dyDescent="0.25">
      <c r="A275" s="4" t="s">
        <v>21</v>
      </c>
      <c r="B275" s="4" t="s">
        <v>36</v>
      </c>
      <c r="C275" s="4" t="s">
        <v>23</v>
      </c>
      <c r="D275" s="4" t="s">
        <v>48</v>
      </c>
      <c r="E275" s="4" t="s">
        <v>49</v>
      </c>
      <c r="F275" s="4" t="s">
        <v>25</v>
      </c>
      <c r="G275" s="4" t="s">
        <v>25</v>
      </c>
      <c r="H275" s="4" t="s">
        <v>25</v>
      </c>
      <c r="I275" s="5">
        <v>44440</v>
      </c>
      <c r="J275" s="6">
        <v>0</v>
      </c>
      <c r="K275" s="96">
        <v>0</v>
      </c>
      <c r="L275" s="6">
        <v>120.355</v>
      </c>
      <c r="M275" s="96">
        <v>120.355</v>
      </c>
      <c r="N275" s="6">
        <v>120.355</v>
      </c>
      <c r="O275" s="96">
        <v>120.355</v>
      </c>
      <c r="P275" s="6">
        <v>23</v>
      </c>
      <c r="Q275" s="4" t="s">
        <v>26</v>
      </c>
      <c r="R275" s="4">
        <v>0</v>
      </c>
      <c r="S275" s="4">
        <v>0</v>
      </c>
      <c r="T275" s="4">
        <v>68</v>
      </c>
      <c r="U275" s="4">
        <v>76</v>
      </c>
      <c r="V275" s="96">
        <f>IF(ISERROR(VLOOKUP($S$275,'TAR FIN'!$A$1:$O$86,15,0)),0,VLOOKUP($S$275,'TAR FIN'!$A$1:$O$86,15,0))</f>
        <v>0</v>
      </c>
      <c r="W275" s="96">
        <f>IF(ISERROR(VLOOKUP($T$275,'TAR FIN'!$A$1:$O$86,15,0)),0,VLOOKUP($T$275,'TAR FIN'!$A$1:$O$86,15,0))*(1-0.06)</f>
        <v>307.3612</v>
      </c>
      <c r="X275" s="96">
        <f>IF(ISERROR(VLOOKUP($U$275,'TAR FIN'!$A$1:$O$86,15,0)),0,VLOOKUP($U$275,'TAR FIN'!$A$1:$O$86,15,0))*(1-0.06)</f>
        <v>295.64879999999999</v>
      </c>
      <c r="Y275" s="96"/>
      <c r="Z275" s="96">
        <f ca="1">('TUSD BE'!$AM$48+'TUSD BF'!$AM$48+'TUSD CVA'!$AM$48)*1*(1-0.03)</f>
        <v>304.49644937803265</v>
      </c>
      <c r="AA275" s="96">
        <f>('TE BE'!$AB$40+'TE BF'!$AB$40+'TE CVA'!$AB$40)*1*(1-0.03)</f>
        <v>241.42939834025128</v>
      </c>
      <c r="AB275" s="96">
        <f>(SUBSIDIO!$J$275*SUBSIDIO!$V$275)*(0.06)/(1-0.06)</f>
        <v>0</v>
      </c>
      <c r="AC275" s="96">
        <f>((SUBSIDIO!$L$275*SUBSIDIO!$W$275)+(SUBSIDIO!$N$275*SUBSIDIO!$X$275))*(0.06)/(1-0.06)</f>
        <v>4632.4639500000012</v>
      </c>
      <c r="AD275" s="96">
        <f>(SUBSIDIO!$J$275*SUBSIDIO!$Y$275)*(0.03)/(1-0.03)</f>
        <v>0</v>
      </c>
      <c r="AE275" s="96">
        <f ca="1">((SUBSIDIO!$L$275*SUBSIDIO!$Z$275)+(SUBSIDIO!$N$275*SUBSIDIO!$AA$275))*(0.03)/(1-0.03)</f>
        <v>2032.1104763546614</v>
      </c>
      <c r="AF275" s="4" t="s">
        <v>646</v>
      </c>
    </row>
    <row r="276" spans="1:32" ht="11.25" customHeight="1" x14ac:dyDescent="0.25">
      <c r="A276" s="4" t="s">
        <v>21</v>
      </c>
      <c r="B276" s="4" t="s">
        <v>36</v>
      </c>
      <c r="C276" s="4" t="s">
        <v>23</v>
      </c>
      <c r="D276" s="4" t="s">
        <v>48</v>
      </c>
      <c r="E276" s="4" t="s">
        <v>49</v>
      </c>
      <c r="F276" s="4" t="s">
        <v>25</v>
      </c>
      <c r="G276" s="4" t="s">
        <v>25</v>
      </c>
      <c r="H276" s="4" t="s">
        <v>25</v>
      </c>
      <c r="I276" s="5">
        <v>44470</v>
      </c>
      <c r="J276" s="6">
        <v>0</v>
      </c>
      <c r="K276" s="96">
        <v>0</v>
      </c>
      <c r="L276" s="6">
        <v>117.742</v>
      </c>
      <c r="M276" s="96">
        <v>117.742</v>
      </c>
      <c r="N276" s="6">
        <v>117.742</v>
      </c>
      <c r="O276" s="96">
        <v>117.742</v>
      </c>
      <c r="P276" s="6">
        <v>23</v>
      </c>
      <c r="Q276" s="4" t="s">
        <v>26</v>
      </c>
      <c r="R276" s="4">
        <v>0</v>
      </c>
      <c r="S276" s="4">
        <v>0</v>
      </c>
      <c r="T276" s="4">
        <v>68</v>
      </c>
      <c r="U276" s="4">
        <v>76</v>
      </c>
      <c r="V276" s="96">
        <f>IF(ISERROR(VLOOKUP($S$276,'TAR FIN'!$A$1:$O$86,15,0)),0,VLOOKUP($S$276,'TAR FIN'!$A$1:$O$86,15,0))</f>
        <v>0</v>
      </c>
      <c r="W276" s="96">
        <f>IF(ISERROR(VLOOKUP($T$276,'TAR FIN'!$A$1:$O$86,15,0)),0,VLOOKUP($T$276,'TAR FIN'!$A$1:$O$86,15,0))*(1-0.06)</f>
        <v>307.3612</v>
      </c>
      <c r="X276" s="96">
        <f>IF(ISERROR(VLOOKUP($U$276,'TAR FIN'!$A$1:$O$86,15,0)),0,VLOOKUP($U$276,'TAR FIN'!$A$1:$O$86,15,0))*(1-0.06)</f>
        <v>295.64879999999999</v>
      </c>
      <c r="Y276" s="96"/>
      <c r="Z276" s="96">
        <f ca="1">('TUSD BE'!$AM$48+'TUSD BF'!$AM$48+'TUSD CVA'!$AM$48)*1*(1-0.03)</f>
        <v>304.49644937803265</v>
      </c>
      <c r="AA276" s="96">
        <f>('TE BE'!$AB$40+'TE BF'!$AB$40+'TE CVA'!$AB$40)*1*(1-0.03)</f>
        <v>241.42939834025128</v>
      </c>
      <c r="AB276" s="96">
        <f>(SUBSIDIO!$J$276*SUBSIDIO!$V$276)*(0.06)/(1-0.06)</f>
        <v>0</v>
      </c>
      <c r="AC276" s="96">
        <f>((SUBSIDIO!$L$276*SUBSIDIO!$W$276)+(SUBSIDIO!$N$276*SUBSIDIO!$X$276))*(0.06)/(1-0.06)</f>
        <v>4531.88958</v>
      </c>
      <c r="AD276" s="96">
        <f>(SUBSIDIO!$J$276*SUBSIDIO!$Y$276)*(0.03)/(1-0.03)</f>
        <v>0</v>
      </c>
      <c r="AE276" s="96">
        <f ca="1">((SUBSIDIO!$L$276*SUBSIDIO!$Z$276)+(SUBSIDIO!$N$276*SUBSIDIO!$AA$276))*(0.03)/(1-0.03)</f>
        <v>1987.9917885168925</v>
      </c>
      <c r="AF276" s="4" t="s">
        <v>646</v>
      </c>
    </row>
    <row r="277" spans="1:32" ht="11.25" customHeight="1" x14ac:dyDescent="0.25">
      <c r="A277" s="4" t="s">
        <v>21</v>
      </c>
      <c r="B277" s="4" t="s">
        <v>36</v>
      </c>
      <c r="C277" s="4" t="s">
        <v>23</v>
      </c>
      <c r="D277" s="4" t="s">
        <v>48</v>
      </c>
      <c r="E277" s="4" t="s">
        <v>49</v>
      </c>
      <c r="F277" s="4" t="s">
        <v>25</v>
      </c>
      <c r="G277" s="4" t="s">
        <v>25</v>
      </c>
      <c r="H277" s="4" t="s">
        <v>25</v>
      </c>
      <c r="I277" s="5">
        <v>44501</v>
      </c>
      <c r="J277" s="6">
        <v>0</v>
      </c>
      <c r="K277" s="96">
        <v>0</v>
      </c>
      <c r="L277" s="6">
        <v>138.86199999999999</v>
      </c>
      <c r="M277" s="96">
        <v>138.86199999999999</v>
      </c>
      <c r="N277" s="6">
        <v>138.86199999999999</v>
      </c>
      <c r="O277" s="96">
        <v>138.86199999999999</v>
      </c>
      <c r="P277" s="6">
        <v>23</v>
      </c>
      <c r="Q277" s="4" t="s">
        <v>26</v>
      </c>
      <c r="R277" s="4">
        <v>0</v>
      </c>
      <c r="S277" s="4">
        <v>0</v>
      </c>
      <c r="T277" s="4">
        <v>68</v>
      </c>
      <c r="U277" s="4">
        <v>76</v>
      </c>
      <c r="V277" s="96">
        <f>IF(ISERROR(VLOOKUP($S$277,'TAR FIN'!$A$1:$O$86,15,0)),0,VLOOKUP($S$277,'TAR FIN'!$A$1:$O$86,15,0))</f>
        <v>0</v>
      </c>
      <c r="W277" s="96">
        <f>IF(ISERROR(VLOOKUP($T$277,'TAR FIN'!$A$1:$O$86,15,0)),0,VLOOKUP($T$277,'TAR FIN'!$A$1:$O$86,15,0))*(1-0.06)</f>
        <v>307.3612</v>
      </c>
      <c r="X277" s="96">
        <f>IF(ISERROR(VLOOKUP($U$277,'TAR FIN'!$A$1:$O$86,15,0)),0,VLOOKUP($U$277,'TAR FIN'!$A$1:$O$86,15,0))*(1-0.06)</f>
        <v>295.64879999999999</v>
      </c>
      <c r="Y277" s="96"/>
      <c r="Z277" s="96">
        <f ca="1">('TUSD BE'!$AM$48+'TUSD BF'!$AM$48+'TUSD CVA'!$AM$48)*1*(1-0.03)</f>
        <v>304.49644937803265</v>
      </c>
      <c r="AA277" s="96">
        <f>('TE BE'!$AB$40+'TE BF'!$AB$40+'TE CVA'!$AB$40)*1*(1-0.03)</f>
        <v>241.42939834025128</v>
      </c>
      <c r="AB277" s="96">
        <f>(SUBSIDIO!$J$277*SUBSIDIO!$V$277)*(0.06)/(1-0.06)</f>
        <v>0</v>
      </c>
      <c r="AC277" s="96">
        <f>((SUBSIDIO!$L$277*SUBSIDIO!$W$277)+(SUBSIDIO!$N$277*SUBSIDIO!$X$277))*(0.06)/(1-0.06)</f>
        <v>5344.7983800000002</v>
      </c>
      <c r="AD277" s="96">
        <f>(SUBSIDIO!$J$277*SUBSIDIO!$Y$277)*(0.03)/(1-0.03)</f>
        <v>0</v>
      </c>
      <c r="AE277" s="96">
        <f ca="1">((SUBSIDIO!$L$277*SUBSIDIO!$Z$277)+(SUBSIDIO!$N$277*SUBSIDIO!$AA$277))*(0.03)/(1-0.03)</f>
        <v>2344.588301005866</v>
      </c>
      <c r="AF277" s="4" t="s">
        <v>646</v>
      </c>
    </row>
    <row r="278" spans="1:32" ht="11.25" customHeight="1" x14ac:dyDescent="0.25">
      <c r="A278" s="4" t="s">
        <v>21</v>
      </c>
      <c r="B278" s="4" t="s">
        <v>36</v>
      </c>
      <c r="C278" s="4" t="s">
        <v>23</v>
      </c>
      <c r="D278" s="4" t="s">
        <v>48</v>
      </c>
      <c r="E278" s="4" t="s">
        <v>49</v>
      </c>
      <c r="F278" s="4" t="s">
        <v>25</v>
      </c>
      <c r="G278" s="4" t="s">
        <v>25</v>
      </c>
      <c r="H278" s="4" t="s">
        <v>25</v>
      </c>
      <c r="I278" s="5">
        <v>44531</v>
      </c>
      <c r="J278" s="6">
        <v>0</v>
      </c>
      <c r="K278" s="96">
        <v>0</v>
      </c>
      <c r="L278" s="6">
        <v>136.72</v>
      </c>
      <c r="M278" s="96">
        <v>136.72</v>
      </c>
      <c r="N278" s="6">
        <v>136.72</v>
      </c>
      <c r="O278" s="96">
        <v>136.72</v>
      </c>
      <c r="P278" s="6">
        <v>23</v>
      </c>
      <c r="Q278" s="4" t="s">
        <v>26</v>
      </c>
      <c r="R278" s="4">
        <v>0</v>
      </c>
      <c r="S278" s="4">
        <v>0</v>
      </c>
      <c r="T278" s="4">
        <v>68</v>
      </c>
      <c r="U278" s="4">
        <v>76</v>
      </c>
      <c r="V278" s="96">
        <f>IF(ISERROR(VLOOKUP($S$278,'TAR FIN'!$A$1:$O$86,15,0)),0,VLOOKUP($S$278,'TAR FIN'!$A$1:$O$86,15,0))</f>
        <v>0</v>
      </c>
      <c r="W278" s="96">
        <f>IF(ISERROR(VLOOKUP($T$278,'TAR FIN'!$A$1:$O$86,15,0)),0,VLOOKUP($T$278,'TAR FIN'!$A$1:$O$86,15,0))*(1-0.06)</f>
        <v>307.3612</v>
      </c>
      <c r="X278" s="96">
        <f>IF(ISERROR(VLOOKUP($U$278,'TAR FIN'!$A$1:$O$86,15,0)),0,VLOOKUP($U$278,'TAR FIN'!$A$1:$O$86,15,0))*(1-0.06)</f>
        <v>295.64879999999999</v>
      </c>
      <c r="Y278" s="96"/>
      <c r="Z278" s="96">
        <f ca="1">('TUSD BE'!$AM$48+'TUSD BF'!$AM$48+'TUSD CVA'!$AM$48)*1*(1-0.03)</f>
        <v>304.49644937803265</v>
      </c>
      <c r="AA278" s="96">
        <f>('TE BE'!$AB$40+'TE BF'!$AB$40+'TE CVA'!$AB$40)*1*(1-0.03)</f>
        <v>241.42939834025128</v>
      </c>
      <c r="AB278" s="96">
        <f>(SUBSIDIO!$J$278*SUBSIDIO!$V$278)*(0.06)/(1-0.06)</f>
        <v>0</v>
      </c>
      <c r="AC278" s="96">
        <f>((SUBSIDIO!$L$278*SUBSIDIO!$W$278)+(SUBSIDIO!$N$278*SUBSIDIO!$X$278))*(0.06)/(1-0.06)</f>
        <v>5262.3527999999997</v>
      </c>
      <c r="AD278" s="96">
        <f>(SUBSIDIO!$J$278*SUBSIDIO!$Y$278)*(0.03)/(1-0.03)</f>
        <v>0</v>
      </c>
      <c r="AE278" s="96">
        <f ca="1">((SUBSIDIO!$L$278*SUBSIDIO!$Z$278)+(SUBSIDIO!$N$278*SUBSIDIO!$AA$278))*(0.03)/(1-0.03)</f>
        <v>2308.4221206199109</v>
      </c>
      <c r="AF278" s="4" t="s">
        <v>646</v>
      </c>
    </row>
    <row r="279" spans="1:32" ht="11.25" customHeight="1" x14ac:dyDescent="0.25">
      <c r="A279" s="4" t="s">
        <v>21</v>
      </c>
      <c r="B279" s="4" t="s">
        <v>36</v>
      </c>
      <c r="C279" s="4" t="s">
        <v>23</v>
      </c>
      <c r="D279" s="4" t="s">
        <v>48</v>
      </c>
      <c r="E279" s="4" t="s">
        <v>49</v>
      </c>
      <c r="F279" s="4" t="s">
        <v>25</v>
      </c>
      <c r="G279" s="4" t="s">
        <v>25</v>
      </c>
      <c r="H279" s="4" t="s">
        <v>25</v>
      </c>
      <c r="I279" s="5">
        <v>44562</v>
      </c>
      <c r="J279" s="6">
        <v>0</v>
      </c>
      <c r="K279" s="96">
        <v>0</v>
      </c>
      <c r="L279" s="6">
        <v>133.994</v>
      </c>
      <c r="M279" s="96">
        <v>133.994</v>
      </c>
      <c r="N279" s="6">
        <v>133.994</v>
      </c>
      <c r="O279" s="96">
        <v>133.994</v>
      </c>
      <c r="P279" s="6">
        <v>23</v>
      </c>
      <c r="Q279" s="4" t="s">
        <v>26</v>
      </c>
      <c r="R279" s="4">
        <v>0</v>
      </c>
      <c r="S279" s="4">
        <v>0</v>
      </c>
      <c r="T279" s="4">
        <v>68</v>
      </c>
      <c r="U279" s="4">
        <v>76</v>
      </c>
      <c r="V279" s="96">
        <f>IF(ISERROR(VLOOKUP($S$279,'TAR FIN'!$A$1:$O$86,15,0)),0,VLOOKUP($S$279,'TAR FIN'!$A$1:$O$86,15,0))</f>
        <v>0</v>
      </c>
      <c r="W279" s="96">
        <f>IF(ISERROR(VLOOKUP($T$279,'TAR FIN'!$A$1:$O$86,15,0)),0,VLOOKUP($T$279,'TAR FIN'!$A$1:$O$86,15,0))*(1-0.06)</f>
        <v>307.3612</v>
      </c>
      <c r="X279" s="96">
        <f>IF(ISERROR(VLOOKUP($U$279,'TAR FIN'!$A$1:$O$86,15,0)),0,VLOOKUP($U$279,'TAR FIN'!$A$1:$O$86,15,0))*(1-0.06)</f>
        <v>295.64879999999999</v>
      </c>
      <c r="Y279" s="96"/>
      <c r="Z279" s="96">
        <f ca="1">('TUSD BE'!$AM$48+'TUSD BF'!$AM$48+'TUSD CVA'!$AM$48)*1*(1-0.03)</f>
        <v>304.49644937803265</v>
      </c>
      <c r="AA279" s="96">
        <f>('TE BE'!$AB$40+'TE BF'!$AB$40+'TE CVA'!$AB$40)*1*(1-0.03)</f>
        <v>241.42939834025128</v>
      </c>
      <c r="AB279" s="96">
        <f>(SUBSIDIO!$J$279*SUBSIDIO!$V$279)*(0.06)/(1-0.06)</f>
        <v>0</v>
      </c>
      <c r="AC279" s="96">
        <f>((SUBSIDIO!$L$279*SUBSIDIO!$W$279)+(SUBSIDIO!$N$279*SUBSIDIO!$X$279))*(0.06)/(1-0.06)</f>
        <v>5157.4290599999995</v>
      </c>
      <c r="AD279" s="96">
        <f>(SUBSIDIO!$J$279*SUBSIDIO!$Y$279)*(0.03)/(1-0.03)</f>
        <v>0</v>
      </c>
      <c r="AE279" s="96">
        <f ca="1">((SUBSIDIO!$L$279*SUBSIDIO!$Z$279)+(SUBSIDIO!$N$279*SUBSIDIO!$AA$279))*(0.03)/(1-0.03)</f>
        <v>2262.3955063658891</v>
      </c>
      <c r="AF279" s="4" t="s">
        <v>646</v>
      </c>
    </row>
    <row r="280" spans="1:32" ht="11.25" customHeight="1" x14ac:dyDescent="0.25">
      <c r="A280" s="4" t="s">
        <v>21</v>
      </c>
      <c r="B280" s="4" t="s">
        <v>36</v>
      </c>
      <c r="C280" s="4" t="s">
        <v>23</v>
      </c>
      <c r="D280" s="4" t="s">
        <v>48</v>
      </c>
      <c r="E280" s="4" t="s">
        <v>49</v>
      </c>
      <c r="F280" s="4" t="s">
        <v>25</v>
      </c>
      <c r="G280" s="4" t="s">
        <v>25</v>
      </c>
      <c r="H280" s="4" t="s">
        <v>25</v>
      </c>
      <c r="I280" s="5">
        <v>44593</v>
      </c>
      <c r="J280" s="6">
        <v>0</v>
      </c>
      <c r="K280" s="96">
        <v>0</v>
      </c>
      <c r="L280" s="6">
        <v>130.32300000000001</v>
      </c>
      <c r="M280" s="96">
        <v>130.32300000000001</v>
      </c>
      <c r="N280" s="6">
        <v>130.32300000000001</v>
      </c>
      <c r="O280" s="96">
        <v>130.32300000000001</v>
      </c>
      <c r="P280" s="6">
        <v>32</v>
      </c>
      <c r="Q280" s="4" t="s">
        <v>26</v>
      </c>
      <c r="R280" s="4">
        <v>0</v>
      </c>
      <c r="S280" s="4">
        <v>0</v>
      </c>
      <c r="T280" s="4">
        <v>68</v>
      </c>
      <c r="U280" s="4">
        <v>76</v>
      </c>
      <c r="V280" s="96">
        <f>IF(ISERROR(VLOOKUP($S$280,'TAR FIN'!$A$1:$O$86,15,0)),0,VLOOKUP($S$280,'TAR FIN'!$A$1:$O$86,15,0))</f>
        <v>0</v>
      </c>
      <c r="W280" s="96">
        <f>IF(ISERROR(VLOOKUP($T$280,'TAR FIN'!$A$1:$O$86,15,0)),0,VLOOKUP($T$280,'TAR FIN'!$A$1:$O$86,15,0))*(1-0.06)</f>
        <v>307.3612</v>
      </c>
      <c r="X280" s="96">
        <f>IF(ISERROR(VLOOKUP($U$280,'TAR FIN'!$A$1:$O$86,15,0)),0,VLOOKUP($U$280,'TAR FIN'!$A$1:$O$86,15,0))*(1-0.06)</f>
        <v>295.64879999999999</v>
      </c>
      <c r="Y280" s="96"/>
      <c r="Z280" s="96">
        <f ca="1">('TUSD BE'!$AM$48+'TUSD BF'!$AM$48+'TUSD CVA'!$AM$48)*1*(1-0.03)</f>
        <v>304.49644937803265</v>
      </c>
      <c r="AA280" s="96">
        <f>('TE BE'!$AB$40+'TE BF'!$AB$40+'TE CVA'!$AB$40)*1*(1-0.03)</f>
        <v>241.42939834025128</v>
      </c>
      <c r="AB280" s="96">
        <f>(SUBSIDIO!$J$280*SUBSIDIO!$V$280)*(0.06)/(1-0.06)</f>
        <v>0</v>
      </c>
      <c r="AC280" s="96">
        <f>((SUBSIDIO!$L$280*SUBSIDIO!$W$280)+(SUBSIDIO!$N$280*SUBSIDIO!$X$280))*(0.06)/(1-0.06)</f>
        <v>5016.132270000001</v>
      </c>
      <c r="AD280" s="96">
        <f>(SUBSIDIO!$J$280*SUBSIDIO!$Y$280)*(0.03)/(1-0.03)</f>
        <v>0</v>
      </c>
      <c r="AE280" s="96">
        <f ca="1">((SUBSIDIO!$L$280*SUBSIDIO!$Z$280)+(SUBSIDIO!$N$280*SUBSIDIO!$AA$280))*(0.03)/(1-0.03)</f>
        <v>2200.4132242945334</v>
      </c>
      <c r="AF280" s="4" t="s">
        <v>646</v>
      </c>
    </row>
    <row r="281" spans="1:32" ht="11.25" customHeight="1" x14ac:dyDescent="0.25">
      <c r="A281" s="4" t="s">
        <v>21</v>
      </c>
      <c r="B281" s="4" t="s">
        <v>36</v>
      </c>
      <c r="C281" s="4" t="s">
        <v>23</v>
      </c>
      <c r="D281" s="4" t="s">
        <v>48</v>
      </c>
      <c r="E281" s="4" t="s">
        <v>49</v>
      </c>
      <c r="F281" s="4" t="s">
        <v>25</v>
      </c>
      <c r="G281" s="4" t="s">
        <v>25</v>
      </c>
      <c r="H281" s="4" t="s">
        <v>25</v>
      </c>
      <c r="I281" s="5">
        <v>44621</v>
      </c>
      <c r="J281" s="6">
        <v>0</v>
      </c>
      <c r="K281" s="96">
        <v>0</v>
      </c>
      <c r="L281" s="6">
        <v>134.40899999999999</v>
      </c>
      <c r="M281" s="96">
        <v>134.40899999999999</v>
      </c>
      <c r="N281" s="6">
        <v>134.40899999999999</v>
      </c>
      <c r="O281" s="96">
        <v>134.40899999999999</v>
      </c>
      <c r="P281" s="6">
        <v>32</v>
      </c>
      <c r="Q281" s="4" t="s">
        <v>26</v>
      </c>
      <c r="R281" s="4">
        <v>0</v>
      </c>
      <c r="S281" s="4">
        <v>0</v>
      </c>
      <c r="T281" s="4">
        <v>68</v>
      </c>
      <c r="U281" s="4">
        <v>76</v>
      </c>
      <c r="V281" s="96">
        <f>IF(ISERROR(VLOOKUP($S$281,'TAR FIN'!$A$1:$O$86,15,0)),0,VLOOKUP($S$281,'TAR FIN'!$A$1:$O$86,15,0))</f>
        <v>0</v>
      </c>
      <c r="W281" s="96">
        <f>IF(ISERROR(VLOOKUP($T$281,'TAR FIN'!$A$1:$O$86,15,0)),0,VLOOKUP($T$281,'TAR FIN'!$A$1:$O$86,15,0))*(1-0.06)</f>
        <v>307.3612</v>
      </c>
      <c r="X281" s="96">
        <f>IF(ISERROR(VLOOKUP($U$281,'TAR FIN'!$A$1:$O$86,15,0)),0,VLOOKUP($U$281,'TAR FIN'!$A$1:$O$86,15,0))*(1-0.06)</f>
        <v>295.64879999999999</v>
      </c>
      <c r="Y281" s="96"/>
      <c r="Z281" s="96">
        <f ca="1">('TUSD BE'!$AM$48+'TUSD BF'!$AM$48+'TUSD CVA'!$AM$48)*1*(1-0.03)</f>
        <v>304.49644937803265</v>
      </c>
      <c r="AA281" s="96">
        <f>('TE BE'!$AB$40+'TE BF'!$AB$40+'TE CVA'!$AB$40)*1*(1-0.03)</f>
        <v>241.42939834025128</v>
      </c>
      <c r="AB281" s="96">
        <f>(SUBSIDIO!$J$281*SUBSIDIO!$V$281)*(0.06)/(1-0.06)</f>
        <v>0</v>
      </c>
      <c r="AC281" s="96">
        <f>((SUBSIDIO!$L$281*SUBSIDIO!$W$281)+(SUBSIDIO!$N$281*SUBSIDIO!$X$281))*(0.06)/(1-0.06)</f>
        <v>5173.4024099999997</v>
      </c>
      <c r="AD281" s="96">
        <f>(SUBSIDIO!$J$281*SUBSIDIO!$Y$281)*(0.03)/(1-0.03)</f>
        <v>0</v>
      </c>
      <c r="AE281" s="96">
        <f ca="1">((SUBSIDIO!$L$281*SUBSIDIO!$Z$281)+(SUBSIDIO!$N$281*SUBSIDIO!$AA$281))*(0.03)/(1-0.03)</f>
        <v>2269.4024927618602</v>
      </c>
      <c r="AF281" s="4" t="s">
        <v>646</v>
      </c>
    </row>
    <row r="282" spans="1:32" ht="11.25" customHeight="1" x14ac:dyDescent="0.25">
      <c r="A282" s="4" t="s">
        <v>21</v>
      </c>
      <c r="B282" s="4" t="s">
        <v>36</v>
      </c>
      <c r="C282" s="4" t="s">
        <v>23</v>
      </c>
      <c r="D282" s="4" t="s">
        <v>48</v>
      </c>
      <c r="E282" s="4" t="s">
        <v>49</v>
      </c>
      <c r="F282" s="4" t="s">
        <v>25</v>
      </c>
      <c r="G282" s="4" t="s">
        <v>25</v>
      </c>
      <c r="H282" s="4" t="s">
        <v>25</v>
      </c>
      <c r="I282" s="5">
        <v>44652</v>
      </c>
      <c r="J282" s="6">
        <v>0</v>
      </c>
      <c r="K282" s="96">
        <v>0</v>
      </c>
      <c r="L282" s="6">
        <v>141.02799999999999</v>
      </c>
      <c r="M282" s="96">
        <v>141.02799999999999</v>
      </c>
      <c r="N282" s="6">
        <v>141.02799999999999</v>
      </c>
      <c r="O282" s="96">
        <v>141.02799999999999</v>
      </c>
      <c r="P282" s="6">
        <v>33</v>
      </c>
      <c r="Q282" s="4" t="s">
        <v>26</v>
      </c>
      <c r="R282" s="4">
        <v>0</v>
      </c>
      <c r="S282" s="4">
        <v>0</v>
      </c>
      <c r="T282" s="4">
        <v>68</v>
      </c>
      <c r="U282" s="4">
        <v>76</v>
      </c>
      <c r="V282" s="96">
        <f>IF(ISERROR(VLOOKUP($S$282,'TAR FIN'!$A$1:$O$86,15,0)),0,VLOOKUP($S$282,'TAR FIN'!$A$1:$O$86,15,0))</f>
        <v>0</v>
      </c>
      <c r="W282" s="96">
        <f>IF(ISERROR(VLOOKUP($T$282,'TAR FIN'!$A$1:$O$86,15,0)),0,VLOOKUP($T$282,'TAR FIN'!$A$1:$O$86,15,0))*(1-0.06)</f>
        <v>307.3612</v>
      </c>
      <c r="X282" s="96">
        <f>IF(ISERROR(VLOOKUP($U$282,'TAR FIN'!$A$1:$O$86,15,0)),0,VLOOKUP($U$282,'TAR FIN'!$A$1:$O$86,15,0))*(1-0.06)</f>
        <v>295.64879999999999</v>
      </c>
      <c r="Y282" s="96"/>
      <c r="Z282" s="96">
        <f ca="1">('TUSD BE'!$AM$48+'TUSD BF'!$AM$48+'TUSD CVA'!$AM$48)*1*(1-0.03)</f>
        <v>304.49644937803265</v>
      </c>
      <c r="AA282" s="96">
        <f>('TE BE'!$AB$40+'TE BF'!$AB$40+'TE CVA'!$AB$40)*1*(1-0.03)</f>
        <v>241.42939834025128</v>
      </c>
      <c r="AB282" s="96">
        <f>(SUBSIDIO!$J$282*SUBSIDIO!$V$282)*(0.06)/(1-0.06)</f>
        <v>0</v>
      </c>
      <c r="AC282" s="96">
        <f>((SUBSIDIO!$L$282*SUBSIDIO!$W$282)+(SUBSIDIO!$N$282*SUBSIDIO!$X$282))*(0.06)/(1-0.06)</f>
        <v>5428.1677200000004</v>
      </c>
      <c r="AD282" s="96">
        <f>(SUBSIDIO!$J$282*SUBSIDIO!$Y$282)*(0.03)/(1-0.03)</f>
        <v>0</v>
      </c>
      <c r="AE282" s="96">
        <f ca="1">((SUBSIDIO!$L$282*SUBSIDIO!$Z$282)+(SUBSIDIO!$N$282*SUBSIDIO!$AA$282))*(0.03)/(1-0.03)</f>
        <v>2381.1597047014684</v>
      </c>
      <c r="AF282" s="4" t="s">
        <v>646</v>
      </c>
    </row>
    <row r="283" spans="1:32" ht="11.25" customHeight="1" x14ac:dyDescent="0.25">
      <c r="A283" s="4" t="s">
        <v>21</v>
      </c>
      <c r="B283" s="4" t="s">
        <v>36</v>
      </c>
      <c r="C283" s="4" t="s">
        <v>23</v>
      </c>
      <c r="D283" s="4" t="s">
        <v>48</v>
      </c>
      <c r="E283" s="4" t="s">
        <v>49</v>
      </c>
      <c r="F283" s="4" t="s">
        <v>25</v>
      </c>
      <c r="G283" s="4" t="s">
        <v>25</v>
      </c>
      <c r="H283" s="4" t="s">
        <v>25</v>
      </c>
      <c r="I283" s="5">
        <v>44682</v>
      </c>
      <c r="J283" s="6">
        <v>0</v>
      </c>
      <c r="K283" s="96">
        <v>0</v>
      </c>
      <c r="L283" s="6">
        <v>143.99799999999999</v>
      </c>
      <c r="M283" s="96">
        <v>143.99799999999999</v>
      </c>
      <c r="N283" s="6">
        <v>143.99799999999999</v>
      </c>
      <c r="O283" s="96">
        <v>143.99799999999999</v>
      </c>
      <c r="P283" s="6">
        <v>33</v>
      </c>
      <c r="Q283" s="4" t="s">
        <v>26</v>
      </c>
      <c r="R283" s="4">
        <v>0</v>
      </c>
      <c r="S283" s="4">
        <v>0</v>
      </c>
      <c r="T283" s="4">
        <v>68</v>
      </c>
      <c r="U283" s="4">
        <v>76</v>
      </c>
      <c r="V283" s="96">
        <f>IF(ISERROR(VLOOKUP($S$283,'TAR FIN'!$A$1:$O$86,15,0)),0,VLOOKUP($S$283,'TAR FIN'!$A$1:$O$86,15,0))</f>
        <v>0</v>
      </c>
      <c r="W283" s="96">
        <f>IF(ISERROR(VLOOKUP($T$283,'TAR FIN'!$A$1:$O$86,15,0)),0,VLOOKUP($T$283,'TAR FIN'!$A$1:$O$86,15,0))*(1-0.06)</f>
        <v>307.3612</v>
      </c>
      <c r="X283" s="96">
        <f>IF(ISERROR(VLOOKUP($U$283,'TAR FIN'!$A$1:$O$86,15,0)),0,VLOOKUP($U$283,'TAR FIN'!$A$1:$O$86,15,0))*(1-0.06)</f>
        <v>295.64879999999999</v>
      </c>
      <c r="Y283" s="96"/>
      <c r="Z283" s="96">
        <f ca="1">('TUSD BE'!$AM$48+'TUSD BF'!$AM$48+'TUSD CVA'!$AM$48)*1*(1-0.03)</f>
        <v>304.49644937803265</v>
      </c>
      <c r="AA283" s="96">
        <f>('TE BE'!$AB$40+'TE BF'!$AB$40+'TE CVA'!$AB$40)*1*(1-0.03)</f>
        <v>241.42939834025128</v>
      </c>
      <c r="AB283" s="96">
        <f>(SUBSIDIO!$J$283*SUBSIDIO!$V$283)*(0.06)/(1-0.06)</f>
        <v>0</v>
      </c>
      <c r="AC283" s="96">
        <f>((SUBSIDIO!$L$283*SUBSIDIO!$W$283)+(SUBSIDIO!$N$283*SUBSIDIO!$X$283))*(0.06)/(1-0.06)</f>
        <v>5542.4830199999997</v>
      </c>
      <c r="AD283" s="96">
        <f>(SUBSIDIO!$J$283*SUBSIDIO!$Y$283)*(0.03)/(1-0.03)</f>
        <v>0</v>
      </c>
      <c r="AE283" s="96">
        <f ca="1">((SUBSIDIO!$L$283*SUBSIDIO!$Z$283)+(SUBSIDIO!$N$283*SUBSIDIO!$AA$283))*(0.03)/(1-0.03)</f>
        <v>2431.3060892702306</v>
      </c>
      <c r="AF283" s="4" t="s">
        <v>646</v>
      </c>
    </row>
    <row r="284" spans="1:32" ht="11.25" customHeight="1" x14ac:dyDescent="0.25">
      <c r="A284" s="4" t="s">
        <v>55</v>
      </c>
      <c r="B284" s="4" t="s">
        <v>36</v>
      </c>
      <c r="C284" s="4" t="s">
        <v>23</v>
      </c>
      <c r="D284" s="4" t="s">
        <v>48</v>
      </c>
      <c r="E284" s="4" t="s">
        <v>49</v>
      </c>
      <c r="F284" s="4" t="s">
        <v>25</v>
      </c>
      <c r="G284" s="4" t="s">
        <v>25</v>
      </c>
      <c r="H284" s="4" t="s">
        <v>25</v>
      </c>
      <c r="I284" s="5">
        <v>44713</v>
      </c>
      <c r="J284" s="6">
        <v>0</v>
      </c>
      <c r="K284" s="96">
        <v>0</v>
      </c>
      <c r="L284" s="6">
        <v>143.99799999999999</v>
      </c>
      <c r="M284" s="96">
        <v>143.99799999999999</v>
      </c>
      <c r="N284" s="6">
        <v>143.99799999999999</v>
      </c>
      <c r="O284" s="96">
        <v>143.99799999999999</v>
      </c>
      <c r="P284" s="6">
        <v>33</v>
      </c>
      <c r="Q284" s="4" t="s">
        <v>26</v>
      </c>
      <c r="R284" s="4">
        <v>0</v>
      </c>
      <c r="S284" s="4">
        <v>0</v>
      </c>
      <c r="T284" s="4">
        <v>68</v>
      </c>
      <c r="U284" s="4">
        <v>76</v>
      </c>
      <c r="V284" s="96">
        <f>IF(ISERROR(VLOOKUP($S$284,'TAR FIN'!$A$1:$O$86,15,0)),0,VLOOKUP($S$284,'TAR FIN'!$A$1:$O$86,15,0))</f>
        <v>0</v>
      </c>
      <c r="W284" s="96">
        <f>IF(ISERROR(VLOOKUP($T$284,'TAR FIN'!$A$1:$O$86,15,0)),0,VLOOKUP($T$284,'TAR FIN'!$A$1:$O$86,15,0))*(1-0.06)</f>
        <v>307.3612</v>
      </c>
      <c r="X284" s="96">
        <f>IF(ISERROR(VLOOKUP($U$284,'TAR FIN'!$A$1:$O$86,15,0)),0,VLOOKUP($U$284,'TAR FIN'!$A$1:$O$86,15,0))*(1-0.06)</f>
        <v>295.64879999999999</v>
      </c>
      <c r="Y284" s="96"/>
      <c r="Z284" s="96">
        <f ca="1">('TUSD BE'!$AM$48+'TUSD BF'!$AM$48+'TUSD CVA'!$AM$48)*1*(1-0.03)</f>
        <v>304.49644937803265</v>
      </c>
      <c r="AA284" s="96">
        <f>('TE BE'!$AB$40+'TE BF'!$AB$40+'TE CVA'!$AB$40)*1*(1-0.03)</f>
        <v>241.42939834025128</v>
      </c>
      <c r="AB284" s="96">
        <f>(SUBSIDIO!$J$284*SUBSIDIO!$V$284)*(0.06)/(1-0.06)</f>
        <v>0</v>
      </c>
      <c r="AC284" s="96">
        <f>((SUBSIDIO!$L$284*SUBSIDIO!$W$284)+(SUBSIDIO!$N$284*SUBSIDIO!$X$284))*(0.06)/(1-0.06)</f>
        <v>5542.4830199999997</v>
      </c>
      <c r="AD284" s="96">
        <f>(SUBSIDIO!$J$284*SUBSIDIO!$Y$284)*(0.03)/(1-0.03)</f>
        <v>0</v>
      </c>
      <c r="AE284" s="96">
        <f ca="1">((SUBSIDIO!$L$284*SUBSIDIO!$Z$284)+(SUBSIDIO!$N$284*SUBSIDIO!$AA$284))*(0.03)/(1-0.03)</f>
        <v>2431.3060892702306</v>
      </c>
      <c r="AF284" s="4" t="s">
        <v>646</v>
      </c>
    </row>
    <row r="285" spans="1:32" ht="11.25" customHeight="1" x14ac:dyDescent="0.25">
      <c r="V285" s="6"/>
      <c r="W285" s="6"/>
      <c r="X285" s="6"/>
      <c r="Y285" s="6"/>
      <c r="Z285" s="6"/>
      <c r="AA285" s="6"/>
      <c r="AB285" s="6"/>
      <c r="AC285" s="6"/>
      <c r="AD285" s="6"/>
      <c r="AE285" s="6"/>
    </row>
    <row r="286" spans="1:32" ht="11.25" customHeight="1" x14ac:dyDescent="0.25">
      <c r="V286" s="6"/>
      <c r="W286" s="6"/>
      <c r="X286" s="6"/>
      <c r="Y286" s="6"/>
      <c r="Z286" s="6"/>
      <c r="AA286" s="6"/>
      <c r="AB286" s="6"/>
      <c r="AC286" s="6"/>
      <c r="AD286" s="6"/>
      <c r="AE286" s="6"/>
    </row>
    <row r="287" spans="1:32" ht="11.25" customHeight="1" x14ac:dyDescent="0.25">
      <c r="V287" s="6"/>
      <c r="W287" s="6"/>
      <c r="X287" s="6"/>
      <c r="Y287" s="6"/>
      <c r="Z287" s="6"/>
      <c r="AA287" s="6"/>
      <c r="AB287" s="6"/>
      <c r="AC287" s="6"/>
      <c r="AD287" s="6"/>
      <c r="AE287" s="6"/>
    </row>
    <row r="288" spans="1:32" ht="11.25" customHeight="1" x14ac:dyDescent="0.25">
      <c r="V288" s="6"/>
      <c r="W288" s="6"/>
      <c r="X288" s="6"/>
      <c r="Y288" s="6"/>
      <c r="Z288" s="6"/>
      <c r="AA288" s="6"/>
      <c r="AB288" s="6"/>
      <c r="AC288" s="6"/>
      <c r="AD288" s="6"/>
      <c r="AE288" s="6"/>
    </row>
    <row r="289" spans="22:31" ht="11.25" customHeight="1" x14ac:dyDescent="0.25">
      <c r="V289" s="6"/>
      <c r="W289" s="6"/>
      <c r="X289" s="6"/>
      <c r="Y289" s="6"/>
      <c r="Z289" s="6"/>
      <c r="AA289" s="6"/>
      <c r="AB289" s="6"/>
      <c r="AC289" s="6"/>
      <c r="AD289" s="6"/>
      <c r="AE289" s="6"/>
    </row>
    <row r="290" spans="22:31" ht="11.25" customHeight="1" x14ac:dyDescent="0.25">
      <c r="V290" s="6"/>
      <c r="W290" s="6"/>
      <c r="X290" s="6"/>
      <c r="Y290" s="6"/>
      <c r="Z290" s="6"/>
      <c r="AA290" s="6"/>
      <c r="AB290" s="6"/>
      <c r="AC290" s="6"/>
      <c r="AD290" s="6"/>
      <c r="AE290" s="6"/>
    </row>
    <row r="291" spans="22:31" ht="11.25" customHeight="1" x14ac:dyDescent="0.25">
      <c r="V291" s="6"/>
      <c r="W291" s="6"/>
      <c r="X291" s="6"/>
      <c r="Y291" s="6"/>
      <c r="Z291" s="6"/>
      <c r="AA291" s="6"/>
      <c r="AB291" s="6"/>
      <c r="AC291" s="6"/>
      <c r="AD291" s="6"/>
      <c r="AE291" s="6"/>
    </row>
    <row r="292" spans="22:31" ht="11.25" customHeight="1" x14ac:dyDescent="0.25">
      <c r="V292" s="6"/>
      <c r="W292" s="6"/>
      <c r="X292" s="6"/>
      <c r="Y292" s="6"/>
      <c r="Z292" s="6"/>
      <c r="AA292" s="6"/>
      <c r="AB292" s="6"/>
      <c r="AC292" s="6"/>
      <c r="AD292" s="6"/>
      <c r="AE292" s="6"/>
    </row>
    <row r="293" spans="22:31" ht="11.25" customHeight="1" x14ac:dyDescent="0.25">
      <c r="V293" s="6"/>
      <c r="W293" s="6"/>
      <c r="X293" s="6"/>
      <c r="Y293" s="6"/>
      <c r="Z293" s="6"/>
      <c r="AA293" s="6"/>
      <c r="AB293" s="6"/>
      <c r="AC293" s="6"/>
      <c r="AD293" s="6"/>
      <c r="AE293" s="6"/>
    </row>
    <row r="294" spans="22:31" ht="11.25" customHeight="1" x14ac:dyDescent="0.25">
      <c r="V294" s="6"/>
      <c r="W294" s="6"/>
      <c r="X294" s="6"/>
      <c r="Y294" s="6"/>
      <c r="Z294" s="6"/>
      <c r="AA294" s="6"/>
      <c r="AB294" s="6"/>
      <c r="AC294" s="6"/>
      <c r="AD294" s="6"/>
      <c r="AE294" s="6"/>
    </row>
    <row r="295" spans="22:31" ht="11.25" customHeight="1" x14ac:dyDescent="0.25">
      <c r="V295" s="6"/>
      <c r="W295" s="6"/>
      <c r="X295" s="6"/>
      <c r="Y295" s="6"/>
      <c r="Z295" s="6"/>
      <c r="AA295" s="6"/>
      <c r="AB295" s="6"/>
      <c r="AC295" s="6"/>
      <c r="AD295" s="6"/>
      <c r="AE295" s="6"/>
    </row>
    <row r="296" spans="22:31" ht="11.25" customHeight="1" x14ac:dyDescent="0.25">
      <c r="V296" s="6"/>
      <c r="W296" s="6"/>
      <c r="X296" s="6"/>
      <c r="Y296" s="6"/>
      <c r="Z296" s="6"/>
      <c r="AA296" s="6"/>
      <c r="AB296" s="6"/>
      <c r="AC296" s="6"/>
      <c r="AD296" s="6"/>
      <c r="AE296" s="6"/>
    </row>
    <row r="297" spans="22:31" ht="11.25" customHeight="1" x14ac:dyDescent="0.25">
      <c r="V297" s="6"/>
      <c r="W297" s="6"/>
      <c r="X297" s="6"/>
      <c r="Y297" s="6"/>
      <c r="Z297" s="6"/>
      <c r="AA297" s="6"/>
      <c r="AB297" s="6"/>
      <c r="AC297" s="6"/>
      <c r="AD297" s="6"/>
      <c r="AE297" s="6"/>
    </row>
    <row r="298" spans="22:31" ht="11.25" customHeight="1" x14ac:dyDescent="0.25">
      <c r="V298" s="6"/>
      <c r="W298" s="6"/>
      <c r="X298" s="6"/>
      <c r="Y298" s="6"/>
      <c r="Z298" s="6"/>
      <c r="AA298" s="6"/>
      <c r="AB298" s="6"/>
      <c r="AC298" s="6"/>
      <c r="AD298" s="6"/>
      <c r="AE298" s="6"/>
    </row>
    <row r="299" spans="22:31" ht="11.25" customHeight="1" x14ac:dyDescent="0.25">
      <c r="V299" s="6"/>
      <c r="W299" s="6"/>
      <c r="X299" s="6"/>
      <c r="Y299" s="6"/>
      <c r="Z299" s="6"/>
      <c r="AA299" s="6"/>
      <c r="AB299" s="6"/>
      <c r="AC299" s="6"/>
      <c r="AD299" s="6"/>
      <c r="AE299" s="6"/>
    </row>
    <row r="300" spans="22:31" ht="11.25" customHeight="1" x14ac:dyDescent="0.25">
      <c r="V300" s="6"/>
      <c r="W300" s="6"/>
      <c r="X300" s="6"/>
      <c r="Y300" s="6"/>
      <c r="Z300" s="6"/>
      <c r="AA300" s="6"/>
      <c r="AB300" s="6"/>
      <c r="AC300" s="6"/>
      <c r="AD300" s="6"/>
      <c r="AE300" s="6"/>
    </row>
    <row r="301" spans="22:31" ht="11.25" customHeight="1" x14ac:dyDescent="0.25">
      <c r="V301" s="6"/>
      <c r="W301" s="6"/>
      <c r="X301" s="6"/>
      <c r="Y301" s="6"/>
      <c r="Z301" s="6"/>
      <c r="AA301" s="6"/>
      <c r="AB301" s="6"/>
      <c r="AC301" s="6"/>
      <c r="AD301" s="6"/>
      <c r="AE301" s="6"/>
    </row>
    <row r="302" spans="22:31" ht="11.25" customHeight="1" x14ac:dyDescent="0.25">
      <c r="V302" s="6"/>
      <c r="W302" s="6"/>
      <c r="X302" s="6"/>
      <c r="Y302" s="6"/>
      <c r="Z302" s="6"/>
      <c r="AA302" s="6"/>
      <c r="AB302" s="6"/>
      <c r="AC302" s="6"/>
      <c r="AD302" s="6"/>
      <c r="AE302" s="6"/>
    </row>
    <row r="303" spans="22:31" ht="11.25" customHeight="1" x14ac:dyDescent="0.25">
      <c r="V303" s="6"/>
      <c r="W303" s="6"/>
      <c r="X303" s="6"/>
      <c r="Y303" s="6"/>
      <c r="Z303" s="6"/>
      <c r="AA303" s="6"/>
      <c r="AB303" s="6"/>
      <c r="AC303" s="6"/>
      <c r="AD303" s="6"/>
      <c r="AE303" s="6"/>
    </row>
    <row r="304" spans="22:31" ht="11.25" customHeight="1" x14ac:dyDescent="0.25">
      <c r="V304" s="6"/>
      <c r="W304" s="6"/>
      <c r="X304" s="6"/>
      <c r="Y304" s="6"/>
      <c r="Z304" s="6"/>
      <c r="AA304" s="6"/>
      <c r="AB304" s="6"/>
      <c r="AC304" s="6"/>
      <c r="AD304" s="6"/>
      <c r="AE304" s="6"/>
    </row>
    <row r="305" spans="22:31" ht="11.25" customHeight="1" x14ac:dyDescent="0.25">
      <c r="V305" s="6"/>
      <c r="W305" s="6"/>
      <c r="X305" s="6"/>
      <c r="Y305" s="6"/>
      <c r="Z305" s="6"/>
      <c r="AA305" s="6"/>
      <c r="AB305" s="6"/>
      <c r="AC305" s="6"/>
      <c r="AD305" s="6"/>
      <c r="AE305" s="6"/>
    </row>
    <row r="306" spans="22:31" ht="11.25" customHeight="1" x14ac:dyDescent="0.25">
      <c r="V306" s="6"/>
      <c r="W306" s="6"/>
      <c r="X306" s="6"/>
      <c r="Y306" s="6"/>
      <c r="Z306" s="6"/>
      <c r="AA306" s="6"/>
      <c r="AB306" s="6"/>
      <c r="AC306" s="6"/>
      <c r="AD306" s="6"/>
      <c r="AE306" s="6"/>
    </row>
    <row r="307" spans="22:31" ht="11.25" customHeight="1" x14ac:dyDescent="0.25">
      <c r="V307" s="6"/>
      <c r="W307" s="6"/>
      <c r="X307" s="6"/>
      <c r="Y307" s="6"/>
      <c r="Z307" s="6"/>
      <c r="AA307" s="6"/>
      <c r="AB307" s="6"/>
      <c r="AC307" s="6"/>
      <c r="AD307" s="6"/>
      <c r="AE307" s="6"/>
    </row>
    <row r="308" spans="22:31" ht="11.25" customHeight="1" x14ac:dyDescent="0.25">
      <c r="V308" s="6"/>
      <c r="W308" s="6"/>
      <c r="X308" s="6"/>
      <c r="Y308" s="6"/>
      <c r="Z308" s="6"/>
      <c r="AA308" s="6"/>
      <c r="AB308" s="6"/>
      <c r="AC308" s="6"/>
      <c r="AD308" s="6"/>
      <c r="AE308" s="6"/>
    </row>
    <row r="309" spans="22:31" ht="11.25" customHeight="1" x14ac:dyDescent="0.25">
      <c r="V309" s="6"/>
      <c r="W309" s="6"/>
      <c r="X309" s="6"/>
      <c r="Y309" s="6"/>
      <c r="Z309" s="6"/>
      <c r="AA309" s="6"/>
      <c r="AB309" s="6"/>
      <c r="AC309" s="6"/>
      <c r="AD309" s="6"/>
      <c r="AE309" s="6"/>
    </row>
    <row r="310" spans="22:31" ht="11.25" customHeight="1" x14ac:dyDescent="0.25">
      <c r="V310" s="6"/>
      <c r="W310" s="6"/>
      <c r="X310" s="6"/>
      <c r="Y310" s="6"/>
      <c r="Z310" s="6"/>
      <c r="AA310" s="6"/>
      <c r="AB310" s="6"/>
      <c r="AC310" s="6"/>
      <c r="AD310" s="6"/>
      <c r="AE310" s="6"/>
    </row>
    <row r="311" spans="22:31" ht="11.25" customHeight="1" x14ac:dyDescent="0.25">
      <c r="V311" s="6"/>
      <c r="W311" s="6"/>
      <c r="X311" s="6"/>
      <c r="Y311" s="6"/>
      <c r="Z311" s="6"/>
      <c r="AA311" s="6"/>
      <c r="AB311" s="6"/>
      <c r="AC311" s="6"/>
      <c r="AD311" s="6"/>
      <c r="AE311" s="6"/>
    </row>
    <row r="312" spans="22:31" ht="11.25" customHeight="1" x14ac:dyDescent="0.25">
      <c r="V312" s="6"/>
      <c r="W312" s="6"/>
      <c r="X312" s="6"/>
      <c r="Y312" s="6"/>
      <c r="Z312" s="6"/>
      <c r="AA312" s="6"/>
      <c r="AB312" s="6"/>
      <c r="AC312" s="6"/>
      <c r="AD312" s="6"/>
      <c r="AE312" s="6"/>
    </row>
    <row r="313" spans="22:31" ht="11.25" customHeight="1" x14ac:dyDescent="0.25">
      <c r="V313" s="6"/>
      <c r="W313" s="6"/>
      <c r="X313" s="6"/>
      <c r="Y313" s="6"/>
      <c r="Z313" s="6"/>
      <c r="AA313" s="6"/>
      <c r="AB313" s="6"/>
      <c r="AC313" s="6"/>
      <c r="AD313" s="6"/>
      <c r="AE313" s="6"/>
    </row>
    <row r="314" spans="22:31" ht="11.25" customHeight="1" x14ac:dyDescent="0.25">
      <c r="V314" s="6"/>
      <c r="W314" s="6"/>
      <c r="X314" s="6"/>
      <c r="Y314" s="6"/>
      <c r="Z314" s="6"/>
      <c r="AA314" s="6"/>
      <c r="AB314" s="6"/>
      <c r="AC314" s="6"/>
      <c r="AD314" s="6"/>
      <c r="AE314" s="6"/>
    </row>
    <row r="315" spans="22:31" ht="11.25" customHeight="1" x14ac:dyDescent="0.25">
      <c r="V315" s="6"/>
      <c r="W315" s="6"/>
      <c r="X315" s="6"/>
      <c r="Y315" s="6"/>
      <c r="Z315" s="6"/>
      <c r="AA315" s="6"/>
      <c r="AB315" s="6"/>
      <c r="AC315" s="6"/>
      <c r="AD315" s="6"/>
      <c r="AE315" s="6"/>
    </row>
    <row r="316" spans="22:31" ht="11.25" customHeight="1" x14ac:dyDescent="0.25">
      <c r="V316" s="6"/>
      <c r="W316" s="6"/>
      <c r="X316" s="6"/>
      <c r="Y316" s="6"/>
      <c r="Z316" s="6"/>
      <c r="AA316" s="6"/>
      <c r="AB316" s="6"/>
      <c r="AC316" s="6"/>
      <c r="AD316" s="6"/>
      <c r="AE316" s="6"/>
    </row>
    <row r="317" spans="22:31" ht="11.25" customHeight="1" x14ac:dyDescent="0.25">
      <c r="V317" s="6"/>
      <c r="W317" s="6"/>
      <c r="X317" s="6"/>
      <c r="Y317" s="6"/>
      <c r="Z317" s="6"/>
      <c r="AA317" s="6"/>
      <c r="AB317" s="6"/>
      <c r="AC317" s="6"/>
      <c r="AD317" s="6"/>
      <c r="AE317" s="6"/>
    </row>
    <row r="318" spans="22:31" ht="11.25" customHeight="1" x14ac:dyDescent="0.25">
      <c r="V318" s="6"/>
      <c r="W318" s="6"/>
      <c r="X318" s="6"/>
      <c r="Y318" s="6"/>
      <c r="Z318" s="6"/>
      <c r="AA318" s="6"/>
      <c r="AB318" s="6"/>
      <c r="AC318" s="6"/>
      <c r="AD318" s="6"/>
      <c r="AE318" s="6"/>
    </row>
    <row r="319" spans="22:31" ht="11.25" customHeight="1" x14ac:dyDescent="0.25">
      <c r="V319" s="6"/>
      <c r="W319" s="6"/>
      <c r="X319" s="6"/>
      <c r="Y319" s="6"/>
      <c r="Z319" s="6"/>
      <c r="AA319" s="6"/>
      <c r="AB319" s="6"/>
      <c r="AC319" s="6"/>
      <c r="AD319" s="6"/>
      <c r="AE319" s="6"/>
    </row>
    <row r="320" spans="22:31" ht="11.25" customHeight="1" x14ac:dyDescent="0.25">
      <c r="V320" s="6"/>
      <c r="W320" s="6"/>
      <c r="X320" s="6"/>
      <c r="Y320" s="6"/>
      <c r="Z320" s="6"/>
      <c r="AA320" s="6"/>
      <c r="AB320" s="6"/>
      <c r="AC320" s="6"/>
      <c r="AD320" s="6"/>
      <c r="AE320" s="6"/>
    </row>
    <row r="321" spans="22:31" ht="11.25" customHeight="1" x14ac:dyDescent="0.25">
      <c r="V321" s="6"/>
      <c r="W321" s="6"/>
      <c r="X321" s="6"/>
      <c r="Y321" s="6"/>
      <c r="Z321" s="6"/>
      <c r="AA321" s="6"/>
      <c r="AB321" s="6"/>
      <c r="AC321" s="6"/>
      <c r="AD321" s="6"/>
      <c r="AE321" s="6"/>
    </row>
    <row r="322" spans="22:31" ht="11.25" customHeight="1" x14ac:dyDescent="0.25">
      <c r="V322" s="6"/>
      <c r="W322" s="6"/>
      <c r="X322" s="6"/>
      <c r="Y322" s="6"/>
      <c r="Z322" s="6"/>
      <c r="AA322" s="6"/>
      <c r="AB322" s="6"/>
      <c r="AC322" s="6"/>
      <c r="AD322" s="6"/>
      <c r="AE322" s="6"/>
    </row>
    <row r="323" spans="22:31" ht="11.25" customHeight="1" x14ac:dyDescent="0.25">
      <c r="V323" s="6"/>
      <c r="W323" s="6"/>
      <c r="X323" s="6"/>
      <c r="Y323" s="6"/>
      <c r="Z323" s="6"/>
      <c r="AA323" s="6"/>
      <c r="AB323" s="6"/>
      <c r="AC323" s="6"/>
      <c r="AD323" s="6"/>
      <c r="AE323" s="6"/>
    </row>
    <row r="324" spans="22:31" ht="11.25" customHeight="1" x14ac:dyDescent="0.25">
      <c r="V324" s="6"/>
      <c r="W324" s="6"/>
      <c r="X324" s="6"/>
      <c r="Y324" s="6"/>
      <c r="Z324" s="6"/>
      <c r="AA324" s="6"/>
      <c r="AB324" s="6"/>
      <c r="AC324" s="6"/>
      <c r="AD324" s="6"/>
      <c r="AE324" s="6"/>
    </row>
    <row r="325" spans="22:31" ht="11.25" customHeight="1" x14ac:dyDescent="0.25">
      <c r="V325" s="6"/>
      <c r="W325" s="6"/>
      <c r="X325" s="6"/>
      <c r="Y325" s="6"/>
      <c r="Z325" s="6"/>
      <c r="AA325" s="6"/>
      <c r="AB325" s="6"/>
      <c r="AC325" s="6"/>
      <c r="AD325" s="6"/>
      <c r="AE325" s="6"/>
    </row>
    <row r="326" spans="22:31" ht="11.25" customHeight="1" x14ac:dyDescent="0.25">
      <c r="V326" s="6"/>
      <c r="W326" s="6"/>
      <c r="X326" s="6"/>
      <c r="Y326" s="6"/>
      <c r="Z326" s="6"/>
      <c r="AA326" s="6"/>
      <c r="AB326" s="6"/>
      <c r="AC326" s="6"/>
      <c r="AD326" s="6"/>
      <c r="AE326" s="6"/>
    </row>
    <row r="327" spans="22:31" ht="11.25" customHeight="1" x14ac:dyDescent="0.25">
      <c r="V327" s="6"/>
      <c r="W327" s="6"/>
      <c r="X327" s="6"/>
      <c r="Y327" s="6"/>
      <c r="Z327" s="6"/>
      <c r="AA327" s="6"/>
      <c r="AB327" s="6"/>
      <c r="AC327" s="6"/>
      <c r="AD327" s="6"/>
      <c r="AE327" s="6"/>
    </row>
    <row r="328" spans="22:31" ht="11.25" customHeight="1" x14ac:dyDescent="0.25">
      <c r="V328" s="6"/>
      <c r="W328" s="6"/>
      <c r="X328" s="6"/>
      <c r="Y328" s="6"/>
      <c r="Z328" s="6"/>
      <c r="AA328" s="6"/>
      <c r="AB328" s="6"/>
      <c r="AC328" s="6"/>
      <c r="AD328" s="6"/>
      <c r="AE328" s="6"/>
    </row>
    <row r="329" spans="22:31" ht="11.25" customHeight="1" x14ac:dyDescent="0.25">
      <c r="V329" s="6"/>
      <c r="W329" s="6"/>
      <c r="X329" s="6"/>
      <c r="Y329" s="6"/>
      <c r="Z329" s="6"/>
      <c r="AA329" s="6"/>
      <c r="AB329" s="6"/>
      <c r="AC329" s="6"/>
      <c r="AD329" s="6"/>
      <c r="AE329" s="6"/>
    </row>
    <row r="330" spans="22:31" ht="11.25" customHeight="1" x14ac:dyDescent="0.25">
      <c r="V330" s="6"/>
      <c r="W330" s="6"/>
      <c r="X330" s="6"/>
      <c r="Y330" s="6"/>
      <c r="Z330" s="6"/>
      <c r="AA330" s="6"/>
      <c r="AB330" s="6"/>
      <c r="AC330" s="6"/>
      <c r="AD330" s="6"/>
      <c r="AE330" s="6"/>
    </row>
    <row r="331" spans="22:31" ht="11.25" customHeight="1" x14ac:dyDescent="0.25">
      <c r="V331" s="6"/>
      <c r="W331" s="6"/>
      <c r="X331" s="6"/>
      <c r="Y331" s="6"/>
      <c r="Z331" s="6"/>
      <c r="AA331" s="6"/>
      <c r="AB331" s="6"/>
      <c r="AC331" s="6"/>
      <c r="AD331" s="6"/>
      <c r="AE331" s="6"/>
    </row>
    <row r="332" spans="22:31" ht="11.25" customHeight="1" x14ac:dyDescent="0.25">
      <c r="V332" s="6"/>
      <c r="W332" s="6"/>
      <c r="X332" s="6"/>
      <c r="Y332" s="6"/>
      <c r="Z332" s="6"/>
      <c r="AA332" s="6"/>
      <c r="AB332" s="6"/>
      <c r="AC332" s="6"/>
      <c r="AD332" s="6"/>
      <c r="AE332" s="6"/>
    </row>
    <row r="333" spans="22:31" ht="11.25" customHeight="1" x14ac:dyDescent="0.25">
      <c r="V333" s="6"/>
      <c r="W333" s="6"/>
      <c r="X333" s="6"/>
      <c r="Y333" s="6"/>
      <c r="Z333" s="6"/>
      <c r="AA333" s="6"/>
      <c r="AB333" s="6"/>
      <c r="AC333" s="6"/>
      <c r="AD333" s="6"/>
      <c r="AE333" s="6"/>
    </row>
    <row r="334" spans="22:31" ht="11.25" customHeight="1" x14ac:dyDescent="0.25">
      <c r="V334" s="6"/>
      <c r="W334" s="6"/>
      <c r="X334" s="6"/>
      <c r="Y334" s="6"/>
      <c r="Z334" s="6"/>
      <c r="AA334" s="6"/>
      <c r="AB334" s="6"/>
      <c r="AC334" s="6"/>
      <c r="AD334" s="6"/>
      <c r="AE334" s="6"/>
    </row>
    <row r="335" spans="22:31" ht="11.25" customHeight="1" x14ac:dyDescent="0.25">
      <c r="V335" s="6"/>
      <c r="W335" s="6"/>
      <c r="X335" s="6"/>
      <c r="Y335" s="6"/>
      <c r="Z335" s="6"/>
      <c r="AA335" s="6"/>
      <c r="AB335" s="6"/>
      <c r="AC335" s="6"/>
      <c r="AD335" s="6"/>
      <c r="AE335" s="6"/>
    </row>
    <row r="336" spans="22:31" ht="11.25" customHeight="1" x14ac:dyDescent="0.25">
      <c r="V336" s="6"/>
      <c r="W336" s="6"/>
      <c r="X336" s="6"/>
      <c r="Y336" s="6"/>
      <c r="Z336" s="6"/>
      <c r="AA336" s="6"/>
      <c r="AB336" s="6"/>
      <c r="AC336" s="6"/>
      <c r="AD336" s="6"/>
      <c r="AE336" s="6"/>
    </row>
    <row r="337" spans="22:31" ht="11.25" customHeight="1" x14ac:dyDescent="0.25">
      <c r="V337" s="6"/>
      <c r="W337" s="6"/>
      <c r="X337" s="6"/>
      <c r="Y337" s="6"/>
      <c r="Z337" s="6"/>
      <c r="AA337" s="6"/>
      <c r="AB337" s="6"/>
      <c r="AC337" s="6"/>
      <c r="AD337" s="6"/>
      <c r="AE337" s="6"/>
    </row>
    <row r="338" spans="22:31" ht="11.25" customHeight="1" x14ac:dyDescent="0.25">
      <c r="V338" s="6"/>
      <c r="W338" s="6"/>
      <c r="X338" s="6"/>
      <c r="Y338" s="6"/>
      <c r="Z338" s="6"/>
      <c r="AA338" s="6"/>
      <c r="AB338" s="6"/>
      <c r="AC338" s="6"/>
      <c r="AD338" s="6"/>
      <c r="AE338" s="6"/>
    </row>
    <row r="339" spans="22:31" ht="11.25" customHeight="1" x14ac:dyDescent="0.25">
      <c r="V339" s="6"/>
      <c r="W339" s="6"/>
      <c r="X339" s="6"/>
      <c r="Y339" s="6"/>
      <c r="Z339" s="6"/>
      <c r="AA339" s="6"/>
      <c r="AB339" s="6"/>
      <c r="AC339" s="6"/>
      <c r="AD339" s="6"/>
      <c r="AE339" s="6"/>
    </row>
    <row r="340" spans="22:31" ht="11.25" customHeight="1" x14ac:dyDescent="0.25">
      <c r="V340" s="6"/>
      <c r="W340" s="6"/>
      <c r="X340" s="6"/>
      <c r="Y340" s="6"/>
      <c r="Z340" s="6"/>
      <c r="AA340" s="6"/>
      <c r="AB340" s="6"/>
      <c r="AC340" s="6"/>
      <c r="AD340" s="6"/>
      <c r="AE340" s="6"/>
    </row>
    <row r="341" spans="22:31" ht="11.25" customHeight="1" x14ac:dyDescent="0.25">
      <c r="V341" s="6"/>
      <c r="W341" s="6"/>
      <c r="X341" s="6"/>
      <c r="Y341" s="6"/>
      <c r="Z341" s="6"/>
      <c r="AA341" s="6"/>
      <c r="AB341" s="6"/>
      <c r="AC341" s="6"/>
      <c r="AD341" s="6"/>
      <c r="AE341" s="6"/>
    </row>
    <row r="342" spans="22:31" ht="11.25" customHeight="1" x14ac:dyDescent="0.25">
      <c r="V342" s="6"/>
      <c r="W342" s="6"/>
      <c r="X342" s="6"/>
      <c r="Y342" s="6"/>
      <c r="Z342" s="6"/>
      <c r="AA342" s="6"/>
      <c r="AB342" s="6"/>
      <c r="AC342" s="6"/>
      <c r="AD342" s="6"/>
      <c r="AE342" s="6"/>
    </row>
    <row r="343" spans="22:31" ht="11.25" customHeight="1" x14ac:dyDescent="0.25">
      <c r="V343" s="6"/>
      <c r="W343" s="6"/>
      <c r="X343" s="6"/>
      <c r="Y343" s="6"/>
      <c r="Z343" s="6"/>
      <c r="AA343" s="6"/>
      <c r="AB343" s="6"/>
      <c r="AC343" s="6"/>
      <c r="AD343" s="6"/>
      <c r="AE343" s="6"/>
    </row>
    <row r="344" spans="22:31" ht="11.25" customHeight="1" x14ac:dyDescent="0.25">
      <c r="V344" s="6"/>
      <c r="W344" s="6"/>
      <c r="X344" s="6"/>
      <c r="Y344" s="6"/>
      <c r="Z344" s="6"/>
      <c r="AA344" s="6"/>
      <c r="AB344" s="6"/>
      <c r="AC344" s="6"/>
      <c r="AD344" s="6"/>
      <c r="AE344" s="6"/>
    </row>
    <row r="345" spans="22:31" ht="11.25" customHeight="1" x14ac:dyDescent="0.25">
      <c r="V345" s="6"/>
      <c r="W345" s="6"/>
      <c r="X345" s="6"/>
      <c r="Y345" s="6"/>
      <c r="Z345" s="6"/>
      <c r="AA345" s="6"/>
      <c r="AB345" s="6"/>
      <c r="AC345" s="6"/>
      <c r="AD345" s="6"/>
      <c r="AE345" s="6"/>
    </row>
    <row r="346" spans="22:31" ht="11.25" customHeight="1" x14ac:dyDescent="0.25">
      <c r="V346" s="6"/>
      <c r="W346" s="6"/>
      <c r="X346" s="6"/>
      <c r="Y346" s="6"/>
      <c r="Z346" s="6"/>
      <c r="AA346" s="6"/>
      <c r="AB346" s="6"/>
      <c r="AC346" s="6"/>
      <c r="AD346" s="6"/>
      <c r="AE346" s="6"/>
    </row>
    <row r="347" spans="22:31" ht="11.25" customHeight="1" x14ac:dyDescent="0.25">
      <c r="V347" s="6"/>
      <c r="W347" s="6"/>
      <c r="X347" s="6"/>
      <c r="Y347" s="6"/>
      <c r="Z347" s="6"/>
      <c r="AA347" s="6"/>
      <c r="AB347" s="6"/>
      <c r="AC347" s="6"/>
      <c r="AD347" s="6"/>
      <c r="AE347" s="6"/>
    </row>
    <row r="348" spans="22:31" ht="11.25" customHeight="1" x14ac:dyDescent="0.25">
      <c r="V348" s="6"/>
      <c r="W348" s="6"/>
      <c r="X348" s="6"/>
      <c r="Y348" s="6"/>
      <c r="Z348" s="6"/>
      <c r="AA348" s="6"/>
      <c r="AB348" s="6"/>
      <c r="AC348" s="6"/>
      <c r="AD348" s="6"/>
      <c r="AE348" s="6"/>
    </row>
    <row r="349" spans="22:31" ht="11.25" customHeight="1" x14ac:dyDescent="0.25">
      <c r="V349" s="6"/>
      <c r="W349" s="6"/>
      <c r="X349" s="6"/>
      <c r="Y349" s="6"/>
      <c r="Z349" s="6"/>
      <c r="AA349" s="6"/>
      <c r="AB349" s="6"/>
      <c r="AC349" s="6"/>
      <c r="AD349" s="6"/>
      <c r="AE349" s="6"/>
    </row>
    <row r="350" spans="22:31" ht="11.25" customHeight="1" x14ac:dyDescent="0.25">
      <c r="V350" s="6"/>
      <c r="W350" s="6"/>
      <c r="X350" s="6"/>
      <c r="Y350" s="6"/>
      <c r="Z350" s="6"/>
      <c r="AA350" s="6"/>
      <c r="AB350" s="6"/>
      <c r="AC350" s="6"/>
      <c r="AD350" s="6"/>
      <c r="AE350" s="6"/>
    </row>
    <row r="351" spans="22:31" ht="11.25" customHeight="1" x14ac:dyDescent="0.25">
      <c r="V351" s="6"/>
      <c r="W351" s="6"/>
      <c r="X351" s="6"/>
      <c r="Y351" s="6"/>
      <c r="Z351" s="6"/>
      <c r="AA351" s="6"/>
      <c r="AB351" s="6"/>
      <c r="AC351" s="6"/>
      <c r="AD351" s="6"/>
      <c r="AE351" s="6"/>
    </row>
    <row r="352" spans="22:31" ht="11.25" customHeight="1" x14ac:dyDescent="0.25">
      <c r="V352" s="6"/>
      <c r="W352" s="6"/>
      <c r="X352" s="6"/>
      <c r="Y352" s="6"/>
      <c r="Z352" s="6"/>
      <c r="AA352" s="6"/>
      <c r="AB352" s="6"/>
      <c r="AC352" s="6"/>
      <c r="AD352" s="6"/>
      <c r="AE352" s="6"/>
    </row>
    <row r="353" spans="22:31" ht="11.25" customHeight="1" x14ac:dyDescent="0.25">
      <c r="V353" s="6"/>
      <c r="W353" s="6"/>
      <c r="X353" s="6"/>
      <c r="Y353" s="6"/>
      <c r="Z353" s="6"/>
      <c r="AA353" s="6"/>
      <c r="AB353" s="6"/>
      <c r="AC353" s="6"/>
      <c r="AD353" s="6"/>
      <c r="AE353" s="6"/>
    </row>
    <row r="354" spans="22:31" ht="11.25" customHeight="1" x14ac:dyDescent="0.25">
      <c r="V354" s="6"/>
      <c r="W354" s="6"/>
      <c r="X354" s="6"/>
      <c r="Y354" s="6"/>
      <c r="Z354" s="6"/>
      <c r="AA354" s="6"/>
      <c r="AB354" s="6"/>
      <c r="AC354" s="6"/>
      <c r="AD354" s="6"/>
      <c r="AE354" s="6"/>
    </row>
    <row r="355" spans="22:31" ht="11.25" customHeight="1" x14ac:dyDescent="0.25">
      <c r="V355" s="6"/>
      <c r="W355" s="6"/>
      <c r="X355" s="6"/>
      <c r="Y355" s="6"/>
      <c r="Z355" s="6"/>
      <c r="AA355" s="6"/>
      <c r="AB355" s="6"/>
      <c r="AC355" s="6"/>
      <c r="AD355" s="6"/>
      <c r="AE355" s="6"/>
    </row>
    <row r="356" spans="22:31" ht="11.25" customHeight="1" x14ac:dyDescent="0.25">
      <c r="V356" s="6"/>
      <c r="W356" s="6"/>
      <c r="X356" s="6"/>
      <c r="Y356" s="6"/>
      <c r="Z356" s="6"/>
      <c r="AA356" s="6"/>
      <c r="AB356" s="6"/>
      <c r="AC356" s="6"/>
      <c r="AD356" s="6"/>
      <c r="AE356" s="6"/>
    </row>
    <row r="357" spans="22:31" ht="11.25" customHeight="1" x14ac:dyDescent="0.25">
      <c r="V357" s="6"/>
      <c r="W357" s="6"/>
      <c r="X357" s="6"/>
      <c r="Y357" s="6"/>
      <c r="Z357" s="6"/>
      <c r="AA357" s="6"/>
      <c r="AB357" s="6"/>
      <c r="AC357" s="6"/>
      <c r="AD357" s="6"/>
      <c r="AE357" s="6"/>
    </row>
    <row r="358" spans="22:31" ht="11.25" customHeight="1" x14ac:dyDescent="0.25">
      <c r="V358" s="6"/>
      <c r="W358" s="6"/>
      <c r="X358" s="6"/>
      <c r="Y358" s="6"/>
      <c r="Z358" s="6"/>
      <c r="AA358" s="6"/>
      <c r="AB358" s="6"/>
      <c r="AC358" s="6"/>
      <c r="AD358" s="6"/>
      <c r="AE358" s="6"/>
    </row>
    <row r="359" spans="22:31" ht="11.25" customHeight="1" x14ac:dyDescent="0.25">
      <c r="V359" s="6"/>
      <c r="W359" s="6"/>
      <c r="X359" s="6"/>
      <c r="Y359" s="6"/>
      <c r="Z359" s="6"/>
      <c r="AA359" s="6"/>
      <c r="AB359" s="6"/>
      <c r="AC359" s="6"/>
      <c r="AD359" s="6"/>
      <c r="AE359" s="6"/>
    </row>
    <row r="360" spans="22:31" ht="11.25" customHeight="1" x14ac:dyDescent="0.25">
      <c r="V360" s="6"/>
      <c r="W360" s="6"/>
      <c r="X360" s="6"/>
      <c r="Y360" s="6"/>
      <c r="Z360" s="6"/>
      <c r="AA360" s="6"/>
      <c r="AB360" s="6"/>
      <c r="AC360" s="6"/>
      <c r="AD360" s="6"/>
      <c r="AE360" s="6"/>
    </row>
    <row r="361" spans="22:31" ht="11.25" customHeight="1" x14ac:dyDescent="0.25">
      <c r="V361" s="6"/>
      <c r="W361" s="6"/>
      <c r="X361" s="6"/>
      <c r="Y361" s="6"/>
      <c r="Z361" s="6"/>
      <c r="AA361" s="6"/>
      <c r="AB361" s="6"/>
      <c r="AC361" s="6"/>
      <c r="AD361" s="6"/>
      <c r="AE361" s="6"/>
    </row>
    <row r="362" spans="22:31" ht="11.25" customHeight="1" x14ac:dyDescent="0.25">
      <c r="V362" s="6"/>
      <c r="W362" s="6"/>
      <c r="X362" s="6"/>
      <c r="Y362" s="6"/>
      <c r="Z362" s="6"/>
      <c r="AA362" s="6"/>
      <c r="AB362" s="6"/>
      <c r="AC362" s="6"/>
      <c r="AD362" s="6"/>
      <c r="AE362" s="6"/>
    </row>
    <row r="363" spans="22:31" ht="11.25" customHeight="1" x14ac:dyDescent="0.25">
      <c r="V363" s="6"/>
      <c r="W363" s="6"/>
      <c r="X363" s="6"/>
      <c r="Y363" s="6"/>
      <c r="Z363" s="6"/>
      <c r="AA363" s="6"/>
      <c r="AB363" s="6"/>
      <c r="AC363" s="6"/>
      <c r="AD363" s="6"/>
      <c r="AE363" s="6"/>
    </row>
    <row r="364" spans="22:31" ht="11.25" customHeight="1" x14ac:dyDescent="0.25">
      <c r="V364" s="6"/>
      <c r="W364" s="6"/>
      <c r="X364" s="6"/>
      <c r="Y364" s="6"/>
      <c r="Z364" s="6"/>
      <c r="AA364" s="6"/>
      <c r="AB364" s="6"/>
      <c r="AC364" s="6"/>
      <c r="AD364" s="6"/>
      <c r="AE364" s="6"/>
    </row>
    <row r="365" spans="22:31" ht="11.25" customHeight="1" x14ac:dyDescent="0.25">
      <c r="V365" s="6"/>
      <c r="W365" s="6"/>
      <c r="X365" s="6"/>
      <c r="Y365" s="6"/>
      <c r="Z365" s="6"/>
      <c r="AA365" s="6"/>
      <c r="AB365" s="6"/>
      <c r="AC365" s="6"/>
      <c r="AD365" s="6"/>
      <c r="AE365" s="6"/>
    </row>
    <row r="366" spans="22:31" ht="11.25" customHeight="1" x14ac:dyDescent="0.25">
      <c r="V366" s="6"/>
      <c r="W366" s="6"/>
      <c r="X366" s="6"/>
      <c r="Y366" s="6"/>
      <c r="Z366" s="6"/>
      <c r="AA366" s="6"/>
      <c r="AB366" s="6"/>
      <c r="AC366" s="6"/>
      <c r="AD366" s="6"/>
      <c r="AE366" s="6"/>
    </row>
    <row r="367" spans="22:31" ht="11.25" customHeight="1" x14ac:dyDescent="0.25">
      <c r="V367" s="6"/>
      <c r="W367" s="6"/>
      <c r="X367" s="6"/>
      <c r="Y367" s="6"/>
      <c r="Z367" s="6"/>
      <c r="AA367" s="6"/>
      <c r="AB367" s="6"/>
      <c r="AC367" s="6"/>
      <c r="AD367" s="6"/>
      <c r="AE367" s="6"/>
    </row>
    <row r="368" spans="22:31" ht="11.25" customHeight="1" x14ac:dyDescent="0.25">
      <c r="V368" s="6"/>
      <c r="W368" s="6"/>
      <c r="X368" s="6"/>
      <c r="Y368" s="6"/>
      <c r="Z368" s="6"/>
      <c r="AA368" s="6"/>
      <c r="AB368" s="6"/>
      <c r="AC368" s="6"/>
      <c r="AD368" s="6"/>
      <c r="AE368" s="6"/>
    </row>
    <row r="369" spans="22:31" ht="11.25" customHeight="1" x14ac:dyDescent="0.25">
      <c r="V369" s="6"/>
      <c r="W369" s="6"/>
      <c r="X369" s="6"/>
      <c r="Y369" s="6"/>
      <c r="Z369" s="6"/>
      <c r="AA369" s="6"/>
      <c r="AB369" s="6"/>
      <c r="AC369" s="6"/>
      <c r="AD369" s="6"/>
      <c r="AE369" s="6"/>
    </row>
    <row r="370" spans="22:31" ht="11.25" customHeight="1" x14ac:dyDescent="0.25">
      <c r="V370" s="6"/>
      <c r="W370" s="6"/>
      <c r="X370" s="6"/>
      <c r="Y370" s="6"/>
      <c r="Z370" s="6"/>
      <c r="AA370" s="6"/>
      <c r="AB370" s="6"/>
      <c r="AC370" s="6"/>
      <c r="AD370" s="6"/>
      <c r="AE370" s="6"/>
    </row>
    <row r="371" spans="22:31" ht="11.25" customHeight="1" x14ac:dyDescent="0.25">
      <c r="V371" s="6"/>
      <c r="W371" s="6"/>
      <c r="X371" s="6"/>
      <c r="Y371" s="6"/>
      <c r="Z371" s="6"/>
      <c r="AA371" s="6"/>
      <c r="AB371" s="6"/>
      <c r="AC371" s="6"/>
      <c r="AD371" s="6"/>
      <c r="AE371" s="6"/>
    </row>
    <row r="372" spans="22:31" ht="11.25" customHeight="1" x14ac:dyDescent="0.25">
      <c r="V372" s="6"/>
      <c r="W372" s="6"/>
      <c r="X372" s="6"/>
      <c r="Y372" s="6"/>
      <c r="Z372" s="6"/>
      <c r="AA372" s="6"/>
      <c r="AB372" s="6"/>
      <c r="AC372" s="6"/>
      <c r="AD372" s="6"/>
      <c r="AE372" s="6"/>
    </row>
    <row r="373" spans="22:31" ht="11.25" customHeight="1" x14ac:dyDescent="0.25">
      <c r="V373" s="6"/>
      <c r="W373" s="6"/>
      <c r="X373" s="6"/>
      <c r="Y373" s="6"/>
      <c r="Z373" s="6"/>
      <c r="AA373" s="6"/>
      <c r="AB373" s="6"/>
      <c r="AC373" s="6"/>
      <c r="AD373" s="6"/>
      <c r="AE373" s="6"/>
    </row>
    <row r="374" spans="22:31" ht="11.25" customHeight="1" x14ac:dyDescent="0.25">
      <c r="V374" s="6"/>
      <c r="W374" s="6"/>
      <c r="X374" s="6"/>
      <c r="Y374" s="6"/>
      <c r="Z374" s="6"/>
      <c r="AA374" s="6"/>
      <c r="AB374" s="6"/>
      <c r="AC374" s="6"/>
      <c r="AD374" s="6"/>
      <c r="AE374" s="6"/>
    </row>
    <row r="375" spans="22:31" ht="11.25" customHeight="1" x14ac:dyDescent="0.25">
      <c r="V375" s="6"/>
      <c r="W375" s="6"/>
      <c r="X375" s="6"/>
      <c r="Y375" s="6"/>
      <c r="Z375" s="6"/>
      <c r="AA375" s="6"/>
      <c r="AB375" s="6"/>
      <c r="AC375" s="6"/>
      <c r="AD375" s="6"/>
      <c r="AE375" s="6"/>
    </row>
    <row r="376" spans="22:31" ht="11.25" customHeight="1" x14ac:dyDescent="0.25">
      <c r="V376" s="6"/>
      <c r="W376" s="6"/>
      <c r="X376" s="6"/>
      <c r="Y376" s="6"/>
      <c r="Z376" s="6"/>
      <c r="AA376" s="6"/>
      <c r="AB376" s="6"/>
      <c r="AC376" s="6"/>
      <c r="AD376" s="6"/>
      <c r="AE376" s="6"/>
    </row>
    <row r="377" spans="22:31" ht="11.25" customHeight="1" x14ac:dyDescent="0.25">
      <c r="V377" s="6"/>
      <c r="W377" s="6"/>
      <c r="X377" s="6"/>
      <c r="Y377" s="6"/>
      <c r="Z377" s="6"/>
      <c r="AA377" s="6"/>
      <c r="AB377" s="6"/>
      <c r="AC377" s="6"/>
      <c r="AD377" s="6"/>
      <c r="AE377" s="6"/>
    </row>
    <row r="378" spans="22:31" ht="11.25" customHeight="1" x14ac:dyDescent="0.25">
      <c r="V378" s="6"/>
      <c r="W378" s="6"/>
      <c r="X378" s="6"/>
      <c r="Y378" s="6"/>
      <c r="Z378" s="6"/>
      <c r="AA378" s="6"/>
      <c r="AB378" s="6"/>
      <c r="AC378" s="6"/>
      <c r="AD378" s="6"/>
      <c r="AE378" s="6"/>
    </row>
    <row r="379" spans="22:31" ht="11.25" customHeight="1" x14ac:dyDescent="0.25">
      <c r="V379" s="6"/>
      <c r="W379" s="6"/>
      <c r="X379" s="6"/>
      <c r="Y379" s="6"/>
      <c r="Z379" s="6"/>
      <c r="AA379" s="6"/>
      <c r="AB379" s="6"/>
      <c r="AC379" s="6"/>
      <c r="AD379" s="6"/>
      <c r="AE379" s="6"/>
    </row>
    <row r="380" spans="22:31" ht="11.25" customHeight="1" x14ac:dyDescent="0.25">
      <c r="V380" s="6"/>
      <c r="W380" s="6"/>
      <c r="X380" s="6"/>
      <c r="Y380" s="6"/>
      <c r="Z380" s="6"/>
      <c r="AA380" s="6"/>
      <c r="AB380" s="6"/>
      <c r="AC380" s="6"/>
      <c r="AD380" s="6"/>
      <c r="AE380" s="6"/>
    </row>
    <row r="381" spans="22:31" ht="11.25" customHeight="1" x14ac:dyDescent="0.25">
      <c r="V381" s="6"/>
      <c r="W381" s="6"/>
      <c r="X381" s="6"/>
      <c r="Y381" s="6"/>
      <c r="Z381" s="6"/>
      <c r="AA381" s="6"/>
      <c r="AB381" s="6"/>
      <c r="AC381" s="6"/>
      <c r="AD381" s="6"/>
      <c r="AE381" s="6"/>
    </row>
    <row r="382" spans="22:31" ht="11.25" customHeight="1" x14ac:dyDescent="0.25">
      <c r="V382" s="6"/>
      <c r="W382" s="6"/>
      <c r="X382" s="6"/>
      <c r="Y382" s="6"/>
      <c r="Z382" s="6"/>
      <c r="AA382" s="6"/>
      <c r="AB382" s="6"/>
      <c r="AC382" s="6"/>
      <c r="AD382" s="6"/>
      <c r="AE382" s="6"/>
    </row>
    <row r="383" spans="22:31" ht="11.25" customHeight="1" x14ac:dyDescent="0.25">
      <c r="V383" s="6"/>
      <c r="W383" s="6"/>
      <c r="X383" s="6"/>
      <c r="Y383" s="6"/>
      <c r="Z383" s="6"/>
      <c r="AA383" s="6"/>
      <c r="AB383" s="6"/>
      <c r="AC383" s="6"/>
      <c r="AD383" s="6"/>
      <c r="AE383" s="6"/>
    </row>
    <row r="384" spans="22:31" ht="11.25" customHeight="1" x14ac:dyDescent="0.25">
      <c r="V384" s="6"/>
      <c r="W384" s="6"/>
      <c r="X384" s="6"/>
      <c r="Y384" s="6"/>
      <c r="Z384" s="6"/>
      <c r="AA384" s="6"/>
      <c r="AB384" s="6"/>
      <c r="AC384" s="6"/>
      <c r="AD384" s="6"/>
      <c r="AE384" s="6"/>
    </row>
    <row r="385" spans="22:31" ht="11.25" customHeight="1" x14ac:dyDescent="0.25">
      <c r="V385" s="6"/>
      <c r="W385" s="6"/>
      <c r="X385" s="6"/>
      <c r="Y385" s="6"/>
      <c r="Z385" s="6"/>
      <c r="AA385" s="6"/>
      <c r="AB385" s="6"/>
      <c r="AC385" s="6"/>
      <c r="AD385" s="6"/>
      <c r="AE385" s="6"/>
    </row>
    <row r="386" spans="22:31" ht="11.25" customHeight="1" x14ac:dyDescent="0.25">
      <c r="V386" s="6"/>
      <c r="W386" s="6"/>
      <c r="X386" s="6"/>
      <c r="Y386" s="6"/>
      <c r="Z386" s="6"/>
      <c r="AA386" s="6"/>
      <c r="AB386" s="6"/>
      <c r="AC386" s="6"/>
      <c r="AD386" s="6"/>
      <c r="AE386" s="6"/>
    </row>
    <row r="387" spans="22:31" ht="11.25" customHeight="1" x14ac:dyDescent="0.25">
      <c r="V387" s="6"/>
      <c r="W387" s="6"/>
      <c r="X387" s="6"/>
      <c r="Y387" s="6"/>
      <c r="Z387" s="6"/>
      <c r="AA387" s="6"/>
      <c r="AB387" s="6"/>
      <c r="AC387" s="6"/>
      <c r="AD387" s="6"/>
      <c r="AE387" s="6"/>
    </row>
    <row r="388" spans="22:31" ht="11.25" customHeight="1" x14ac:dyDescent="0.25">
      <c r="V388" s="6"/>
      <c r="W388" s="6"/>
      <c r="X388" s="6"/>
      <c r="Y388" s="6"/>
      <c r="Z388" s="6"/>
      <c r="AA388" s="6"/>
      <c r="AB388" s="6"/>
      <c r="AC388" s="6"/>
      <c r="AD388" s="6"/>
      <c r="AE388" s="6"/>
    </row>
    <row r="389" spans="22:31" ht="11.25" customHeight="1" x14ac:dyDescent="0.25">
      <c r="V389" s="6"/>
      <c r="W389" s="6"/>
      <c r="X389" s="6"/>
      <c r="Y389" s="6"/>
      <c r="Z389" s="6"/>
      <c r="AA389" s="6"/>
      <c r="AB389" s="6"/>
      <c r="AC389" s="6"/>
      <c r="AD389" s="6"/>
      <c r="AE389" s="6"/>
    </row>
    <row r="390" spans="22:31" ht="11.25" customHeight="1" x14ac:dyDescent="0.25">
      <c r="V390" s="6"/>
      <c r="W390" s="6"/>
      <c r="X390" s="6"/>
      <c r="Y390" s="6"/>
      <c r="Z390" s="6"/>
      <c r="AA390" s="6"/>
      <c r="AB390" s="6"/>
      <c r="AC390" s="6"/>
      <c r="AD390" s="6"/>
      <c r="AE390" s="6"/>
    </row>
    <row r="391" spans="22:31" ht="11.25" customHeight="1" x14ac:dyDescent="0.25">
      <c r="V391" s="6"/>
      <c r="W391" s="6"/>
      <c r="X391" s="6"/>
      <c r="Y391" s="6"/>
      <c r="Z391" s="6"/>
      <c r="AA391" s="6"/>
      <c r="AB391" s="6"/>
      <c r="AC391" s="6"/>
      <c r="AD391" s="6"/>
      <c r="AE391" s="6"/>
    </row>
    <row r="392" spans="22:31" ht="11.25" customHeight="1" x14ac:dyDescent="0.25">
      <c r="V392" s="6"/>
      <c r="W392" s="6"/>
      <c r="X392" s="6"/>
      <c r="Y392" s="6"/>
      <c r="Z392" s="6"/>
      <c r="AA392" s="6"/>
      <c r="AB392" s="6"/>
      <c r="AC392" s="6"/>
      <c r="AD392" s="6"/>
      <c r="AE392" s="6"/>
    </row>
    <row r="393" spans="22:31" ht="11.25" customHeight="1" x14ac:dyDescent="0.25">
      <c r="V393" s="6"/>
      <c r="W393" s="6"/>
      <c r="X393" s="6"/>
      <c r="Y393" s="6"/>
      <c r="Z393" s="6"/>
      <c r="AA393" s="6"/>
      <c r="AB393" s="6"/>
      <c r="AC393" s="6"/>
      <c r="AD393" s="6"/>
      <c r="AE393" s="6"/>
    </row>
    <row r="394" spans="22:31" ht="11.25" customHeight="1" x14ac:dyDescent="0.25">
      <c r="V394" s="6"/>
      <c r="W394" s="6"/>
      <c r="X394" s="6"/>
      <c r="Y394" s="6"/>
      <c r="Z394" s="6"/>
      <c r="AA394" s="6"/>
      <c r="AB394" s="6"/>
      <c r="AC394" s="6"/>
      <c r="AD394" s="6"/>
      <c r="AE394" s="6"/>
    </row>
    <row r="395" spans="22:31" ht="11.25" customHeight="1" x14ac:dyDescent="0.25">
      <c r="V395" s="6"/>
      <c r="W395" s="6"/>
      <c r="X395" s="6"/>
      <c r="Y395" s="6"/>
      <c r="Z395" s="6"/>
      <c r="AA395" s="6"/>
      <c r="AB395" s="6"/>
      <c r="AC395" s="6"/>
      <c r="AD395" s="6"/>
      <c r="AE395" s="6"/>
    </row>
    <row r="396" spans="22:31" ht="11.25" customHeight="1" x14ac:dyDescent="0.25">
      <c r="V396" s="6"/>
      <c r="W396" s="6"/>
      <c r="X396" s="6"/>
      <c r="Y396" s="6"/>
      <c r="Z396" s="6"/>
      <c r="AA396" s="6"/>
      <c r="AB396" s="6"/>
      <c r="AC396" s="6"/>
      <c r="AD396" s="6"/>
      <c r="AE396" s="6"/>
    </row>
    <row r="397" spans="22:31" ht="11.25" customHeight="1" x14ac:dyDescent="0.25">
      <c r="V397" s="6"/>
      <c r="W397" s="6"/>
      <c r="X397" s="6"/>
      <c r="Y397" s="6"/>
      <c r="Z397" s="6"/>
      <c r="AA397" s="6"/>
      <c r="AB397" s="6"/>
      <c r="AC397" s="6"/>
      <c r="AD397" s="6"/>
      <c r="AE397" s="6"/>
    </row>
    <row r="398" spans="22:31" ht="11.25" customHeight="1" x14ac:dyDescent="0.25">
      <c r="V398" s="6"/>
      <c r="W398" s="6"/>
      <c r="X398" s="6"/>
      <c r="Y398" s="6"/>
      <c r="Z398" s="6"/>
      <c r="AA398" s="6"/>
      <c r="AB398" s="6"/>
      <c r="AC398" s="6"/>
      <c r="AD398" s="6"/>
      <c r="AE398" s="6"/>
    </row>
    <row r="399" spans="22:31" ht="11.25" customHeight="1" x14ac:dyDescent="0.25">
      <c r="V399" s="6"/>
      <c r="W399" s="6"/>
      <c r="X399" s="6"/>
      <c r="Y399" s="6"/>
      <c r="Z399" s="6"/>
      <c r="AA399" s="6"/>
      <c r="AB399" s="6"/>
      <c r="AC399" s="6"/>
      <c r="AD399" s="6"/>
      <c r="AE399" s="6"/>
    </row>
    <row r="400" spans="22:31" ht="11.25" customHeight="1" x14ac:dyDescent="0.25">
      <c r="V400" s="6"/>
      <c r="W400" s="6"/>
      <c r="X400" s="6"/>
      <c r="Y400" s="6"/>
      <c r="Z400" s="6"/>
      <c r="AA400" s="6"/>
      <c r="AB400" s="6"/>
      <c r="AC400" s="6"/>
      <c r="AD400" s="6"/>
      <c r="AE400" s="6"/>
    </row>
    <row r="401" spans="22:31" ht="11.25" customHeight="1" x14ac:dyDescent="0.25">
      <c r="V401" s="6"/>
      <c r="W401" s="6"/>
      <c r="X401" s="6"/>
      <c r="Y401" s="6"/>
      <c r="Z401" s="6"/>
      <c r="AA401" s="6"/>
      <c r="AB401" s="6"/>
      <c r="AC401" s="6"/>
      <c r="AD401" s="6"/>
      <c r="AE401" s="6"/>
    </row>
    <row r="402" spans="22:31" ht="11.25" customHeight="1" x14ac:dyDescent="0.25">
      <c r="V402" s="6"/>
      <c r="W402" s="6"/>
      <c r="X402" s="6"/>
      <c r="Y402" s="6"/>
      <c r="Z402" s="6"/>
      <c r="AA402" s="6"/>
      <c r="AB402" s="6"/>
      <c r="AC402" s="6"/>
      <c r="AD402" s="6"/>
      <c r="AE402" s="6"/>
    </row>
    <row r="403" spans="22:31" ht="11.25" customHeight="1" x14ac:dyDescent="0.25">
      <c r="V403" s="6"/>
      <c r="W403" s="6"/>
      <c r="X403" s="6"/>
      <c r="Y403" s="6"/>
      <c r="Z403" s="6"/>
      <c r="AA403" s="6"/>
      <c r="AB403" s="6"/>
      <c r="AC403" s="6"/>
      <c r="AD403" s="6"/>
      <c r="AE403" s="6"/>
    </row>
    <row r="404" spans="22:31" ht="11.25" customHeight="1" x14ac:dyDescent="0.25">
      <c r="V404" s="6"/>
      <c r="W404" s="6"/>
      <c r="X404" s="6"/>
      <c r="Y404" s="6"/>
      <c r="Z404" s="6"/>
      <c r="AA404" s="6"/>
      <c r="AB404" s="6"/>
      <c r="AC404" s="6"/>
      <c r="AD404" s="6"/>
      <c r="AE404" s="6"/>
    </row>
    <row r="405" spans="22:31" ht="11.25" customHeight="1" x14ac:dyDescent="0.25">
      <c r="V405" s="6"/>
      <c r="W405" s="6"/>
      <c r="X405" s="6"/>
      <c r="Y405" s="6"/>
      <c r="Z405" s="6"/>
      <c r="AA405" s="6"/>
      <c r="AB405" s="6"/>
      <c r="AC405" s="6"/>
      <c r="AD405" s="6"/>
      <c r="AE405" s="6"/>
    </row>
    <row r="406" spans="22:31" ht="11.25" customHeight="1" x14ac:dyDescent="0.25">
      <c r="V406" s="6"/>
      <c r="W406" s="6"/>
      <c r="X406" s="6"/>
      <c r="Y406" s="6"/>
      <c r="Z406" s="6"/>
      <c r="AA406" s="6"/>
      <c r="AB406" s="6"/>
      <c r="AC406" s="6"/>
      <c r="AD406" s="6"/>
      <c r="AE406" s="6"/>
    </row>
    <row r="407" spans="22:31" ht="11.25" customHeight="1" x14ac:dyDescent="0.25">
      <c r="V407" s="6"/>
      <c r="W407" s="6"/>
      <c r="X407" s="6"/>
      <c r="Y407" s="6"/>
      <c r="Z407" s="6"/>
      <c r="AA407" s="6"/>
      <c r="AB407" s="6"/>
      <c r="AC407" s="6"/>
      <c r="AD407" s="6"/>
      <c r="AE407" s="6"/>
    </row>
    <row r="408" spans="22:31" ht="11.25" customHeight="1" x14ac:dyDescent="0.25">
      <c r="V408" s="6"/>
      <c r="W408" s="6"/>
      <c r="X408" s="6"/>
      <c r="Y408" s="6"/>
      <c r="Z408" s="6"/>
      <c r="AA408" s="6"/>
      <c r="AB408" s="6"/>
      <c r="AC408" s="6"/>
      <c r="AD408" s="6"/>
      <c r="AE408" s="6"/>
    </row>
    <row r="409" spans="22:31" ht="11.25" customHeight="1" x14ac:dyDescent="0.25">
      <c r="V409" s="6"/>
      <c r="W409" s="6"/>
      <c r="X409" s="6"/>
      <c r="Y409" s="6"/>
      <c r="Z409" s="6"/>
      <c r="AA409" s="6"/>
      <c r="AB409" s="6"/>
      <c r="AC409" s="6"/>
      <c r="AD409" s="6"/>
      <c r="AE409" s="6"/>
    </row>
    <row r="410" spans="22:31" ht="11.25" customHeight="1" x14ac:dyDescent="0.25">
      <c r="V410" s="6"/>
      <c r="W410" s="6"/>
      <c r="X410" s="6"/>
      <c r="Y410" s="6"/>
      <c r="Z410" s="6"/>
      <c r="AA410" s="6"/>
      <c r="AB410" s="6"/>
      <c r="AC410" s="6"/>
      <c r="AD410" s="6"/>
      <c r="AE410" s="6"/>
    </row>
    <row r="411" spans="22:31" ht="11.25" customHeight="1" x14ac:dyDescent="0.25">
      <c r="V411" s="6"/>
      <c r="W411" s="6"/>
      <c r="X411" s="6"/>
      <c r="Y411" s="6"/>
      <c r="Z411" s="6"/>
      <c r="AA411" s="6"/>
      <c r="AB411" s="6"/>
      <c r="AC411" s="6"/>
      <c r="AD411" s="6"/>
      <c r="AE411" s="6"/>
    </row>
    <row r="412" spans="22:31" ht="11.25" customHeight="1" x14ac:dyDescent="0.25">
      <c r="V412" s="6"/>
      <c r="W412" s="6"/>
      <c r="X412" s="6"/>
      <c r="Y412" s="6"/>
      <c r="Z412" s="6"/>
      <c r="AA412" s="6"/>
      <c r="AB412" s="6"/>
      <c r="AC412" s="6"/>
      <c r="AD412" s="6"/>
      <c r="AE412" s="6"/>
    </row>
    <row r="413" spans="22:31" ht="11.25" customHeight="1" x14ac:dyDescent="0.25">
      <c r="V413" s="6"/>
      <c r="W413" s="6"/>
      <c r="X413" s="6"/>
      <c r="Y413" s="6"/>
      <c r="Z413" s="6"/>
      <c r="AA413" s="6"/>
      <c r="AB413" s="6"/>
      <c r="AC413" s="6"/>
      <c r="AD413" s="6"/>
      <c r="AE413" s="6"/>
    </row>
    <row r="414" spans="22:31" ht="11.25" customHeight="1" x14ac:dyDescent="0.25">
      <c r="V414" s="6"/>
      <c r="W414" s="6"/>
      <c r="X414" s="6"/>
      <c r="Y414" s="6"/>
      <c r="Z414" s="6"/>
      <c r="AA414" s="6"/>
      <c r="AB414" s="6"/>
      <c r="AC414" s="6"/>
      <c r="AD414" s="6"/>
      <c r="AE414" s="6"/>
    </row>
    <row r="415" spans="22:31" ht="11.25" customHeight="1" x14ac:dyDescent="0.25">
      <c r="V415" s="6"/>
      <c r="W415" s="6"/>
      <c r="X415" s="6"/>
      <c r="Y415" s="6"/>
      <c r="Z415" s="6"/>
      <c r="AA415" s="6"/>
      <c r="AB415" s="6"/>
      <c r="AC415" s="6"/>
      <c r="AD415" s="6"/>
      <c r="AE415" s="6"/>
    </row>
    <row r="416" spans="22:31" ht="11.25" customHeight="1" x14ac:dyDescent="0.25">
      <c r="V416" s="6"/>
      <c r="W416" s="6"/>
      <c r="X416" s="6"/>
      <c r="Y416" s="6"/>
      <c r="Z416" s="6"/>
      <c r="AA416" s="6"/>
      <c r="AB416" s="6"/>
      <c r="AC416" s="6"/>
      <c r="AD416" s="6"/>
      <c r="AE416" s="6"/>
    </row>
    <row r="417" spans="22:31" ht="11.25" customHeight="1" x14ac:dyDescent="0.25">
      <c r="V417" s="6"/>
      <c r="W417" s="6"/>
      <c r="X417" s="6"/>
      <c r="Y417" s="6"/>
      <c r="Z417" s="6"/>
      <c r="AA417" s="6"/>
      <c r="AB417" s="6"/>
      <c r="AC417" s="6"/>
      <c r="AD417" s="6"/>
      <c r="AE417" s="6"/>
    </row>
    <row r="418" spans="22:31" ht="11.25" customHeight="1" x14ac:dyDescent="0.25">
      <c r="V418" s="6"/>
      <c r="W418" s="6"/>
      <c r="X418" s="6"/>
      <c r="Y418" s="6"/>
      <c r="Z418" s="6"/>
      <c r="AA418" s="6"/>
      <c r="AB418" s="6"/>
      <c r="AC418" s="6"/>
      <c r="AD418" s="6"/>
      <c r="AE418" s="6"/>
    </row>
    <row r="419" spans="22:31" ht="11.25" customHeight="1" x14ac:dyDescent="0.25">
      <c r="V419" s="6"/>
      <c r="W419" s="6"/>
      <c r="X419" s="6"/>
      <c r="Y419" s="6"/>
      <c r="Z419" s="6"/>
      <c r="AA419" s="6"/>
      <c r="AB419" s="6"/>
      <c r="AC419" s="6"/>
      <c r="AD419" s="6"/>
      <c r="AE419" s="6"/>
    </row>
    <row r="420" spans="22:31" ht="11.25" customHeight="1" x14ac:dyDescent="0.25">
      <c r="V420" s="6"/>
      <c r="W420" s="6"/>
      <c r="X420" s="6"/>
      <c r="Y420" s="6"/>
      <c r="Z420" s="6"/>
      <c r="AA420" s="6"/>
      <c r="AB420" s="6"/>
      <c r="AC420" s="6"/>
      <c r="AD420" s="6"/>
      <c r="AE420" s="6"/>
    </row>
    <row r="421" spans="22:31" ht="11.25" customHeight="1" x14ac:dyDescent="0.25">
      <c r="V421" s="6"/>
      <c r="W421" s="6"/>
      <c r="X421" s="6"/>
      <c r="Y421" s="6"/>
      <c r="Z421" s="6"/>
      <c r="AA421" s="6"/>
      <c r="AB421" s="6"/>
      <c r="AC421" s="6"/>
      <c r="AD421" s="6"/>
      <c r="AE421" s="6"/>
    </row>
    <row r="422" spans="22:31" ht="11.25" customHeight="1" x14ac:dyDescent="0.25">
      <c r="V422" s="6"/>
      <c r="W422" s="6"/>
      <c r="X422" s="6"/>
      <c r="Y422" s="6"/>
      <c r="Z422" s="6"/>
      <c r="AA422" s="6"/>
      <c r="AB422" s="6"/>
      <c r="AC422" s="6"/>
      <c r="AD422" s="6"/>
      <c r="AE422" s="6"/>
    </row>
    <row r="423" spans="22:31" ht="11.25" customHeight="1" x14ac:dyDescent="0.25">
      <c r="V423" s="6"/>
      <c r="W423" s="6"/>
      <c r="X423" s="6"/>
      <c r="Y423" s="6"/>
      <c r="Z423" s="6"/>
      <c r="AA423" s="6"/>
      <c r="AB423" s="6"/>
      <c r="AC423" s="6"/>
      <c r="AD423" s="6"/>
      <c r="AE423" s="6"/>
    </row>
    <row r="424" spans="22:31" ht="11.25" customHeight="1" x14ac:dyDescent="0.25">
      <c r="V424" s="6"/>
      <c r="W424" s="6"/>
      <c r="X424" s="6"/>
      <c r="Y424" s="6"/>
      <c r="Z424" s="6"/>
      <c r="AA424" s="6"/>
      <c r="AB424" s="6"/>
      <c r="AC424" s="6"/>
      <c r="AD424" s="6"/>
      <c r="AE424" s="6"/>
    </row>
    <row r="425" spans="22:31" ht="11.25" customHeight="1" x14ac:dyDescent="0.25">
      <c r="V425" s="6"/>
      <c r="W425" s="6"/>
      <c r="X425" s="6"/>
      <c r="Y425" s="6"/>
      <c r="Z425" s="6"/>
      <c r="AA425" s="6"/>
      <c r="AB425" s="6"/>
      <c r="AC425" s="6"/>
      <c r="AD425" s="6"/>
      <c r="AE425" s="6"/>
    </row>
    <row r="426" spans="22:31" ht="11.25" customHeight="1" x14ac:dyDescent="0.25">
      <c r="V426" s="6"/>
      <c r="W426" s="6"/>
      <c r="X426" s="6"/>
      <c r="Y426" s="6"/>
      <c r="Z426" s="6"/>
      <c r="AA426" s="6"/>
      <c r="AB426" s="6"/>
      <c r="AC426" s="6"/>
      <c r="AD426" s="6"/>
      <c r="AE426" s="6"/>
    </row>
    <row r="427" spans="22:31" ht="11.25" customHeight="1" x14ac:dyDescent="0.25">
      <c r="V427" s="6"/>
      <c r="W427" s="6"/>
      <c r="X427" s="6"/>
      <c r="Y427" s="6"/>
      <c r="Z427" s="6"/>
      <c r="AA427" s="6"/>
      <c r="AB427" s="6"/>
      <c r="AC427" s="6"/>
      <c r="AD427" s="6"/>
      <c r="AE427" s="6"/>
    </row>
    <row r="428" spans="22:31" ht="11.25" customHeight="1" x14ac:dyDescent="0.25">
      <c r="V428" s="6"/>
      <c r="W428" s="6"/>
      <c r="X428" s="6"/>
      <c r="Y428" s="6"/>
      <c r="Z428" s="6"/>
      <c r="AA428" s="6"/>
      <c r="AB428" s="6"/>
      <c r="AC428" s="6"/>
      <c r="AD428" s="6"/>
      <c r="AE428" s="6"/>
    </row>
    <row r="429" spans="22:31" ht="11.25" customHeight="1" x14ac:dyDescent="0.25">
      <c r="V429" s="6"/>
      <c r="W429" s="6"/>
      <c r="X429" s="6"/>
      <c r="Y429" s="6"/>
      <c r="Z429" s="6"/>
      <c r="AA429" s="6"/>
      <c r="AB429" s="6"/>
      <c r="AC429" s="6"/>
      <c r="AD429" s="6"/>
      <c r="AE429" s="6"/>
    </row>
    <row r="430" spans="22:31" ht="11.25" customHeight="1" x14ac:dyDescent="0.25">
      <c r="V430" s="6"/>
      <c r="W430" s="6"/>
      <c r="X430" s="6"/>
      <c r="Y430" s="6"/>
      <c r="Z430" s="6"/>
      <c r="AA430" s="6"/>
      <c r="AB430" s="6"/>
      <c r="AC430" s="6"/>
      <c r="AD430" s="6"/>
      <c r="AE430" s="6"/>
    </row>
    <row r="431" spans="22:31" ht="11.25" customHeight="1" x14ac:dyDescent="0.25">
      <c r="V431" s="6"/>
      <c r="W431" s="6"/>
      <c r="X431" s="6"/>
      <c r="Y431" s="6"/>
      <c r="Z431" s="6"/>
      <c r="AA431" s="6"/>
      <c r="AB431" s="6"/>
      <c r="AC431" s="6"/>
      <c r="AD431" s="6"/>
      <c r="AE431" s="6"/>
    </row>
    <row r="432" spans="22:31" ht="11.25" customHeight="1" x14ac:dyDescent="0.25">
      <c r="V432" s="6"/>
      <c r="W432" s="6"/>
      <c r="X432" s="6"/>
      <c r="Y432" s="6"/>
      <c r="Z432" s="6"/>
      <c r="AA432" s="6"/>
      <c r="AB432" s="6"/>
      <c r="AC432" s="6"/>
      <c r="AD432" s="6"/>
      <c r="AE432" s="6"/>
    </row>
    <row r="433" spans="22:31" ht="11.25" customHeight="1" x14ac:dyDescent="0.25">
      <c r="V433" s="6"/>
      <c r="W433" s="6"/>
      <c r="X433" s="6"/>
      <c r="Y433" s="6"/>
      <c r="Z433" s="6"/>
      <c r="AA433" s="6"/>
      <c r="AB433" s="6"/>
      <c r="AC433" s="6"/>
      <c r="AD433" s="6"/>
      <c r="AE433" s="6"/>
    </row>
    <row r="434" spans="22:31" ht="11.25" customHeight="1" x14ac:dyDescent="0.25">
      <c r="V434" s="6"/>
      <c r="W434" s="6"/>
      <c r="X434" s="6"/>
      <c r="Y434" s="6"/>
      <c r="Z434" s="6"/>
      <c r="AA434" s="6"/>
      <c r="AB434" s="6"/>
      <c r="AC434" s="6"/>
      <c r="AD434" s="6"/>
      <c r="AE434" s="6"/>
    </row>
    <row r="435" spans="22:31" ht="11.25" customHeight="1" x14ac:dyDescent="0.25">
      <c r="V435" s="6"/>
      <c r="W435" s="6"/>
      <c r="X435" s="6"/>
      <c r="Y435" s="6"/>
      <c r="Z435" s="6"/>
      <c r="AA435" s="6"/>
      <c r="AB435" s="6"/>
      <c r="AC435" s="6"/>
      <c r="AD435" s="6"/>
      <c r="AE435" s="6"/>
    </row>
    <row r="436" spans="22:31" ht="11.25" customHeight="1" x14ac:dyDescent="0.25">
      <c r="V436" s="6"/>
      <c r="W436" s="6"/>
      <c r="X436" s="6"/>
      <c r="Y436" s="6"/>
      <c r="Z436" s="6"/>
      <c r="AA436" s="6"/>
      <c r="AB436" s="6"/>
      <c r="AC436" s="6"/>
      <c r="AD436" s="6"/>
      <c r="AE436" s="6"/>
    </row>
    <row r="437" spans="22:31" ht="11.25" customHeight="1" x14ac:dyDescent="0.25">
      <c r="V437" s="6"/>
      <c r="W437" s="6"/>
      <c r="X437" s="6"/>
      <c r="Y437" s="6"/>
      <c r="Z437" s="6"/>
      <c r="AA437" s="6"/>
      <c r="AB437" s="6"/>
      <c r="AC437" s="6"/>
      <c r="AD437" s="6"/>
      <c r="AE437" s="6"/>
    </row>
    <row r="438" spans="22:31" ht="11.25" customHeight="1" x14ac:dyDescent="0.25">
      <c r="V438" s="6"/>
      <c r="W438" s="6"/>
      <c r="X438" s="6"/>
      <c r="Y438" s="6"/>
      <c r="Z438" s="6"/>
      <c r="AA438" s="6"/>
      <c r="AB438" s="6"/>
      <c r="AC438" s="6"/>
      <c r="AD438" s="6"/>
      <c r="AE438" s="6"/>
    </row>
    <row r="439" spans="22:31" ht="11.25" customHeight="1" x14ac:dyDescent="0.25">
      <c r="V439" s="6"/>
      <c r="W439" s="6"/>
      <c r="X439" s="6"/>
      <c r="Y439" s="6"/>
      <c r="Z439" s="6"/>
      <c r="AA439" s="6"/>
      <c r="AB439" s="6"/>
      <c r="AC439" s="6"/>
      <c r="AD439" s="6"/>
      <c r="AE439" s="6"/>
    </row>
    <row r="440" spans="22:31" ht="11.25" customHeight="1" x14ac:dyDescent="0.25">
      <c r="V440" s="6"/>
      <c r="W440" s="6"/>
      <c r="X440" s="6"/>
      <c r="Y440" s="6"/>
      <c r="Z440" s="6"/>
      <c r="AA440" s="6"/>
      <c r="AB440" s="6"/>
      <c r="AC440" s="6"/>
      <c r="AD440" s="6"/>
      <c r="AE440" s="6"/>
    </row>
    <row r="441" spans="22:31" ht="11.25" customHeight="1" x14ac:dyDescent="0.25">
      <c r="V441" s="6"/>
      <c r="W441" s="6"/>
      <c r="X441" s="6"/>
      <c r="Y441" s="6"/>
      <c r="Z441" s="6"/>
      <c r="AA441" s="6"/>
      <c r="AB441" s="6"/>
      <c r="AC441" s="6"/>
      <c r="AD441" s="6"/>
      <c r="AE441" s="6"/>
    </row>
    <row r="442" spans="22:31" ht="11.25" customHeight="1" x14ac:dyDescent="0.25">
      <c r="V442" s="6"/>
      <c r="W442" s="6"/>
      <c r="X442" s="6"/>
      <c r="Y442" s="6"/>
      <c r="Z442" s="6"/>
      <c r="AA442" s="6"/>
      <c r="AB442" s="6"/>
      <c r="AC442" s="6"/>
      <c r="AD442" s="6"/>
      <c r="AE442" s="6"/>
    </row>
    <row r="443" spans="22:31" ht="11.25" customHeight="1" x14ac:dyDescent="0.25">
      <c r="V443" s="6"/>
      <c r="W443" s="6"/>
      <c r="X443" s="6"/>
      <c r="Y443" s="6"/>
      <c r="Z443" s="6"/>
      <c r="AA443" s="6"/>
      <c r="AB443" s="6"/>
      <c r="AC443" s="6"/>
      <c r="AD443" s="6"/>
      <c r="AE443" s="6"/>
    </row>
    <row r="444" spans="22:31" ht="11.25" customHeight="1" x14ac:dyDescent="0.25">
      <c r="V444" s="6"/>
      <c r="W444" s="6"/>
      <c r="X444" s="6"/>
      <c r="Y444" s="6"/>
      <c r="Z444" s="6"/>
      <c r="AA444" s="6"/>
      <c r="AB444" s="6"/>
      <c r="AC444" s="6"/>
      <c r="AD444" s="6"/>
      <c r="AE444" s="6"/>
    </row>
    <row r="445" spans="22:31" ht="11.25" customHeight="1" x14ac:dyDescent="0.25">
      <c r="V445" s="6"/>
      <c r="W445" s="6"/>
      <c r="X445" s="6"/>
      <c r="Y445" s="6"/>
      <c r="Z445" s="6"/>
      <c r="AA445" s="6"/>
      <c r="AB445" s="6"/>
      <c r="AC445" s="6"/>
      <c r="AD445" s="6"/>
      <c r="AE445" s="6"/>
    </row>
    <row r="446" spans="22:31" ht="11.25" customHeight="1" x14ac:dyDescent="0.25">
      <c r="V446" s="6"/>
      <c r="W446" s="6"/>
      <c r="X446" s="6"/>
      <c r="Y446" s="6"/>
      <c r="Z446" s="6"/>
      <c r="AA446" s="6"/>
      <c r="AB446" s="6"/>
      <c r="AC446" s="6"/>
      <c r="AD446" s="6"/>
      <c r="AE446" s="6"/>
    </row>
    <row r="447" spans="22:31" ht="11.25" customHeight="1" x14ac:dyDescent="0.25">
      <c r="V447" s="6"/>
      <c r="W447" s="6"/>
      <c r="X447" s="6"/>
      <c r="Y447" s="6"/>
      <c r="Z447" s="6"/>
      <c r="AA447" s="6"/>
      <c r="AB447" s="6"/>
      <c r="AC447" s="6"/>
      <c r="AD447" s="6"/>
      <c r="AE447" s="6"/>
    </row>
    <row r="448" spans="22:31" ht="11.25" customHeight="1" x14ac:dyDescent="0.25">
      <c r="V448" s="6"/>
      <c r="W448" s="6"/>
      <c r="X448" s="6"/>
      <c r="Y448" s="6"/>
      <c r="Z448" s="6"/>
      <c r="AA448" s="6"/>
      <c r="AB448" s="6"/>
      <c r="AC448" s="6"/>
      <c r="AD448" s="6"/>
      <c r="AE448" s="6"/>
    </row>
    <row r="449" spans="22:31" ht="11.25" customHeight="1" x14ac:dyDescent="0.25">
      <c r="V449" s="6"/>
      <c r="W449" s="6"/>
      <c r="X449" s="6"/>
      <c r="Y449" s="6"/>
      <c r="Z449" s="6"/>
      <c r="AA449" s="6"/>
      <c r="AB449" s="6"/>
      <c r="AC449" s="6"/>
      <c r="AD449" s="6"/>
      <c r="AE449" s="6"/>
    </row>
    <row r="450" spans="22:31" ht="11.25" customHeight="1" x14ac:dyDescent="0.25">
      <c r="V450" s="6"/>
      <c r="W450" s="6"/>
      <c r="X450" s="6"/>
      <c r="Y450" s="6"/>
      <c r="Z450" s="6"/>
      <c r="AA450" s="6"/>
      <c r="AB450" s="6"/>
      <c r="AC450" s="6"/>
      <c r="AD450" s="6"/>
      <c r="AE450" s="6"/>
    </row>
    <row r="451" spans="22:31" ht="11.25" customHeight="1" x14ac:dyDescent="0.25">
      <c r="V451" s="6"/>
      <c r="W451" s="6"/>
      <c r="X451" s="6"/>
      <c r="Y451" s="6"/>
      <c r="Z451" s="6"/>
      <c r="AA451" s="6"/>
      <c r="AB451" s="6"/>
      <c r="AC451" s="6"/>
      <c r="AD451" s="6"/>
      <c r="AE451" s="6"/>
    </row>
    <row r="452" spans="22:31" ht="11.25" customHeight="1" x14ac:dyDescent="0.25"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spans="22:31" ht="11.25" customHeight="1" x14ac:dyDescent="0.25"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spans="22:31" ht="11.25" customHeight="1" x14ac:dyDescent="0.25"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spans="22:31" ht="11.25" customHeight="1" x14ac:dyDescent="0.25"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spans="22:31" ht="11.25" customHeight="1" x14ac:dyDescent="0.25"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spans="22:31" ht="11.25" customHeight="1" x14ac:dyDescent="0.25"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spans="22:31" ht="11.25" customHeight="1" x14ac:dyDescent="0.25"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spans="22:31" ht="11.25" customHeight="1" x14ac:dyDescent="0.25"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spans="22:31" ht="11.25" customHeight="1" x14ac:dyDescent="0.25"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spans="22:31" ht="11.25" customHeight="1" x14ac:dyDescent="0.25"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spans="22:31" ht="11.25" customHeight="1" x14ac:dyDescent="0.25"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spans="22:31" ht="11.25" customHeight="1" x14ac:dyDescent="0.25"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spans="22:31" ht="11.25" customHeight="1" x14ac:dyDescent="0.25"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spans="22:31" ht="11.25" customHeight="1" x14ac:dyDescent="0.25"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spans="22:31" ht="11.25" customHeight="1" x14ac:dyDescent="0.25"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spans="22:31" ht="11.25" customHeight="1" x14ac:dyDescent="0.25"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spans="22:31" ht="11.25" customHeight="1" x14ac:dyDescent="0.25"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spans="22:31" ht="11.25" customHeight="1" x14ac:dyDescent="0.25"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spans="22:31" ht="11.25" customHeight="1" x14ac:dyDescent="0.25"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spans="22:31" ht="11.25" customHeight="1" x14ac:dyDescent="0.25"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spans="22:31" ht="11.25" customHeight="1" x14ac:dyDescent="0.25"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spans="22:31" ht="11.25" customHeight="1" x14ac:dyDescent="0.25"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spans="22:31" ht="11.25" customHeight="1" x14ac:dyDescent="0.25"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spans="22:31" ht="11.25" customHeight="1" x14ac:dyDescent="0.25"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spans="22:31" ht="11.25" customHeight="1" x14ac:dyDescent="0.25"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spans="22:31" ht="11.25" customHeight="1" x14ac:dyDescent="0.25"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spans="22:31" ht="11.25" customHeight="1" x14ac:dyDescent="0.25"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spans="22:31" ht="11.25" customHeight="1" x14ac:dyDescent="0.25"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spans="22:31" ht="11.25" customHeight="1" x14ac:dyDescent="0.25"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spans="22:31" ht="11.25" customHeight="1" x14ac:dyDescent="0.25"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spans="22:31" ht="11.25" customHeight="1" x14ac:dyDescent="0.25"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spans="22:31" ht="11.25" customHeight="1" x14ac:dyDescent="0.25"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spans="22:31" ht="11.25" customHeight="1" x14ac:dyDescent="0.25"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spans="22:31" ht="11.25" customHeight="1" x14ac:dyDescent="0.25"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spans="22:31" ht="11.25" customHeight="1" x14ac:dyDescent="0.25"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spans="22:31" ht="11.25" customHeight="1" x14ac:dyDescent="0.25"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spans="22:31" ht="11.25" customHeight="1" x14ac:dyDescent="0.25"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spans="22:31" ht="11.25" customHeight="1" x14ac:dyDescent="0.25"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spans="22:31" ht="11.25" customHeight="1" x14ac:dyDescent="0.25"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spans="22:31" ht="11.25" customHeight="1" x14ac:dyDescent="0.25"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spans="22:31" ht="11.25" customHeight="1" x14ac:dyDescent="0.25"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spans="22:31" ht="11.25" customHeight="1" x14ac:dyDescent="0.25"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spans="22:31" ht="11.25" customHeight="1" x14ac:dyDescent="0.25"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spans="22:31" ht="11.25" customHeight="1" x14ac:dyDescent="0.25"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spans="22:31" ht="11.25" customHeight="1" x14ac:dyDescent="0.25"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spans="22:31" ht="11.25" customHeight="1" x14ac:dyDescent="0.25"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spans="22:31" ht="11.25" customHeight="1" x14ac:dyDescent="0.25"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spans="22:31" ht="11.25" customHeight="1" x14ac:dyDescent="0.25"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spans="22:31" ht="11.25" customHeight="1" x14ac:dyDescent="0.25"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spans="22:31" ht="11.25" customHeight="1" x14ac:dyDescent="0.25"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spans="22:31" ht="11.25" customHeight="1" x14ac:dyDescent="0.25"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spans="22:31" ht="11.25" customHeight="1" x14ac:dyDescent="0.25"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spans="22:31" ht="11.25" customHeight="1" x14ac:dyDescent="0.25"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spans="22:31" ht="11.25" customHeight="1" x14ac:dyDescent="0.25"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spans="22:31" ht="11.25" customHeight="1" x14ac:dyDescent="0.25"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spans="22:31" ht="11.25" customHeight="1" x14ac:dyDescent="0.25"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spans="22:31" ht="11.25" customHeight="1" x14ac:dyDescent="0.25"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spans="22:31" ht="11.25" customHeight="1" x14ac:dyDescent="0.25"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spans="22:31" ht="11.25" customHeight="1" x14ac:dyDescent="0.25"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spans="22:31" ht="11.25" customHeight="1" x14ac:dyDescent="0.25"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22:31" ht="11.25" customHeight="1" x14ac:dyDescent="0.25"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22:31" ht="11.25" customHeight="1" x14ac:dyDescent="0.25"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22:31" ht="11.25" customHeight="1" x14ac:dyDescent="0.25"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22:31" ht="11.25" customHeight="1" x14ac:dyDescent="0.25"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22:31" ht="11.25" customHeight="1" x14ac:dyDescent="0.25"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22:31" ht="11.25" customHeight="1" x14ac:dyDescent="0.25"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22:31" ht="11.25" customHeight="1" x14ac:dyDescent="0.25"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22:31" ht="11.25" customHeight="1" x14ac:dyDescent="0.25"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22:31" ht="11.25" customHeight="1" x14ac:dyDescent="0.25"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22:31" ht="11.25" customHeight="1" x14ac:dyDescent="0.25"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22:31" ht="11.25" customHeight="1" x14ac:dyDescent="0.25"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22:31" ht="11.25" customHeight="1" x14ac:dyDescent="0.25"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22:31" ht="11.25" customHeight="1" x14ac:dyDescent="0.25"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22:31" ht="11.25" customHeight="1" x14ac:dyDescent="0.25"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22:31" ht="11.25" customHeight="1" x14ac:dyDescent="0.25"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22:31" ht="11.25" customHeight="1" x14ac:dyDescent="0.25"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22:31" ht="11.25" customHeight="1" x14ac:dyDescent="0.25"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22:31" ht="11.25" customHeight="1" x14ac:dyDescent="0.25"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22:31" ht="11.25" customHeight="1" x14ac:dyDescent="0.25"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22:31" ht="11.25" customHeight="1" x14ac:dyDescent="0.25"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22:31" ht="11.25" customHeight="1" x14ac:dyDescent="0.25"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22:31" ht="11.25" customHeight="1" x14ac:dyDescent="0.25"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22:31" ht="11.25" customHeight="1" x14ac:dyDescent="0.25"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22:31" ht="11.25" customHeight="1" x14ac:dyDescent="0.25"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22:31" ht="11.25" customHeight="1" x14ac:dyDescent="0.25"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22:31" ht="11.25" customHeight="1" x14ac:dyDescent="0.25"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22:31" ht="11.25" customHeight="1" x14ac:dyDescent="0.25"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22:31" ht="11.25" customHeight="1" x14ac:dyDescent="0.25"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22:31" ht="11.25" customHeight="1" x14ac:dyDescent="0.25"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22:31" ht="11.25" customHeight="1" x14ac:dyDescent="0.25"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22:31" ht="11.25" customHeight="1" x14ac:dyDescent="0.25"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22:31" ht="11.25" customHeight="1" x14ac:dyDescent="0.25"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22:31" ht="11.25" customHeight="1" x14ac:dyDescent="0.25"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22:31" ht="11.25" customHeight="1" x14ac:dyDescent="0.25"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22:31" ht="11.25" customHeight="1" x14ac:dyDescent="0.25"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22:31" ht="11.25" customHeight="1" x14ac:dyDescent="0.25"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22:31" ht="11.25" customHeight="1" x14ac:dyDescent="0.25"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22:31" ht="11.25" customHeight="1" x14ac:dyDescent="0.25"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22:31" ht="11.25" customHeight="1" x14ac:dyDescent="0.25"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22:31" ht="11.25" customHeight="1" x14ac:dyDescent="0.25"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22:31" ht="11.25" customHeight="1" x14ac:dyDescent="0.25"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22:31" ht="11.25" customHeight="1" x14ac:dyDescent="0.25"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22:31" ht="11.25" customHeight="1" x14ac:dyDescent="0.25"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22:31" ht="11.25" customHeight="1" x14ac:dyDescent="0.25"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22:31" ht="11.25" customHeight="1" x14ac:dyDescent="0.25"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22:31" ht="11.25" customHeight="1" x14ac:dyDescent="0.25"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22:31" ht="11.25" customHeight="1" x14ac:dyDescent="0.25"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22:31" ht="11.25" customHeight="1" x14ac:dyDescent="0.25"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22:31" ht="11.25" customHeight="1" x14ac:dyDescent="0.25"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22:31" ht="11.25" customHeight="1" x14ac:dyDescent="0.25"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22:31" ht="11.25" customHeight="1" x14ac:dyDescent="0.25"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22:31" ht="11.25" customHeight="1" x14ac:dyDescent="0.25"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22:31" ht="11.25" customHeight="1" x14ac:dyDescent="0.25"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22:31" ht="11.25" customHeight="1" x14ac:dyDescent="0.25"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22:31" ht="11.25" customHeight="1" x14ac:dyDescent="0.25"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22:31" ht="11.25" customHeight="1" x14ac:dyDescent="0.25"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22:31" ht="11.25" customHeight="1" x14ac:dyDescent="0.25"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22:31" ht="11.25" customHeight="1" x14ac:dyDescent="0.25"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22:31" ht="11.25" customHeight="1" x14ac:dyDescent="0.25"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22:31" ht="11.25" customHeight="1" x14ac:dyDescent="0.25"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22:31" ht="11.25" customHeight="1" x14ac:dyDescent="0.25"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22:31" ht="11.25" customHeight="1" x14ac:dyDescent="0.25"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22:31" ht="11.25" customHeight="1" x14ac:dyDescent="0.25"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22:31" ht="11.25" customHeight="1" x14ac:dyDescent="0.25"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22:31" ht="11.25" customHeight="1" x14ac:dyDescent="0.25"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22:31" ht="11.25" customHeight="1" x14ac:dyDescent="0.25"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22:31" ht="11.25" customHeight="1" x14ac:dyDescent="0.25"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22:31" ht="11.25" customHeight="1" x14ac:dyDescent="0.25"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22:31" ht="11.25" customHeight="1" x14ac:dyDescent="0.25"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22:31" ht="11.25" customHeight="1" x14ac:dyDescent="0.25"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22:31" ht="11.25" customHeight="1" x14ac:dyDescent="0.25"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22:31" ht="11.25" customHeight="1" x14ac:dyDescent="0.25"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22:31" ht="11.25" customHeight="1" x14ac:dyDescent="0.25"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22:31" ht="11.25" customHeight="1" x14ac:dyDescent="0.25"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22:31" ht="11.25" customHeight="1" x14ac:dyDescent="0.25"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22:31" ht="11.25" customHeight="1" x14ac:dyDescent="0.25"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22:31" ht="11.25" customHeight="1" x14ac:dyDescent="0.25"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22:31" ht="11.25" customHeight="1" x14ac:dyDescent="0.25"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22:31" ht="11.25" customHeight="1" x14ac:dyDescent="0.25"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22:31" ht="11.25" customHeight="1" x14ac:dyDescent="0.25"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22:31" ht="11.25" customHeight="1" x14ac:dyDescent="0.25"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22:31" ht="11.25" customHeight="1" x14ac:dyDescent="0.25"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22:31" ht="11.25" customHeight="1" x14ac:dyDescent="0.25"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22:31" ht="11.25" customHeight="1" x14ac:dyDescent="0.25"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22:31" ht="11.25" customHeight="1" x14ac:dyDescent="0.25"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22:31" ht="11.25" customHeight="1" x14ac:dyDescent="0.25"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22:31" ht="11.25" customHeight="1" x14ac:dyDescent="0.25"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22:31" ht="11.25" customHeight="1" x14ac:dyDescent="0.25"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22:31" ht="11.25" customHeight="1" x14ac:dyDescent="0.25"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22:31" ht="11.25" customHeight="1" x14ac:dyDescent="0.25"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22:31" ht="11.25" customHeight="1" x14ac:dyDescent="0.25"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22:31" ht="11.25" customHeight="1" x14ac:dyDescent="0.25"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22:31" ht="11.25" customHeight="1" x14ac:dyDescent="0.25"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22:31" ht="11.25" customHeight="1" x14ac:dyDescent="0.25"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22:31" ht="11.25" customHeight="1" x14ac:dyDescent="0.25"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22:31" ht="11.25" customHeight="1" x14ac:dyDescent="0.25"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22:31" ht="11.25" customHeight="1" x14ac:dyDescent="0.25"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22:31" ht="11.25" customHeight="1" x14ac:dyDescent="0.25"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22:31" ht="11.25" customHeight="1" x14ac:dyDescent="0.25"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22:31" ht="11.25" customHeight="1" x14ac:dyDescent="0.25"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22:31" ht="11.25" customHeight="1" x14ac:dyDescent="0.25"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22:31" ht="11.25" customHeight="1" x14ac:dyDescent="0.25"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22:31" ht="11.25" customHeight="1" x14ac:dyDescent="0.25"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22:31" ht="11.25" customHeight="1" x14ac:dyDescent="0.25"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22:31" ht="11.25" customHeight="1" x14ac:dyDescent="0.25"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22:31" ht="11.25" customHeight="1" x14ac:dyDescent="0.25"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22:31" ht="11.25" customHeight="1" x14ac:dyDescent="0.25"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22:31" ht="11.25" customHeight="1" x14ac:dyDescent="0.25"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22:31" ht="11.25" customHeight="1" x14ac:dyDescent="0.25"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22:31" ht="11.25" customHeight="1" x14ac:dyDescent="0.25"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22:31" ht="11.25" customHeight="1" x14ac:dyDescent="0.25"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22:31" ht="11.25" customHeight="1" x14ac:dyDescent="0.25"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22:31" ht="11.25" customHeight="1" x14ac:dyDescent="0.25"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22:31" ht="11.25" customHeight="1" x14ac:dyDescent="0.25"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22:31" ht="11.25" customHeight="1" x14ac:dyDescent="0.25"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22:31" ht="11.25" customHeight="1" x14ac:dyDescent="0.25"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22:31" ht="11.25" customHeight="1" x14ac:dyDescent="0.25"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22:31" ht="11.25" customHeight="1" x14ac:dyDescent="0.25"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22:31" ht="11.25" customHeight="1" x14ac:dyDescent="0.25"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64ABE-EC52-49A4-8401-09EEDBACF3EE}">
  <sheetPr codeName="Planilha21"/>
  <dimension ref="A1:J639"/>
  <sheetViews>
    <sheetView showGridLines="0" workbookViewId="0">
      <selection activeCell="H7" sqref="H7"/>
    </sheetView>
  </sheetViews>
  <sheetFormatPr defaultRowHeight="11.25" customHeight="1" x14ac:dyDescent="0.2"/>
  <cols>
    <col min="1" max="1" width="15.85546875" style="15" bestFit="1" customWidth="1"/>
    <col min="2" max="2" width="24.5703125" style="19" bestFit="1" customWidth="1"/>
    <col min="3" max="3" width="25.5703125" style="19" bestFit="1" customWidth="1"/>
    <col min="4" max="4" width="26" style="19" bestFit="1" customWidth="1"/>
    <col min="5" max="5" width="26.85546875" style="19" bestFit="1" customWidth="1"/>
    <col min="6" max="6" width="23.7109375" style="19" bestFit="1" customWidth="1"/>
    <col min="7" max="7" width="24.5703125" style="19" bestFit="1" customWidth="1"/>
    <col min="8" max="8" width="18.28515625" style="20" bestFit="1" customWidth="1"/>
    <col min="9" max="9" width="16" style="20" bestFit="1" customWidth="1"/>
    <col min="10" max="10" width="13.85546875" style="20" bestFit="1" customWidth="1"/>
    <col min="11" max="16384" width="9.140625" style="15"/>
  </cols>
  <sheetData>
    <row r="1" spans="1:10" ht="11.25" customHeight="1" x14ac:dyDescent="0.2">
      <c r="A1" s="108" t="s">
        <v>631</v>
      </c>
      <c r="B1" s="109" t="s">
        <v>632</v>
      </c>
      <c r="C1" s="109" t="s">
        <v>633</v>
      </c>
      <c r="D1" s="109" t="s">
        <v>634</v>
      </c>
      <c r="E1" s="109" t="s">
        <v>635</v>
      </c>
      <c r="F1" s="109" t="s">
        <v>636</v>
      </c>
      <c r="G1" s="109" t="s">
        <v>637</v>
      </c>
      <c r="H1" s="110" t="s">
        <v>638</v>
      </c>
      <c r="I1" s="110" t="s">
        <v>639</v>
      </c>
      <c r="J1" s="110" t="s">
        <v>640</v>
      </c>
    </row>
    <row r="2" spans="1:10" ht="11.25" customHeight="1" x14ac:dyDescent="0.2">
      <c r="A2" s="111" t="s">
        <v>26</v>
      </c>
      <c r="B2" s="109">
        <v>1942853.5979999988</v>
      </c>
      <c r="C2" s="109">
        <v>2510024.3676535008</v>
      </c>
      <c r="D2" s="109">
        <v>20224295.720112406</v>
      </c>
      <c r="E2" s="109">
        <v>19673944.853960648</v>
      </c>
      <c r="F2" s="109">
        <v>22908659.234848794</v>
      </c>
      <c r="G2" s="109">
        <v>18147225.103331767</v>
      </c>
      <c r="H2" s="110">
        <v>7.5877611777652731E-4</v>
      </c>
      <c r="I2" s="110">
        <v>-0.20784429515079939</v>
      </c>
      <c r="J2" s="110">
        <v>-0.10525854954860336</v>
      </c>
    </row>
    <row r="3" spans="1:10" ht="11.25" customHeight="1" x14ac:dyDescent="0.2">
      <c r="A3" s="112" t="s">
        <v>38</v>
      </c>
      <c r="B3" s="109">
        <v>1942853.5979999988</v>
      </c>
      <c r="C3" s="109">
        <v>2510024.3676535008</v>
      </c>
      <c r="D3" s="109">
        <v>1716578.4704207997</v>
      </c>
      <c r="E3" s="109">
        <v>2079286.2450310967</v>
      </c>
      <c r="F3" s="109">
        <v>5033985.7134883981</v>
      </c>
      <c r="G3" s="109">
        <v>3993767.5708065657</v>
      </c>
      <c r="H3" s="110">
        <v>0.25410460609126151</v>
      </c>
      <c r="I3" s="110">
        <v>-0.20663907326844411</v>
      </c>
      <c r="J3" s="110">
        <v>-1.2692315172939783E-2</v>
      </c>
    </row>
    <row r="4" spans="1:10" ht="11.25" customHeight="1" x14ac:dyDescent="0.2">
      <c r="A4" s="113" t="s">
        <v>50</v>
      </c>
      <c r="B4" s="109">
        <v>104712.80399999995</v>
      </c>
      <c r="C4" s="109">
        <v>122499.48529894996</v>
      </c>
      <c r="D4" s="109">
        <v>96042.098751200043</v>
      </c>
      <c r="E4" s="109">
        <v>129450.29689286937</v>
      </c>
      <c r="F4" s="109">
        <v>426999.78358479997</v>
      </c>
      <c r="G4" s="109">
        <v>347968.68139943865</v>
      </c>
      <c r="H4" s="110">
        <v>0.25501185146181116</v>
      </c>
      <c r="I4" s="110">
        <v>-0.18508464224939392</v>
      </c>
      <c r="J4" s="110">
        <v>-4.4342516831236911E-2</v>
      </c>
    </row>
    <row r="5" spans="1:10" ht="11.25" customHeight="1" x14ac:dyDescent="0.2">
      <c r="A5" s="113" t="s">
        <v>39</v>
      </c>
      <c r="B5" s="109">
        <v>1838140.7939999988</v>
      </c>
      <c r="C5" s="109">
        <v>2387524.882354551</v>
      </c>
      <c r="D5" s="109">
        <v>1620536.3716695996</v>
      </c>
      <c r="E5" s="109">
        <v>1949835.9481382275</v>
      </c>
      <c r="F5" s="109">
        <v>4606985.9299035985</v>
      </c>
      <c r="G5" s="109">
        <v>3645798.8894071272</v>
      </c>
      <c r="H5" s="110">
        <v>0.25405194608646497</v>
      </c>
      <c r="I5" s="110">
        <v>-0.20863685175539148</v>
      </c>
      <c r="J5" s="110">
        <v>-1.0228963780866684E-2</v>
      </c>
    </row>
    <row r="6" spans="1:10" ht="11.25" customHeight="1" x14ac:dyDescent="0.2">
      <c r="A6" s="112" t="s">
        <v>22</v>
      </c>
      <c r="B6" s="109">
        <v>0</v>
      </c>
      <c r="C6" s="109">
        <v>0</v>
      </c>
      <c r="D6" s="109">
        <v>12703993.404280003</v>
      </c>
      <c r="E6" s="109">
        <v>12035741.61018266</v>
      </c>
      <c r="F6" s="109">
        <v>12292137.580009999</v>
      </c>
      <c r="G6" s="109">
        <v>9707544.8204392269</v>
      </c>
      <c r="H6" s="110">
        <v>-5.2601711354180014E-2</v>
      </c>
      <c r="I6" s="110">
        <v>-0.21026389777592025</v>
      </c>
      <c r="J6" s="110">
        <v>-0.13013392175423144</v>
      </c>
    </row>
    <row r="7" spans="1:10" ht="11.25" customHeight="1" x14ac:dyDescent="0.2">
      <c r="A7" s="113" t="s">
        <v>32</v>
      </c>
      <c r="B7" s="109">
        <v>0</v>
      </c>
      <c r="C7" s="109">
        <v>0</v>
      </c>
      <c r="D7" s="109">
        <v>5998.9080600000007</v>
      </c>
      <c r="E7" s="109">
        <v>6001.2559620925349</v>
      </c>
      <c r="F7" s="109">
        <v>6973.3146699999988</v>
      </c>
      <c r="G7" s="109">
        <v>5506.3693331302529</v>
      </c>
      <c r="H7" s="110">
        <v>3.9138824416884432E-4</v>
      </c>
      <c r="I7" s="110">
        <v>-0.21036557308688697</v>
      </c>
      <c r="J7" s="110">
        <v>-0.11290258155914434</v>
      </c>
    </row>
    <row r="8" spans="1:10" ht="11.25" customHeight="1" x14ac:dyDescent="0.2">
      <c r="A8" s="113" t="s">
        <v>23</v>
      </c>
      <c r="B8" s="109">
        <v>0</v>
      </c>
      <c r="C8" s="109">
        <v>0</v>
      </c>
      <c r="D8" s="109">
        <v>12697994.496220004</v>
      </c>
      <c r="E8" s="109">
        <v>12029740.354220567</v>
      </c>
      <c r="F8" s="109">
        <v>12285164.265339999</v>
      </c>
      <c r="G8" s="109">
        <v>9702038.4511060975</v>
      </c>
      <c r="H8" s="110">
        <v>-5.2626746861354046E-2</v>
      </c>
      <c r="I8" s="110">
        <v>-0.21026384006289978</v>
      </c>
      <c r="J8" s="110">
        <v>-0.13014286893281202</v>
      </c>
    </row>
    <row r="9" spans="1:10" ht="11.25" customHeight="1" x14ac:dyDescent="0.2">
      <c r="A9" s="112" t="s">
        <v>42</v>
      </c>
      <c r="B9" s="109">
        <v>0</v>
      </c>
      <c r="C9" s="109">
        <v>0</v>
      </c>
      <c r="D9" s="109">
        <v>486779.02084999991</v>
      </c>
      <c r="E9" s="109">
        <v>493847.16143500298</v>
      </c>
      <c r="F9" s="109">
        <v>468221.36365199997</v>
      </c>
      <c r="G9" s="109">
        <v>394979.57783522777</v>
      </c>
      <c r="H9" s="110">
        <v>1.4520224336416421E-2</v>
      </c>
      <c r="I9" s="110">
        <v>-0.15642555317319584</v>
      </c>
      <c r="J9" s="110">
        <v>-6.9291747213564236E-2</v>
      </c>
    </row>
    <row r="10" spans="1:10" ht="11.25" customHeight="1" x14ac:dyDescent="0.2">
      <c r="A10" s="113" t="s">
        <v>23</v>
      </c>
      <c r="B10" s="109">
        <v>0</v>
      </c>
      <c r="C10" s="109">
        <v>0</v>
      </c>
      <c r="D10" s="109">
        <v>486779.02084999991</v>
      </c>
      <c r="E10" s="109">
        <v>493847.16143500298</v>
      </c>
      <c r="F10" s="109">
        <v>468221.36365199997</v>
      </c>
      <c r="G10" s="109">
        <v>394979.57783522777</v>
      </c>
      <c r="H10" s="110">
        <v>1.4520224336416421E-2</v>
      </c>
      <c r="I10" s="110">
        <v>-0.15642555317319584</v>
      </c>
      <c r="J10" s="110">
        <v>-6.9291747213564236E-2</v>
      </c>
    </row>
    <row r="11" spans="1:10" ht="11.25" customHeight="1" x14ac:dyDescent="0.2">
      <c r="A11" s="112" t="s">
        <v>36</v>
      </c>
      <c r="B11" s="109">
        <v>0</v>
      </c>
      <c r="C11" s="109">
        <v>0</v>
      </c>
      <c r="D11" s="109">
        <v>4433193.7999215992</v>
      </c>
      <c r="E11" s="109">
        <v>4225697.76792196</v>
      </c>
      <c r="F11" s="109">
        <v>4264274.2516184011</v>
      </c>
      <c r="G11" s="109">
        <v>3379602.3025599169</v>
      </c>
      <c r="H11" s="110">
        <v>-4.6805089369950315E-2</v>
      </c>
      <c r="I11" s="110">
        <v>-0.2074613162422021</v>
      </c>
      <c r="J11" s="110">
        <v>-0.12557309490372226</v>
      </c>
    </row>
    <row r="12" spans="1:10" ht="11.25" customHeight="1" x14ac:dyDescent="0.2">
      <c r="A12" s="113" t="s">
        <v>32</v>
      </c>
      <c r="B12" s="109">
        <v>0</v>
      </c>
      <c r="C12" s="109">
        <v>0</v>
      </c>
      <c r="D12" s="109">
        <v>2656.8430100000005</v>
      </c>
      <c r="E12" s="109">
        <v>2681.0553652360181</v>
      </c>
      <c r="F12" s="109">
        <v>2568.6925999999999</v>
      </c>
      <c r="G12" s="109">
        <v>2028.2501548413047</v>
      </c>
      <c r="H12" s="110">
        <v>9.1132050877247295E-3</v>
      </c>
      <c r="I12" s="110">
        <v>-0.21039592092829451</v>
      </c>
      <c r="J12" s="110">
        <v>-9.8789890348231157E-2</v>
      </c>
    </row>
    <row r="13" spans="1:10" ht="11.25" customHeight="1" x14ac:dyDescent="0.2">
      <c r="A13" s="113" t="s">
        <v>23</v>
      </c>
      <c r="B13" s="109">
        <v>0</v>
      </c>
      <c r="C13" s="109">
        <v>0</v>
      </c>
      <c r="D13" s="109">
        <v>4430536.9569115993</v>
      </c>
      <c r="E13" s="109">
        <v>4223016.7125567235</v>
      </c>
      <c r="F13" s="109">
        <v>4261705.5590184014</v>
      </c>
      <c r="G13" s="109">
        <v>3377574.0524050756</v>
      </c>
      <c r="H13" s="110">
        <v>-4.6838621677931402E-2</v>
      </c>
      <c r="I13" s="110">
        <v>-0.20745954744395056</v>
      </c>
      <c r="J13" s="110">
        <v>-0.12558919622497478</v>
      </c>
    </row>
    <row r="14" spans="1:10" ht="11.25" customHeight="1" x14ac:dyDescent="0.2">
      <c r="A14" s="112" t="s">
        <v>45</v>
      </c>
      <c r="B14" s="109">
        <v>0</v>
      </c>
      <c r="C14" s="109">
        <v>0</v>
      </c>
      <c r="D14" s="109">
        <v>883751.02463999996</v>
      </c>
      <c r="E14" s="109">
        <v>839372.06938993128</v>
      </c>
      <c r="F14" s="109">
        <v>850040.32607999991</v>
      </c>
      <c r="G14" s="109">
        <v>671330.83169083099</v>
      </c>
      <c r="H14" s="110">
        <v>-5.0216581381782976E-2</v>
      </c>
      <c r="I14" s="110">
        <v>-0.2102364898537179</v>
      </c>
      <c r="J14" s="110">
        <v>-0.12867087469700123</v>
      </c>
    </row>
    <row r="15" spans="1:10" ht="11.25" customHeight="1" x14ac:dyDescent="0.2">
      <c r="A15" s="113" t="s">
        <v>23</v>
      </c>
      <c r="B15" s="109">
        <v>0</v>
      </c>
      <c r="C15" s="109">
        <v>0</v>
      </c>
      <c r="D15" s="109">
        <v>883751.02463999996</v>
      </c>
      <c r="E15" s="109">
        <v>839372.06938993128</v>
      </c>
      <c r="F15" s="109">
        <v>850040.32607999991</v>
      </c>
      <c r="G15" s="109">
        <v>671330.83169083099</v>
      </c>
      <c r="H15" s="110">
        <v>-5.0216581381782976E-2</v>
      </c>
      <c r="I15" s="110">
        <v>-0.2102364898537179</v>
      </c>
      <c r="J15" s="110">
        <v>-0.12867087469700123</v>
      </c>
    </row>
    <row r="16" spans="1:10" ht="11.25" customHeight="1" x14ac:dyDescent="0.2">
      <c r="A16" s="111" t="s">
        <v>60</v>
      </c>
      <c r="B16" s="109">
        <v>58565.075000000004</v>
      </c>
      <c r="C16" s="109">
        <v>57816.167865484174</v>
      </c>
      <c r="D16" s="109">
        <v>0</v>
      </c>
      <c r="E16" s="109">
        <v>0</v>
      </c>
      <c r="F16" s="109">
        <v>0</v>
      </c>
      <c r="G16" s="109">
        <v>0</v>
      </c>
      <c r="H16" s="110">
        <v>-1.2787606513196326E-2</v>
      </c>
      <c r="I16" s="110">
        <v>0</v>
      </c>
      <c r="J16" s="110">
        <v>-1.2787606513196326E-2</v>
      </c>
    </row>
    <row r="17" spans="1:10" ht="11.25" customHeight="1" x14ac:dyDescent="0.2">
      <c r="A17" s="112" t="s">
        <v>38</v>
      </c>
      <c r="B17" s="109">
        <v>58565.075000000004</v>
      </c>
      <c r="C17" s="109">
        <v>57816.167865484174</v>
      </c>
      <c r="D17" s="109">
        <v>0</v>
      </c>
      <c r="E17" s="109">
        <v>0</v>
      </c>
      <c r="F17" s="109">
        <v>0</v>
      </c>
      <c r="G17" s="109">
        <v>0</v>
      </c>
      <c r="H17" s="110">
        <v>-1.2787606513196326E-2</v>
      </c>
      <c r="I17" s="110">
        <v>0</v>
      </c>
      <c r="J17" s="110">
        <v>-1.2787606513196326E-2</v>
      </c>
    </row>
    <row r="18" spans="1:10" ht="11.25" customHeight="1" x14ac:dyDescent="0.2">
      <c r="A18" s="113" t="s">
        <v>58</v>
      </c>
      <c r="B18" s="109">
        <v>58565.075000000004</v>
      </c>
      <c r="C18" s="109">
        <v>57816.167865484174</v>
      </c>
      <c r="D18" s="109">
        <v>0</v>
      </c>
      <c r="E18" s="109">
        <v>0</v>
      </c>
      <c r="F18" s="109">
        <v>0</v>
      </c>
      <c r="G18" s="109">
        <v>0</v>
      </c>
      <c r="H18" s="110">
        <v>-1.2787606513196326E-2</v>
      </c>
      <c r="I18" s="110">
        <v>0</v>
      </c>
      <c r="J18" s="110">
        <v>-1.2787606513196326E-2</v>
      </c>
    </row>
    <row r="19" spans="1:10" ht="11.25" customHeight="1" x14ac:dyDescent="0.2">
      <c r="A19" s="111" t="s">
        <v>57</v>
      </c>
      <c r="B19" s="109">
        <v>1133075.385</v>
      </c>
      <c r="C19" s="109">
        <v>1468479.7143426354</v>
      </c>
      <c r="D19" s="109">
        <v>5019870.479382013</v>
      </c>
      <c r="E19" s="109">
        <v>6110074.4588837344</v>
      </c>
      <c r="F19" s="109">
        <v>0</v>
      </c>
      <c r="G19" s="109">
        <v>0</v>
      </c>
      <c r="H19" s="110">
        <v>0.23169524651547402</v>
      </c>
      <c r="I19" s="110">
        <v>0</v>
      </c>
      <c r="J19" s="110">
        <v>0.23169524651547402</v>
      </c>
    </row>
    <row r="20" spans="1:10" ht="11.25" customHeight="1" x14ac:dyDescent="0.2">
      <c r="A20" s="112" t="s">
        <v>38</v>
      </c>
      <c r="B20" s="109">
        <v>1133075.385</v>
      </c>
      <c r="C20" s="109">
        <v>1468479.7143426354</v>
      </c>
      <c r="D20" s="109">
        <v>5019870.479382013</v>
      </c>
      <c r="E20" s="109">
        <v>6110074.4588837344</v>
      </c>
      <c r="F20" s="109">
        <v>0</v>
      </c>
      <c r="G20" s="109">
        <v>0</v>
      </c>
      <c r="H20" s="110">
        <v>0.23169524651547402</v>
      </c>
      <c r="I20" s="110">
        <v>0</v>
      </c>
      <c r="J20" s="110">
        <v>0.23169524651547402</v>
      </c>
    </row>
    <row r="21" spans="1:10" ht="11.25" customHeight="1" x14ac:dyDescent="0.2">
      <c r="A21" s="113" t="s">
        <v>39</v>
      </c>
      <c r="B21" s="109">
        <v>1133075.385</v>
      </c>
      <c r="C21" s="109">
        <v>1468479.7143426354</v>
      </c>
      <c r="D21" s="109">
        <v>5019870.479382013</v>
      </c>
      <c r="E21" s="109">
        <v>6110074.4588837344</v>
      </c>
      <c r="F21" s="109">
        <v>0</v>
      </c>
      <c r="G21" s="109">
        <v>0</v>
      </c>
      <c r="H21" s="110">
        <v>0.23169524651547402</v>
      </c>
      <c r="I21" s="110">
        <v>0</v>
      </c>
      <c r="J21" s="110">
        <v>0.23169524651547402</v>
      </c>
    </row>
    <row r="22" spans="1:10" ht="11.25" customHeight="1" x14ac:dyDescent="0.25">
      <c r="A22"/>
      <c r="B22"/>
      <c r="C22"/>
      <c r="D22"/>
      <c r="E22"/>
      <c r="F22"/>
      <c r="G22"/>
      <c r="H22"/>
      <c r="I22"/>
      <c r="J22"/>
    </row>
    <row r="23" spans="1:10" ht="11.25" customHeight="1" x14ac:dyDescent="0.25">
      <c r="A23"/>
      <c r="B23"/>
      <c r="C23"/>
      <c r="D23"/>
      <c r="E23"/>
      <c r="F23"/>
      <c r="G23"/>
      <c r="H23"/>
      <c r="I23"/>
      <c r="J23"/>
    </row>
    <row r="24" spans="1:10" ht="11.25" customHeight="1" x14ac:dyDescent="0.25">
      <c r="A24"/>
      <c r="B24"/>
      <c r="C24"/>
      <c r="D24"/>
      <c r="E24"/>
      <c r="F24"/>
      <c r="G24"/>
      <c r="H24"/>
      <c r="I24"/>
      <c r="J24"/>
    </row>
    <row r="25" spans="1:10" ht="11.25" customHeight="1" x14ac:dyDescent="0.25">
      <c r="A25"/>
      <c r="B25"/>
      <c r="C25"/>
      <c r="D25"/>
      <c r="E25"/>
      <c r="F25"/>
      <c r="G25"/>
      <c r="H25"/>
      <c r="I25"/>
      <c r="J25"/>
    </row>
    <row r="26" spans="1:10" ht="11.25" customHeight="1" x14ac:dyDescent="0.25">
      <c r="A26"/>
      <c r="B26"/>
      <c r="C26"/>
      <c r="D26"/>
      <c r="E26"/>
      <c r="F26"/>
      <c r="G26"/>
      <c r="H26"/>
      <c r="I26"/>
      <c r="J26"/>
    </row>
    <row r="27" spans="1:10" ht="11.25" customHeight="1" x14ac:dyDescent="0.25">
      <c r="A27"/>
      <c r="B27"/>
      <c r="C27"/>
      <c r="D27"/>
      <c r="E27"/>
      <c r="F27"/>
      <c r="G27"/>
      <c r="H27"/>
      <c r="I27"/>
      <c r="J27"/>
    </row>
    <row r="28" spans="1:10" ht="11.25" customHeight="1" x14ac:dyDescent="0.25">
      <c r="A28"/>
      <c r="B28"/>
      <c r="C28"/>
      <c r="D28"/>
      <c r="E28"/>
      <c r="F28"/>
      <c r="G28"/>
      <c r="H28"/>
      <c r="I28"/>
      <c r="J28"/>
    </row>
    <row r="29" spans="1:10" ht="11.25" customHeight="1" x14ac:dyDescent="0.25">
      <c r="A29"/>
      <c r="B29"/>
      <c r="C29"/>
      <c r="D29"/>
      <c r="E29"/>
      <c r="F29"/>
      <c r="G29"/>
      <c r="H29"/>
      <c r="I29"/>
      <c r="J29"/>
    </row>
    <row r="30" spans="1:10" ht="11.25" customHeight="1" x14ac:dyDescent="0.25">
      <c r="A30"/>
      <c r="B30"/>
      <c r="C30"/>
      <c r="D30"/>
      <c r="E30"/>
      <c r="F30"/>
      <c r="G30"/>
      <c r="H30"/>
      <c r="I30"/>
      <c r="J30"/>
    </row>
    <row r="31" spans="1:10" ht="11.25" customHeight="1" x14ac:dyDescent="0.25">
      <c r="A31"/>
      <c r="B31"/>
      <c r="C31"/>
      <c r="D31"/>
      <c r="E31"/>
      <c r="F31"/>
      <c r="G31"/>
      <c r="H31"/>
      <c r="I31"/>
      <c r="J31"/>
    </row>
    <row r="32" spans="1:10" ht="11.25" customHeight="1" x14ac:dyDescent="0.25">
      <c r="A32"/>
      <c r="B32"/>
      <c r="C32"/>
      <c r="D32"/>
      <c r="E32"/>
      <c r="F32"/>
      <c r="G32"/>
      <c r="H32"/>
      <c r="I32"/>
      <c r="J32"/>
    </row>
    <row r="33" spans="1:10" ht="11.25" customHeight="1" x14ac:dyDescent="0.25">
      <c r="A33"/>
      <c r="B33"/>
      <c r="C33"/>
      <c r="D33"/>
      <c r="E33"/>
      <c r="F33"/>
      <c r="G33"/>
      <c r="H33"/>
      <c r="I33"/>
      <c r="J33"/>
    </row>
    <row r="34" spans="1:10" ht="11.25" customHeight="1" x14ac:dyDescent="0.25">
      <c r="A34"/>
      <c r="B34"/>
      <c r="C34"/>
      <c r="D34"/>
      <c r="E34"/>
      <c r="F34"/>
      <c r="G34"/>
      <c r="H34"/>
      <c r="I34"/>
      <c r="J34"/>
    </row>
    <row r="35" spans="1:10" ht="11.25" customHeight="1" x14ac:dyDescent="0.25">
      <c r="A35"/>
      <c r="B35"/>
      <c r="C35"/>
      <c r="D35"/>
      <c r="E35"/>
      <c r="F35"/>
      <c r="G35"/>
      <c r="H35"/>
      <c r="I35"/>
      <c r="J35"/>
    </row>
    <row r="36" spans="1:10" ht="11.25" customHeight="1" x14ac:dyDescent="0.25">
      <c r="A36"/>
      <c r="B36"/>
      <c r="C36"/>
      <c r="D36"/>
      <c r="E36"/>
      <c r="F36"/>
      <c r="G36"/>
      <c r="H36"/>
      <c r="I36"/>
      <c r="J36"/>
    </row>
    <row r="37" spans="1:10" ht="11.25" customHeight="1" x14ac:dyDescent="0.25">
      <c r="A37"/>
      <c r="B37"/>
      <c r="C37"/>
      <c r="D37"/>
      <c r="E37"/>
      <c r="F37"/>
      <c r="G37"/>
      <c r="H37"/>
      <c r="I37"/>
      <c r="J37"/>
    </row>
    <row r="38" spans="1:10" ht="11.25" customHeight="1" x14ac:dyDescent="0.25">
      <c r="A38"/>
      <c r="B38"/>
      <c r="C38"/>
      <c r="D38"/>
      <c r="E38"/>
      <c r="F38"/>
      <c r="G38"/>
      <c r="H38"/>
      <c r="I38"/>
      <c r="J38"/>
    </row>
    <row r="39" spans="1:10" ht="11.25" customHeight="1" x14ac:dyDescent="0.25">
      <c r="A39"/>
      <c r="B39"/>
      <c r="C39"/>
      <c r="D39"/>
      <c r="E39"/>
      <c r="F39"/>
      <c r="G39"/>
      <c r="H39"/>
      <c r="I39"/>
      <c r="J39"/>
    </row>
    <row r="40" spans="1:10" ht="11.25" customHeight="1" x14ac:dyDescent="0.25">
      <c r="A40"/>
      <c r="B40"/>
      <c r="C40"/>
      <c r="D40"/>
      <c r="E40"/>
      <c r="F40"/>
      <c r="G40"/>
      <c r="H40"/>
      <c r="I40"/>
      <c r="J40"/>
    </row>
    <row r="41" spans="1:10" ht="11.25" customHeight="1" x14ac:dyDescent="0.25">
      <c r="A41"/>
      <c r="B41"/>
      <c r="C41"/>
      <c r="D41"/>
      <c r="E41"/>
      <c r="F41"/>
      <c r="G41"/>
      <c r="H41"/>
      <c r="I41"/>
      <c r="J41"/>
    </row>
    <row r="42" spans="1:10" ht="11.25" customHeight="1" x14ac:dyDescent="0.25">
      <c r="A42"/>
      <c r="B42"/>
      <c r="C42"/>
      <c r="D42"/>
      <c r="E42"/>
      <c r="F42"/>
      <c r="G42"/>
      <c r="H42"/>
      <c r="I42"/>
      <c r="J42"/>
    </row>
    <row r="43" spans="1:10" ht="11.25" customHeight="1" x14ac:dyDescent="0.25">
      <c r="A43"/>
      <c r="B43"/>
      <c r="C43"/>
      <c r="D43"/>
      <c r="E43"/>
      <c r="F43"/>
      <c r="G43"/>
      <c r="H43"/>
      <c r="I43"/>
      <c r="J43"/>
    </row>
    <row r="44" spans="1:10" ht="11.25" customHeight="1" x14ac:dyDescent="0.25">
      <c r="A44"/>
      <c r="B44"/>
      <c r="C44"/>
      <c r="D44"/>
      <c r="E44"/>
      <c r="F44"/>
      <c r="G44"/>
      <c r="H44"/>
      <c r="I44"/>
      <c r="J44"/>
    </row>
    <row r="45" spans="1:10" ht="11.25" customHeight="1" x14ac:dyDescent="0.25">
      <c r="A45"/>
      <c r="B45"/>
      <c r="C45"/>
      <c r="D45"/>
      <c r="E45"/>
      <c r="F45"/>
      <c r="G45"/>
      <c r="H45"/>
      <c r="I45"/>
      <c r="J45"/>
    </row>
    <row r="46" spans="1:10" ht="11.25" customHeight="1" x14ac:dyDescent="0.25">
      <c r="A46"/>
      <c r="B46"/>
      <c r="C46"/>
      <c r="D46"/>
      <c r="E46"/>
      <c r="F46"/>
      <c r="G46"/>
      <c r="H46"/>
      <c r="I46"/>
      <c r="J46"/>
    </row>
    <row r="47" spans="1:10" ht="11.25" customHeight="1" x14ac:dyDescent="0.25">
      <c r="A47"/>
      <c r="B47"/>
      <c r="C47"/>
      <c r="D47"/>
      <c r="E47"/>
      <c r="F47"/>
      <c r="G47"/>
      <c r="H47"/>
      <c r="I47"/>
      <c r="J47"/>
    </row>
    <row r="48" spans="1:10" ht="11.25" customHeight="1" x14ac:dyDescent="0.25">
      <c r="A48"/>
      <c r="B48"/>
      <c r="C48"/>
      <c r="D48"/>
      <c r="E48"/>
      <c r="F48"/>
      <c r="G48"/>
      <c r="H48"/>
      <c r="I48"/>
      <c r="J48"/>
    </row>
    <row r="49" spans="1:10" ht="11.25" customHeight="1" x14ac:dyDescent="0.25">
      <c r="A49"/>
      <c r="B49"/>
      <c r="C49"/>
      <c r="D49"/>
      <c r="E49"/>
      <c r="F49"/>
      <c r="G49"/>
      <c r="H49"/>
      <c r="I49"/>
      <c r="J49"/>
    </row>
    <row r="50" spans="1:10" ht="11.25" customHeight="1" x14ac:dyDescent="0.25">
      <c r="A50"/>
      <c r="B50"/>
      <c r="C50"/>
      <c r="D50"/>
      <c r="E50"/>
      <c r="F50"/>
      <c r="G50"/>
      <c r="H50"/>
      <c r="I50"/>
      <c r="J50"/>
    </row>
    <row r="51" spans="1:10" ht="11.25" customHeight="1" x14ac:dyDescent="0.25">
      <c r="A51"/>
      <c r="B51"/>
      <c r="C51"/>
      <c r="D51"/>
      <c r="E51"/>
      <c r="F51"/>
      <c r="G51"/>
      <c r="H51"/>
      <c r="I51"/>
      <c r="J51"/>
    </row>
    <row r="52" spans="1:10" ht="11.25" customHeight="1" x14ac:dyDescent="0.25">
      <c r="A52"/>
      <c r="B52"/>
      <c r="C52"/>
      <c r="D52"/>
      <c r="E52"/>
      <c r="F52"/>
      <c r="G52"/>
      <c r="H52"/>
      <c r="I52"/>
      <c r="J52"/>
    </row>
    <row r="53" spans="1:10" ht="11.25" customHeight="1" x14ac:dyDescent="0.25">
      <c r="A53"/>
      <c r="B53"/>
      <c r="C53"/>
      <c r="D53"/>
      <c r="E53"/>
      <c r="F53"/>
      <c r="G53"/>
      <c r="H53"/>
      <c r="I53"/>
      <c r="J53"/>
    </row>
    <row r="54" spans="1:10" ht="11.25" customHeight="1" x14ac:dyDescent="0.25">
      <c r="A54"/>
      <c r="B54"/>
      <c r="C54"/>
      <c r="D54"/>
      <c r="E54"/>
      <c r="F54"/>
      <c r="G54"/>
      <c r="H54"/>
      <c r="I54"/>
      <c r="J54"/>
    </row>
    <row r="55" spans="1:10" ht="11.25" customHeight="1" x14ac:dyDescent="0.25">
      <c r="A55"/>
      <c r="B55"/>
      <c r="C55"/>
      <c r="D55"/>
      <c r="E55"/>
      <c r="F55"/>
      <c r="G55"/>
      <c r="H55"/>
      <c r="I55"/>
      <c r="J55"/>
    </row>
    <row r="56" spans="1:10" ht="11.25" customHeight="1" x14ac:dyDescent="0.25">
      <c r="A56"/>
      <c r="B56"/>
      <c r="C56"/>
      <c r="D56"/>
      <c r="E56"/>
      <c r="F56"/>
      <c r="G56"/>
      <c r="H56"/>
      <c r="I56"/>
      <c r="J56"/>
    </row>
    <row r="57" spans="1:10" ht="11.25" customHeight="1" x14ac:dyDescent="0.25">
      <c r="A57"/>
      <c r="B57"/>
      <c r="C57"/>
      <c r="D57"/>
      <c r="E57"/>
      <c r="F57"/>
      <c r="G57"/>
      <c r="H57"/>
      <c r="I57"/>
      <c r="J57"/>
    </row>
    <row r="58" spans="1:10" ht="11.25" customHeight="1" x14ac:dyDescent="0.25">
      <c r="A58"/>
      <c r="B58"/>
      <c r="C58"/>
      <c r="D58"/>
      <c r="E58"/>
      <c r="F58"/>
      <c r="G58"/>
      <c r="H58"/>
      <c r="I58"/>
      <c r="J58"/>
    </row>
    <row r="59" spans="1:10" ht="11.25" customHeight="1" x14ac:dyDescent="0.25">
      <c r="A59"/>
      <c r="B59"/>
      <c r="C59"/>
      <c r="D59"/>
      <c r="E59"/>
      <c r="F59"/>
      <c r="G59"/>
      <c r="H59"/>
      <c r="I59"/>
      <c r="J59"/>
    </row>
    <row r="60" spans="1:10" ht="11.25" customHeight="1" x14ac:dyDescent="0.25">
      <c r="A60"/>
      <c r="B60"/>
      <c r="C60"/>
      <c r="D60"/>
      <c r="E60"/>
      <c r="F60"/>
      <c r="G60"/>
      <c r="H60"/>
      <c r="I60"/>
      <c r="J60"/>
    </row>
    <row r="61" spans="1:10" ht="11.25" customHeight="1" x14ac:dyDescent="0.25">
      <c r="A61"/>
      <c r="B61"/>
      <c r="C61"/>
      <c r="D61"/>
      <c r="E61"/>
      <c r="F61"/>
      <c r="G61"/>
      <c r="H61"/>
      <c r="I61"/>
      <c r="J61"/>
    </row>
    <row r="62" spans="1:10" ht="11.25" customHeight="1" x14ac:dyDescent="0.25">
      <c r="A62"/>
      <c r="B62"/>
      <c r="C62"/>
      <c r="D62"/>
      <c r="E62"/>
      <c r="F62"/>
      <c r="G62"/>
      <c r="H62"/>
      <c r="I62"/>
      <c r="J62"/>
    </row>
    <row r="63" spans="1:10" ht="11.25" customHeight="1" x14ac:dyDescent="0.25">
      <c r="A63"/>
      <c r="B63"/>
      <c r="C63"/>
      <c r="D63"/>
      <c r="E63"/>
      <c r="F63"/>
      <c r="G63"/>
      <c r="H63"/>
      <c r="I63"/>
      <c r="J63"/>
    </row>
    <row r="64" spans="1:10" ht="11.25" customHeight="1" x14ac:dyDescent="0.25">
      <c r="A64"/>
      <c r="B64"/>
      <c r="C64"/>
      <c r="D64"/>
      <c r="E64"/>
      <c r="F64"/>
      <c r="G64"/>
      <c r="H64"/>
      <c r="I64"/>
      <c r="J64"/>
    </row>
    <row r="65" spans="1:10" ht="11.25" customHeight="1" x14ac:dyDescent="0.25">
      <c r="A65"/>
      <c r="B65"/>
      <c r="C65"/>
      <c r="D65"/>
      <c r="E65"/>
      <c r="F65"/>
      <c r="G65"/>
      <c r="H65"/>
      <c r="I65"/>
      <c r="J65"/>
    </row>
    <row r="66" spans="1:10" ht="11.25" customHeight="1" x14ac:dyDescent="0.25">
      <c r="A66"/>
      <c r="B66"/>
      <c r="C66"/>
      <c r="D66"/>
      <c r="E66"/>
      <c r="F66"/>
      <c r="G66"/>
      <c r="H66"/>
      <c r="I66"/>
      <c r="J66"/>
    </row>
    <row r="67" spans="1:10" ht="11.25" customHeight="1" x14ac:dyDescent="0.25">
      <c r="A67"/>
      <c r="B67"/>
      <c r="C67"/>
      <c r="D67"/>
      <c r="E67"/>
      <c r="F67"/>
      <c r="G67"/>
      <c r="H67"/>
      <c r="I67"/>
      <c r="J67"/>
    </row>
    <row r="68" spans="1:10" ht="11.25" customHeight="1" x14ac:dyDescent="0.25">
      <c r="A68"/>
      <c r="B68"/>
      <c r="C68"/>
      <c r="D68"/>
      <c r="E68"/>
      <c r="F68"/>
      <c r="G68"/>
      <c r="H68"/>
      <c r="I68"/>
      <c r="J68"/>
    </row>
    <row r="69" spans="1:10" ht="11.25" customHeight="1" x14ac:dyDescent="0.25">
      <c r="A69"/>
      <c r="B69"/>
      <c r="C69"/>
      <c r="D69"/>
      <c r="E69"/>
      <c r="F69"/>
      <c r="G69"/>
      <c r="H69"/>
      <c r="I69"/>
      <c r="J69"/>
    </row>
    <row r="70" spans="1:10" ht="11.25" customHeight="1" x14ac:dyDescent="0.25">
      <c r="A70"/>
      <c r="B70"/>
      <c r="C70"/>
      <c r="D70"/>
      <c r="E70"/>
      <c r="F70"/>
      <c r="G70"/>
      <c r="H70"/>
      <c r="I70"/>
      <c r="J70"/>
    </row>
    <row r="71" spans="1:10" ht="11.25" customHeight="1" x14ac:dyDescent="0.25">
      <c r="A71"/>
      <c r="B71"/>
      <c r="C71"/>
      <c r="D71"/>
      <c r="E71"/>
      <c r="F71"/>
      <c r="G71"/>
      <c r="H71"/>
      <c r="I71"/>
      <c r="J71"/>
    </row>
    <row r="72" spans="1:10" ht="11.25" customHeight="1" x14ac:dyDescent="0.25">
      <c r="A72"/>
      <c r="B72"/>
      <c r="C72"/>
      <c r="D72"/>
      <c r="E72"/>
      <c r="F72"/>
      <c r="G72"/>
      <c r="H72"/>
      <c r="I72"/>
      <c r="J72"/>
    </row>
    <row r="73" spans="1:10" ht="11.25" customHeight="1" x14ac:dyDescent="0.25">
      <c r="A73"/>
      <c r="B73"/>
      <c r="C73"/>
      <c r="D73"/>
      <c r="E73"/>
      <c r="F73"/>
      <c r="G73"/>
      <c r="H73"/>
      <c r="I73"/>
      <c r="J73"/>
    </row>
    <row r="74" spans="1:10" ht="11.25" customHeight="1" x14ac:dyDescent="0.25">
      <c r="A74"/>
      <c r="B74"/>
      <c r="C74"/>
      <c r="D74"/>
      <c r="E74"/>
      <c r="F74"/>
      <c r="G74"/>
      <c r="H74"/>
      <c r="I74"/>
      <c r="J74"/>
    </row>
    <row r="75" spans="1:10" ht="11.25" customHeight="1" x14ac:dyDescent="0.25">
      <c r="A75"/>
      <c r="B75"/>
      <c r="C75"/>
      <c r="D75"/>
      <c r="E75"/>
      <c r="F75"/>
      <c r="G75"/>
      <c r="H75"/>
      <c r="I75"/>
      <c r="J75"/>
    </row>
    <row r="76" spans="1:10" ht="11.25" customHeight="1" x14ac:dyDescent="0.25">
      <c r="A76"/>
      <c r="B76"/>
      <c r="C76"/>
      <c r="D76"/>
      <c r="E76"/>
      <c r="F76"/>
      <c r="G76"/>
      <c r="H76"/>
      <c r="I76"/>
      <c r="J76"/>
    </row>
    <row r="77" spans="1:10" ht="11.25" customHeight="1" x14ac:dyDescent="0.25">
      <c r="A77"/>
      <c r="B77"/>
      <c r="C77"/>
      <c r="D77"/>
      <c r="E77"/>
      <c r="F77"/>
      <c r="G77"/>
      <c r="H77"/>
      <c r="I77"/>
      <c r="J77"/>
    </row>
    <row r="78" spans="1:10" ht="11.25" customHeight="1" x14ac:dyDescent="0.25">
      <c r="A78"/>
      <c r="B78"/>
      <c r="C78"/>
      <c r="D78"/>
      <c r="E78"/>
      <c r="F78"/>
      <c r="G78"/>
      <c r="H78"/>
      <c r="I78"/>
      <c r="J78"/>
    </row>
    <row r="79" spans="1:10" ht="11.25" customHeight="1" x14ac:dyDescent="0.25">
      <c r="A79"/>
      <c r="B79"/>
      <c r="C79"/>
      <c r="D79"/>
      <c r="E79"/>
      <c r="F79"/>
      <c r="G79"/>
      <c r="H79"/>
      <c r="I79"/>
      <c r="J79"/>
    </row>
    <row r="80" spans="1:10" ht="11.25" customHeight="1" x14ac:dyDescent="0.25">
      <c r="A80"/>
      <c r="B80"/>
      <c r="C80"/>
      <c r="D80"/>
      <c r="E80"/>
      <c r="F80"/>
      <c r="G80"/>
      <c r="H80"/>
      <c r="I80"/>
      <c r="J80"/>
    </row>
    <row r="81" spans="1:10" ht="11.25" customHeight="1" x14ac:dyDescent="0.25">
      <c r="A81"/>
      <c r="B81"/>
      <c r="C81"/>
      <c r="D81"/>
      <c r="E81"/>
      <c r="F81"/>
      <c r="G81"/>
      <c r="H81"/>
      <c r="I81"/>
      <c r="J81"/>
    </row>
    <row r="82" spans="1:10" ht="11.25" customHeight="1" x14ac:dyDescent="0.25">
      <c r="A82"/>
      <c r="B82"/>
      <c r="C82"/>
      <c r="D82"/>
      <c r="E82"/>
      <c r="F82"/>
      <c r="G82"/>
      <c r="H82"/>
      <c r="I82"/>
      <c r="J82"/>
    </row>
    <row r="83" spans="1:10" ht="11.25" customHeight="1" x14ac:dyDescent="0.25">
      <c r="A83"/>
      <c r="B83"/>
      <c r="C83"/>
      <c r="D83"/>
      <c r="E83"/>
      <c r="F83"/>
      <c r="G83"/>
      <c r="H83"/>
      <c r="I83"/>
      <c r="J83"/>
    </row>
    <row r="84" spans="1:10" ht="11.25" customHeight="1" x14ac:dyDescent="0.25">
      <c r="A84"/>
      <c r="B84"/>
      <c r="C84"/>
      <c r="D84"/>
      <c r="E84"/>
      <c r="F84"/>
      <c r="G84"/>
      <c r="H84"/>
      <c r="I84"/>
      <c r="J84"/>
    </row>
    <row r="85" spans="1:10" ht="11.25" customHeight="1" x14ac:dyDescent="0.25">
      <c r="A85"/>
      <c r="B85"/>
      <c r="C85"/>
      <c r="D85"/>
      <c r="E85"/>
      <c r="F85"/>
      <c r="G85"/>
      <c r="H85"/>
      <c r="I85"/>
      <c r="J85"/>
    </row>
    <row r="86" spans="1:10" ht="11.25" customHeight="1" x14ac:dyDescent="0.25">
      <c r="A86"/>
      <c r="B86"/>
      <c r="C86"/>
      <c r="D86"/>
      <c r="E86"/>
      <c r="F86"/>
      <c r="G86"/>
      <c r="H86"/>
      <c r="I86"/>
      <c r="J86"/>
    </row>
    <row r="87" spans="1:10" ht="11.25" customHeight="1" x14ac:dyDescent="0.25">
      <c r="A87"/>
      <c r="B87"/>
      <c r="C87"/>
      <c r="D87"/>
      <c r="E87"/>
      <c r="F87"/>
      <c r="G87"/>
      <c r="H87"/>
      <c r="I87"/>
      <c r="J87"/>
    </row>
    <row r="88" spans="1:10" ht="11.25" customHeight="1" x14ac:dyDescent="0.25">
      <c r="A88"/>
      <c r="B88"/>
      <c r="C88"/>
      <c r="D88"/>
      <c r="E88"/>
      <c r="F88"/>
      <c r="G88"/>
      <c r="H88"/>
      <c r="I88"/>
      <c r="J88"/>
    </row>
    <row r="89" spans="1:10" ht="11.25" customHeight="1" x14ac:dyDescent="0.25">
      <c r="A89"/>
      <c r="B89"/>
      <c r="C89"/>
      <c r="D89"/>
      <c r="E89"/>
      <c r="F89"/>
      <c r="G89"/>
      <c r="H89"/>
      <c r="I89"/>
      <c r="J89"/>
    </row>
    <row r="90" spans="1:10" ht="11.25" customHeight="1" x14ac:dyDescent="0.25">
      <c r="A90"/>
      <c r="B90"/>
      <c r="C90"/>
      <c r="D90"/>
      <c r="E90"/>
      <c r="F90"/>
      <c r="G90"/>
      <c r="H90"/>
      <c r="I90"/>
      <c r="J90"/>
    </row>
    <row r="91" spans="1:10" ht="11.25" customHeight="1" x14ac:dyDescent="0.25">
      <c r="A91"/>
      <c r="B91"/>
      <c r="C91"/>
      <c r="D91"/>
      <c r="E91"/>
      <c r="F91"/>
      <c r="G91"/>
      <c r="H91"/>
      <c r="I91"/>
      <c r="J91"/>
    </row>
    <row r="92" spans="1:10" ht="11.25" customHeight="1" x14ac:dyDescent="0.25">
      <c r="A92"/>
      <c r="B92"/>
      <c r="C92"/>
      <c r="D92"/>
      <c r="E92"/>
      <c r="F92"/>
      <c r="G92"/>
      <c r="H92"/>
      <c r="I92"/>
      <c r="J92"/>
    </row>
    <row r="93" spans="1:10" ht="11.25" customHeight="1" x14ac:dyDescent="0.25">
      <c r="A93"/>
      <c r="B93"/>
      <c r="C93"/>
      <c r="D93"/>
      <c r="E93"/>
      <c r="F93"/>
      <c r="G93"/>
      <c r="H93"/>
      <c r="I93"/>
      <c r="J93"/>
    </row>
    <row r="94" spans="1:10" ht="11.25" customHeight="1" x14ac:dyDescent="0.25">
      <c r="A94"/>
      <c r="B94"/>
      <c r="C94"/>
      <c r="D94"/>
      <c r="E94"/>
      <c r="F94"/>
      <c r="G94"/>
      <c r="H94"/>
      <c r="I94"/>
      <c r="J94"/>
    </row>
    <row r="95" spans="1:10" ht="11.25" customHeight="1" x14ac:dyDescent="0.25">
      <c r="A95"/>
      <c r="B95"/>
      <c r="C95"/>
      <c r="D95"/>
      <c r="E95"/>
      <c r="F95"/>
      <c r="G95"/>
      <c r="H95"/>
      <c r="I95"/>
      <c r="J95"/>
    </row>
    <row r="96" spans="1:10" ht="11.25" customHeight="1" x14ac:dyDescent="0.25">
      <c r="A96"/>
      <c r="B96"/>
      <c r="C96"/>
      <c r="D96"/>
      <c r="E96"/>
      <c r="F96"/>
      <c r="G96"/>
      <c r="H96"/>
      <c r="I96"/>
      <c r="J96"/>
    </row>
    <row r="97" spans="1:10" ht="11.25" customHeight="1" x14ac:dyDescent="0.25">
      <c r="A97"/>
      <c r="B97"/>
      <c r="C97"/>
      <c r="D97"/>
      <c r="E97"/>
      <c r="F97"/>
      <c r="G97"/>
      <c r="H97"/>
      <c r="I97"/>
      <c r="J97"/>
    </row>
    <row r="98" spans="1:10" ht="11.25" customHeight="1" x14ac:dyDescent="0.25">
      <c r="A98"/>
      <c r="B98"/>
      <c r="C98"/>
      <c r="D98"/>
      <c r="E98"/>
      <c r="F98"/>
      <c r="G98"/>
      <c r="H98"/>
      <c r="I98"/>
      <c r="J98"/>
    </row>
    <row r="99" spans="1:10" ht="11.25" customHeight="1" x14ac:dyDescent="0.25">
      <c r="A99"/>
      <c r="B99"/>
      <c r="C99"/>
      <c r="D99"/>
      <c r="E99"/>
      <c r="F99"/>
      <c r="G99"/>
      <c r="H99"/>
      <c r="I99"/>
      <c r="J99"/>
    </row>
    <row r="100" spans="1:10" ht="11.25" customHeight="1" x14ac:dyDescent="0.25">
      <c r="A100"/>
      <c r="B100"/>
      <c r="C100"/>
      <c r="D100"/>
      <c r="E100"/>
      <c r="F100"/>
      <c r="G100"/>
      <c r="H100"/>
      <c r="I100"/>
      <c r="J100"/>
    </row>
    <row r="101" spans="1:10" ht="11.25" customHeight="1" x14ac:dyDescent="0.25">
      <c r="A101"/>
      <c r="B101"/>
      <c r="C101"/>
      <c r="D101"/>
      <c r="E101"/>
      <c r="F101"/>
      <c r="G101"/>
      <c r="H101"/>
      <c r="I101"/>
      <c r="J101"/>
    </row>
    <row r="102" spans="1:10" ht="11.25" customHeight="1" x14ac:dyDescent="0.25">
      <c r="A102"/>
      <c r="B102"/>
      <c r="C102"/>
      <c r="D102"/>
      <c r="E102"/>
      <c r="F102"/>
      <c r="G102"/>
      <c r="H102"/>
      <c r="I102"/>
      <c r="J102"/>
    </row>
    <row r="103" spans="1:10" ht="11.25" customHeight="1" x14ac:dyDescent="0.25">
      <c r="A103"/>
      <c r="B103"/>
      <c r="C103"/>
      <c r="D103"/>
      <c r="E103"/>
      <c r="F103"/>
      <c r="G103"/>
      <c r="H103"/>
      <c r="I103"/>
      <c r="J103"/>
    </row>
    <row r="104" spans="1:10" ht="11.25" customHeight="1" x14ac:dyDescent="0.25">
      <c r="A104"/>
      <c r="B104"/>
      <c r="C104"/>
      <c r="D104"/>
      <c r="E104"/>
      <c r="F104"/>
      <c r="G104"/>
      <c r="H104"/>
      <c r="I104"/>
      <c r="J104"/>
    </row>
    <row r="105" spans="1:10" ht="11.25" customHeight="1" x14ac:dyDescent="0.25">
      <c r="A105"/>
      <c r="B105"/>
      <c r="C105"/>
      <c r="D105"/>
      <c r="E105"/>
      <c r="F105"/>
      <c r="G105"/>
      <c r="H105"/>
      <c r="I105"/>
      <c r="J105"/>
    </row>
    <row r="106" spans="1:10" ht="11.25" customHeight="1" x14ac:dyDescent="0.25">
      <c r="A106"/>
      <c r="B106"/>
      <c r="C106"/>
      <c r="D106"/>
      <c r="E106"/>
      <c r="F106"/>
      <c r="G106"/>
      <c r="H106"/>
      <c r="I106"/>
      <c r="J106"/>
    </row>
    <row r="107" spans="1:10" ht="11.25" customHeight="1" x14ac:dyDescent="0.25">
      <c r="A107"/>
      <c r="B107"/>
      <c r="C107"/>
      <c r="D107"/>
      <c r="E107"/>
      <c r="F107"/>
      <c r="G107"/>
      <c r="H107"/>
      <c r="I107"/>
      <c r="J107"/>
    </row>
    <row r="108" spans="1:10" ht="11.25" customHeight="1" x14ac:dyDescent="0.25">
      <c r="A108"/>
      <c r="B108"/>
      <c r="C108"/>
      <c r="D108"/>
      <c r="E108"/>
      <c r="F108"/>
      <c r="G108"/>
      <c r="H108"/>
      <c r="I108"/>
      <c r="J108"/>
    </row>
    <row r="109" spans="1:10" ht="11.25" customHeight="1" x14ac:dyDescent="0.25">
      <c r="A109"/>
      <c r="B109"/>
      <c r="C109"/>
      <c r="D109"/>
      <c r="E109"/>
      <c r="F109"/>
      <c r="G109"/>
      <c r="H109"/>
      <c r="I109"/>
      <c r="J109"/>
    </row>
    <row r="110" spans="1:10" ht="11.25" customHeight="1" x14ac:dyDescent="0.25">
      <c r="A110"/>
      <c r="B110"/>
      <c r="C110"/>
      <c r="D110"/>
      <c r="E110"/>
      <c r="F110"/>
      <c r="G110"/>
      <c r="H110"/>
      <c r="I110"/>
      <c r="J110"/>
    </row>
    <row r="111" spans="1:10" ht="11.25" customHeight="1" x14ac:dyDescent="0.25">
      <c r="A111"/>
      <c r="B111"/>
      <c r="C111"/>
      <c r="D111"/>
      <c r="E111"/>
      <c r="F111"/>
      <c r="G111"/>
      <c r="H111"/>
      <c r="I111"/>
      <c r="J111"/>
    </row>
    <row r="112" spans="1:10" ht="11.25" customHeight="1" x14ac:dyDescent="0.25">
      <c r="A112"/>
      <c r="B112"/>
      <c r="C112"/>
      <c r="D112"/>
      <c r="E112"/>
      <c r="F112"/>
      <c r="G112"/>
      <c r="H112"/>
      <c r="I112"/>
      <c r="J112"/>
    </row>
    <row r="113" spans="1:10" ht="11.25" customHeight="1" x14ac:dyDescent="0.25">
      <c r="A113"/>
      <c r="B113"/>
      <c r="C113"/>
      <c r="D113"/>
      <c r="E113"/>
      <c r="F113"/>
      <c r="G113"/>
      <c r="H113"/>
      <c r="I113"/>
      <c r="J113"/>
    </row>
    <row r="114" spans="1:10" ht="11.25" customHeight="1" x14ac:dyDescent="0.25">
      <c r="A114"/>
      <c r="B114"/>
      <c r="C114"/>
      <c r="D114"/>
      <c r="E114"/>
      <c r="F114"/>
      <c r="G114"/>
      <c r="H114"/>
      <c r="I114"/>
      <c r="J114"/>
    </row>
    <row r="115" spans="1:10" ht="11.25" customHeight="1" x14ac:dyDescent="0.25">
      <c r="A115"/>
      <c r="B115"/>
      <c r="C115"/>
      <c r="D115"/>
      <c r="E115"/>
      <c r="F115"/>
      <c r="G115"/>
      <c r="H115"/>
      <c r="I115"/>
      <c r="J115"/>
    </row>
    <row r="116" spans="1:10" ht="11.25" customHeight="1" x14ac:dyDescent="0.25">
      <c r="A116"/>
      <c r="B116"/>
      <c r="C116"/>
      <c r="D116"/>
      <c r="E116"/>
      <c r="F116"/>
      <c r="G116"/>
      <c r="H116"/>
      <c r="I116"/>
      <c r="J116"/>
    </row>
    <row r="117" spans="1:10" ht="11.25" customHeight="1" x14ac:dyDescent="0.25">
      <c r="A117"/>
      <c r="B117"/>
      <c r="C117"/>
      <c r="D117"/>
      <c r="E117"/>
      <c r="F117"/>
      <c r="G117"/>
      <c r="H117"/>
      <c r="I117"/>
      <c r="J117"/>
    </row>
    <row r="118" spans="1:10" ht="11.25" customHeight="1" x14ac:dyDescent="0.25">
      <c r="A118"/>
      <c r="B118"/>
      <c r="C118"/>
      <c r="D118"/>
      <c r="E118"/>
      <c r="F118"/>
      <c r="G118"/>
      <c r="H118"/>
      <c r="I118"/>
      <c r="J118"/>
    </row>
    <row r="119" spans="1:10" ht="11.25" customHeight="1" x14ac:dyDescent="0.25">
      <c r="A119"/>
      <c r="B119"/>
      <c r="C119"/>
      <c r="D119"/>
      <c r="E119"/>
      <c r="F119"/>
      <c r="G119"/>
      <c r="H119"/>
      <c r="I119"/>
      <c r="J119"/>
    </row>
    <row r="120" spans="1:10" ht="11.25" customHeight="1" x14ac:dyDescent="0.25">
      <c r="A120"/>
      <c r="B120"/>
      <c r="C120"/>
      <c r="D120"/>
      <c r="E120"/>
      <c r="F120"/>
      <c r="G120"/>
      <c r="H120"/>
      <c r="I120"/>
      <c r="J120"/>
    </row>
    <row r="121" spans="1:10" ht="11.25" customHeight="1" x14ac:dyDescent="0.25">
      <c r="A121"/>
      <c r="B121"/>
      <c r="C121"/>
      <c r="D121"/>
      <c r="E121"/>
      <c r="F121"/>
      <c r="G121"/>
      <c r="H121"/>
      <c r="I121"/>
      <c r="J121"/>
    </row>
    <row r="122" spans="1:10" ht="11.25" customHeight="1" x14ac:dyDescent="0.25">
      <c r="A122"/>
      <c r="B122"/>
      <c r="C122"/>
      <c r="D122"/>
      <c r="E122"/>
      <c r="F122"/>
      <c r="G122"/>
      <c r="H122"/>
      <c r="I122"/>
      <c r="J122"/>
    </row>
    <row r="123" spans="1:10" ht="11.25" customHeight="1" x14ac:dyDescent="0.25">
      <c r="A123"/>
      <c r="B123"/>
      <c r="C123"/>
      <c r="D123"/>
      <c r="E123"/>
      <c r="F123"/>
      <c r="G123"/>
      <c r="H123"/>
      <c r="I123"/>
      <c r="J123"/>
    </row>
    <row r="124" spans="1:10" ht="11.25" customHeight="1" x14ac:dyDescent="0.25">
      <c r="A124"/>
      <c r="B124"/>
      <c r="C124"/>
      <c r="D124"/>
      <c r="E124"/>
      <c r="F124"/>
      <c r="G124"/>
      <c r="H124"/>
      <c r="I124"/>
      <c r="J124"/>
    </row>
    <row r="125" spans="1:10" ht="11.25" customHeight="1" x14ac:dyDescent="0.25">
      <c r="A125"/>
      <c r="B125"/>
      <c r="C125"/>
      <c r="D125"/>
      <c r="E125"/>
      <c r="F125"/>
      <c r="G125"/>
      <c r="H125"/>
      <c r="I125"/>
      <c r="J125"/>
    </row>
    <row r="126" spans="1:10" ht="11.25" customHeight="1" x14ac:dyDescent="0.25">
      <c r="A126"/>
      <c r="B126"/>
      <c r="C126"/>
      <c r="D126"/>
      <c r="E126"/>
      <c r="F126"/>
      <c r="G126"/>
      <c r="H126"/>
      <c r="I126"/>
      <c r="J126"/>
    </row>
    <row r="127" spans="1:10" ht="11.25" customHeight="1" x14ac:dyDescent="0.25">
      <c r="A127"/>
      <c r="B127"/>
      <c r="C127"/>
      <c r="D127"/>
      <c r="E127"/>
      <c r="F127"/>
      <c r="G127"/>
      <c r="H127"/>
      <c r="I127"/>
      <c r="J127"/>
    </row>
    <row r="128" spans="1:10" ht="11.25" customHeight="1" x14ac:dyDescent="0.25">
      <c r="A128"/>
      <c r="B128"/>
      <c r="C128"/>
      <c r="D128"/>
      <c r="E128"/>
      <c r="F128"/>
      <c r="G128"/>
      <c r="H128"/>
      <c r="I128"/>
      <c r="J128"/>
    </row>
    <row r="129" spans="1:10" ht="11.25" customHeight="1" x14ac:dyDescent="0.25">
      <c r="A129"/>
      <c r="B129"/>
      <c r="C129"/>
      <c r="D129"/>
      <c r="E129"/>
      <c r="F129"/>
      <c r="G129"/>
      <c r="H129"/>
      <c r="I129"/>
      <c r="J129"/>
    </row>
    <row r="130" spans="1:10" ht="11.25" customHeight="1" x14ac:dyDescent="0.25">
      <c r="A130"/>
      <c r="B130"/>
      <c r="C130"/>
      <c r="D130"/>
      <c r="E130"/>
      <c r="F130"/>
      <c r="G130"/>
      <c r="H130"/>
      <c r="I130"/>
      <c r="J130"/>
    </row>
    <row r="131" spans="1:10" ht="11.25" customHeight="1" x14ac:dyDescent="0.25">
      <c r="A131"/>
      <c r="B131"/>
      <c r="C131"/>
      <c r="D131"/>
      <c r="E131"/>
      <c r="F131"/>
      <c r="G131"/>
      <c r="H131"/>
      <c r="I131"/>
      <c r="J131"/>
    </row>
    <row r="132" spans="1:10" ht="11.25" customHeight="1" x14ac:dyDescent="0.25">
      <c r="A132"/>
      <c r="B132"/>
      <c r="C132"/>
      <c r="D132"/>
      <c r="E132"/>
      <c r="F132"/>
      <c r="G132"/>
      <c r="H132"/>
      <c r="I132"/>
      <c r="J132"/>
    </row>
    <row r="133" spans="1:10" ht="11.25" customHeight="1" x14ac:dyDescent="0.25">
      <c r="A133"/>
      <c r="B133"/>
      <c r="C133"/>
      <c r="D133"/>
      <c r="E133"/>
      <c r="F133"/>
      <c r="G133"/>
      <c r="H133"/>
      <c r="I133"/>
      <c r="J133"/>
    </row>
    <row r="134" spans="1:10" ht="11.25" customHeight="1" x14ac:dyDescent="0.25">
      <c r="A134"/>
      <c r="B134"/>
      <c r="C134"/>
      <c r="D134"/>
      <c r="E134"/>
      <c r="F134"/>
      <c r="G134"/>
      <c r="H134"/>
      <c r="I134"/>
      <c r="J134"/>
    </row>
    <row r="135" spans="1:10" ht="11.25" customHeight="1" x14ac:dyDescent="0.25">
      <c r="A135"/>
      <c r="B135"/>
      <c r="C135"/>
      <c r="D135"/>
      <c r="E135"/>
      <c r="F135"/>
      <c r="G135"/>
      <c r="H135"/>
      <c r="I135"/>
      <c r="J135"/>
    </row>
    <row r="136" spans="1:10" ht="11.25" customHeight="1" x14ac:dyDescent="0.25">
      <c r="A136"/>
      <c r="B136"/>
      <c r="C136"/>
      <c r="D136"/>
      <c r="E136"/>
      <c r="F136"/>
      <c r="G136"/>
      <c r="H136"/>
      <c r="I136"/>
      <c r="J136"/>
    </row>
    <row r="137" spans="1:10" ht="11.25" customHeight="1" x14ac:dyDescent="0.25">
      <c r="A137"/>
      <c r="B137"/>
      <c r="C137"/>
      <c r="D137"/>
      <c r="E137"/>
      <c r="F137"/>
      <c r="G137"/>
      <c r="H137"/>
      <c r="I137"/>
      <c r="J137"/>
    </row>
    <row r="138" spans="1:10" ht="11.25" customHeight="1" x14ac:dyDescent="0.25">
      <c r="A138"/>
      <c r="B138"/>
      <c r="C138"/>
      <c r="D138"/>
      <c r="E138"/>
      <c r="F138"/>
      <c r="G138"/>
      <c r="H138"/>
      <c r="I138"/>
      <c r="J138"/>
    </row>
    <row r="139" spans="1:10" ht="11.25" customHeight="1" x14ac:dyDescent="0.25">
      <c r="A139"/>
      <c r="B139"/>
      <c r="C139"/>
      <c r="D139"/>
      <c r="E139"/>
      <c r="F139"/>
      <c r="G139"/>
      <c r="H139"/>
      <c r="I139"/>
      <c r="J139"/>
    </row>
    <row r="140" spans="1:10" ht="11.25" customHeight="1" x14ac:dyDescent="0.25">
      <c r="A140"/>
      <c r="B140"/>
      <c r="C140"/>
      <c r="D140"/>
      <c r="E140"/>
      <c r="F140"/>
      <c r="G140"/>
      <c r="H140"/>
      <c r="I140"/>
      <c r="J140"/>
    </row>
    <row r="141" spans="1:10" ht="11.25" customHeight="1" x14ac:dyDescent="0.25">
      <c r="A141"/>
      <c r="B141"/>
      <c r="C141"/>
      <c r="D141"/>
      <c r="E141"/>
      <c r="F141"/>
      <c r="G141"/>
      <c r="H141"/>
      <c r="I141"/>
      <c r="J141"/>
    </row>
    <row r="142" spans="1:10" ht="11.25" customHeight="1" x14ac:dyDescent="0.25">
      <c r="A142"/>
      <c r="B142"/>
      <c r="C142"/>
      <c r="D142"/>
      <c r="E142"/>
      <c r="F142"/>
      <c r="G142"/>
      <c r="H142"/>
      <c r="I142"/>
      <c r="J142"/>
    </row>
    <row r="143" spans="1:10" ht="11.25" customHeight="1" x14ac:dyDescent="0.25">
      <c r="A143"/>
      <c r="B143"/>
      <c r="C143"/>
      <c r="D143"/>
      <c r="E143"/>
      <c r="F143"/>
      <c r="G143"/>
      <c r="H143"/>
      <c r="I143"/>
      <c r="J143"/>
    </row>
    <row r="144" spans="1:10" ht="11.25" customHeight="1" x14ac:dyDescent="0.25">
      <c r="A144"/>
      <c r="B144"/>
      <c r="C144"/>
      <c r="D144"/>
      <c r="E144"/>
      <c r="F144"/>
      <c r="G144"/>
      <c r="H144"/>
      <c r="I144"/>
      <c r="J144"/>
    </row>
    <row r="145" spans="1:10" ht="11.25" customHeight="1" x14ac:dyDescent="0.25">
      <c r="A145"/>
      <c r="B145"/>
      <c r="C145"/>
      <c r="D145"/>
      <c r="E145"/>
      <c r="F145"/>
      <c r="G145"/>
      <c r="H145"/>
      <c r="I145"/>
      <c r="J145"/>
    </row>
    <row r="146" spans="1:10" ht="11.25" customHeight="1" x14ac:dyDescent="0.25">
      <c r="A146"/>
      <c r="B146"/>
      <c r="C146"/>
      <c r="D146"/>
      <c r="E146"/>
      <c r="F146"/>
      <c r="G146"/>
      <c r="H146"/>
      <c r="I146"/>
      <c r="J146"/>
    </row>
    <row r="147" spans="1:10" ht="11.25" customHeight="1" x14ac:dyDescent="0.25">
      <c r="A147"/>
      <c r="B147"/>
      <c r="C147"/>
      <c r="D147"/>
      <c r="E147"/>
      <c r="F147"/>
      <c r="G147"/>
      <c r="H147"/>
      <c r="I147"/>
      <c r="J147"/>
    </row>
    <row r="148" spans="1:10" ht="11.25" customHeight="1" x14ac:dyDescent="0.25">
      <c r="A148"/>
      <c r="B148"/>
      <c r="C148"/>
      <c r="D148"/>
      <c r="E148"/>
      <c r="F148"/>
      <c r="G148"/>
      <c r="H148"/>
      <c r="I148"/>
      <c r="J148"/>
    </row>
    <row r="149" spans="1:10" ht="11.25" customHeight="1" x14ac:dyDescent="0.25">
      <c r="A149"/>
      <c r="B149"/>
      <c r="C149"/>
      <c r="D149"/>
      <c r="E149"/>
      <c r="F149"/>
      <c r="G149"/>
      <c r="H149"/>
      <c r="I149"/>
      <c r="J149"/>
    </row>
    <row r="150" spans="1:10" ht="11.25" customHeight="1" x14ac:dyDescent="0.25">
      <c r="A150"/>
      <c r="B150"/>
      <c r="C150"/>
      <c r="D150"/>
      <c r="E150"/>
      <c r="F150"/>
      <c r="G150"/>
      <c r="H150"/>
      <c r="I150"/>
      <c r="J150"/>
    </row>
    <row r="151" spans="1:10" ht="11.25" customHeight="1" x14ac:dyDescent="0.25">
      <c r="A151"/>
      <c r="B151"/>
      <c r="C151"/>
      <c r="D151"/>
      <c r="E151"/>
      <c r="F151"/>
      <c r="G151"/>
      <c r="H151"/>
      <c r="I151"/>
      <c r="J151"/>
    </row>
    <row r="152" spans="1:10" ht="11.25" customHeight="1" x14ac:dyDescent="0.25">
      <c r="A152"/>
      <c r="B152"/>
      <c r="C152"/>
      <c r="D152"/>
      <c r="E152"/>
      <c r="F152"/>
      <c r="G152"/>
      <c r="H152"/>
      <c r="I152"/>
      <c r="J152"/>
    </row>
    <row r="153" spans="1:10" ht="11.25" customHeight="1" x14ac:dyDescent="0.25">
      <c r="A153"/>
      <c r="B153"/>
      <c r="C153"/>
      <c r="D153"/>
      <c r="E153"/>
      <c r="F153"/>
      <c r="G153"/>
      <c r="H153"/>
      <c r="I153"/>
      <c r="J153"/>
    </row>
    <row r="154" spans="1:10" ht="11.25" customHeight="1" x14ac:dyDescent="0.25">
      <c r="A154"/>
      <c r="B154"/>
      <c r="C154"/>
      <c r="D154"/>
      <c r="E154"/>
      <c r="F154"/>
      <c r="G154"/>
      <c r="H154"/>
      <c r="I154"/>
      <c r="J154"/>
    </row>
    <row r="155" spans="1:10" ht="11.25" customHeight="1" x14ac:dyDescent="0.25">
      <c r="A155"/>
      <c r="B155"/>
      <c r="C155"/>
      <c r="D155"/>
      <c r="E155"/>
      <c r="F155"/>
      <c r="G155"/>
      <c r="H155"/>
      <c r="I155"/>
      <c r="J155"/>
    </row>
    <row r="156" spans="1:10" ht="11.25" customHeight="1" x14ac:dyDescent="0.25">
      <c r="A156"/>
      <c r="B156"/>
      <c r="C156"/>
      <c r="D156"/>
      <c r="E156"/>
      <c r="F156"/>
      <c r="G156"/>
      <c r="H156"/>
      <c r="I156"/>
      <c r="J156"/>
    </row>
    <row r="157" spans="1:10" ht="11.25" customHeight="1" x14ac:dyDescent="0.25">
      <c r="A157"/>
      <c r="B157"/>
      <c r="C157"/>
      <c r="D157"/>
      <c r="E157"/>
      <c r="F157"/>
      <c r="G157"/>
      <c r="H157"/>
      <c r="I157"/>
      <c r="J157"/>
    </row>
    <row r="158" spans="1:10" ht="11.25" customHeight="1" x14ac:dyDescent="0.25">
      <c r="A158"/>
      <c r="B158"/>
      <c r="C158"/>
      <c r="D158"/>
      <c r="E158"/>
      <c r="F158"/>
      <c r="G158"/>
      <c r="H158"/>
      <c r="I158"/>
      <c r="J158"/>
    </row>
    <row r="159" spans="1:10" ht="11.25" customHeight="1" x14ac:dyDescent="0.25">
      <c r="A159"/>
      <c r="B159"/>
      <c r="C159"/>
      <c r="D159"/>
      <c r="E159"/>
      <c r="F159"/>
      <c r="G159"/>
      <c r="H159"/>
      <c r="I159"/>
      <c r="J159"/>
    </row>
    <row r="160" spans="1:10" ht="11.25" customHeight="1" x14ac:dyDescent="0.25">
      <c r="A160"/>
      <c r="B160"/>
      <c r="C160"/>
      <c r="D160"/>
      <c r="E160"/>
      <c r="F160"/>
      <c r="G160"/>
      <c r="H160"/>
      <c r="I160"/>
      <c r="J160"/>
    </row>
    <row r="161" spans="1:10" ht="11.25" customHeight="1" x14ac:dyDescent="0.25">
      <c r="A161"/>
      <c r="B161"/>
      <c r="C161"/>
      <c r="D161"/>
      <c r="E161"/>
      <c r="F161"/>
      <c r="G161"/>
      <c r="H161"/>
      <c r="I161"/>
      <c r="J161"/>
    </row>
    <row r="162" spans="1:10" ht="11.25" customHeight="1" x14ac:dyDescent="0.25">
      <c r="A162"/>
      <c r="B162"/>
      <c r="C162"/>
      <c r="D162"/>
      <c r="E162"/>
      <c r="F162"/>
      <c r="G162"/>
      <c r="H162"/>
      <c r="I162"/>
      <c r="J162"/>
    </row>
    <row r="163" spans="1:10" ht="11.25" customHeight="1" x14ac:dyDescent="0.25">
      <c r="A163"/>
      <c r="B163"/>
      <c r="C163"/>
      <c r="D163"/>
      <c r="E163"/>
      <c r="F163"/>
      <c r="G163"/>
      <c r="H163"/>
      <c r="I163"/>
      <c r="J163"/>
    </row>
    <row r="164" spans="1:10" ht="11.25" customHeight="1" x14ac:dyDescent="0.25">
      <c r="A164"/>
      <c r="B164"/>
      <c r="C164"/>
      <c r="D164"/>
      <c r="E164"/>
      <c r="F164"/>
      <c r="G164"/>
      <c r="H164"/>
      <c r="I164"/>
      <c r="J164"/>
    </row>
    <row r="165" spans="1:10" ht="11.25" customHeight="1" x14ac:dyDescent="0.25">
      <c r="A165"/>
      <c r="B165"/>
      <c r="C165"/>
      <c r="D165"/>
      <c r="E165"/>
      <c r="F165"/>
      <c r="G165"/>
      <c r="H165"/>
      <c r="I165"/>
      <c r="J165"/>
    </row>
    <row r="166" spans="1:10" ht="11.25" customHeight="1" x14ac:dyDescent="0.25">
      <c r="A166"/>
      <c r="B166"/>
      <c r="C166"/>
      <c r="D166"/>
      <c r="E166"/>
      <c r="F166"/>
      <c r="G166"/>
      <c r="H166"/>
      <c r="I166"/>
      <c r="J166"/>
    </row>
    <row r="167" spans="1:10" ht="11.25" customHeight="1" x14ac:dyDescent="0.25">
      <c r="A167"/>
      <c r="B167"/>
      <c r="C167"/>
      <c r="D167"/>
      <c r="E167"/>
      <c r="F167"/>
      <c r="G167"/>
      <c r="H167"/>
      <c r="I167"/>
      <c r="J167"/>
    </row>
    <row r="168" spans="1:10" ht="11.25" customHeight="1" x14ac:dyDescent="0.25">
      <c r="A168"/>
      <c r="B168"/>
      <c r="C168"/>
      <c r="D168"/>
      <c r="E168"/>
      <c r="F168"/>
      <c r="G168"/>
      <c r="H168"/>
      <c r="I168"/>
      <c r="J168"/>
    </row>
    <row r="169" spans="1:10" ht="11.25" customHeight="1" x14ac:dyDescent="0.25">
      <c r="A169"/>
      <c r="B169"/>
      <c r="C169"/>
      <c r="D169"/>
      <c r="E169"/>
      <c r="F169"/>
      <c r="G169"/>
      <c r="H169"/>
      <c r="I169"/>
      <c r="J169"/>
    </row>
    <row r="170" spans="1:10" ht="11.25" customHeight="1" x14ac:dyDescent="0.25">
      <c r="A170"/>
      <c r="B170"/>
      <c r="C170"/>
      <c r="D170"/>
      <c r="E170"/>
      <c r="F170"/>
      <c r="G170"/>
      <c r="H170"/>
      <c r="I170"/>
      <c r="J170"/>
    </row>
    <row r="171" spans="1:10" ht="11.25" customHeight="1" x14ac:dyDescent="0.25">
      <c r="A171"/>
      <c r="B171"/>
      <c r="C171"/>
      <c r="D171"/>
      <c r="E171"/>
      <c r="F171"/>
      <c r="G171"/>
      <c r="H171"/>
      <c r="I171"/>
      <c r="J171"/>
    </row>
    <row r="172" spans="1:10" ht="11.25" customHeight="1" x14ac:dyDescent="0.25">
      <c r="A172"/>
      <c r="B172"/>
      <c r="C172"/>
      <c r="D172"/>
      <c r="E172"/>
      <c r="F172"/>
      <c r="G172"/>
      <c r="H172"/>
      <c r="I172"/>
      <c r="J172"/>
    </row>
    <row r="173" spans="1:10" ht="11.25" customHeight="1" x14ac:dyDescent="0.25">
      <c r="A173"/>
      <c r="B173"/>
      <c r="C173"/>
      <c r="D173"/>
      <c r="E173"/>
      <c r="F173"/>
      <c r="G173"/>
      <c r="H173"/>
      <c r="I173"/>
      <c r="J173"/>
    </row>
    <row r="174" spans="1:10" ht="11.25" customHeight="1" x14ac:dyDescent="0.25">
      <c r="A174"/>
      <c r="B174"/>
      <c r="C174"/>
      <c r="D174"/>
      <c r="E174"/>
      <c r="F174"/>
      <c r="G174"/>
      <c r="H174"/>
      <c r="I174"/>
      <c r="J174"/>
    </row>
    <row r="175" spans="1:10" ht="11.25" customHeight="1" x14ac:dyDescent="0.25">
      <c r="A175"/>
      <c r="B175"/>
      <c r="C175"/>
      <c r="D175"/>
      <c r="E175"/>
      <c r="F175"/>
      <c r="G175"/>
      <c r="H175"/>
      <c r="I175"/>
      <c r="J175"/>
    </row>
    <row r="176" spans="1:10" ht="11.25" customHeight="1" x14ac:dyDescent="0.25">
      <c r="A176"/>
      <c r="B176"/>
      <c r="C176"/>
      <c r="D176"/>
      <c r="E176"/>
      <c r="F176"/>
      <c r="G176"/>
      <c r="H176"/>
      <c r="I176"/>
      <c r="J176"/>
    </row>
    <row r="177" spans="1:10" ht="11.25" customHeight="1" x14ac:dyDescent="0.25">
      <c r="A177"/>
      <c r="B177"/>
      <c r="C177"/>
      <c r="D177"/>
      <c r="E177"/>
      <c r="F177"/>
      <c r="G177"/>
      <c r="H177"/>
      <c r="I177"/>
      <c r="J177"/>
    </row>
    <row r="178" spans="1:10" ht="11.25" customHeight="1" x14ac:dyDescent="0.25">
      <c r="A178"/>
      <c r="B178"/>
      <c r="C178"/>
      <c r="D178"/>
      <c r="E178"/>
      <c r="F178"/>
      <c r="G178"/>
      <c r="H178"/>
      <c r="I178"/>
      <c r="J178"/>
    </row>
    <row r="179" spans="1:10" ht="11.25" customHeight="1" x14ac:dyDescent="0.25">
      <c r="A179"/>
      <c r="B179"/>
      <c r="C179"/>
      <c r="D179"/>
      <c r="E179"/>
      <c r="F179"/>
      <c r="G179"/>
      <c r="H179"/>
      <c r="I179"/>
      <c r="J179"/>
    </row>
    <row r="180" spans="1:10" ht="11.25" customHeight="1" x14ac:dyDescent="0.25">
      <c r="A180"/>
      <c r="B180"/>
      <c r="C180"/>
      <c r="D180"/>
      <c r="E180"/>
      <c r="F180"/>
      <c r="G180"/>
      <c r="H180"/>
      <c r="I180"/>
      <c r="J180"/>
    </row>
    <row r="181" spans="1:10" ht="11.25" customHeight="1" x14ac:dyDescent="0.25">
      <c r="A181"/>
      <c r="B181"/>
      <c r="C181"/>
      <c r="D181"/>
      <c r="E181"/>
      <c r="F181"/>
      <c r="G181"/>
      <c r="H181"/>
      <c r="I181"/>
      <c r="J181"/>
    </row>
    <row r="182" spans="1:10" ht="11.25" customHeight="1" x14ac:dyDescent="0.25">
      <c r="A182"/>
      <c r="B182"/>
      <c r="C182"/>
      <c r="D182"/>
      <c r="E182"/>
      <c r="F182"/>
      <c r="G182"/>
      <c r="H182"/>
      <c r="I182"/>
      <c r="J182"/>
    </row>
    <row r="183" spans="1:10" ht="11.25" customHeight="1" x14ac:dyDescent="0.25">
      <c r="A183"/>
      <c r="B183"/>
      <c r="C183"/>
      <c r="D183"/>
      <c r="E183"/>
      <c r="F183"/>
      <c r="G183"/>
      <c r="H183"/>
      <c r="I183"/>
      <c r="J183"/>
    </row>
    <row r="184" spans="1:10" ht="11.25" customHeight="1" x14ac:dyDescent="0.25">
      <c r="A184"/>
      <c r="B184"/>
      <c r="C184"/>
      <c r="D184"/>
      <c r="E184"/>
      <c r="F184"/>
      <c r="G184"/>
      <c r="H184"/>
      <c r="I184"/>
      <c r="J184"/>
    </row>
    <row r="185" spans="1:10" ht="11.25" customHeight="1" x14ac:dyDescent="0.25">
      <c r="A185"/>
      <c r="B185"/>
      <c r="C185"/>
      <c r="D185"/>
      <c r="E185"/>
      <c r="F185"/>
      <c r="G185"/>
      <c r="H185"/>
      <c r="I185"/>
      <c r="J185"/>
    </row>
    <row r="186" spans="1:10" ht="11.25" customHeight="1" x14ac:dyDescent="0.25">
      <c r="A186"/>
      <c r="B186"/>
      <c r="C186"/>
      <c r="D186"/>
      <c r="E186"/>
      <c r="F186"/>
      <c r="G186"/>
      <c r="H186"/>
      <c r="I186"/>
      <c r="J186"/>
    </row>
    <row r="187" spans="1:10" ht="11.25" customHeight="1" x14ac:dyDescent="0.25">
      <c r="A187"/>
      <c r="B187"/>
      <c r="C187"/>
      <c r="D187"/>
      <c r="E187"/>
      <c r="F187"/>
      <c r="G187"/>
      <c r="H187"/>
      <c r="I187"/>
      <c r="J187"/>
    </row>
    <row r="188" spans="1:10" ht="11.25" customHeight="1" x14ac:dyDescent="0.25">
      <c r="A188"/>
      <c r="B188"/>
      <c r="C188"/>
      <c r="D188"/>
      <c r="E188"/>
      <c r="F188"/>
      <c r="G188"/>
      <c r="H188"/>
      <c r="I188"/>
      <c r="J188"/>
    </row>
    <row r="189" spans="1:10" ht="11.25" customHeight="1" x14ac:dyDescent="0.25">
      <c r="A189"/>
      <c r="B189"/>
      <c r="C189"/>
      <c r="D189"/>
      <c r="E189"/>
      <c r="F189"/>
      <c r="G189"/>
      <c r="H189"/>
      <c r="I189"/>
      <c r="J189"/>
    </row>
    <row r="190" spans="1:10" ht="11.25" customHeight="1" x14ac:dyDescent="0.25">
      <c r="A190"/>
      <c r="B190"/>
      <c r="C190"/>
      <c r="D190"/>
      <c r="E190"/>
      <c r="F190"/>
      <c r="G190"/>
      <c r="H190"/>
      <c r="I190"/>
      <c r="J190"/>
    </row>
    <row r="191" spans="1:10" ht="11.25" customHeight="1" x14ac:dyDescent="0.25">
      <c r="A191"/>
      <c r="B191"/>
      <c r="C191"/>
      <c r="D191"/>
      <c r="E191"/>
      <c r="F191"/>
      <c r="G191"/>
      <c r="H191"/>
      <c r="I191"/>
      <c r="J191"/>
    </row>
    <row r="192" spans="1:10" ht="11.25" customHeight="1" x14ac:dyDescent="0.25">
      <c r="A192"/>
      <c r="B192"/>
      <c r="C192"/>
      <c r="D192"/>
      <c r="E192"/>
      <c r="F192"/>
      <c r="G192"/>
      <c r="H192"/>
      <c r="I192"/>
      <c r="J192"/>
    </row>
    <row r="193" spans="1:10" ht="11.25" customHeight="1" x14ac:dyDescent="0.25">
      <c r="A193"/>
      <c r="B193"/>
      <c r="C193"/>
      <c r="D193"/>
      <c r="E193"/>
      <c r="F193"/>
      <c r="G193"/>
      <c r="H193"/>
      <c r="I193"/>
      <c r="J193"/>
    </row>
    <row r="194" spans="1:10" ht="11.25" customHeight="1" x14ac:dyDescent="0.25">
      <c r="A194"/>
      <c r="B194"/>
      <c r="C194"/>
      <c r="D194"/>
      <c r="E194"/>
      <c r="F194"/>
      <c r="G194"/>
      <c r="H194"/>
      <c r="I194"/>
      <c r="J194"/>
    </row>
    <row r="195" spans="1:10" ht="11.25" customHeight="1" x14ac:dyDescent="0.25">
      <c r="A195"/>
      <c r="B195"/>
      <c r="C195"/>
      <c r="D195"/>
      <c r="E195"/>
      <c r="F195"/>
      <c r="G195"/>
      <c r="H195"/>
      <c r="I195"/>
      <c r="J195"/>
    </row>
    <row r="196" spans="1:10" ht="11.25" customHeight="1" x14ac:dyDescent="0.25">
      <c r="A196"/>
      <c r="B196"/>
      <c r="C196"/>
      <c r="D196"/>
      <c r="E196"/>
      <c r="F196"/>
      <c r="G196"/>
      <c r="H196"/>
      <c r="I196"/>
      <c r="J196"/>
    </row>
    <row r="197" spans="1:10" ht="11.25" customHeight="1" x14ac:dyDescent="0.25">
      <c r="A197"/>
      <c r="B197"/>
      <c r="C197"/>
      <c r="D197"/>
      <c r="E197"/>
      <c r="F197"/>
      <c r="G197"/>
      <c r="H197"/>
      <c r="I197"/>
      <c r="J197"/>
    </row>
    <row r="198" spans="1:10" ht="11.25" customHeight="1" x14ac:dyDescent="0.25">
      <c r="A198"/>
      <c r="B198"/>
      <c r="C198"/>
      <c r="D198"/>
      <c r="E198"/>
      <c r="F198"/>
      <c r="G198"/>
      <c r="H198"/>
      <c r="I198"/>
      <c r="J198"/>
    </row>
    <row r="199" spans="1:10" ht="11.25" customHeight="1" x14ac:dyDescent="0.25">
      <c r="A199"/>
      <c r="B199"/>
      <c r="C199"/>
      <c r="D199"/>
      <c r="E199"/>
      <c r="F199"/>
      <c r="G199"/>
      <c r="H199"/>
      <c r="I199"/>
      <c r="J199"/>
    </row>
    <row r="200" spans="1:10" ht="11.25" customHeight="1" x14ac:dyDescent="0.25">
      <c r="A200"/>
      <c r="B200"/>
      <c r="C200"/>
      <c r="D200"/>
      <c r="E200"/>
      <c r="F200"/>
      <c r="G200"/>
      <c r="H200"/>
      <c r="I200"/>
      <c r="J200"/>
    </row>
    <row r="201" spans="1:10" ht="11.25" customHeight="1" x14ac:dyDescent="0.25">
      <c r="A201"/>
      <c r="B201"/>
      <c r="C201"/>
      <c r="D201"/>
      <c r="E201"/>
      <c r="F201"/>
      <c r="G201"/>
      <c r="H201"/>
      <c r="I201"/>
      <c r="J201"/>
    </row>
    <row r="202" spans="1:10" ht="11.25" customHeight="1" x14ac:dyDescent="0.25">
      <c r="A202"/>
      <c r="B202"/>
      <c r="C202"/>
      <c r="D202"/>
      <c r="E202"/>
      <c r="F202"/>
      <c r="G202"/>
      <c r="H202"/>
      <c r="I202"/>
      <c r="J202"/>
    </row>
    <row r="203" spans="1:10" ht="11.25" customHeight="1" x14ac:dyDescent="0.25">
      <c r="A203"/>
      <c r="B203"/>
      <c r="C203"/>
      <c r="D203"/>
      <c r="E203"/>
      <c r="F203"/>
      <c r="G203"/>
      <c r="H203"/>
      <c r="I203"/>
      <c r="J203"/>
    </row>
    <row r="204" spans="1:10" ht="11.25" customHeight="1" x14ac:dyDescent="0.25">
      <c r="A204"/>
      <c r="B204"/>
      <c r="C204"/>
      <c r="D204"/>
      <c r="E204"/>
      <c r="F204"/>
      <c r="G204"/>
      <c r="H204"/>
      <c r="I204"/>
      <c r="J204"/>
    </row>
    <row r="205" spans="1:10" ht="11.25" customHeight="1" x14ac:dyDescent="0.25">
      <c r="A205"/>
      <c r="B205"/>
      <c r="C205"/>
      <c r="D205"/>
      <c r="E205"/>
      <c r="F205"/>
      <c r="G205"/>
      <c r="H205"/>
      <c r="I205"/>
      <c r="J205"/>
    </row>
    <row r="206" spans="1:10" ht="11.25" customHeight="1" x14ac:dyDescent="0.25">
      <c r="A206"/>
      <c r="B206"/>
      <c r="C206"/>
      <c r="D206"/>
      <c r="E206"/>
      <c r="F206"/>
      <c r="G206"/>
      <c r="H206"/>
      <c r="I206"/>
      <c r="J206"/>
    </row>
    <row r="207" spans="1:10" ht="11.25" customHeight="1" x14ac:dyDescent="0.25">
      <c r="A207"/>
      <c r="B207"/>
      <c r="C207"/>
      <c r="D207"/>
      <c r="E207"/>
      <c r="F207"/>
      <c r="G207"/>
      <c r="H207"/>
      <c r="I207"/>
      <c r="J207"/>
    </row>
    <row r="208" spans="1:10" ht="11.25" customHeight="1" x14ac:dyDescent="0.25">
      <c r="A208"/>
      <c r="B208"/>
      <c r="C208"/>
      <c r="D208"/>
      <c r="E208"/>
      <c r="F208"/>
      <c r="G208"/>
      <c r="H208"/>
      <c r="I208"/>
      <c r="J208"/>
    </row>
    <row r="209" spans="1:10" ht="11.25" customHeight="1" x14ac:dyDescent="0.25">
      <c r="A209"/>
      <c r="B209"/>
      <c r="C209"/>
      <c r="D209"/>
      <c r="E209"/>
      <c r="F209"/>
      <c r="G209"/>
      <c r="H209"/>
      <c r="I209"/>
      <c r="J209"/>
    </row>
    <row r="210" spans="1:10" ht="11.25" customHeight="1" x14ac:dyDescent="0.25">
      <c r="A210"/>
      <c r="B210"/>
      <c r="C210"/>
      <c r="D210"/>
      <c r="E210"/>
      <c r="F210"/>
      <c r="G210"/>
      <c r="H210"/>
      <c r="I210"/>
      <c r="J210"/>
    </row>
    <row r="211" spans="1:10" ht="11.25" customHeight="1" x14ac:dyDescent="0.25">
      <c r="A211"/>
      <c r="B211"/>
      <c r="C211"/>
      <c r="D211"/>
      <c r="E211"/>
      <c r="F211"/>
      <c r="G211"/>
      <c r="H211"/>
      <c r="I211"/>
      <c r="J211"/>
    </row>
    <row r="212" spans="1:10" ht="11.25" customHeight="1" x14ac:dyDescent="0.25">
      <c r="A212"/>
      <c r="B212"/>
      <c r="C212"/>
      <c r="D212"/>
      <c r="E212"/>
      <c r="F212"/>
      <c r="G212"/>
      <c r="H212"/>
      <c r="I212"/>
      <c r="J212"/>
    </row>
    <row r="213" spans="1:10" ht="11.25" customHeight="1" x14ac:dyDescent="0.25">
      <c r="A213"/>
      <c r="B213"/>
      <c r="C213"/>
      <c r="D213"/>
      <c r="E213"/>
      <c r="F213"/>
      <c r="G213"/>
      <c r="H213"/>
      <c r="I213"/>
      <c r="J213"/>
    </row>
    <row r="214" spans="1:10" ht="11.25" customHeight="1" x14ac:dyDescent="0.25">
      <c r="A214"/>
      <c r="B214"/>
      <c r="C214"/>
      <c r="D214"/>
      <c r="E214"/>
      <c r="F214"/>
      <c r="G214"/>
      <c r="H214"/>
      <c r="I214"/>
      <c r="J214"/>
    </row>
    <row r="215" spans="1:10" ht="11.25" customHeight="1" x14ac:dyDescent="0.25">
      <c r="A215"/>
      <c r="B215"/>
      <c r="C215"/>
      <c r="D215"/>
      <c r="E215"/>
      <c r="F215"/>
      <c r="G215"/>
      <c r="H215"/>
      <c r="I215"/>
      <c r="J215"/>
    </row>
    <row r="216" spans="1:10" ht="11.25" customHeight="1" x14ac:dyDescent="0.25">
      <c r="A216"/>
      <c r="B216"/>
      <c r="C216"/>
      <c r="D216"/>
      <c r="E216"/>
      <c r="F216"/>
      <c r="G216"/>
      <c r="H216"/>
      <c r="I216"/>
      <c r="J216"/>
    </row>
    <row r="217" spans="1:10" ht="11.25" customHeight="1" x14ac:dyDescent="0.25">
      <c r="A217"/>
      <c r="B217"/>
      <c r="C217"/>
      <c r="D217"/>
      <c r="E217"/>
      <c r="F217"/>
      <c r="G217"/>
      <c r="H217"/>
      <c r="I217"/>
      <c r="J217"/>
    </row>
    <row r="218" spans="1:10" ht="11.25" customHeight="1" x14ac:dyDescent="0.25">
      <c r="A218"/>
      <c r="B218"/>
      <c r="C218"/>
      <c r="D218"/>
      <c r="E218"/>
      <c r="F218"/>
      <c r="G218"/>
      <c r="H218"/>
      <c r="I218"/>
      <c r="J218"/>
    </row>
    <row r="219" spans="1:10" ht="11.25" customHeight="1" x14ac:dyDescent="0.25">
      <c r="A219"/>
      <c r="B219"/>
      <c r="C219"/>
      <c r="D219"/>
      <c r="E219"/>
      <c r="F219"/>
      <c r="G219"/>
      <c r="H219"/>
      <c r="I219"/>
      <c r="J219"/>
    </row>
    <row r="220" spans="1:10" ht="11.25" customHeight="1" x14ac:dyDescent="0.25">
      <c r="A220"/>
      <c r="B220"/>
      <c r="C220"/>
      <c r="D220"/>
      <c r="E220"/>
      <c r="F220"/>
      <c r="G220"/>
      <c r="H220"/>
      <c r="I220"/>
      <c r="J220"/>
    </row>
    <row r="221" spans="1:10" ht="11.25" customHeight="1" x14ac:dyDescent="0.25">
      <c r="A221"/>
      <c r="B221"/>
      <c r="C221"/>
      <c r="D221"/>
      <c r="E221"/>
      <c r="F221"/>
      <c r="G221"/>
      <c r="H221"/>
      <c r="I221"/>
      <c r="J221"/>
    </row>
    <row r="222" spans="1:10" ht="11.25" customHeight="1" x14ac:dyDescent="0.25">
      <c r="A222"/>
      <c r="B222"/>
      <c r="C222"/>
      <c r="D222"/>
      <c r="E222"/>
      <c r="F222"/>
      <c r="G222"/>
      <c r="H222"/>
      <c r="I222"/>
      <c r="J222"/>
    </row>
    <row r="223" spans="1:10" ht="11.25" customHeight="1" x14ac:dyDescent="0.25">
      <c r="A223"/>
      <c r="B223"/>
      <c r="C223"/>
      <c r="D223"/>
      <c r="E223"/>
      <c r="F223"/>
      <c r="G223"/>
      <c r="H223"/>
      <c r="I223"/>
      <c r="J223"/>
    </row>
    <row r="224" spans="1:10" ht="11.25" customHeight="1" x14ac:dyDescent="0.25">
      <c r="A224"/>
      <c r="B224"/>
      <c r="C224"/>
      <c r="D224"/>
      <c r="E224"/>
      <c r="F224"/>
      <c r="G224"/>
      <c r="H224"/>
      <c r="I224"/>
      <c r="J224"/>
    </row>
    <row r="225" spans="1:10" ht="11.25" customHeight="1" x14ac:dyDescent="0.25">
      <c r="A225"/>
      <c r="B225"/>
      <c r="C225"/>
      <c r="D225"/>
      <c r="E225"/>
      <c r="F225"/>
      <c r="G225"/>
      <c r="H225"/>
      <c r="I225"/>
      <c r="J225"/>
    </row>
    <row r="226" spans="1:10" ht="11.25" customHeight="1" x14ac:dyDescent="0.25">
      <c r="A226"/>
      <c r="B226"/>
      <c r="C226"/>
      <c r="D226"/>
      <c r="E226"/>
      <c r="F226"/>
      <c r="G226"/>
      <c r="H226"/>
      <c r="I226"/>
      <c r="J226"/>
    </row>
    <row r="227" spans="1:10" ht="11.25" customHeight="1" x14ac:dyDescent="0.25">
      <c r="A227"/>
      <c r="B227"/>
      <c r="C227"/>
      <c r="D227"/>
      <c r="E227"/>
      <c r="F227"/>
      <c r="G227"/>
      <c r="H227"/>
      <c r="I227"/>
      <c r="J227"/>
    </row>
    <row r="228" spans="1:10" ht="11.25" customHeight="1" x14ac:dyDescent="0.25">
      <c r="A228"/>
      <c r="B228"/>
      <c r="C228"/>
      <c r="D228"/>
      <c r="E228"/>
      <c r="F228"/>
      <c r="G228"/>
      <c r="H228"/>
      <c r="I228"/>
      <c r="J228"/>
    </row>
    <row r="229" spans="1:10" ht="11.25" customHeight="1" x14ac:dyDescent="0.25">
      <c r="A229"/>
      <c r="B229"/>
      <c r="C229"/>
      <c r="D229"/>
      <c r="E229"/>
      <c r="F229"/>
      <c r="G229"/>
      <c r="H229"/>
      <c r="I229"/>
      <c r="J229"/>
    </row>
    <row r="230" spans="1:10" ht="11.25" customHeight="1" x14ac:dyDescent="0.25">
      <c r="A230"/>
      <c r="B230"/>
      <c r="C230"/>
      <c r="D230"/>
      <c r="E230"/>
      <c r="F230"/>
      <c r="G230"/>
      <c r="H230"/>
      <c r="I230"/>
      <c r="J230"/>
    </row>
    <row r="231" spans="1:10" ht="11.25" customHeight="1" x14ac:dyDescent="0.25">
      <c r="A231"/>
      <c r="B231"/>
      <c r="C231"/>
      <c r="D231"/>
      <c r="E231"/>
      <c r="F231"/>
      <c r="G231"/>
      <c r="H231"/>
      <c r="I231"/>
      <c r="J231"/>
    </row>
    <row r="232" spans="1:10" ht="11.25" customHeight="1" x14ac:dyDescent="0.25">
      <c r="A232"/>
      <c r="B232"/>
      <c r="C232"/>
      <c r="D232"/>
      <c r="E232"/>
      <c r="F232"/>
      <c r="G232"/>
      <c r="H232"/>
      <c r="I232"/>
      <c r="J232"/>
    </row>
    <row r="233" spans="1:10" ht="11.25" customHeight="1" x14ac:dyDescent="0.25">
      <c r="A233"/>
      <c r="B233"/>
      <c r="C233"/>
      <c r="D233"/>
      <c r="E233"/>
      <c r="F233"/>
      <c r="G233"/>
      <c r="H233"/>
      <c r="I233"/>
      <c r="J233"/>
    </row>
    <row r="234" spans="1:10" ht="11.25" customHeight="1" x14ac:dyDescent="0.25">
      <c r="A234"/>
      <c r="B234"/>
      <c r="C234"/>
      <c r="D234"/>
      <c r="E234"/>
      <c r="F234"/>
      <c r="G234"/>
      <c r="H234"/>
      <c r="I234"/>
      <c r="J234"/>
    </row>
    <row r="235" spans="1:10" ht="11.25" customHeight="1" x14ac:dyDescent="0.25">
      <c r="A235"/>
      <c r="B235"/>
      <c r="C235"/>
      <c r="D235"/>
      <c r="E235"/>
      <c r="F235"/>
      <c r="G235"/>
      <c r="H235"/>
      <c r="I235"/>
      <c r="J235"/>
    </row>
    <row r="236" spans="1:10" ht="11.25" customHeight="1" x14ac:dyDescent="0.25">
      <c r="A236"/>
      <c r="B236"/>
      <c r="C236"/>
      <c r="D236"/>
      <c r="E236"/>
      <c r="F236"/>
      <c r="G236"/>
      <c r="H236"/>
      <c r="I236"/>
      <c r="J236"/>
    </row>
    <row r="237" spans="1:10" ht="11.25" customHeight="1" x14ac:dyDescent="0.25">
      <c r="A237"/>
      <c r="B237"/>
      <c r="C237"/>
      <c r="D237"/>
      <c r="E237"/>
      <c r="F237"/>
      <c r="G237"/>
      <c r="H237"/>
      <c r="I237"/>
      <c r="J237"/>
    </row>
    <row r="238" spans="1:10" ht="11.25" customHeight="1" x14ac:dyDescent="0.25">
      <c r="A238"/>
      <c r="B238"/>
      <c r="C238"/>
      <c r="D238"/>
      <c r="E238"/>
      <c r="F238"/>
      <c r="G238"/>
      <c r="H238"/>
      <c r="I238"/>
      <c r="J238"/>
    </row>
    <row r="239" spans="1:10" ht="11.25" customHeight="1" x14ac:dyDescent="0.25">
      <c r="A239"/>
      <c r="B239"/>
      <c r="C239"/>
      <c r="D239"/>
      <c r="E239"/>
      <c r="F239"/>
      <c r="G239"/>
      <c r="H239"/>
      <c r="I239"/>
      <c r="J239"/>
    </row>
    <row r="240" spans="1:10" ht="11.25" customHeight="1" x14ac:dyDescent="0.25">
      <c r="A240"/>
      <c r="B240"/>
      <c r="C240"/>
      <c r="D240"/>
      <c r="E240"/>
      <c r="F240"/>
      <c r="G240"/>
      <c r="H240"/>
      <c r="I240"/>
      <c r="J240"/>
    </row>
    <row r="241" spans="1:10" ht="11.25" customHeight="1" x14ac:dyDescent="0.25">
      <c r="A241"/>
      <c r="B241"/>
      <c r="C241"/>
      <c r="D241"/>
      <c r="E241"/>
      <c r="F241"/>
      <c r="G241"/>
      <c r="H241"/>
      <c r="I241"/>
      <c r="J241"/>
    </row>
    <row r="242" spans="1:10" ht="11.25" customHeight="1" x14ac:dyDescent="0.25">
      <c r="A242"/>
      <c r="B242"/>
      <c r="C242"/>
      <c r="D242"/>
      <c r="E242"/>
      <c r="F242"/>
      <c r="G242"/>
      <c r="H242"/>
      <c r="I242"/>
      <c r="J242"/>
    </row>
    <row r="243" spans="1:10" ht="11.25" customHeight="1" x14ac:dyDescent="0.25">
      <c r="A243"/>
      <c r="B243"/>
      <c r="C243"/>
      <c r="D243"/>
      <c r="E243"/>
      <c r="F243"/>
      <c r="G243"/>
      <c r="H243"/>
      <c r="I243"/>
      <c r="J243"/>
    </row>
    <row r="244" spans="1:10" ht="11.25" customHeight="1" x14ac:dyDescent="0.25">
      <c r="A244"/>
      <c r="B244"/>
      <c r="C244"/>
      <c r="D244"/>
      <c r="E244"/>
      <c r="F244"/>
      <c r="G244"/>
      <c r="H244"/>
      <c r="I244"/>
      <c r="J244"/>
    </row>
    <row r="245" spans="1:10" ht="11.25" customHeight="1" x14ac:dyDescent="0.25">
      <c r="A245"/>
      <c r="B245"/>
      <c r="C245"/>
      <c r="D245"/>
      <c r="E245"/>
      <c r="F245"/>
      <c r="G245"/>
      <c r="H245"/>
      <c r="I245"/>
      <c r="J245"/>
    </row>
    <row r="246" spans="1:10" ht="11.25" customHeight="1" x14ac:dyDescent="0.25">
      <c r="A246"/>
      <c r="B246"/>
      <c r="C246"/>
      <c r="D246"/>
      <c r="E246"/>
      <c r="F246"/>
      <c r="G246"/>
      <c r="H246"/>
      <c r="I246"/>
      <c r="J246"/>
    </row>
    <row r="247" spans="1:10" ht="11.25" customHeight="1" x14ac:dyDescent="0.25">
      <c r="A247"/>
      <c r="B247"/>
      <c r="C247"/>
      <c r="D247"/>
      <c r="E247"/>
      <c r="F247"/>
      <c r="G247"/>
      <c r="H247"/>
      <c r="I247"/>
      <c r="J247"/>
    </row>
    <row r="248" spans="1:10" ht="11.25" customHeight="1" x14ac:dyDescent="0.25">
      <c r="A248"/>
      <c r="B248"/>
      <c r="C248"/>
      <c r="D248"/>
      <c r="E248"/>
      <c r="F248"/>
      <c r="G248"/>
      <c r="H248"/>
      <c r="I248"/>
      <c r="J248"/>
    </row>
    <row r="249" spans="1:10" ht="11.25" customHeight="1" x14ac:dyDescent="0.25">
      <c r="A249"/>
      <c r="B249"/>
      <c r="C249"/>
      <c r="D249"/>
      <c r="E249"/>
      <c r="F249"/>
      <c r="G249"/>
      <c r="H249"/>
      <c r="I249"/>
      <c r="J249"/>
    </row>
    <row r="250" spans="1:10" ht="11.25" customHeight="1" x14ac:dyDescent="0.25">
      <c r="A250"/>
      <c r="B250"/>
      <c r="C250"/>
      <c r="D250"/>
      <c r="E250"/>
      <c r="F250"/>
      <c r="G250"/>
      <c r="H250"/>
      <c r="I250"/>
      <c r="J250"/>
    </row>
    <row r="251" spans="1:10" ht="11.25" customHeight="1" x14ac:dyDescent="0.25">
      <c r="A251"/>
      <c r="B251"/>
      <c r="C251"/>
      <c r="D251"/>
      <c r="E251"/>
      <c r="F251"/>
      <c r="G251"/>
      <c r="H251"/>
      <c r="I251"/>
      <c r="J251"/>
    </row>
    <row r="252" spans="1:10" ht="11.25" customHeight="1" x14ac:dyDescent="0.25">
      <c r="A252"/>
      <c r="B252"/>
      <c r="C252"/>
      <c r="D252"/>
      <c r="E252"/>
      <c r="F252"/>
      <c r="G252"/>
      <c r="H252"/>
      <c r="I252"/>
      <c r="J252"/>
    </row>
    <row r="253" spans="1:10" ht="11.25" customHeight="1" x14ac:dyDescent="0.25">
      <c r="A253"/>
      <c r="B253"/>
      <c r="C253"/>
      <c r="D253"/>
      <c r="E253"/>
      <c r="F253"/>
      <c r="G253"/>
      <c r="H253"/>
      <c r="I253"/>
      <c r="J253"/>
    </row>
    <row r="254" spans="1:10" ht="11.25" customHeight="1" x14ac:dyDescent="0.25">
      <c r="A254"/>
      <c r="B254"/>
      <c r="C254"/>
      <c r="D254"/>
      <c r="E254"/>
      <c r="F254"/>
      <c r="G254"/>
      <c r="H254"/>
      <c r="I254"/>
      <c r="J254"/>
    </row>
    <row r="255" spans="1:10" ht="11.25" customHeight="1" x14ac:dyDescent="0.25">
      <c r="A255"/>
      <c r="B255"/>
      <c r="C255"/>
      <c r="D255"/>
      <c r="E255"/>
      <c r="F255"/>
      <c r="G255"/>
      <c r="H255"/>
      <c r="I255"/>
      <c r="J255"/>
    </row>
    <row r="256" spans="1:10" ht="11.25" customHeight="1" x14ac:dyDescent="0.25">
      <c r="A256"/>
      <c r="B256"/>
      <c r="C256"/>
      <c r="D256"/>
      <c r="E256"/>
      <c r="F256"/>
      <c r="G256"/>
      <c r="H256"/>
      <c r="I256"/>
      <c r="J256"/>
    </row>
    <row r="257" spans="1:10" ht="11.25" customHeight="1" x14ac:dyDescent="0.25">
      <c r="A257"/>
      <c r="B257"/>
      <c r="C257"/>
      <c r="D257"/>
      <c r="E257"/>
      <c r="F257"/>
      <c r="G257"/>
      <c r="H257"/>
      <c r="I257"/>
      <c r="J257"/>
    </row>
    <row r="258" spans="1:10" ht="11.25" customHeight="1" x14ac:dyDescent="0.25">
      <c r="A258"/>
      <c r="B258"/>
      <c r="C258"/>
      <c r="D258"/>
      <c r="E258"/>
      <c r="F258"/>
      <c r="G258"/>
      <c r="H258"/>
      <c r="I258"/>
      <c r="J258"/>
    </row>
    <row r="259" spans="1:10" ht="11.25" customHeight="1" x14ac:dyDescent="0.25">
      <c r="A259"/>
      <c r="B259"/>
      <c r="C259"/>
      <c r="D259"/>
      <c r="E259"/>
      <c r="F259"/>
      <c r="G259"/>
      <c r="H259"/>
      <c r="I259"/>
      <c r="J259"/>
    </row>
    <row r="260" spans="1:10" ht="11.25" customHeight="1" x14ac:dyDescent="0.25">
      <c r="A260"/>
      <c r="B260"/>
      <c r="C260"/>
      <c r="D260"/>
      <c r="E260"/>
      <c r="F260"/>
      <c r="G260"/>
      <c r="H260"/>
      <c r="I260"/>
      <c r="J260"/>
    </row>
    <row r="261" spans="1:10" ht="11.25" customHeight="1" x14ac:dyDescent="0.25">
      <c r="A261"/>
      <c r="B261"/>
      <c r="C261"/>
      <c r="D261"/>
      <c r="E261"/>
      <c r="F261"/>
      <c r="G261"/>
      <c r="H261"/>
      <c r="I261"/>
      <c r="J261"/>
    </row>
    <row r="262" spans="1:10" ht="11.25" customHeight="1" x14ac:dyDescent="0.25">
      <c r="A262"/>
      <c r="B262"/>
      <c r="C262"/>
      <c r="D262"/>
      <c r="E262"/>
      <c r="F262"/>
      <c r="G262"/>
      <c r="H262"/>
      <c r="I262"/>
      <c r="J262"/>
    </row>
    <row r="263" spans="1:10" ht="11.25" customHeight="1" x14ac:dyDescent="0.25">
      <c r="A263"/>
      <c r="B263"/>
      <c r="C263"/>
      <c r="D263"/>
      <c r="E263"/>
      <c r="F263"/>
      <c r="G263"/>
      <c r="H263"/>
      <c r="I263"/>
      <c r="J263"/>
    </row>
    <row r="264" spans="1:10" ht="11.25" customHeight="1" x14ac:dyDescent="0.25">
      <c r="A264"/>
      <c r="B264"/>
      <c r="C264"/>
      <c r="D264"/>
      <c r="E264"/>
      <c r="F264"/>
      <c r="G264"/>
      <c r="H264"/>
      <c r="I264"/>
      <c r="J264"/>
    </row>
    <row r="265" spans="1:10" ht="11.25" customHeight="1" x14ac:dyDescent="0.25">
      <c r="A265"/>
      <c r="B265"/>
      <c r="C265"/>
      <c r="D265"/>
      <c r="E265"/>
      <c r="F265"/>
      <c r="G265"/>
      <c r="H265"/>
      <c r="I265"/>
      <c r="J265"/>
    </row>
    <row r="266" spans="1:10" ht="11.25" customHeight="1" x14ac:dyDescent="0.25">
      <c r="A266"/>
      <c r="B266"/>
      <c r="C266"/>
      <c r="D266"/>
      <c r="E266"/>
      <c r="F266"/>
      <c r="G266"/>
      <c r="H266"/>
      <c r="I266"/>
      <c r="J266"/>
    </row>
    <row r="267" spans="1:10" ht="11.25" customHeight="1" x14ac:dyDescent="0.25">
      <c r="A267"/>
      <c r="B267"/>
      <c r="C267"/>
      <c r="D267"/>
      <c r="E267"/>
      <c r="F267"/>
      <c r="G267"/>
      <c r="H267"/>
      <c r="I267"/>
      <c r="J267"/>
    </row>
    <row r="268" spans="1:10" ht="11.25" customHeight="1" x14ac:dyDescent="0.25">
      <c r="A268"/>
      <c r="B268"/>
      <c r="C268"/>
      <c r="D268"/>
      <c r="E268"/>
      <c r="F268"/>
      <c r="G268"/>
      <c r="H268"/>
      <c r="I268"/>
      <c r="J268"/>
    </row>
    <row r="269" spans="1:10" ht="11.25" customHeight="1" x14ac:dyDescent="0.25">
      <c r="A269"/>
      <c r="B269"/>
      <c r="C269"/>
      <c r="D269"/>
      <c r="E269"/>
      <c r="F269"/>
      <c r="G269"/>
      <c r="H269"/>
      <c r="I269"/>
      <c r="J269"/>
    </row>
    <row r="270" spans="1:10" ht="11.25" customHeight="1" x14ac:dyDescent="0.25">
      <c r="A270"/>
      <c r="B270"/>
      <c r="C270"/>
      <c r="D270"/>
      <c r="E270"/>
      <c r="F270"/>
      <c r="G270"/>
      <c r="H270"/>
      <c r="I270"/>
      <c r="J270"/>
    </row>
    <row r="271" spans="1:10" ht="11.25" customHeight="1" x14ac:dyDescent="0.25">
      <c r="A271"/>
      <c r="B271"/>
      <c r="C271"/>
      <c r="D271"/>
      <c r="E271"/>
      <c r="F271"/>
      <c r="G271"/>
      <c r="H271"/>
      <c r="I271"/>
      <c r="J271"/>
    </row>
    <row r="272" spans="1:10" ht="11.25" customHeight="1" x14ac:dyDescent="0.25">
      <c r="A272"/>
      <c r="B272"/>
      <c r="C272"/>
      <c r="D272"/>
      <c r="E272"/>
      <c r="F272"/>
      <c r="G272"/>
      <c r="H272"/>
      <c r="I272"/>
      <c r="J272"/>
    </row>
    <row r="273" spans="1:10" ht="11.25" customHeight="1" x14ac:dyDescent="0.25">
      <c r="A273"/>
      <c r="B273"/>
      <c r="C273"/>
      <c r="D273"/>
      <c r="E273"/>
      <c r="F273"/>
      <c r="G273"/>
      <c r="H273"/>
      <c r="I273"/>
      <c r="J273"/>
    </row>
    <row r="274" spans="1:10" ht="11.25" customHeight="1" x14ac:dyDescent="0.25">
      <c r="A274"/>
      <c r="B274"/>
      <c r="C274"/>
      <c r="D274"/>
      <c r="E274"/>
      <c r="F274"/>
      <c r="G274"/>
      <c r="H274"/>
      <c r="I274"/>
      <c r="J274"/>
    </row>
    <row r="275" spans="1:10" ht="11.25" customHeight="1" x14ac:dyDescent="0.25">
      <c r="A275"/>
      <c r="B275"/>
      <c r="C275"/>
      <c r="D275"/>
      <c r="E275"/>
      <c r="F275"/>
      <c r="G275"/>
      <c r="H275"/>
      <c r="I275"/>
      <c r="J275"/>
    </row>
    <row r="276" spans="1:10" ht="11.25" customHeight="1" x14ac:dyDescent="0.25">
      <c r="A276"/>
      <c r="B276"/>
      <c r="C276"/>
      <c r="D276"/>
      <c r="E276"/>
      <c r="F276"/>
      <c r="G276"/>
      <c r="H276"/>
      <c r="I276"/>
      <c r="J276"/>
    </row>
    <row r="277" spans="1:10" ht="11.25" customHeight="1" x14ac:dyDescent="0.25">
      <c r="A277"/>
      <c r="B277"/>
      <c r="C277"/>
      <c r="D277"/>
      <c r="E277"/>
      <c r="F277"/>
      <c r="G277"/>
      <c r="H277"/>
      <c r="I277"/>
      <c r="J277"/>
    </row>
    <row r="278" spans="1:10" ht="11.25" customHeight="1" x14ac:dyDescent="0.25">
      <c r="A278"/>
      <c r="B278"/>
      <c r="C278"/>
      <c r="D278"/>
      <c r="E278"/>
      <c r="F278"/>
      <c r="G278"/>
      <c r="H278"/>
      <c r="I278"/>
      <c r="J278"/>
    </row>
    <row r="279" spans="1:10" ht="11.25" customHeight="1" x14ac:dyDescent="0.25">
      <c r="A279"/>
      <c r="B279"/>
      <c r="C279"/>
      <c r="D279"/>
      <c r="E279"/>
      <c r="F279"/>
      <c r="G279"/>
      <c r="H279"/>
      <c r="I279"/>
      <c r="J279"/>
    </row>
    <row r="280" spans="1:10" ht="11.25" customHeight="1" x14ac:dyDescent="0.25">
      <c r="A280"/>
      <c r="B280"/>
      <c r="C280"/>
      <c r="D280"/>
      <c r="E280"/>
      <c r="F280"/>
      <c r="G280"/>
      <c r="H280"/>
      <c r="I280"/>
      <c r="J280"/>
    </row>
    <row r="281" spans="1:10" ht="11.25" customHeight="1" x14ac:dyDescent="0.25">
      <c r="A281"/>
      <c r="B281"/>
      <c r="C281"/>
      <c r="D281"/>
      <c r="E281"/>
      <c r="F281"/>
      <c r="G281"/>
      <c r="H281"/>
      <c r="I281"/>
      <c r="J281"/>
    </row>
    <row r="282" spans="1:10" ht="11.25" customHeight="1" x14ac:dyDescent="0.25">
      <c r="A282"/>
      <c r="B282"/>
      <c r="C282"/>
      <c r="D282"/>
      <c r="E282"/>
      <c r="F282"/>
      <c r="G282"/>
      <c r="H282"/>
      <c r="I282"/>
      <c r="J282"/>
    </row>
    <row r="283" spans="1:10" ht="11.25" customHeight="1" x14ac:dyDescent="0.25">
      <c r="A283"/>
      <c r="B283"/>
      <c r="C283"/>
      <c r="D283"/>
      <c r="E283"/>
      <c r="F283"/>
      <c r="G283"/>
      <c r="H283"/>
      <c r="I283"/>
      <c r="J283"/>
    </row>
    <row r="284" spans="1:10" ht="11.25" customHeight="1" x14ac:dyDescent="0.25">
      <c r="A284"/>
      <c r="B284"/>
      <c r="C284"/>
      <c r="D284"/>
      <c r="E284"/>
      <c r="F284"/>
      <c r="G284"/>
      <c r="H284"/>
      <c r="I284"/>
      <c r="J284"/>
    </row>
    <row r="285" spans="1:10" ht="11.25" customHeight="1" x14ac:dyDescent="0.25">
      <c r="A285"/>
      <c r="B285"/>
      <c r="C285"/>
      <c r="D285"/>
      <c r="E285"/>
      <c r="F285"/>
      <c r="G285"/>
      <c r="H285"/>
      <c r="I285"/>
      <c r="J285"/>
    </row>
    <row r="286" spans="1:10" ht="11.25" customHeight="1" x14ac:dyDescent="0.25">
      <c r="A286"/>
      <c r="B286"/>
      <c r="C286"/>
      <c r="D286"/>
      <c r="E286"/>
      <c r="F286"/>
      <c r="G286"/>
      <c r="H286"/>
      <c r="I286"/>
      <c r="J286"/>
    </row>
    <row r="287" spans="1:10" ht="11.25" customHeight="1" x14ac:dyDescent="0.25">
      <c r="A287"/>
      <c r="B287"/>
      <c r="C287"/>
      <c r="D287"/>
      <c r="E287"/>
      <c r="F287"/>
      <c r="G287"/>
      <c r="H287"/>
      <c r="I287"/>
      <c r="J287"/>
    </row>
    <row r="288" spans="1:10" ht="11.25" customHeight="1" x14ac:dyDescent="0.25">
      <c r="A288"/>
      <c r="B288"/>
      <c r="C288"/>
      <c r="D288"/>
      <c r="E288"/>
      <c r="F288"/>
      <c r="G288"/>
      <c r="H288"/>
      <c r="I288"/>
      <c r="J288"/>
    </row>
    <row r="289" spans="1:10" ht="11.25" customHeight="1" x14ac:dyDescent="0.25">
      <c r="A289"/>
      <c r="B289"/>
      <c r="C289"/>
      <c r="D289"/>
      <c r="E289"/>
      <c r="F289"/>
      <c r="G289"/>
      <c r="H289"/>
      <c r="I289"/>
      <c r="J289"/>
    </row>
    <row r="290" spans="1:10" ht="11.25" customHeight="1" x14ac:dyDescent="0.25">
      <c r="A290"/>
      <c r="B290"/>
      <c r="C290"/>
      <c r="D290"/>
      <c r="E290"/>
      <c r="F290"/>
      <c r="G290"/>
      <c r="H290"/>
      <c r="I290"/>
      <c r="J290"/>
    </row>
    <row r="291" spans="1:10" ht="11.25" customHeight="1" x14ac:dyDescent="0.25">
      <c r="A291"/>
      <c r="B291"/>
      <c r="C291"/>
      <c r="D291"/>
      <c r="E291"/>
      <c r="F291"/>
      <c r="G291"/>
      <c r="H291"/>
      <c r="I291"/>
      <c r="J291"/>
    </row>
    <row r="292" spans="1:10" ht="11.25" customHeight="1" x14ac:dyDescent="0.25">
      <c r="A292"/>
      <c r="B292"/>
      <c r="C292"/>
      <c r="D292"/>
      <c r="E292"/>
      <c r="F292"/>
      <c r="G292"/>
      <c r="H292"/>
      <c r="I292"/>
      <c r="J292"/>
    </row>
    <row r="293" spans="1:10" ht="11.25" customHeight="1" x14ac:dyDescent="0.25">
      <c r="A293"/>
      <c r="B293"/>
      <c r="C293"/>
      <c r="D293"/>
      <c r="E293"/>
      <c r="F293"/>
      <c r="G293"/>
      <c r="H293"/>
      <c r="I293"/>
      <c r="J293"/>
    </row>
    <row r="294" spans="1:10" ht="11.25" customHeight="1" x14ac:dyDescent="0.25">
      <c r="A294"/>
      <c r="B294"/>
      <c r="C294"/>
      <c r="D294"/>
      <c r="E294"/>
      <c r="F294"/>
      <c r="G294"/>
      <c r="H294"/>
      <c r="I294"/>
      <c r="J294"/>
    </row>
    <row r="295" spans="1:10" ht="11.25" customHeight="1" x14ac:dyDescent="0.25">
      <c r="A295"/>
      <c r="B295"/>
      <c r="C295"/>
      <c r="D295"/>
      <c r="E295"/>
      <c r="F295"/>
      <c r="G295"/>
      <c r="H295"/>
      <c r="I295"/>
      <c r="J295"/>
    </row>
    <row r="296" spans="1:10" ht="11.25" customHeight="1" x14ac:dyDescent="0.25">
      <c r="A296"/>
      <c r="B296"/>
      <c r="C296"/>
      <c r="D296"/>
      <c r="E296"/>
      <c r="F296"/>
      <c r="G296"/>
      <c r="H296"/>
      <c r="I296"/>
      <c r="J296"/>
    </row>
    <row r="297" spans="1:10" ht="11.25" customHeight="1" x14ac:dyDescent="0.25">
      <c r="A297"/>
      <c r="B297"/>
      <c r="C297"/>
      <c r="D297"/>
      <c r="E297"/>
      <c r="F297"/>
      <c r="G297"/>
      <c r="H297"/>
      <c r="I297"/>
      <c r="J297"/>
    </row>
    <row r="298" spans="1:10" ht="11.25" customHeight="1" x14ac:dyDescent="0.25">
      <c r="A298"/>
      <c r="B298"/>
      <c r="C298"/>
      <c r="D298"/>
      <c r="E298"/>
      <c r="F298"/>
      <c r="G298"/>
      <c r="H298"/>
      <c r="I298"/>
      <c r="J298"/>
    </row>
    <row r="299" spans="1:10" ht="11.25" customHeight="1" x14ac:dyDescent="0.25">
      <c r="A299"/>
      <c r="B299"/>
      <c r="C299"/>
      <c r="D299"/>
      <c r="E299"/>
      <c r="F299"/>
      <c r="G299"/>
      <c r="H299"/>
      <c r="I299"/>
      <c r="J299"/>
    </row>
    <row r="300" spans="1:10" ht="11.25" customHeight="1" x14ac:dyDescent="0.25">
      <c r="A300"/>
      <c r="B300"/>
      <c r="C300"/>
      <c r="D300"/>
      <c r="E300"/>
      <c r="F300"/>
      <c r="G300"/>
      <c r="H300"/>
      <c r="I300"/>
      <c r="J300"/>
    </row>
    <row r="301" spans="1:10" ht="11.25" customHeight="1" x14ac:dyDescent="0.25">
      <c r="A301"/>
      <c r="B301"/>
      <c r="C301"/>
      <c r="D301"/>
      <c r="E301"/>
      <c r="F301"/>
      <c r="G301"/>
      <c r="H301"/>
      <c r="I301"/>
      <c r="J301"/>
    </row>
    <row r="302" spans="1:10" ht="11.25" customHeight="1" x14ac:dyDescent="0.25">
      <c r="A302"/>
      <c r="B302"/>
      <c r="C302"/>
      <c r="D302"/>
      <c r="E302"/>
      <c r="F302"/>
      <c r="G302"/>
      <c r="H302"/>
      <c r="I302"/>
      <c r="J302"/>
    </row>
    <row r="303" spans="1:10" ht="11.25" customHeight="1" x14ac:dyDescent="0.25">
      <c r="A303"/>
      <c r="B303"/>
      <c r="C303"/>
      <c r="D303"/>
      <c r="E303"/>
      <c r="F303"/>
      <c r="G303"/>
      <c r="H303"/>
      <c r="I303"/>
      <c r="J303"/>
    </row>
    <row r="304" spans="1:10" ht="11.25" customHeight="1" x14ac:dyDescent="0.25">
      <c r="A304"/>
      <c r="B304"/>
      <c r="C304"/>
      <c r="D304"/>
      <c r="E304"/>
      <c r="F304"/>
      <c r="G304"/>
      <c r="H304"/>
      <c r="I304"/>
      <c r="J304"/>
    </row>
    <row r="305" spans="1:10" ht="11.25" customHeight="1" x14ac:dyDescent="0.25">
      <c r="A305"/>
      <c r="B305"/>
      <c r="C305"/>
      <c r="D305"/>
      <c r="E305"/>
      <c r="F305"/>
      <c r="G305"/>
      <c r="H305"/>
      <c r="I305"/>
      <c r="J305"/>
    </row>
    <row r="306" spans="1:10" ht="11.25" customHeight="1" x14ac:dyDescent="0.25">
      <c r="A306"/>
      <c r="B306"/>
      <c r="C306"/>
      <c r="D306"/>
      <c r="E306"/>
      <c r="F306"/>
      <c r="G306"/>
      <c r="H306"/>
      <c r="I306"/>
      <c r="J306"/>
    </row>
    <row r="307" spans="1:10" ht="11.25" customHeight="1" x14ac:dyDescent="0.25">
      <c r="A307"/>
      <c r="B307"/>
      <c r="C307"/>
      <c r="D307"/>
      <c r="E307"/>
      <c r="F307"/>
      <c r="G307"/>
      <c r="H307"/>
      <c r="I307"/>
      <c r="J307"/>
    </row>
    <row r="308" spans="1:10" ht="11.25" customHeight="1" x14ac:dyDescent="0.25">
      <c r="A308"/>
      <c r="B308"/>
      <c r="C308"/>
      <c r="D308"/>
      <c r="E308"/>
      <c r="F308"/>
      <c r="G308"/>
      <c r="H308"/>
      <c r="I308"/>
      <c r="J308"/>
    </row>
    <row r="309" spans="1:10" ht="11.25" customHeight="1" x14ac:dyDescent="0.25">
      <c r="A309"/>
      <c r="B309"/>
      <c r="C309"/>
      <c r="D309"/>
      <c r="E309"/>
      <c r="F309"/>
      <c r="G309"/>
      <c r="H309"/>
      <c r="I309"/>
      <c r="J309"/>
    </row>
    <row r="310" spans="1:10" ht="11.25" customHeight="1" x14ac:dyDescent="0.25">
      <c r="A310"/>
      <c r="B310"/>
      <c r="C310"/>
      <c r="D310"/>
      <c r="E310"/>
      <c r="F310"/>
      <c r="G310"/>
      <c r="H310"/>
      <c r="I310"/>
      <c r="J310"/>
    </row>
    <row r="311" spans="1:10" ht="11.25" customHeight="1" x14ac:dyDescent="0.25">
      <c r="A311"/>
      <c r="B311"/>
      <c r="C311"/>
      <c r="D311"/>
      <c r="E311"/>
      <c r="F311"/>
      <c r="G311"/>
      <c r="H311"/>
      <c r="I311"/>
      <c r="J311"/>
    </row>
    <row r="312" spans="1:10" ht="11.25" customHeight="1" x14ac:dyDescent="0.25">
      <c r="A312"/>
      <c r="B312"/>
      <c r="C312"/>
      <c r="D312"/>
      <c r="E312"/>
      <c r="F312"/>
      <c r="G312"/>
      <c r="H312"/>
      <c r="I312"/>
      <c r="J312"/>
    </row>
    <row r="313" spans="1:10" ht="11.25" customHeight="1" x14ac:dyDescent="0.25">
      <c r="A313"/>
      <c r="B313"/>
      <c r="C313"/>
      <c r="D313"/>
      <c r="E313"/>
      <c r="F313"/>
      <c r="G313"/>
      <c r="H313"/>
      <c r="I313"/>
      <c r="J313"/>
    </row>
    <row r="314" spans="1:10" ht="11.25" customHeight="1" x14ac:dyDescent="0.25">
      <c r="A314"/>
      <c r="B314"/>
      <c r="C314"/>
      <c r="D314"/>
      <c r="E314"/>
      <c r="F314"/>
      <c r="G314"/>
      <c r="H314"/>
      <c r="I314"/>
      <c r="J314"/>
    </row>
    <row r="315" spans="1:10" ht="11.25" customHeight="1" x14ac:dyDescent="0.25">
      <c r="A315"/>
      <c r="B315"/>
      <c r="C315"/>
      <c r="D315"/>
      <c r="E315"/>
      <c r="F315"/>
      <c r="G315"/>
      <c r="H315"/>
      <c r="I315"/>
      <c r="J315"/>
    </row>
    <row r="316" spans="1:10" ht="11.25" customHeight="1" x14ac:dyDescent="0.25">
      <c r="A316"/>
      <c r="B316"/>
      <c r="C316"/>
      <c r="D316"/>
      <c r="E316"/>
      <c r="F316"/>
      <c r="G316"/>
      <c r="H316"/>
      <c r="I316"/>
      <c r="J316"/>
    </row>
    <row r="317" spans="1:10" ht="11.25" customHeight="1" x14ac:dyDescent="0.25">
      <c r="A317"/>
      <c r="B317"/>
      <c r="C317"/>
      <c r="D317"/>
      <c r="E317"/>
      <c r="F317"/>
      <c r="G317"/>
      <c r="H317"/>
      <c r="I317"/>
      <c r="J317"/>
    </row>
    <row r="318" spans="1:10" ht="11.25" customHeight="1" x14ac:dyDescent="0.25">
      <c r="A318"/>
      <c r="B318"/>
      <c r="C318"/>
      <c r="D318"/>
      <c r="E318"/>
      <c r="F318"/>
      <c r="G318"/>
      <c r="H318"/>
      <c r="I318"/>
      <c r="J318"/>
    </row>
    <row r="319" spans="1:10" ht="11.25" customHeight="1" x14ac:dyDescent="0.25">
      <c r="A319"/>
      <c r="B319"/>
      <c r="C319"/>
      <c r="D319"/>
      <c r="E319"/>
      <c r="F319"/>
      <c r="G319"/>
      <c r="H319"/>
      <c r="I319"/>
      <c r="J319"/>
    </row>
    <row r="320" spans="1:10" ht="11.25" customHeight="1" x14ac:dyDescent="0.25">
      <c r="A320"/>
      <c r="B320"/>
      <c r="C320"/>
      <c r="D320"/>
      <c r="E320"/>
      <c r="F320"/>
      <c r="G320"/>
      <c r="H320"/>
      <c r="I320"/>
      <c r="J320"/>
    </row>
    <row r="321" spans="1:10" ht="11.25" customHeight="1" x14ac:dyDescent="0.25">
      <c r="A321"/>
      <c r="B321"/>
      <c r="C321"/>
      <c r="D321"/>
      <c r="E321"/>
      <c r="F321"/>
      <c r="G321"/>
      <c r="H321"/>
      <c r="I321"/>
      <c r="J321"/>
    </row>
    <row r="322" spans="1:10" ht="11.25" customHeight="1" x14ac:dyDescent="0.25">
      <c r="A322"/>
      <c r="B322"/>
      <c r="C322"/>
      <c r="D322"/>
      <c r="E322"/>
      <c r="F322"/>
      <c r="G322"/>
      <c r="H322"/>
      <c r="I322"/>
      <c r="J322"/>
    </row>
    <row r="323" spans="1:10" ht="11.25" customHeight="1" x14ac:dyDescent="0.25">
      <c r="A323"/>
      <c r="B323"/>
      <c r="C323"/>
      <c r="D323"/>
      <c r="E323"/>
      <c r="F323"/>
      <c r="G323"/>
      <c r="H323"/>
      <c r="I323"/>
      <c r="J323"/>
    </row>
    <row r="324" spans="1:10" ht="11.25" customHeight="1" x14ac:dyDescent="0.25">
      <c r="A324"/>
      <c r="B324"/>
      <c r="C324"/>
      <c r="D324"/>
      <c r="E324"/>
      <c r="F324"/>
      <c r="G324"/>
      <c r="H324"/>
      <c r="I324"/>
      <c r="J324"/>
    </row>
    <row r="325" spans="1:10" ht="11.25" customHeight="1" x14ac:dyDescent="0.25">
      <c r="A325"/>
      <c r="B325"/>
      <c r="C325"/>
      <c r="D325"/>
      <c r="E325"/>
      <c r="F325"/>
      <c r="G325"/>
      <c r="H325"/>
      <c r="I325"/>
      <c r="J325"/>
    </row>
    <row r="326" spans="1:10" ht="11.25" customHeight="1" x14ac:dyDescent="0.25">
      <c r="A326"/>
      <c r="B326"/>
      <c r="C326"/>
      <c r="D326"/>
      <c r="E326"/>
      <c r="F326"/>
      <c r="G326"/>
      <c r="H326"/>
      <c r="I326"/>
      <c r="J326"/>
    </row>
    <row r="327" spans="1:10" ht="11.25" customHeight="1" x14ac:dyDescent="0.25">
      <c r="A327"/>
      <c r="B327"/>
      <c r="C327"/>
      <c r="D327"/>
      <c r="E327"/>
      <c r="F327"/>
      <c r="G327"/>
      <c r="H327"/>
      <c r="I327"/>
      <c r="J327"/>
    </row>
    <row r="328" spans="1:10" ht="11.25" customHeight="1" x14ac:dyDescent="0.25">
      <c r="A328"/>
      <c r="B328"/>
      <c r="C328"/>
      <c r="D328"/>
      <c r="E328"/>
      <c r="F328"/>
      <c r="G328"/>
      <c r="H328"/>
      <c r="I328"/>
      <c r="J328"/>
    </row>
    <row r="329" spans="1:10" ht="11.25" customHeight="1" x14ac:dyDescent="0.25">
      <c r="A329"/>
      <c r="B329"/>
      <c r="C329"/>
      <c r="D329"/>
      <c r="E329"/>
      <c r="F329"/>
      <c r="G329"/>
      <c r="H329"/>
      <c r="I329"/>
      <c r="J329"/>
    </row>
    <row r="330" spans="1:10" ht="11.25" customHeight="1" x14ac:dyDescent="0.25">
      <c r="A330"/>
      <c r="B330"/>
      <c r="C330"/>
      <c r="D330"/>
      <c r="E330"/>
      <c r="F330"/>
      <c r="G330"/>
      <c r="H330"/>
      <c r="I330"/>
      <c r="J330"/>
    </row>
    <row r="331" spans="1:10" ht="11.25" customHeight="1" x14ac:dyDescent="0.25">
      <c r="A331"/>
      <c r="B331"/>
      <c r="C331"/>
      <c r="D331"/>
      <c r="E331"/>
      <c r="F331"/>
      <c r="G331"/>
      <c r="H331"/>
      <c r="I331"/>
      <c r="J331"/>
    </row>
    <row r="332" spans="1:10" ht="11.25" customHeight="1" x14ac:dyDescent="0.25">
      <c r="A332"/>
      <c r="B332"/>
      <c r="C332"/>
      <c r="D332"/>
      <c r="E332"/>
      <c r="F332"/>
      <c r="G332"/>
      <c r="H332"/>
      <c r="I332"/>
      <c r="J332"/>
    </row>
    <row r="333" spans="1:10" ht="11.25" customHeight="1" x14ac:dyDescent="0.25">
      <c r="A333"/>
      <c r="B333"/>
      <c r="C333"/>
      <c r="D333"/>
      <c r="E333"/>
      <c r="F333"/>
      <c r="G333"/>
      <c r="H333"/>
      <c r="I333"/>
      <c r="J333"/>
    </row>
    <row r="334" spans="1:10" ht="11.25" customHeight="1" x14ac:dyDescent="0.25">
      <c r="A334"/>
      <c r="B334"/>
      <c r="C334"/>
      <c r="D334"/>
      <c r="E334"/>
      <c r="F334"/>
      <c r="G334"/>
      <c r="H334"/>
      <c r="I334"/>
      <c r="J334"/>
    </row>
    <row r="335" spans="1:10" ht="11.25" customHeight="1" x14ac:dyDescent="0.25">
      <c r="A335"/>
      <c r="B335"/>
      <c r="C335"/>
      <c r="D335"/>
      <c r="E335"/>
      <c r="F335"/>
      <c r="G335"/>
      <c r="H335"/>
      <c r="I335"/>
      <c r="J335"/>
    </row>
    <row r="336" spans="1:10" ht="11.25" customHeight="1" x14ac:dyDescent="0.25">
      <c r="A336"/>
      <c r="B336"/>
      <c r="C336"/>
      <c r="D336"/>
      <c r="E336"/>
      <c r="F336"/>
      <c r="G336"/>
      <c r="H336"/>
      <c r="I336"/>
      <c r="J336"/>
    </row>
    <row r="337" spans="1:10" ht="11.25" customHeight="1" x14ac:dyDescent="0.25">
      <c r="A337"/>
      <c r="B337"/>
      <c r="C337"/>
      <c r="D337"/>
      <c r="E337"/>
      <c r="F337"/>
      <c r="G337"/>
      <c r="H337"/>
      <c r="I337"/>
      <c r="J337"/>
    </row>
    <row r="338" spans="1:10" ht="11.25" customHeight="1" x14ac:dyDescent="0.25">
      <c r="A338"/>
      <c r="B338"/>
      <c r="C338"/>
      <c r="D338"/>
      <c r="E338"/>
      <c r="F338"/>
      <c r="G338"/>
      <c r="H338"/>
      <c r="I338"/>
      <c r="J338"/>
    </row>
    <row r="339" spans="1:10" ht="11.25" customHeight="1" x14ac:dyDescent="0.25">
      <c r="A339"/>
      <c r="B339"/>
      <c r="C339"/>
      <c r="D339"/>
      <c r="E339"/>
      <c r="F339"/>
      <c r="G339"/>
      <c r="H339"/>
      <c r="I339"/>
      <c r="J339"/>
    </row>
    <row r="340" spans="1:10" ht="11.25" customHeight="1" x14ac:dyDescent="0.25">
      <c r="A340"/>
      <c r="B340"/>
      <c r="C340"/>
      <c r="D340"/>
      <c r="E340"/>
      <c r="F340"/>
      <c r="G340"/>
      <c r="H340"/>
      <c r="I340"/>
      <c r="J340"/>
    </row>
    <row r="341" spans="1:10" ht="11.25" customHeight="1" x14ac:dyDescent="0.25">
      <c r="A341"/>
      <c r="B341"/>
      <c r="C341"/>
      <c r="D341"/>
      <c r="E341"/>
      <c r="F341"/>
      <c r="G341"/>
      <c r="H341"/>
      <c r="I341"/>
      <c r="J341"/>
    </row>
    <row r="342" spans="1:10" ht="11.25" customHeight="1" x14ac:dyDescent="0.25">
      <c r="A342"/>
      <c r="B342"/>
      <c r="C342"/>
      <c r="D342"/>
      <c r="E342"/>
      <c r="F342"/>
      <c r="G342"/>
      <c r="H342"/>
      <c r="I342"/>
      <c r="J342"/>
    </row>
    <row r="343" spans="1:10" ht="11.25" customHeight="1" x14ac:dyDescent="0.25">
      <c r="A343"/>
      <c r="B343"/>
      <c r="C343"/>
      <c r="D343"/>
      <c r="E343"/>
      <c r="F343"/>
      <c r="G343"/>
      <c r="H343"/>
      <c r="I343"/>
      <c r="J343"/>
    </row>
    <row r="344" spans="1:10" ht="11.25" customHeight="1" x14ac:dyDescent="0.25">
      <c r="A344"/>
      <c r="B344"/>
      <c r="C344"/>
      <c r="D344"/>
      <c r="E344"/>
      <c r="F344"/>
      <c r="G344"/>
      <c r="H344"/>
      <c r="I344"/>
      <c r="J344"/>
    </row>
    <row r="345" spans="1:10" ht="11.25" customHeight="1" x14ac:dyDescent="0.25">
      <c r="A345"/>
      <c r="B345"/>
      <c r="C345"/>
      <c r="D345"/>
      <c r="E345"/>
      <c r="F345"/>
      <c r="G345"/>
      <c r="H345"/>
      <c r="I345"/>
      <c r="J345"/>
    </row>
    <row r="346" spans="1:10" ht="11.25" customHeight="1" x14ac:dyDescent="0.25">
      <c r="A346"/>
      <c r="B346"/>
      <c r="C346"/>
      <c r="D346"/>
      <c r="E346"/>
      <c r="F346"/>
      <c r="G346"/>
      <c r="H346"/>
      <c r="I346"/>
      <c r="J346"/>
    </row>
    <row r="347" spans="1:10" ht="11.25" customHeight="1" x14ac:dyDescent="0.25">
      <c r="A347"/>
      <c r="B347"/>
      <c r="C347"/>
      <c r="D347"/>
      <c r="E347"/>
      <c r="F347"/>
      <c r="G347"/>
      <c r="H347"/>
      <c r="I347"/>
      <c r="J347"/>
    </row>
    <row r="348" spans="1:10" ht="11.25" customHeight="1" x14ac:dyDescent="0.25">
      <c r="A348"/>
      <c r="B348"/>
      <c r="C348"/>
      <c r="D348"/>
      <c r="E348"/>
      <c r="F348"/>
      <c r="G348"/>
      <c r="H348"/>
      <c r="I348"/>
      <c r="J348"/>
    </row>
    <row r="349" spans="1:10" ht="11.25" customHeight="1" x14ac:dyDescent="0.25">
      <c r="A349"/>
      <c r="B349"/>
      <c r="C349"/>
      <c r="D349"/>
      <c r="E349"/>
      <c r="F349"/>
      <c r="G349"/>
      <c r="H349"/>
      <c r="I349"/>
      <c r="J349"/>
    </row>
    <row r="350" spans="1:10" ht="11.25" customHeight="1" x14ac:dyDescent="0.25">
      <c r="A350"/>
      <c r="B350"/>
      <c r="C350"/>
      <c r="D350"/>
      <c r="E350"/>
      <c r="F350"/>
      <c r="G350"/>
      <c r="H350"/>
      <c r="I350"/>
      <c r="J350"/>
    </row>
    <row r="351" spans="1:10" ht="11.25" customHeight="1" x14ac:dyDescent="0.25">
      <c r="A351"/>
      <c r="B351"/>
      <c r="C351"/>
      <c r="D351"/>
      <c r="E351"/>
      <c r="F351"/>
      <c r="G351"/>
      <c r="H351"/>
      <c r="I351"/>
      <c r="J351"/>
    </row>
    <row r="352" spans="1:10" ht="11.25" customHeight="1" x14ac:dyDescent="0.25">
      <c r="A352"/>
      <c r="B352"/>
      <c r="C352"/>
      <c r="D352"/>
      <c r="E352"/>
      <c r="F352"/>
      <c r="G352"/>
      <c r="H352"/>
      <c r="I352"/>
      <c r="J352"/>
    </row>
    <row r="353" spans="1:10" ht="11.25" customHeight="1" x14ac:dyDescent="0.25">
      <c r="A353"/>
      <c r="B353"/>
      <c r="C353"/>
      <c r="D353"/>
      <c r="E353"/>
      <c r="F353"/>
      <c r="G353"/>
      <c r="H353"/>
      <c r="I353"/>
      <c r="J353"/>
    </row>
    <row r="354" spans="1:10" ht="11.25" customHeight="1" x14ac:dyDescent="0.25">
      <c r="A354"/>
      <c r="B354"/>
      <c r="C354"/>
      <c r="D354"/>
      <c r="E354"/>
      <c r="F354"/>
      <c r="G354"/>
      <c r="H354"/>
      <c r="I354"/>
      <c r="J354"/>
    </row>
    <row r="355" spans="1:10" ht="11.25" customHeight="1" x14ac:dyDescent="0.25">
      <c r="A355"/>
      <c r="B355"/>
      <c r="C355"/>
      <c r="D355"/>
      <c r="E355"/>
      <c r="F355"/>
      <c r="G355"/>
      <c r="H355"/>
      <c r="I355"/>
      <c r="J355"/>
    </row>
    <row r="356" spans="1:10" ht="11.25" customHeight="1" x14ac:dyDescent="0.25">
      <c r="A356"/>
      <c r="B356"/>
      <c r="C356"/>
      <c r="D356"/>
      <c r="E356"/>
      <c r="F356"/>
      <c r="G356"/>
      <c r="H356"/>
      <c r="I356"/>
      <c r="J356"/>
    </row>
    <row r="357" spans="1:10" ht="11.25" customHeight="1" x14ac:dyDescent="0.25">
      <c r="A357"/>
      <c r="B357"/>
      <c r="C357"/>
      <c r="D357"/>
      <c r="E357"/>
      <c r="F357"/>
      <c r="G357"/>
      <c r="H357"/>
      <c r="I357"/>
      <c r="J357"/>
    </row>
    <row r="358" spans="1:10" ht="11.25" customHeight="1" x14ac:dyDescent="0.25">
      <c r="A358"/>
      <c r="B358"/>
      <c r="C358"/>
      <c r="D358"/>
      <c r="E358"/>
      <c r="F358"/>
      <c r="G358"/>
      <c r="H358"/>
      <c r="I358"/>
      <c r="J358"/>
    </row>
    <row r="359" spans="1:10" ht="11.25" customHeight="1" x14ac:dyDescent="0.25">
      <c r="A359"/>
      <c r="B359"/>
      <c r="C359"/>
      <c r="D359"/>
      <c r="E359"/>
      <c r="F359"/>
      <c r="G359"/>
      <c r="H359"/>
      <c r="I359"/>
      <c r="J359"/>
    </row>
    <row r="360" spans="1:10" ht="11.25" customHeight="1" x14ac:dyDescent="0.25">
      <c r="A360"/>
      <c r="B360"/>
      <c r="C360"/>
      <c r="D360"/>
      <c r="E360"/>
      <c r="F360"/>
      <c r="G360"/>
      <c r="H360"/>
      <c r="I360"/>
      <c r="J360"/>
    </row>
    <row r="361" spans="1:10" ht="11.25" customHeight="1" x14ac:dyDescent="0.25">
      <c r="A361"/>
      <c r="B361"/>
      <c r="C361"/>
      <c r="D361"/>
      <c r="E361"/>
      <c r="F361"/>
      <c r="G361"/>
      <c r="H361"/>
      <c r="I361"/>
      <c r="J361"/>
    </row>
    <row r="362" spans="1:10" ht="11.25" customHeight="1" x14ac:dyDescent="0.25">
      <c r="A362"/>
      <c r="B362"/>
      <c r="C362"/>
      <c r="D362"/>
      <c r="E362"/>
      <c r="F362"/>
      <c r="G362"/>
      <c r="H362"/>
      <c r="I362"/>
      <c r="J362"/>
    </row>
    <row r="363" spans="1:10" ht="11.25" customHeight="1" x14ac:dyDescent="0.25">
      <c r="A363"/>
      <c r="B363"/>
      <c r="C363"/>
      <c r="D363"/>
      <c r="E363"/>
      <c r="F363"/>
      <c r="G363"/>
      <c r="H363"/>
      <c r="I363"/>
      <c r="J363"/>
    </row>
    <row r="364" spans="1:10" ht="11.25" customHeight="1" x14ac:dyDescent="0.25">
      <c r="A364"/>
      <c r="B364"/>
      <c r="C364"/>
      <c r="D364"/>
      <c r="E364"/>
      <c r="F364"/>
      <c r="G364"/>
      <c r="H364"/>
      <c r="I364"/>
      <c r="J364"/>
    </row>
    <row r="365" spans="1:10" ht="11.25" customHeight="1" x14ac:dyDescent="0.25">
      <c r="A365"/>
      <c r="B365"/>
      <c r="C365"/>
      <c r="D365"/>
      <c r="E365"/>
      <c r="F365"/>
      <c r="G365"/>
      <c r="H365"/>
      <c r="I365"/>
      <c r="J365"/>
    </row>
    <row r="366" spans="1:10" ht="11.25" customHeight="1" x14ac:dyDescent="0.25">
      <c r="A366"/>
      <c r="B366"/>
      <c r="C366"/>
      <c r="D366"/>
      <c r="E366"/>
      <c r="F366"/>
      <c r="G366"/>
      <c r="H366"/>
      <c r="I366"/>
      <c r="J366"/>
    </row>
    <row r="367" spans="1:10" ht="11.25" customHeight="1" x14ac:dyDescent="0.25">
      <c r="A367"/>
      <c r="B367"/>
      <c r="C367"/>
      <c r="D367"/>
      <c r="E367"/>
      <c r="F367"/>
      <c r="G367"/>
      <c r="H367"/>
      <c r="I367"/>
      <c r="J367"/>
    </row>
    <row r="368" spans="1:10" ht="11.25" customHeight="1" x14ac:dyDescent="0.25">
      <c r="A368"/>
      <c r="B368"/>
      <c r="C368"/>
      <c r="D368"/>
      <c r="E368"/>
      <c r="F368"/>
      <c r="G368"/>
      <c r="H368"/>
      <c r="I368"/>
      <c r="J368"/>
    </row>
    <row r="369" spans="1:10" ht="11.25" customHeight="1" x14ac:dyDescent="0.25">
      <c r="A369"/>
      <c r="B369"/>
      <c r="C369"/>
      <c r="D369"/>
      <c r="E369"/>
      <c r="F369"/>
      <c r="G369"/>
      <c r="H369"/>
      <c r="I369"/>
      <c r="J369"/>
    </row>
    <row r="370" spans="1:10" ht="11.25" customHeight="1" x14ac:dyDescent="0.25">
      <c r="A370"/>
      <c r="B370"/>
      <c r="C370"/>
      <c r="D370"/>
      <c r="E370"/>
      <c r="F370"/>
      <c r="G370"/>
      <c r="H370"/>
      <c r="I370"/>
      <c r="J370"/>
    </row>
    <row r="371" spans="1:10" ht="11.25" customHeight="1" x14ac:dyDescent="0.25">
      <c r="A371"/>
      <c r="B371"/>
      <c r="C371"/>
      <c r="D371"/>
      <c r="E371"/>
      <c r="F371"/>
      <c r="G371"/>
      <c r="H371"/>
      <c r="I371"/>
      <c r="J371"/>
    </row>
    <row r="372" spans="1:10" ht="11.25" customHeight="1" x14ac:dyDescent="0.25">
      <c r="A372"/>
      <c r="B372"/>
      <c r="C372"/>
      <c r="D372"/>
      <c r="E372"/>
      <c r="F372"/>
      <c r="G372"/>
      <c r="H372"/>
      <c r="I372"/>
      <c r="J372"/>
    </row>
    <row r="373" spans="1:10" ht="11.25" customHeight="1" x14ac:dyDescent="0.25">
      <c r="A373"/>
      <c r="B373"/>
      <c r="C373"/>
      <c r="D373"/>
      <c r="E373"/>
      <c r="F373"/>
      <c r="G373"/>
      <c r="H373"/>
      <c r="I373"/>
      <c r="J373"/>
    </row>
    <row r="374" spans="1:10" ht="11.25" customHeight="1" x14ac:dyDescent="0.25">
      <c r="A374"/>
      <c r="B374"/>
      <c r="C374"/>
      <c r="D374"/>
      <c r="E374"/>
      <c r="F374"/>
      <c r="G374"/>
      <c r="H374"/>
      <c r="I374"/>
      <c r="J374"/>
    </row>
    <row r="375" spans="1:10" ht="11.25" customHeight="1" x14ac:dyDescent="0.25">
      <c r="A375"/>
      <c r="B375"/>
      <c r="C375"/>
      <c r="D375"/>
      <c r="E375"/>
      <c r="F375"/>
      <c r="G375"/>
      <c r="H375"/>
      <c r="I375"/>
      <c r="J375"/>
    </row>
    <row r="376" spans="1:10" ht="11.25" customHeight="1" x14ac:dyDescent="0.25">
      <c r="A376"/>
      <c r="B376"/>
      <c r="C376"/>
      <c r="D376"/>
      <c r="E376"/>
      <c r="F376"/>
      <c r="G376"/>
      <c r="H376"/>
      <c r="I376"/>
      <c r="J376"/>
    </row>
    <row r="377" spans="1:10" ht="11.25" customHeight="1" x14ac:dyDescent="0.25">
      <c r="A377"/>
      <c r="B377"/>
      <c r="C377"/>
      <c r="D377"/>
      <c r="E377"/>
      <c r="F377"/>
      <c r="G377"/>
      <c r="H377"/>
      <c r="I377"/>
      <c r="J377"/>
    </row>
    <row r="378" spans="1:10" ht="11.25" customHeight="1" x14ac:dyDescent="0.25">
      <c r="A378"/>
      <c r="B378"/>
      <c r="C378"/>
      <c r="D378"/>
      <c r="E378"/>
      <c r="F378"/>
      <c r="G378"/>
      <c r="H378"/>
      <c r="I378"/>
      <c r="J378"/>
    </row>
    <row r="379" spans="1:10" ht="11.25" customHeight="1" x14ac:dyDescent="0.25">
      <c r="A379"/>
      <c r="B379"/>
      <c r="C379"/>
      <c r="D379"/>
      <c r="E379"/>
      <c r="F379"/>
      <c r="G379"/>
      <c r="H379"/>
      <c r="I379"/>
      <c r="J379"/>
    </row>
    <row r="380" spans="1:10" ht="11.25" customHeight="1" x14ac:dyDescent="0.25">
      <c r="A380"/>
      <c r="B380"/>
      <c r="C380"/>
      <c r="D380"/>
      <c r="E380"/>
      <c r="F380"/>
      <c r="G380"/>
      <c r="H380"/>
      <c r="I380"/>
      <c r="J380"/>
    </row>
    <row r="381" spans="1:10" ht="11.25" customHeight="1" x14ac:dyDescent="0.25">
      <c r="A381"/>
      <c r="B381"/>
      <c r="C381"/>
      <c r="D381"/>
      <c r="E381"/>
      <c r="F381"/>
      <c r="G381"/>
      <c r="H381"/>
      <c r="I381"/>
      <c r="J381"/>
    </row>
    <row r="382" spans="1:10" ht="11.25" customHeight="1" x14ac:dyDescent="0.25">
      <c r="A382"/>
      <c r="B382"/>
      <c r="C382"/>
      <c r="D382"/>
      <c r="E382"/>
      <c r="F382"/>
      <c r="G382"/>
      <c r="H382"/>
      <c r="I382"/>
      <c r="J382"/>
    </row>
    <row r="383" spans="1:10" ht="11.25" customHeight="1" x14ac:dyDescent="0.25">
      <c r="A383"/>
      <c r="B383"/>
      <c r="C383"/>
      <c r="D383"/>
      <c r="E383"/>
      <c r="F383"/>
      <c r="G383"/>
      <c r="H383"/>
      <c r="I383"/>
      <c r="J383"/>
    </row>
    <row r="384" spans="1:10" ht="11.25" customHeight="1" x14ac:dyDescent="0.25">
      <c r="A384"/>
      <c r="B384"/>
      <c r="C384"/>
      <c r="D384"/>
      <c r="E384"/>
      <c r="F384"/>
      <c r="G384"/>
      <c r="H384"/>
      <c r="I384"/>
      <c r="J384"/>
    </row>
    <row r="385" spans="1:10" ht="11.25" customHeight="1" x14ac:dyDescent="0.25">
      <c r="A385"/>
      <c r="B385"/>
      <c r="C385"/>
      <c r="D385"/>
      <c r="E385"/>
      <c r="F385"/>
      <c r="G385"/>
      <c r="H385"/>
      <c r="I385"/>
      <c r="J385"/>
    </row>
    <row r="386" spans="1:10" ht="11.25" customHeight="1" x14ac:dyDescent="0.25">
      <c r="A386"/>
      <c r="B386"/>
      <c r="C386"/>
      <c r="D386"/>
      <c r="E386"/>
      <c r="F386"/>
      <c r="G386"/>
      <c r="H386"/>
      <c r="I386"/>
      <c r="J386"/>
    </row>
    <row r="387" spans="1:10" ht="11.25" customHeight="1" x14ac:dyDescent="0.25">
      <c r="A387"/>
      <c r="B387"/>
      <c r="C387"/>
      <c r="D387"/>
      <c r="E387"/>
      <c r="F387"/>
      <c r="G387"/>
      <c r="H387"/>
      <c r="I387"/>
      <c r="J387"/>
    </row>
    <row r="388" spans="1:10" ht="11.25" customHeight="1" x14ac:dyDescent="0.25">
      <c r="A388"/>
      <c r="B388"/>
      <c r="C388"/>
      <c r="D388"/>
      <c r="E388"/>
      <c r="F388"/>
      <c r="G388"/>
      <c r="H388"/>
      <c r="I388"/>
      <c r="J388"/>
    </row>
    <row r="389" spans="1:10" ht="11.25" customHeight="1" x14ac:dyDescent="0.25">
      <c r="A389"/>
      <c r="B389"/>
      <c r="C389"/>
      <c r="D389"/>
      <c r="E389"/>
      <c r="F389"/>
      <c r="G389"/>
      <c r="H389"/>
      <c r="I389"/>
      <c r="J389"/>
    </row>
    <row r="390" spans="1:10" ht="11.25" customHeight="1" x14ac:dyDescent="0.25">
      <c r="A390"/>
      <c r="B390"/>
      <c r="C390"/>
      <c r="D390"/>
      <c r="E390"/>
      <c r="F390"/>
      <c r="G390"/>
      <c r="H390"/>
      <c r="I390"/>
      <c r="J390"/>
    </row>
    <row r="391" spans="1:10" ht="11.25" customHeight="1" x14ac:dyDescent="0.25">
      <c r="A391"/>
      <c r="B391"/>
      <c r="C391"/>
      <c r="D391"/>
      <c r="E391"/>
      <c r="F391"/>
      <c r="G391"/>
      <c r="H391"/>
      <c r="I391"/>
      <c r="J391"/>
    </row>
    <row r="392" spans="1:10" ht="11.25" customHeight="1" x14ac:dyDescent="0.25">
      <c r="A392"/>
      <c r="B392"/>
      <c r="C392"/>
      <c r="D392"/>
      <c r="E392"/>
      <c r="F392"/>
      <c r="G392"/>
      <c r="H392"/>
      <c r="I392"/>
      <c r="J392"/>
    </row>
    <row r="393" spans="1:10" ht="11.25" customHeight="1" x14ac:dyDescent="0.25">
      <c r="A393"/>
      <c r="B393"/>
      <c r="C393"/>
      <c r="D393"/>
      <c r="E393"/>
      <c r="F393"/>
      <c r="G393"/>
      <c r="H393"/>
      <c r="I393"/>
      <c r="J393"/>
    </row>
    <row r="394" spans="1:10" ht="11.25" customHeight="1" x14ac:dyDescent="0.25">
      <c r="A394"/>
      <c r="B394"/>
      <c r="C394"/>
      <c r="D394"/>
      <c r="E394"/>
      <c r="F394"/>
      <c r="G394"/>
      <c r="H394"/>
      <c r="I394"/>
      <c r="J394"/>
    </row>
    <row r="395" spans="1:10" ht="11.25" customHeight="1" x14ac:dyDescent="0.25">
      <c r="A395"/>
      <c r="B395"/>
      <c r="C395"/>
      <c r="D395"/>
      <c r="E395"/>
      <c r="F395"/>
      <c r="G395"/>
      <c r="H395"/>
      <c r="I395"/>
      <c r="J395"/>
    </row>
    <row r="396" spans="1:10" ht="11.25" customHeight="1" x14ac:dyDescent="0.25">
      <c r="A396"/>
      <c r="B396"/>
      <c r="C396"/>
      <c r="D396"/>
      <c r="E396"/>
      <c r="F396"/>
      <c r="G396"/>
      <c r="H396"/>
      <c r="I396"/>
      <c r="J396"/>
    </row>
    <row r="397" spans="1:10" ht="11.25" customHeight="1" x14ac:dyDescent="0.25">
      <c r="A397"/>
      <c r="B397"/>
      <c r="C397"/>
      <c r="D397"/>
      <c r="E397"/>
      <c r="F397"/>
      <c r="G397"/>
      <c r="H397"/>
      <c r="I397"/>
      <c r="J397"/>
    </row>
    <row r="398" spans="1:10" ht="11.25" customHeight="1" x14ac:dyDescent="0.25">
      <c r="A398"/>
      <c r="B398"/>
      <c r="C398"/>
      <c r="D398"/>
      <c r="E398"/>
      <c r="F398"/>
      <c r="G398"/>
      <c r="H398"/>
      <c r="I398"/>
      <c r="J398"/>
    </row>
    <row r="399" spans="1:10" ht="11.25" customHeight="1" x14ac:dyDescent="0.25">
      <c r="A399"/>
      <c r="B399"/>
      <c r="C399"/>
      <c r="D399"/>
      <c r="E399"/>
      <c r="F399"/>
      <c r="G399"/>
      <c r="H399"/>
      <c r="I399"/>
      <c r="J399"/>
    </row>
    <row r="400" spans="1:10" ht="11.25" customHeight="1" x14ac:dyDescent="0.25">
      <c r="A400"/>
      <c r="B400"/>
      <c r="C400"/>
      <c r="D400"/>
      <c r="E400"/>
      <c r="F400"/>
      <c r="G400"/>
      <c r="H400"/>
      <c r="I400"/>
      <c r="J400"/>
    </row>
    <row r="401" spans="1:10" ht="11.25" customHeight="1" x14ac:dyDescent="0.25">
      <c r="A401"/>
      <c r="B401"/>
      <c r="C401"/>
      <c r="D401"/>
      <c r="E401"/>
      <c r="F401"/>
      <c r="G401"/>
      <c r="H401"/>
      <c r="I401"/>
      <c r="J401"/>
    </row>
    <row r="402" spans="1:10" ht="11.25" customHeight="1" x14ac:dyDescent="0.25">
      <c r="A402"/>
      <c r="B402"/>
      <c r="C402"/>
      <c r="D402"/>
      <c r="E402"/>
      <c r="F402"/>
      <c r="G402"/>
      <c r="H402"/>
      <c r="I402"/>
      <c r="J402"/>
    </row>
    <row r="403" spans="1:10" ht="11.25" customHeight="1" x14ac:dyDescent="0.25">
      <c r="A403"/>
      <c r="B403"/>
      <c r="C403"/>
      <c r="D403"/>
      <c r="E403"/>
      <c r="F403"/>
      <c r="G403"/>
      <c r="H403"/>
      <c r="I403"/>
      <c r="J403"/>
    </row>
    <row r="404" spans="1:10" ht="11.25" customHeight="1" x14ac:dyDescent="0.25">
      <c r="A404"/>
      <c r="B404"/>
      <c r="C404"/>
      <c r="D404"/>
      <c r="E404"/>
      <c r="F404"/>
      <c r="G404"/>
      <c r="H404"/>
      <c r="I404"/>
      <c r="J404"/>
    </row>
    <row r="405" spans="1:10" ht="11.25" customHeight="1" x14ac:dyDescent="0.25">
      <c r="A405"/>
      <c r="B405"/>
      <c r="C405"/>
      <c r="D405"/>
      <c r="E405"/>
      <c r="F405"/>
      <c r="G405"/>
      <c r="H405"/>
      <c r="I405"/>
      <c r="J405"/>
    </row>
    <row r="406" spans="1:10" ht="11.25" customHeight="1" x14ac:dyDescent="0.25">
      <c r="A406"/>
      <c r="B406"/>
      <c r="C406"/>
      <c r="D406"/>
      <c r="E406"/>
      <c r="F406"/>
      <c r="G406"/>
      <c r="H406"/>
      <c r="I406"/>
      <c r="J406"/>
    </row>
    <row r="407" spans="1:10" ht="11.25" customHeight="1" x14ac:dyDescent="0.25">
      <c r="A407"/>
      <c r="B407"/>
      <c r="C407"/>
      <c r="D407"/>
      <c r="E407"/>
      <c r="F407"/>
      <c r="G407"/>
      <c r="H407"/>
      <c r="I407"/>
      <c r="J407"/>
    </row>
    <row r="408" spans="1:10" ht="11.25" customHeight="1" x14ac:dyDescent="0.25">
      <c r="A408"/>
      <c r="B408"/>
      <c r="C408"/>
      <c r="D408"/>
      <c r="E408"/>
      <c r="F408"/>
      <c r="G408"/>
      <c r="H408"/>
      <c r="I408"/>
      <c r="J408"/>
    </row>
    <row r="409" spans="1:10" ht="11.25" customHeight="1" x14ac:dyDescent="0.25">
      <c r="A409"/>
      <c r="B409"/>
      <c r="C409"/>
      <c r="D409"/>
      <c r="E409"/>
      <c r="F409"/>
      <c r="G409"/>
      <c r="H409"/>
      <c r="I409"/>
      <c r="J409"/>
    </row>
    <row r="410" spans="1:10" ht="11.25" customHeight="1" x14ac:dyDescent="0.25">
      <c r="A410"/>
      <c r="B410"/>
      <c r="C410"/>
      <c r="D410"/>
      <c r="E410"/>
      <c r="F410"/>
      <c r="G410"/>
      <c r="H410"/>
      <c r="I410"/>
      <c r="J410"/>
    </row>
    <row r="411" spans="1:10" ht="11.25" customHeight="1" x14ac:dyDescent="0.25">
      <c r="A411"/>
      <c r="B411"/>
      <c r="C411"/>
      <c r="D411"/>
      <c r="E411"/>
      <c r="F411"/>
      <c r="G411"/>
      <c r="H411"/>
      <c r="I411"/>
      <c r="J411"/>
    </row>
    <row r="412" spans="1:10" ht="11.25" customHeight="1" x14ac:dyDescent="0.25">
      <c r="A412"/>
      <c r="B412"/>
      <c r="C412"/>
      <c r="D412"/>
      <c r="E412"/>
      <c r="F412"/>
      <c r="G412"/>
      <c r="H412"/>
      <c r="I412"/>
      <c r="J412"/>
    </row>
    <row r="413" spans="1:10" ht="11.25" customHeight="1" x14ac:dyDescent="0.25">
      <c r="A413"/>
      <c r="B413"/>
      <c r="C413"/>
      <c r="D413"/>
      <c r="E413"/>
      <c r="F413"/>
      <c r="G413"/>
      <c r="H413"/>
      <c r="I413"/>
      <c r="J413"/>
    </row>
    <row r="414" spans="1:10" ht="11.25" customHeight="1" x14ac:dyDescent="0.25">
      <c r="A414"/>
      <c r="B414"/>
      <c r="C414"/>
      <c r="D414"/>
      <c r="E414"/>
      <c r="F414"/>
      <c r="G414"/>
      <c r="H414"/>
      <c r="I414"/>
      <c r="J414"/>
    </row>
    <row r="415" spans="1:10" ht="11.25" customHeight="1" x14ac:dyDescent="0.25">
      <c r="A415"/>
      <c r="B415"/>
      <c r="C415"/>
      <c r="D415"/>
      <c r="E415"/>
      <c r="F415"/>
      <c r="G415"/>
      <c r="H415"/>
      <c r="I415"/>
      <c r="J415"/>
    </row>
    <row r="416" spans="1:10" ht="11.25" customHeight="1" x14ac:dyDescent="0.25">
      <c r="A416"/>
      <c r="B416"/>
      <c r="C416"/>
      <c r="D416"/>
      <c r="E416"/>
      <c r="F416"/>
      <c r="G416"/>
      <c r="H416"/>
      <c r="I416"/>
      <c r="J416"/>
    </row>
    <row r="417" spans="1:10" ht="11.25" customHeight="1" x14ac:dyDescent="0.25">
      <c r="A417"/>
      <c r="B417"/>
      <c r="C417"/>
      <c r="D417"/>
      <c r="E417"/>
      <c r="F417"/>
      <c r="G417"/>
      <c r="H417"/>
      <c r="I417"/>
      <c r="J417"/>
    </row>
    <row r="418" spans="1:10" ht="11.25" customHeight="1" x14ac:dyDescent="0.25">
      <c r="A418"/>
      <c r="B418"/>
      <c r="C418"/>
      <c r="D418"/>
      <c r="E418"/>
      <c r="F418"/>
      <c r="G418"/>
      <c r="H418"/>
      <c r="I418"/>
      <c r="J418"/>
    </row>
    <row r="419" spans="1:10" ht="11.25" customHeight="1" x14ac:dyDescent="0.25">
      <c r="A419"/>
      <c r="B419"/>
      <c r="C419"/>
      <c r="D419"/>
      <c r="E419"/>
      <c r="F419"/>
      <c r="G419"/>
      <c r="H419"/>
      <c r="I419"/>
      <c r="J419"/>
    </row>
    <row r="420" spans="1:10" ht="11.25" customHeight="1" x14ac:dyDescent="0.25">
      <c r="A420"/>
      <c r="B420"/>
      <c r="C420"/>
      <c r="D420"/>
      <c r="E420"/>
      <c r="F420"/>
      <c r="G420"/>
      <c r="H420"/>
      <c r="I420"/>
      <c r="J420"/>
    </row>
    <row r="421" spans="1:10" ht="11.25" customHeight="1" x14ac:dyDescent="0.25">
      <c r="A421"/>
      <c r="B421"/>
      <c r="C421"/>
      <c r="D421"/>
      <c r="E421"/>
      <c r="F421"/>
      <c r="G421"/>
      <c r="H421"/>
      <c r="I421"/>
      <c r="J421"/>
    </row>
    <row r="422" spans="1:10" ht="11.25" customHeight="1" x14ac:dyDescent="0.25">
      <c r="A422"/>
      <c r="B422"/>
      <c r="C422"/>
      <c r="D422"/>
      <c r="E422"/>
      <c r="F422"/>
      <c r="G422"/>
      <c r="H422"/>
      <c r="I422"/>
      <c r="J422"/>
    </row>
    <row r="423" spans="1:10" ht="11.25" customHeight="1" x14ac:dyDescent="0.25">
      <c r="A423"/>
      <c r="B423"/>
      <c r="C423"/>
      <c r="D423"/>
      <c r="E423"/>
      <c r="F423"/>
      <c r="G423"/>
      <c r="H423"/>
      <c r="I423"/>
      <c r="J423"/>
    </row>
    <row r="424" spans="1:10" ht="11.25" customHeight="1" x14ac:dyDescent="0.25">
      <c r="A424"/>
      <c r="B424"/>
      <c r="C424"/>
      <c r="D424"/>
      <c r="E424"/>
      <c r="F424"/>
      <c r="G424"/>
      <c r="H424"/>
      <c r="I424"/>
      <c r="J424"/>
    </row>
    <row r="425" spans="1:10" ht="11.25" customHeight="1" x14ac:dyDescent="0.25">
      <c r="A425"/>
      <c r="B425"/>
      <c r="C425"/>
      <c r="D425"/>
      <c r="E425"/>
      <c r="F425"/>
      <c r="G425"/>
      <c r="H425"/>
      <c r="I425"/>
      <c r="J425"/>
    </row>
    <row r="426" spans="1:10" ht="11.25" customHeight="1" x14ac:dyDescent="0.25">
      <c r="A426"/>
      <c r="B426"/>
      <c r="C426"/>
      <c r="D426"/>
      <c r="E426"/>
      <c r="F426"/>
      <c r="G426"/>
      <c r="H426"/>
      <c r="I426"/>
      <c r="J426"/>
    </row>
    <row r="427" spans="1:10" ht="11.25" customHeight="1" x14ac:dyDescent="0.25">
      <c r="A427"/>
      <c r="B427"/>
      <c r="C427"/>
      <c r="D427"/>
      <c r="E427"/>
      <c r="F427"/>
      <c r="G427"/>
      <c r="H427"/>
      <c r="I427"/>
      <c r="J427"/>
    </row>
    <row r="428" spans="1:10" ht="11.25" customHeight="1" x14ac:dyDescent="0.25">
      <c r="A428"/>
      <c r="B428"/>
      <c r="C428"/>
      <c r="D428"/>
      <c r="E428"/>
      <c r="F428"/>
      <c r="G428"/>
      <c r="H428"/>
      <c r="I428"/>
      <c r="J428"/>
    </row>
    <row r="429" spans="1:10" ht="11.25" customHeight="1" x14ac:dyDescent="0.25">
      <c r="A429"/>
      <c r="B429"/>
      <c r="C429"/>
      <c r="D429"/>
      <c r="E429"/>
      <c r="F429"/>
      <c r="G429"/>
      <c r="H429"/>
      <c r="I429"/>
      <c r="J429"/>
    </row>
    <row r="430" spans="1:10" ht="11.25" customHeight="1" x14ac:dyDescent="0.25">
      <c r="A430"/>
      <c r="B430"/>
      <c r="C430"/>
      <c r="D430"/>
      <c r="E430"/>
      <c r="F430"/>
      <c r="G430"/>
      <c r="H430"/>
      <c r="I430"/>
      <c r="J430"/>
    </row>
    <row r="431" spans="1:10" ht="11.25" customHeight="1" x14ac:dyDescent="0.25">
      <c r="A431"/>
      <c r="B431"/>
      <c r="C431"/>
      <c r="D431"/>
      <c r="E431"/>
      <c r="F431"/>
      <c r="G431"/>
      <c r="H431"/>
      <c r="I431"/>
      <c r="J431"/>
    </row>
    <row r="432" spans="1:10" ht="11.25" customHeight="1" x14ac:dyDescent="0.25">
      <c r="A432"/>
      <c r="B432"/>
      <c r="C432"/>
      <c r="D432"/>
      <c r="E432"/>
      <c r="F432"/>
      <c r="G432"/>
      <c r="H432"/>
      <c r="I432"/>
      <c r="J432"/>
    </row>
    <row r="433" spans="1:10" ht="11.25" customHeight="1" x14ac:dyDescent="0.25">
      <c r="A433"/>
      <c r="B433"/>
      <c r="C433"/>
      <c r="D433"/>
      <c r="E433"/>
      <c r="F433"/>
      <c r="G433"/>
      <c r="H433"/>
      <c r="I433"/>
      <c r="J433"/>
    </row>
    <row r="434" spans="1:10" ht="11.25" customHeight="1" x14ac:dyDescent="0.25">
      <c r="A434"/>
      <c r="B434"/>
      <c r="C434"/>
      <c r="D434"/>
      <c r="E434"/>
      <c r="F434"/>
      <c r="G434"/>
      <c r="H434"/>
      <c r="I434"/>
      <c r="J434"/>
    </row>
    <row r="435" spans="1:10" ht="11.25" customHeight="1" x14ac:dyDescent="0.25">
      <c r="A435"/>
      <c r="B435"/>
      <c r="C435"/>
      <c r="D435"/>
      <c r="E435"/>
      <c r="F435"/>
      <c r="G435"/>
      <c r="H435"/>
      <c r="I435"/>
      <c r="J435"/>
    </row>
    <row r="436" spans="1:10" ht="11.25" customHeight="1" x14ac:dyDescent="0.25">
      <c r="A436"/>
      <c r="B436"/>
      <c r="C436"/>
      <c r="D436"/>
      <c r="E436"/>
      <c r="F436"/>
      <c r="G436"/>
      <c r="H436"/>
      <c r="I436"/>
      <c r="J436"/>
    </row>
    <row r="437" spans="1:10" ht="11.25" customHeight="1" x14ac:dyDescent="0.25">
      <c r="A437"/>
      <c r="B437"/>
      <c r="C437"/>
      <c r="D437"/>
      <c r="E437"/>
      <c r="F437"/>
      <c r="G437"/>
      <c r="H437"/>
      <c r="I437"/>
      <c r="J437"/>
    </row>
    <row r="438" spans="1:10" ht="11.25" customHeight="1" x14ac:dyDescent="0.25">
      <c r="A438"/>
      <c r="B438"/>
      <c r="C438"/>
      <c r="D438"/>
      <c r="E438"/>
      <c r="F438"/>
      <c r="G438"/>
      <c r="H438"/>
      <c r="I438"/>
      <c r="J438"/>
    </row>
    <row r="439" spans="1:10" ht="11.25" customHeight="1" x14ac:dyDescent="0.25">
      <c r="A439"/>
      <c r="B439"/>
      <c r="C439"/>
      <c r="D439"/>
      <c r="E439"/>
      <c r="F439"/>
      <c r="G439"/>
      <c r="H439"/>
      <c r="I439"/>
      <c r="J439"/>
    </row>
    <row r="440" spans="1:10" ht="11.25" customHeight="1" x14ac:dyDescent="0.25">
      <c r="A440"/>
      <c r="B440"/>
      <c r="C440"/>
      <c r="D440"/>
      <c r="E440"/>
      <c r="F440"/>
      <c r="G440"/>
      <c r="H440"/>
      <c r="I440"/>
      <c r="J440"/>
    </row>
    <row r="441" spans="1:10" ht="11.25" customHeight="1" x14ac:dyDescent="0.25">
      <c r="A441"/>
      <c r="B441"/>
      <c r="C441"/>
      <c r="D441"/>
      <c r="E441"/>
      <c r="F441"/>
      <c r="G441"/>
      <c r="H441"/>
      <c r="I441"/>
      <c r="J441"/>
    </row>
    <row r="442" spans="1:10" ht="11.25" customHeight="1" x14ac:dyDescent="0.25">
      <c r="A442"/>
      <c r="B442"/>
      <c r="C442"/>
      <c r="D442"/>
      <c r="E442"/>
      <c r="F442"/>
      <c r="G442"/>
      <c r="H442"/>
      <c r="I442"/>
      <c r="J442"/>
    </row>
    <row r="443" spans="1:10" ht="11.25" customHeight="1" x14ac:dyDescent="0.25">
      <c r="A443"/>
      <c r="B443"/>
      <c r="C443"/>
      <c r="D443"/>
      <c r="E443"/>
      <c r="F443"/>
      <c r="G443"/>
      <c r="H443"/>
      <c r="I443"/>
      <c r="J443"/>
    </row>
    <row r="444" spans="1:10" ht="11.25" customHeight="1" x14ac:dyDescent="0.25">
      <c r="A444"/>
      <c r="B444"/>
      <c r="C444"/>
      <c r="D444"/>
      <c r="E444"/>
      <c r="F444"/>
      <c r="G444"/>
      <c r="H444"/>
      <c r="I444"/>
      <c r="J444"/>
    </row>
    <row r="445" spans="1:10" ht="11.25" customHeight="1" x14ac:dyDescent="0.25">
      <c r="A445"/>
      <c r="B445"/>
      <c r="C445"/>
      <c r="D445"/>
      <c r="E445"/>
      <c r="F445"/>
      <c r="G445"/>
      <c r="H445"/>
      <c r="I445"/>
      <c r="J445"/>
    </row>
    <row r="446" spans="1:10" ht="11.25" customHeight="1" x14ac:dyDescent="0.25">
      <c r="A446"/>
      <c r="B446"/>
      <c r="C446"/>
      <c r="D446"/>
      <c r="E446"/>
      <c r="F446"/>
      <c r="G446"/>
      <c r="H446"/>
      <c r="I446"/>
      <c r="J446"/>
    </row>
    <row r="447" spans="1:10" ht="11.25" customHeight="1" x14ac:dyDescent="0.25">
      <c r="A447"/>
      <c r="B447"/>
      <c r="C447"/>
      <c r="D447"/>
      <c r="E447"/>
      <c r="F447"/>
      <c r="G447"/>
      <c r="H447"/>
      <c r="I447"/>
      <c r="J447"/>
    </row>
    <row r="448" spans="1:10" ht="11.25" customHeight="1" x14ac:dyDescent="0.25">
      <c r="A448"/>
      <c r="B448"/>
      <c r="C448"/>
      <c r="D448"/>
      <c r="E448"/>
      <c r="F448"/>
      <c r="G448"/>
      <c r="H448"/>
      <c r="I448"/>
      <c r="J448"/>
    </row>
    <row r="449" spans="1:10" ht="11.25" customHeight="1" x14ac:dyDescent="0.25">
      <c r="A449"/>
      <c r="B449"/>
      <c r="C449"/>
      <c r="D449"/>
      <c r="E449"/>
      <c r="F449"/>
      <c r="G449"/>
      <c r="H449"/>
      <c r="I449"/>
      <c r="J449"/>
    </row>
    <row r="450" spans="1:10" ht="11.25" customHeight="1" x14ac:dyDescent="0.25">
      <c r="A450"/>
      <c r="B450"/>
      <c r="C450"/>
      <c r="D450"/>
      <c r="E450"/>
      <c r="F450"/>
      <c r="G450"/>
      <c r="H450"/>
      <c r="I450"/>
      <c r="J450"/>
    </row>
    <row r="451" spans="1:10" ht="11.25" customHeight="1" x14ac:dyDescent="0.25">
      <c r="A451"/>
      <c r="B451"/>
      <c r="C451"/>
      <c r="D451"/>
      <c r="E451"/>
      <c r="F451"/>
      <c r="G451"/>
      <c r="H451"/>
      <c r="I451"/>
      <c r="J451"/>
    </row>
    <row r="452" spans="1:10" ht="11.25" customHeight="1" x14ac:dyDescent="0.25">
      <c r="A452"/>
      <c r="B452"/>
      <c r="C452"/>
      <c r="D452"/>
      <c r="E452"/>
      <c r="F452"/>
      <c r="G452"/>
      <c r="H452"/>
      <c r="I452"/>
      <c r="J452"/>
    </row>
    <row r="453" spans="1:10" ht="11.25" customHeight="1" x14ac:dyDescent="0.25">
      <c r="A453"/>
      <c r="B453"/>
      <c r="C453"/>
      <c r="D453"/>
      <c r="E453"/>
      <c r="F453"/>
      <c r="G453"/>
      <c r="H453"/>
      <c r="I453"/>
      <c r="J453"/>
    </row>
    <row r="454" spans="1:10" ht="11.25" customHeight="1" x14ac:dyDescent="0.25">
      <c r="A454"/>
      <c r="B454"/>
      <c r="C454"/>
      <c r="D454"/>
      <c r="E454"/>
      <c r="F454"/>
      <c r="G454"/>
      <c r="H454"/>
      <c r="I454"/>
      <c r="J454"/>
    </row>
    <row r="455" spans="1:10" ht="11.25" customHeight="1" x14ac:dyDescent="0.25">
      <c r="A455"/>
      <c r="B455"/>
      <c r="C455"/>
      <c r="D455"/>
      <c r="E455"/>
      <c r="F455"/>
      <c r="G455"/>
      <c r="H455"/>
      <c r="I455"/>
      <c r="J455"/>
    </row>
    <row r="456" spans="1:10" ht="11.25" customHeight="1" x14ac:dyDescent="0.25">
      <c r="A456"/>
      <c r="B456"/>
      <c r="C456"/>
      <c r="D456"/>
      <c r="E456"/>
      <c r="F456"/>
      <c r="G456"/>
      <c r="H456"/>
      <c r="I456"/>
      <c r="J456"/>
    </row>
    <row r="457" spans="1:10" ht="11.25" customHeight="1" x14ac:dyDescent="0.25">
      <c r="A457"/>
      <c r="B457"/>
      <c r="C457"/>
      <c r="D457"/>
      <c r="E457"/>
      <c r="F457"/>
      <c r="G457"/>
      <c r="H457"/>
      <c r="I457"/>
      <c r="J457"/>
    </row>
    <row r="458" spans="1:10" ht="11.25" customHeight="1" x14ac:dyDescent="0.25">
      <c r="A458"/>
      <c r="B458"/>
      <c r="C458"/>
      <c r="D458"/>
      <c r="E458"/>
      <c r="F458"/>
      <c r="G458"/>
      <c r="H458"/>
      <c r="I458"/>
      <c r="J458"/>
    </row>
    <row r="459" spans="1:10" ht="11.25" customHeight="1" x14ac:dyDescent="0.25">
      <c r="A459"/>
      <c r="B459"/>
      <c r="C459"/>
      <c r="D459"/>
      <c r="E459"/>
      <c r="F459"/>
      <c r="G459"/>
      <c r="H459"/>
      <c r="I459"/>
      <c r="J459"/>
    </row>
    <row r="460" spans="1:10" ht="11.25" customHeight="1" x14ac:dyDescent="0.25">
      <c r="A460"/>
      <c r="B460"/>
      <c r="C460"/>
      <c r="D460"/>
      <c r="E460"/>
      <c r="F460"/>
      <c r="G460"/>
      <c r="H460"/>
      <c r="I460"/>
      <c r="J460"/>
    </row>
    <row r="461" spans="1:10" ht="11.25" customHeight="1" x14ac:dyDescent="0.25">
      <c r="A461"/>
      <c r="B461"/>
      <c r="C461"/>
      <c r="D461"/>
      <c r="E461"/>
      <c r="F461"/>
      <c r="G461"/>
      <c r="H461"/>
      <c r="I461"/>
      <c r="J461"/>
    </row>
    <row r="462" spans="1:10" ht="11.25" customHeight="1" x14ac:dyDescent="0.25">
      <c r="A462"/>
      <c r="B462"/>
      <c r="C462"/>
      <c r="D462"/>
      <c r="E462"/>
      <c r="F462"/>
      <c r="G462"/>
      <c r="H462"/>
      <c r="I462"/>
      <c r="J462"/>
    </row>
    <row r="463" spans="1:10" ht="11.25" customHeight="1" x14ac:dyDescent="0.25">
      <c r="A463"/>
      <c r="B463"/>
      <c r="C463"/>
      <c r="D463"/>
      <c r="E463"/>
      <c r="F463"/>
      <c r="G463"/>
      <c r="H463"/>
      <c r="I463"/>
      <c r="J463"/>
    </row>
    <row r="464" spans="1:10" ht="11.25" customHeight="1" x14ac:dyDescent="0.25">
      <c r="A464"/>
      <c r="B464"/>
      <c r="C464"/>
      <c r="D464"/>
      <c r="E464"/>
      <c r="F464"/>
      <c r="G464"/>
      <c r="H464"/>
      <c r="I464"/>
      <c r="J464"/>
    </row>
    <row r="465" spans="1:10" ht="11.25" customHeight="1" x14ac:dyDescent="0.25">
      <c r="A465"/>
      <c r="B465"/>
      <c r="C465"/>
      <c r="D465"/>
      <c r="E465"/>
      <c r="F465"/>
      <c r="G465"/>
      <c r="H465"/>
      <c r="I465"/>
      <c r="J465"/>
    </row>
    <row r="466" spans="1:10" ht="11.25" customHeight="1" x14ac:dyDescent="0.25">
      <c r="A466"/>
      <c r="B466"/>
      <c r="C466"/>
      <c r="D466"/>
      <c r="E466"/>
      <c r="F466"/>
      <c r="G466"/>
      <c r="H466"/>
      <c r="I466"/>
      <c r="J466"/>
    </row>
    <row r="467" spans="1:10" ht="11.25" customHeight="1" x14ac:dyDescent="0.25">
      <c r="A467"/>
      <c r="B467"/>
      <c r="C467"/>
      <c r="D467"/>
      <c r="E467"/>
      <c r="F467"/>
      <c r="G467"/>
      <c r="H467"/>
      <c r="I467"/>
      <c r="J467"/>
    </row>
    <row r="468" spans="1:10" ht="11.25" customHeight="1" x14ac:dyDescent="0.25">
      <c r="A468"/>
      <c r="B468"/>
      <c r="C468"/>
      <c r="D468"/>
      <c r="E468"/>
      <c r="F468"/>
      <c r="G468"/>
      <c r="H468"/>
      <c r="I468"/>
      <c r="J468"/>
    </row>
    <row r="469" spans="1:10" ht="11.25" customHeight="1" x14ac:dyDescent="0.25">
      <c r="A469"/>
      <c r="B469"/>
      <c r="C469"/>
      <c r="D469"/>
      <c r="E469"/>
      <c r="F469"/>
      <c r="G469"/>
      <c r="H469"/>
      <c r="I469"/>
      <c r="J469"/>
    </row>
    <row r="470" spans="1:10" ht="11.25" customHeight="1" x14ac:dyDescent="0.25">
      <c r="A470"/>
      <c r="B470"/>
      <c r="C470"/>
      <c r="D470"/>
      <c r="E470"/>
      <c r="F470"/>
      <c r="G470"/>
      <c r="H470"/>
      <c r="I470"/>
      <c r="J470"/>
    </row>
    <row r="471" spans="1:10" ht="11.25" customHeight="1" x14ac:dyDescent="0.25">
      <c r="A471"/>
      <c r="B471"/>
      <c r="C471"/>
      <c r="D471"/>
      <c r="E471"/>
      <c r="F471"/>
      <c r="G471"/>
      <c r="H471"/>
      <c r="I471"/>
      <c r="J471"/>
    </row>
    <row r="472" spans="1:10" ht="11.25" customHeight="1" x14ac:dyDescent="0.25">
      <c r="A472"/>
      <c r="B472"/>
      <c r="C472"/>
      <c r="D472"/>
      <c r="E472"/>
      <c r="F472"/>
      <c r="G472"/>
      <c r="H472"/>
      <c r="I472"/>
      <c r="J472"/>
    </row>
    <row r="473" spans="1:10" ht="11.25" customHeight="1" x14ac:dyDescent="0.25">
      <c r="A473"/>
      <c r="B473"/>
      <c r="C473"/>
      <c r="D473"/>
      <c r="E473"/>
      <c r="F473"/>
      <c r="G473"/>
      <c r="H473"/>
      <c r="I473"/>
      <c r="J473"/>
    </row>
    <row r="474" spans="1:10" ht="11.25" customHeight="1" x14ac:dyDescent="0.25">
      <c r="A474"/>
      <c r="B474"/>
      <c r="C474"/>
      <c r="D474"/>
      <c r="E474"/>
      <c r="F474"/>
      <c r="G474"/>
      <c r="H474"/>
      <c r="I474"/>
      <c r="J474"/>
    </row>
    <row r="475" spans="1:10" ht="11.25" customHeight="1" x14ac:dyDescent="0.25">
      <c r="A475"/>
      <c r="B475"/>
      <c r="C475"/>
      <c r="D475"/>
      <c r="E475"/>
      <c r="F475"/>
      <c r="G475"/>
      <c r="H475"/>
      <c r="I475"/>
      <c r="J475"/>
    </row>
    <row r="476" spans="1:10" ht="11.25" customHeight="1" x14ac:dyDescent="0.25">
      <c r="A476"/>
      <c r="B476"/>
      <c r="C476"/>
      <c r="D476"/>
      <c r="E476"/>
      <c r="F476"/>
      <c r="G476"/>
      <c r="H476"/>
      <c r="I476"/>
      <c r="J476"/>
    </row>
    <row r="477" spans="1:10" ht="11.25" customHeight="1" x14ac:dyDescent="0.25">
      <c r="A477"/>
      <c r="B477"/>
      <c r="C477"/>
      <c r="D477"/>
      <c r="E477"/>
      <c r="F477"/>
      <c r="G477"/>
      <c r="H477"/>
      <c r="I477"/>
      <c r="J477"/>
    </row>
    <row r="478" spans="1:10" ht="11.25" customHeight="1" x14ac:dyDescent="0.25">
      <c r="A478"/>
      <c r="B478"/>
      <c r="C478"/>
      <c r="D478"/>
      <c r="E478"/>
      <c r="F478"/>
      <c r="G478"/>
      <c r="H478"/>
      <c r="I478"/>
      <c r="J478"/>
    </row>
    <row r="479" spans="1:10" ht="11.25" customHeight="1" x14ac:dyDescent="0.25">
      <c r="A479"/>
      <c r="B479"/>
      <c r="C479"/>
      <c r="D479"/>
      <c r="E479"/>
      <c r="F479"/>
      <c r="G479"/>
      <c r="H479"/>
      <c r="I479"/>
      <c r="J479"/>
    </row>
    <row r="480" spans="1:10" ht="11.25" customHeight="1" x14ac:dyDescent="0.25">
      <c r="A480"/>
      <c r="B480"/>
      <c r="C480"/>
      <c r="D480"/>
      <c r="E480"/>
      <c r="F480"/>
      <c r="G480"/>
      <c r="H480"/>
      <c r="I480"/>
      <c r="J480"/>
    </row>
    <row r="481" spans="1:10" ht="11.25" customHeight="1" x14ac:dyDescent="0.25">
      <c r="A481"/>
      <c r="B481"/>
      <c r="C481"/>
      <c r="D481"/>
      <c r="E481"/>
      <c r="F481"/>
      <c r="G481"/>
      <c r="H481"/>
      <c r="I481"/>
      <c r="J481"/>
    </row>
    <row r="482" spans="1:10" ht="11.25" customHeight="1" x14ac:dyDescent="0.25">
      <c r="A482"/>
      <c r="B482"/>
      <c r="C482"/>
      <c r="D482"/>
      <c r="E482"/>
      <c r="F482"/>
      <c r="G482"/>
      <c r="H482"/>
      <c r="I482"/>
      <c r="J482"/>
    </row>
    <row r="483" spans="1:10" ht="11.25" customHeight="1" x14ac:dyDescent="0.25">
      <c r="A483"/>
      <c r="B483"/>
      <c r="C483"/>
      <c r="D483"/>
      <c r="E483"/>
      <c r="F483"/>
      <c r="G483"/>
      <c r="H483"/>
      <c r="I483"/>
      <c r="J483"/>
    </row>
    <row r="484" spans="1:10" ht="11.25" customHeight="1" x14ac:dyDescent="0.25">
      <c r="A484"/>
      <c r="B484"/>
      <c r="C484"/>
      <c r="D484"/>
      <c r="E484"/>
      <c r="F484"/>
      <c r="G484"/>
      <c r="H484"/>
      <c r="I484"/>
      <c r="J484"/>
    </row>
    <row r="485" spans="1:10" ht="11.25" customHeight="1" x14ac:dyDescent="0.25">
      <c r="A485"/>
      <c r="B485"/>
      <c r="C485"/>
      <c r="D485"/>
      <c r="E485"/>
      <c r="F485"/>
      <c r="G485"/>
      <c r="H485"/>
      <c r="I485"/>
      <c r="J485"/>
    </row>
    <row r="486" spans="1:10" ht="11.25" customHeight="1" x14ac:dyDescent="0.25">
      <c r="A486"/>
      <c r="B486"/>
      <c r="C486"/>
      <c r="D486"/>
      <c r="E486"/>
      <c r="F486"/>
      <c r="G486"/>
      <c r="H486"/>
      <c r="I486"/>
      <c r="J486"/>
    </row>
    <row r="487" spans="1:10" ht="11.25" customHeight="1" x14ac:dyDescent="0.25">
      <c r="A487"/>
      <c r="B487"/>
      <c r="C487"/>
      <c r="D487"/>
      <c r="E487"/>
      <c r="F487"/>
      <c r="G487"/>
      <c r="H487"/>
      <c r="I487"/>
      <c r="J487"/>
    </row>
    <row r="488" spans="1:10" ht="11.25" customHeight="1" x14ac:dyDescent="0.25">
      <c r="A488"/>
      <c r="B488"/>
      <c r="C488"/>
      <c r="D488"/>
      <c r="E488"/>
      <c r="F488"/>
      <c r="G488"/>
      <c r="H488"/>
      <c r="I488"/>
      <c r="J488"/>
    </row>
    <row r="489" spans="1:10" ht="11.25" customHeight="1" x14ac:dyDescent="0.25">
      <c r="A489"/>
      <c r="B489"/>
      <c r="C489"/>
      <c r="D489"/>
      <c r="E489"/>
      <c r="F489"/>
      <c r="G489"/>
      <c r="H489"/>
      <c r="I489"/>
      <c r="J489"/>
    </row>
    <row r="490" spans="1:10" ht="11.25" customHeight="1" x14ac:dyDescent="0.25">
      <c r="A490"/>
      <c r="B490"/>
      <c r="C490"/>
      <c r="D490"/>
      <c r="E490"/>
      <c r="F490"/>
      <c r="G490"/>
      <c r="H490"/>
      <c r="I490"/>
      <c r="J490"/>
    </row>
    <row r="491" spans="1:10" ht="11.25" customHeight="1" x14ac:dyDescent="0.25">
      <c r="A491"/>
      <c r="B491"/>
      <c r="C491"/>
      <c r="D491"/>
      <c r="E491"/>
      <c r="F491"/>
      <c r="G491"/>
      <c r="H491"/>
      <c r="I491"/>
      <c r="J491"/>
    </row>
    <row r="492" spans="1:10" ht="11.25" customHeight="1" x14ac:dyDescent="0.25">
      <c r="A492"/>
      <c r="B492"/>
      <c r="C492"/>
      <c r="D492"/>
      <c r="E492"/>
      <c r="F492"/>
      <c r="G492"/>
      <c r="H492"/>
      <c r="I492"/>
      <c r="J492"/>
    </row>
    <row r="493" spans="1:10" ht="11.25" customHeight="1" x14ac:dyDescent="0.25">
      <c r="A493"/>
      <c r="B493"/>
      <c r="C493"/>
      <c r="D493"/>
      <c r="E493"/>
      <c r="F493"/>
      <c r="G493"/>
      <c r="H493"/>
      <c r="I493"/>
      <c r="J493"/>
    </row>
    <row r="494" spans="1:10" ht="11.25" customHeight="1" x14ac:dyDescent="0.25">
      <c r="A494"/>
      <c r="B494"/>
      <c r="C494"/>
      <c r="D494"/>
      <c r="E494"/>
      <c r="F494"/>
      <c r="G494"/>
      <c r="H494"/>
      <c r="I494"/>
      <c r="J494"/>
    </row>
    <row r="495" spans="1:10" ht="11.25" customHeight="1" x14ac:dyDescent="0.25">
      <c r="A495"/>
      <c r="B495"/>
      <c r="C495"/>
      <c r="D495"/>
      <c r="E495"/>
      <c r="F495"/>
      <c r="G495"/>
      <c r="H495"/>
      <c r="I495"/>
      <c r="J495"/>
    </row>
    <row r="496" spans="1:10" ht="11.25" customHeight="1" x14ac:dyDescent="0.25">
      <c r="A496"/>
      <c r="B496"/>
      <c r="C496"/>
      <c r="D496"/>
      <c r="E496"/>
      <c r="F496"/>
      <c r="G496"/>
      <c r="H496"/>
      <c r="I496"/>
      <c r="J496"/>
    </row>
    <row r="497" spans="1:10" ht="11.25" customHeight="1" x14ac:dyDescent="0.25">
      <c r="A497"/>
      <c r="B497"/>
      <c r="C497"/>
      <c r="D497"/>
      <c r="E497"/>
      <c r="F497"/>
      <c r="G497"/>
      <c r="H497"/>
      <c r="I497"/>
      <c r="J497"/>
    </row>
    <row r="498" spans="1:10" ht="11.25" customHeight="1" x14ac:dyDescent="0.25">
      <c r="A498"/>
      <c r="B498"/>
      <c r="C498"/>
      <c r="D498"/>
      <c r="E498"/>
      <c r="F498"/>
      <c r="G498"/>
      <c r="H498"/>
      <c r="I498"/>
      <c r="J498"/>
    </row>
    <row r="499" spans="1:10" ht="11.25" customHeight="1" x14ac:dyDescent="0.25">
      <c r="A499"/>
      <c r="B499"/>
      <c r="C499"/>
      <c r="D499"/>
      <c r="E499"/>
      <c r="F499"/>
      <c r="G499"/>
      <c r="H499"/>
      <c r="I499"/>
      <c r="J499"/>
    </row>
    <row r="500" spans="1:10" ht="11.25" customHeight="1" x14ac:dyDescent="0.25">
      <c r="A500"/>
      <c r="B500"/>
      <c r="C500"/>
      <c r="D500"/>
      <c r="E500"/>
      <c r="F500"/>
      <c r="G500"/>
      <c r="H500"/>
      <c r="I500"/>
      <c r="J500"/>
    </row>
    <row r="501" spans="1:10" ht="11.25" customHeight="1" x14ac:dyDescent="0.25">
      <c r="A501"/>
      <c r="B501"/>
      <c r="C501"/>
      <c r="D501"/>
      <c r="E501"/>
      <c r="F501"/>
      <c r="G501"/>
      <c r="H501"/>
      <c r="I501"/>
      <c r="J501"/>
    </row>
    <row r="502" spans="1:10" ht="11.25" customHeight="1" x14ac:dyDescent="0.25">
      <c r="A502"/>
      <c r="B502"/>
      <c r="C502"/>
      <c r="D502"/>
      <c r="E502"/>
      <c r="F502"/>
      <c r="G502"/>
      <c r="H502"/>
      <c r="I502"/>
      <c r="J502"/>
    </row>
    <row r="503" spans="1:10" ht="11.25" customHeight="1" x14ac:dyDescent="0.25">
      <c r="A503"/>
      <c r="B503"/>
      <c r="C503"/>
      <c r="D503"/>
      <c r="E503"/>
      <c r="F503"/>
      <c r="G503"/>
      <c r="H503"/>
      <c r="I503"/>
      <c r="J503"/>
    </row>
    <row r="504" spans="1:10" ht="11.25" customHeight="1" x14ac:dyDescent="0.25">
      <c r="A504"/>
      <c r="B504"/>
      <c r="C504"/>
      <c r="D504"/>
      <c r="E504"/>
      <c r="F504"/>
      <c r="G504"/>
      <c r="H504"/>
      <c r="I504"/>
      <c r="J504"/>
    </row>
    <row r="505" spans="1:10" ht="11.25" customHeight="1" x14ac:dyDescent="0.25">
      <c r="A505"/>
      <c r="B505"/>
      <c r="C505"/>
      <c r="D505"/>
      <c r="E505"/>
      <c r="F505"/>
      <c r="G505"/>
      <c r="H505"/>
      <c r="I505"/>
      <c r="J505"/>
    </row>
    <row r="506" spans="1:10" ht="11.25" customHeight="1" x14ac:dyDescent="0.25">
      <c r="A506"/>
      <c r="B506"/>
      <c r="C506"/>
      <c r="D506"/>
      <c r="E506"/>
      <c r="F506"/>
      <c r="G506"/>
      <c r="H506"/>
      <c r="I506"/>
      <c r="J506"/>
    </row>
    <row r="507" spans="1:10" ht="11.25" customHeight="1" x14ac:dyDescent="0.25">
      <c r="A507"/>
      <c r="B507"/>
      <c r="C507"/>
      <c r="D507"/>
      <c r="E507"/>
      <c r="F507"/>
      <c r="G507"/>
      <c r="H507"/>
      <c r="I507"/>
      <c r="J507"/>
    </row>
    <row r="508" spans="1:10" ht="11.25" customHeight="1" x14ac:dyDescent="0.25">
      <c r="A508"/>
      <c r="B508"/>
      <c r="C508"/>
      <c r="D508"/>
      <c r="E508"/>
      <c r="F508"/>
      <c r="G508"/>
      <c r="H508"/>
      <c r="I508"/>
      <c r="J508"/>
    </row>
    <row r="509" spans="1:10" ht="11.25" customHeight="1" x14ac:dyDescent="0.25">
      <c r="A509"/>
      <c r="B509"/>
      <c r="C509"/>
      <c r="D509"/>
      <c r="E509"/>
      <c r="F509"/>
      <c r="G509"/>
      <c r="H509"/>
      <c r="I509"/>
      <c r="J509"/>
    </row>
    <row r="510" spans="1:10" ht="11.25" customHeight="1" x14ac:dyDescent="0.25">
      <c r="A510"/>
      <c r="B510"/>
      <c r="C510"/>
      <c r="D510"/>
      <c r="E510"/>
      <c r="F510"/>
      <c r="G510"/>
      <c r="H510"/>
      <c r="I510"/>
      <c r="J510"/>
    </row>
    <row r="511" spans="1:10" ht="11.25" customHeight="1" x14ac:dyDescent="0.25">
      <c r="A511"/>
      <c r="B511"/>
      <c r="C511"/>
      <c r="D511"/>
      <c r="E511"/>
      <c r="F511"/>
      <c r="G511"/>
      <c r="H511"/>
      <c r="I511"/>
      <c r="J511"/>
    </row>
    <row r="512" spans="1:10" ht="11.25" customHeight="1" x14ac:dyDescent="0.25">
      <c r="A512"/>
      <c r="B512"/>
      <c r="C512"/>
      <c r="D512"/>
      <c r="E512"/>
      <c r="F512"/>
      <c r="G512"/>
      <c r="H512"/>
      <c r="I512"/>
      <c r="J512"/>
    </row>
    <row r="513" spans="1:10" ht="11.25" customHeight="1" x14ac:dyDescent="0.25">
      <c r="A513"/>
      <c r="B513"/>
      <c r="C513"/>
      <c r="D513"/>
      <c r="E513"/>
      <c r="F513"/>
      <c r="G513"/>
      <c r="H513"/>
      <c r="I513"/>
      <c r="J513"/>
    </row>
    <row r="514" spans="1:10" ht="11.25" customHeight="1" x14ac:dyDescent="0.25">
      <c r="A514"/>
      <c r="B514"/>
      <c r="C514"/>
      <c r="D514"/>
      <c r="E514"/>
      <c r="F514"/>
      <c r="G514"/>
      <c r="H514"/>
      <c r="I514"/>
      <c r="J514"/>
    </row>
    <row r="515" spans="1:10" ht="11.25" customHeight="1" x14ac:dyDescent="0.25">
      <c r="A515"/>
      <c r="B515"/>
      <c r="C515"/>
      <c r="D515"/>
      <c r="E515"/>
      <c r="F515"/>
      <c r="G515"/>
      <c r="H515"/>
      <c r="I515"/>
      <c r="J515"/>
    </row>
    <row r="516" spans="1:10" ht="11.25" customHeight="1" x14ac:dyDescent="0.25">
      <c r="A516"/>
      <c r="B516"/>
      <c r="C516"/>
      <c r="D516"/>
      <c r="E516"/>
      <c r="F516"/>
      <c r="G516"/>
      <c r="H516"/>
      <c r="I516"/>
      <c r="J516"/>
    </row>
    <row r="517" spans="1:10" ht="11.25" customHeight="1" x14ac:dyDescent="0.25">
      <c r="A517"/>
      <c r="B517"/>
      <c r="C517"/>
      <c r="D517"/>
      <c r="E517"/>
      <c r="F517"/>
      <c r="G517"/>
      <c r="H517"/>
      <c r="I517"/>
      <c r="J517"/>
    </row>
    <row r="518" spans="1:10" ht="11.25" customHeight="1" x14ac:dyDescent="0.25">
      <c r="A518"/>
      <c r="B518"/>
      <c r="C518"/>
      <c r="D518"/>
      <c r="E518"/>
      <c r="F518"/>
      <c r="G518"/>
      <c r="H518"/>
      <c r="I518"/>
      <c r="J518"/>
    </row>
    <row r="519" spans="1:10" ht="11.25" customHeight="1" x14ac:dyDescent="0.25">
      <c r="A519"/>
      <c r="B519"/>
      <c r="C519"/>
      <c r="D519"/>
      <c r="E519"/>
      <c r="F519"/>
      <c r="G519"/>
      <c r="H519"/>
      <c r="I519"/>
      <c r="J519"/>
    </row>
    <row r="520" spans="1:10" ht="11.25" customHeight="1" x14ac:dyDescent="0.25">
      <c r="A520"/>
      <c r="B520"/>
      <c r="C520"/>
      <c r="D520"/>
      <c r="E520"/>
      <c r="F520"/>
      <c r="G520"/>
      <c r="H520"/>
      <c r="I520"/>
      <c r="J520"/>
    </row>
    <row r="521" spans="1:10" ht="11.25" customHeight="1" x14ac:dyDescent="0.25">
      <c r="A521"/>
      <c r="B521"/>
      <c r="C521"/>
      <c r="D521"/>
      <c r="E521"/>
      <c r="F521"/>
      <c r="G521"/>
      <c r="H521"/>
      <c r="I521"/>
      <c r="J521"/>
    </row>
    <row r="522" spans="1:10" ht="11.25" customHeight="1" x14ac:dyDescent="0.25">
      <c r="A522"/>
      <c r="B522"/>
      <c r="C522"/>
      <c r="D522"/>
      <c r="E522"/>
      <c r="F522"/>
      <c r="G522"/>
      <c r="H522"/>
      <c r="I522"/>
      <c r="J522"/>
    </row>
    <row r="523" spans="1:10" ht="11.25" customHeight="1" x14ac:dyDescent="0.25">
      <c r="A523"/>
      <c r="B523"/>
      <c r="C523"/>
      <c r="D523"/>
      <c r="E523"/>
      <c r="F523"/>
      <c r="G523"/>
      <c r="H523"/>
      <c r="I523"/>
      <c r="J523"/>
    </row>
    <row r="524" spans="1:10" ht="11.25" customHeight="1" x14ac:dyDescent="0.25">
      <c r="A524"/>
      <c r="B524"/>
      <c r="C524"/>
      <c r="D524"/>
      <c r="E524"/>
      <c r="F524"/>
      <c r="G524"/>
      <c r="H524"/>
      <c r="I524"/>
      <c r="J524"/>
    </row>
    <row r="525" spans="1:10" ht="11.25" customHeight="1" x14ac:dyDescent="0.25">
      <c r="A525"/>
      <c r="B525"/>
      <c r="C525"/>
      <c r="D525"/>
      <c r="E525"/>
      <c r="F525"/>
      <c r="G525"/>
      <c r="H525"/>
      <c r="I525"/>
      <c r="J525"/>
    </row>
    <row r="526" spans="1:10" ht="11.25" customHeight="1" x14ac:dyDescent="0.25">
      <c r="A526"/>
      <c r="B526"/>
      <c r="C526"/>
      <c r="D526"/>
      <c r="E526"/>
      <c r="F526"/>
      <c r="G526"/>
      <c r="H526"/>
      <c r="I526"/>
      <c r="J526"/>
    </row>
    <row r="527" spans="1:10" ht="11.25" customHeight="1" x14ac:dyDescent="0.25">
      <c r="A527"/>
      <c r="B527"/>
      <c r="C527"/>
      <c r="D527"/>
      <c r="E527"/>
      <c r="F527"/>
      <c r="G527"/>
      <c r="H527"/>
      <c r="I527"/>
      <c r="J527"/>
    </row>
    <row r="528" spans="1:10" ht="11.25" customHeight="1" x14ac:dyDescent="0.25">
      <c r="A528"/>
      <c r="B528"/>
      <c r="C528"/>
      <c r="D528"/>
      <c r="E528"/>
      <c r="F528"/>
      <c r="G528"/>
      <c r="H528"/>
      <c r="I528"/>
      <c r="J528"/>
    </row>
    <row r="529" spans="1:10" ht="11.25" customHeight="1" x14ac:dyDescent="0.25">
      <c r="A529"/>
      <c r="B529"/>
      <c r="C529"/>
      <c r="D529"/>
      <c r="E529"/>
      <c r="F529"/>
      <c r="G529"/>
      <c r="H529"/>
      <c r="I529"/>
      <c r="J529"/>
    </row>
    <row r="530" spans="1:10" ht="11.25" customHeight="1" x14ac:dyDescent="0.25">
      <c r="A530"/>
      <c r="B530"/>
      <c r="C530"/>
      <c r="D530"/>
      <c r="E530"/>
      <c r="F530"/>
      <c r="G530"/>
      <c r="H530"/>
      <c r="I530"/>
      <c r="J530"/>
    </row>
    <row r="531" spans="1:10" ht="11.25" customHeight="1" x14ac:dyDescent="0.25">
      <c r="A531"/>
      <c r="B531"/>
      <c r="C531"/>
      <c r="D531"/>
      <c r="E531"/>
      <c r="F531"/>
      <c r="G531"/>
      <c r="H531"/>
      <c r="I531"/>
      <c r="J531"/>
    </row>
    <row r="532" spans="1:10" ht="11.25" customHeight="1" x14ac:dyDescent="0.25">
      <c r="A532"/>
      <c r="B532"/>
      <c r="C532"/>
      <c r="D532"/>
      <c r="E532"/>
      <c r="F532"/>
      <c r="G532"/>
      <c r="H532"/>
      <c r="I532"/>
      <c r="J532"/>
    </row>
    <row r="533" spans="1:10" ht="11.25" customHeight="1" x14ac:dyDescent="0.25">
      <c r="A533"/>
      <c r="B533"/>
      <c r="C533"/>
      <c r="D533"/>
      <c r="E533"/>
      <c r="F533"/>
      <c r="G533"/>
      <c r="H533"/>
      <c r="I533"/>
      <c r="J533"/>
    </row>
    <row r="534" spans="1:10" ht="11.25" customHeight="1" x14ac:dyDescent="0.25">
      <c r="A534"/>
      <c r="B534"/>
      <c r="C534"/>
      <c r="D534"/>
      <c r="E534"/>
      <c r="F534"/>
      <c r="G534"/>
      <c r="H534"/>
      <c r="I534"/>
      <c r="J534"/>
    </row>
    <row r="535" spans="1:10" ht="11.25" customHeight="1" x14ac:dyDescent="0.25">
      <c r="A535"/>
      <c r="B535"/>
      <c r="C535"/>
      <c r="D535"/>
      <c r="E535"/>
      <c r="F535"/>
      <c r="G535"/>
      <c r="H535"/>
      <c r="I535"/>
      <c r="J535"/>
    </row>
    <row r="536" spans="1:10" ht="11.25" customHeight="1" x14ac:dyDescent="0.25">
      <c r="A536"/>
      <c r="B536"/>
      <c r="C536"/>
      <c r="D536"/>
      <c r="E536"/>
      <c r="F536"/>
      <c r="G536"/>
      <c r="H536"/>
      <c r="I536"/>
      <c r="J536"/>
    </row>
    <row r="537" spans="1:10" ht="11.25" customHeight="1" x14ac:dyDescent="0.25">
      <c r="A537"/>
      <c r="B537"/>
      <c r="C537"/>
      <c r="D537"/>
      <c r="E537"/>
      <c r="F537"/>
      <c r="G537"/>
      <c r="H537"/>
      <c r="I537"/>
      <c r="J537"/>
    </row>
    <row r="538" spans="1:10" ht="11.25" customHeight="1" x14ac:dyDescent="0.25">
      <c r="A538"/>
      <c r="B538"/>
      <c r="C538"/>
      <c r="D538"/>
      <c r="E538"/>
      <c r="F538"/>
      <c r="G538"/>
      <c r="H538"/>
      <c r="I538"/>
      <c r="J538"/>
    </row>
    <row r="539" spans="1:10" ht="11.25" customHeight="1" x14ac:dyDescent="0.25">
      <c r="A539"/>
      <c r="B539"/>
      <c r="C539"/>
      <c r="D539"/>
      <c r="E539"/>
      <c r="F539"/>
      <c r="G539"/>
      <c r="H539"/>
      <c r="I539"/>
      <c r="J539"/>
    </row>
    <row r="540" spans="1:10" ht="11.25" customHeight="1" x14ac:dyDescent="0.25">
      <c r="A540"/>
      <c r="B540"/>
      <c r="C540"/>
      <c r="D540"/>
      <c r="E540"/>
      <c r="F540"/>
      <c r="G540"/>
      <c r="H540"/>
      <c r="I540"/>
      <c r="J540"/>
    </row>
    <row r="541" spans="1:10" ht="11.25" customHeight="1" x14ac:dyDescent="0.25">
      <c r="A541"/>
      <c r="B541"/>
      <c r="C541"/>
      <c r="D541"/>
      <c r="E541"/>
      <c r="F541"/>
      <c r="G541"/>
      <c r="H541"/>
      <c r="I541"/>
      <c r="J541"/>
    </row>
    <row r="542" spans="1:10" ht="11.25" customHeight="1" x14ac:dyDescent="0.25">
      <c r="A542"/>
      <c r="B542"/>
      <c r="C542"/>
      <c r="D542"/>
      <c r="E542"/>
      <c r="F542"/>
      <c r="G542"/>
      <c r="H542"/>
      <c r="I542"/>
      <c r="J542"/>
    </row>
    <row r="543" spans="1:10" ht="11.25" customHeight="1" x14ac:dyDescent="0.25">
      <c r="A543"/>
      <c r="B543"/>
      <c r="C543"/>
      <c r="D543"/>
      <c r="E543"/>
      <c r="F543"/>
      <c r="G543"/>
      <c r="H543"/>
      <c r="I543"/>
      <c r="J543"/>
    </row>
    <row r="544" spans="1:10" ht="11.25" customHeight="1" x14ac:dyDescent="0.25">
      <c r="A544"/>
      <c r="B544"/>
      <c r="C544"/>
      <c r="D544"/>
      <c r="E544"/>
      <c r="F544"/>
      <c r="G544"/>
      <c r="H544"/>
      <c r="I544"/>
      <c r="J544"/>
    </row>
    <row r="545" spans="1:10" ht="11.25" customHeight="1" x14ac:dyDescent="0.25">
      <c r="A545"/>
      <c r="B545"/>
      <c r="C545"/>
      <c r="D545"/>
      <c r="E545"/>
      <c r="F545"/>
      <c r="G545"/>
      <c r="H545"/>
      <c r="I545"/>
      <c r="J545"/>
    </row>
    <row r="546" spans="1:10" ht="11.25" customHeight="1" x14ac:dyDescent="0.25">
      <c r="A546"/>
      <c r="B546"/>
      <c r="C546"/>
      <c r="D546"/>
      <c r="E546"/>
      <c r="F546"/>
      <c r="G546"/>
      <c r="H546"/>
      <c r="I546"/>
      <c r="J546"/>
    </row>
    <row r="547" spans="1:10" ht="11.25" customHeight="1" x14ac:dyDescent="0.25">
      <c r="A547"/>
      <c r="B547"/>
      <c r="C547"/>
      <c r="D547"/>
      <c r="E547"/>
      <c r="F547"/>
      <c r="G547"/>
      <c r="H547"/>
      <c r="I547"/>
      <c r="J547"/>
    </row>
    <row r="548" spans="1:10" ht="11.25" customHeight="1" x14ac:dyDescent="0.25">
      <c r="A548"/>
      <c r="B548"/>
      <c r="C548"/>
      <c r="D548"/>
      <c r="E548"/>
      <c r="F548"/>
      <c r="G548"/>
      <c r="H548"/>
      <c r="I548"/>
      <c r="J548"/>
    </row>
    <row r="549" spans="1:10" ht="11.25" customHeight="1" x14ac:dyDescent="0.25">
      <c r="A549"/>
      <c r="B549"/>
      <c r="C549"/>
      <c r="D549"/>
      <c r="E549"/>
      <c r="F549"/>
      <c r="G549"/>
      <c r="H549"/>
      <c r="I549"/>
      <c r="J549"/>
    </row>
    <row r="550" spans="1:10" ht="11.25" customHeight="1" x14ac:dyDescent="0.25">
      <c r="A550"/>
      <c r="B550"/>
      <c r="C550"/>
      <c r="D550"/>
      <c r="E550"/>
      <c r="F550"/>
      <c r="G550"/>
      <c r="H550"/>
      <c r="I550"/>
      <c r="J550"/>
    </row>
    <row r="551" spans="1:10" ht="11.25" customHeight="1" x14ac:dyDescent="0.25">
      <c r="A551"/>
      <c r="B551"/>
      <c r="C551"/>
      <c r="D551"/>
      <c r="E551"/>
      <c r="F551"/>
      <c r="G551"/>
      <c r="H551"/>
      <c r="I551"/>
      <c r="J551"/>
    </row>
    <row r="552" spans="1:10" ht="11.25" customHeight="1" x14ac:dyDescent="0.25">
      <c r="A552"/>
      <c r="B552"/>
      <c r="C552"/>
      <c r="D552"/>
      <c r="E552"/>
      <c r="F552"/>
      <c r="G552"/>
      <c r="H552"/>
      <c r="I552"/>
      <c r="J552"/>
    </row>
    <row r="553" spans="1:10" ht="11.25" customHeight="1" x14ac:dyDescent="0.25">
      <c r="A553"/>
      <c r="B553"/>
      <c r="C553"/>
      <c r="D553"/>
      <c r="E553"/>
      <c r="F553"/>
      <c r="G553"/>
      <c r="H553"/>
      <c r="I553"/>
      <c r="J553"/>
    </row>
    <row r="554" spans="1:10" ht="11.25" customHeight="1" x14ac:dyDescent="0.25">
      <c r="A554"/>
      <c r="B554"/>
      <c r="C554"/>
      <c r="D554"/>
      <c r="E554"/>
      <c r="F554"/>
      <c r="G554"/>
      <c r="H554"/>
      <c r="I554"/>
      <c r="J554"/>
    </row>
    <row r="555" spans="1:10" ht="11.25" customHeight="1" x14ac:dyDescent="0.25">
      <c r="A555"/>
      <c r="B555"/>
      <c r="C555"/>
      <c r="D555"/>
      <c r="E555"/>
      <c r="F555"/>
      <c r="G555"/>
      <c r="H555"/>
      <c r="I555"/>
      <c r="J555"/>
    </row>
    <row r="556" spans="1:10" ht="11.25" customHeight="1" x14ac:dyDescent="0.25">
      <c r="A556"/>
      <c r="B556"/>
      <c r="C556"/>
      <c r="D556"/>
      <c r="E556"/>
      <c r="F556"/>
      <c r="G556"/>
      <c r="H556"/>
      <c r="I556"/>
      <c r="J556"/>
    </row>
    <row r="557" spans="1:10" ht="11.25" customHeight="1" x14ac:dyDescent="0.25">
      <c r="A557"/>
      <c r="B557"/>
      <c r="C557"/>
      <c r="D557"/>
      <c r="E557"/>
      <c r="F557"/>
      <c r="G557"/>
      <c r="H557"/>
      <c r="I557"/>
      <c r="J557"/>
    </row>
    <row r="558" spans="1:10" ht="11.25" customHeight="1" x14ac:dyDescent="0.25">
      <c r="A558"/>
      <c r="B558"/>
      <c r="C558"/>
      <c r="D558"/>
      <c r="E558"/>
      <c r="F558"/>
      <c r="G558"/>
      <c r="H558"/>
      <c r="I558"/>
      <c r="J558"/>
    </row>
    <row r="559" spans="1:10" ht="11.25" customHeight="1" x14ac:dyDescent="0.25">
      <c r="A559"/>
      <c r="B559"/>
      <c r="C559"/>
      <c r="D559"/>
      <c r="E559"/>
      <c r="F559"/>
      <c r="G559"/>
      <c r="H559"/>
      <c r="I559"/>
      <c r="J559"/>
    </row>
    <row r="560" spans="1:10" ht="11.25" customHeight="1" x14ac:dyDescent="0.25">
      <c r="A560"/>
      <c r="B560"/>
      <c r="C560"/>
      <c r="D560"/>
      <c r="E560"/>
      <c r="F560"/>
      <c r="G560"/>
      <c r="H560"/>
      <c r="I560"/>
      <c r="J560"/>
    </row>
    <row r="561" spans="1:10" ht="11.25" customHeight="1" x14ac:dyDescent="0.25">
      <c r="A561"/>
      <c r="B561"/>
      <c r="C561"/>
      <c r="D561"/>
      <c r="E561"/>
      <c r="F561"/>
      <c r="G561"/>
      <c r="H561"/>
      <c r="I561"/>
      <c r="J561"/>
    </row>
    <row r="562" spans="1:10" ht="11.25" customHeight="1" x14ac:dyDescent="0.25">
      <c r="A562"/>
      <c r="B562"/>
      <c r="C562"/>
      <c r="D562"/>
      <c r="E562"/>
      <c r="F562"/>
      <c r="G562"/>
      <c r="H562"/>
      <c r="I562"/>
      <c r="J562"/>
    </row>
    <row r="563" spans="1:10" ht="11.25" customHeight="1" x14ac:dyDescent="0.25">
      <c r="A563"/>
      <c r="B563"/>
      <c r="C563"/>
      <c r="D563"/>
      <c r="E563"/>
      <c r="F563"/>
      <c r="G563"/>
      <c r="H563"/>
      <c r="I563"/>
      <c r="J563"/>
    </row>
    <row r="564" spans="1:10" ht="11.25" customHeight="1" x14ac:dyDescent="0.25">
      <c r="A564"/>
      <c r="B564"/>
      <c r="C564"/>
      <c r="D564"/>
      <c r="E564"/>
      <c r="F564"/>
      <c r="G564"/>
      <c r="H564"/>
      <c r="I564"/>
      <c r="J564"/>
    </row>
    <row r="565" spans="1:10" ht="11.25" customHeight="1" x14ac:dyDescent="0.25">
      <c r="A565"/>
      <c r="B565"/>
      <c r="C565"/>
      <c r="D565"/>
      <c r="E565"/>
      <c r="F565"/>
      <c r="G565"/>
      <c r="H565"/>
      <c r="I565"/>
      <c r="J565"/>
    </row>
    <row r="566" spans="1:10" ht="11.25" customHeight="1" x14ac:dyDescent="0.25">
      <c r="A566"/>
      <c r="B566"/>
      <c r="C566"/>
      <c r="D566"/>
      <c r="E566"/>
      <c r="F566"/>
      <c r="G566"/>
      <c r="H566"/>
      <c r="I566"/>
      <c r="J566"/>
    </row>
    <row r="567" spans="1:10" ht="11.25" customHeight="1" x14ac:dyDescent="0.25">
      <c r="A567"/>
      <c r="B567"/>
      <c r="C567"/>
      <c r="D567"/>
      <c r="E567"/>
      <c r="F567"/>
      <c r="G567"/>
      <c r="H567"/>
      <c r="I567"/>
      <c r="J567"/>
    </row>
    <row r="568" spans="1:10" ht="11.25" customHeight="1" x14ac:dyDescent="0.25">
      <c r="A568"/>
      <c r="B568"/>
      <c r="C568"/>
      <c r="D568"/>
      <c r="E568"/>
      <c r="F568"/>
      <c r="G568"/>
      <c r="H568"/>
      <c r="I568"/>
      <c r="J568"/>
    </row>
    <row r="569" spans="1:10" ht="11.25" customHeight="1" x14ac:dyDescent="0.25">
      <c r="A569"/>
      <c r="B569"/>
      <c r="C569"/>
      <c r="D569"/>
      <c r="E569"/>
      <c r="F569"/>
      <c r="G569"/>
      <c r="H569"/>
      <c r="I569"/>
      <c r="J569"/>
    </row>
    <row r="570" spans="1:10" ht="11.25" customHeight="1" x14ac:dyDescent="0.25">
      <c r="A570"/>
      <c r="B570"/>
      <c r="C570"/>
      <c r="D570"/>
      <c r="E570"/>
      <c r="F570"/>
      <c r="G570"/>
      <c r="H570"/>
      <c r="I570"/>
      <c r="J570"/>
    </row>
    <row r="571" spans="1:10" ht="11.25" customHeight="1" x14ac:dyDescent="0.25">
      <c r="A571"/>
      <c r="B571"/>
      <c r="C571"/>
      <c r="D571"/>
      <c r="E571"/>
      <c r="F571"/>
      <c r="G571"/>
      <c r="H571"/>
      <c r="I571"/>
      <c r="J571"/>
    </row>
    <row r="572" spans="1:10" ht="11.25" customHeight="1" x14ac:dyDescent="0.25">
      <c r="A572"/>
      <c r="B572"/>
      <c r="C572"/>
      <c r="D572"/>
      <c r="E572"/>
      <c r="F572"/>
      <c r="G572"/>
      <c r="H572"/>
      <c r="I572"/>
      <c r="J572"/>
    </row>
    <row r="573" spans="1:10" ht="11.25" customHeight="1" x14ac:dyDescent="0.25">
      <c r="A573"/>
      <c r="B573"/>
      <c r="C573"/>
      <c r="D573"/>
      <c r="E573"/>
      <c r="F573"/>
      <c r="G573"/>
      <c r="H573"/>
      <c r="I573"/>
      <c r="J573"/>
    </row>
    <row r="574" spans="1:10" ht="11.25" customHeight="1" x14ac:dyDescent="0.25">
      <c r="A574"/>
      <c r="B574"/>
      <c r="C574"/>
      <c r="D574"/>
      <c r="E574"/>
      <c r="F574"/>
      <c r="G574"/>
      <c r="H574"/>
      <c r="I574"/>
      <c r="J574"/>
    </row>
    <row r="575" spans="1:10" ht="11.25" customHeight="1" x14ac:dyDescent="0.25">
      <c r="A575"/>
      <c r="B575"/>
      <c r="C575"/>
      <c r="D575"/>
      <c r="E575"/>
      <c r="F575"/>
      <c r="G575"/>
      <c r="H575"/>
      <c r="I575"/>
      <c r="J575"/>
    </row>
    <row r="576" spans="1:10" ht="11.25" customHeight="1" x14ac:dyDescent="0.25">
      <c r="A576"/>
      <c r="B576"/>
      <c r="C576"/>
      <c r="D576"/>
      <c r="E576"/>
      <c r="F576"/>
      <c r="G576"/>
      <c r="H576"/>
      <c r="I576"/>
      <c r="J576"/>
    </row>
    <row r="577" spans="1:10" ht="11.25" customHeight="1" x14ac:dyDescent="0.25">
      <c r="A577"/>
      <c r="B577"/>
      <c r="C577"/>
      <c r="D577"/>
      <c r="E577"/>
      <c r="F577"/>
      <c r="G577"/>
      <c r="H577"/>
      <c r="I577"/>
      <c r="J577"/>
    </row>
    <row r="578" spans="1:10" ht="11.25" customHeight="1" x14ac:dyDescent="0.25">
      <c r="A578"/>
      <c r="B578"/>
      <c r="C578"/>
      <c r="D578"/>
      <c r="E578"/>
      <c r="F578"/>
      <c r="G578"/>
      <c r="H578"/>
      <c r="I578"/>
      <c r="J578"/>
    </row>
    <row r="579" spans="1:10" ht="11.25" customHeight="1" x14ac:dyDescent="0.25">
      <c r="A579"/>
      <c r="B579"/>
      <c r="C579"/>
      <c r="D579"/>
      <c r="E579"/>
      <c r="F579"/>
      <c r="G579"/>
      <c r="H579"/>
      <c r="I579"/>
      <c r="J579"/>
    </row>
    <row r="580" spans="1:10" ht="11.25" customHeight="1" x14ac:dyDescent="0.25">
      <c r="A580"/>
      <c r="B580"/>
      <c r="C580"/>
      <c r="D580"/>
      <c r="E580"/>
      <c r="F580"/>
      <c r="G580"/>
      <c r="H580"/>
      <c r="I580"/>
      <c r="J580"/>
    </row>
    <row r="581" spans="1:10" ht="11.25" customHeight="1" x14ac:dyDescent="0.25">
      <c r="A581"/>
      <c r="B581"/>
      <c r="C581"/>
      <c r="D581"/>
      <c r="E581"/>
      <c r="F581"/>
      <c r="G581"/>
      <c r="H581"/>
      <c r="I581"/>
      <c r="J581"/>
    </row>
    <row r="582" spans="1:10" ht="11.25" customHeight="1" x14ac:dyDescent="0.25">
      <c r="A582"/>
      <c r="B582"/>
      <c r="C582"/>
      <c r="D582"/>
      <c r="E582"/>
      <c r="F582"/>
      <c r="G582"/>
      <c r="H582"/>
      <c r="I582"/>
      <c r="J582"/>
    </row>
    <row r="583" spans="1:10" ht="11.25" customHeight="1" x14ac:dyDescent="0.25">
      <c r="A583"/>
      <c r="B583"/>
      <c r="C583"/>
      <c r="D583"/>
      <c r="E583"/>
      <c r="F583"/>
      <c r="G583"/>
      <c r="H583"/>
      <c r="I583"/>
      <c r="J583"/>
    </row>
    <row r="584" spans="1:10" ht="11.25" customHeight="1" x14ac:dyDescent="0.25">
      <c r="A584"/>
      <c r="B584"/>
      <c r="C584"/>
      <c r="D584"/>
      <c r="E584"/>
      <c r="F584"/>
      <c r="G584"/>
      <c r="H584"/>
      <c r="I584"/>
      <c r="J584"/>
    </row>
    <row r="585" spans="1:10" ht="11.25" customHeight="1" x14ac:dyDescent="0.25">
      <c r="A585"/>
      <c r="B585"/>
      <c r="C585"/>
      <c r="D585"/>
      <c r="E585"/>
      <c r="F585"/>
      <c r="G585"/>
      <c r="H585"/>
      <c r="I585"/>
      <c r="J585"/>
    </row>
    <row r="586" spans="1:10" ht="11.25" customHeight="1" x14ac:dyDescent="0.25">
      <c r="A586"/>
      <c r="B586"/>
      <c r="C586"/>
      <c r="D586"/>
      <c r="E586"/>
      <c r="F586"/>
      <c r="G586"/>
      <c r="H586"/>
      <c r="I586"/>
      <c r="J586"/>
    </row>
    <row r="587" spans="1:10" ht="11.25" customHeight="1" x14ac:dyDescent="0.25">
      <c r="A587"/>
      <c r="B587"/>
      <c r="C587"/>
      <c r="D587"/>
      <c r="E587"/>
      <c r="F587"/>
      <c r="G587"/>
      <c r="H587"/>
      <c r="I587"/>
      <c r="J587"/>
    </row>
    <row r="588" spans="1:10" ht="11.25" customHeight="1" x14ac:dyDescent="0.25">
      <c r="A588"/>
      <c r="B588"/>
      <c r="C588"/>
      <c r="D588"/>
      <c r="E588"/>
      <c r="F588"/>
      <c r="G588"/>
      <c r="H588"/>
      <c r="I588"/>
      <c r="J588"/>
    </row>
    <row r="589" spans="1:10" ht="11.25" customHeight="1" x14ac:dyDescent="0.25">
      <c r="A589"/>
      <c r="B589"/>
      <c r="C589"/>
      <c r="D589"/>
      <c r="E589"/>
      <c r="F589"/>
      <c r="G589"/>
      <c r="H589"/>
      <c r="I589"/>
      <c r="J589"/>
    </row>
    <row r="590" spans="1:10" ht="11.25" customHeight="1" x14ac:dyDescent="0.25">
      <c r="A590"/>
      <c r="B590"/>
      <c r="C590"/>
      <c r="D590"/>
      <c r="E590"/>
      <c r="F590"/>
      <c r="G590"/>
      <c r="H590"/>
      <c r="I590"/>
      <c r="J590"/>
    </row>
    <row r="591" spans="1:10" ht="11.25" customHeight="1" x14ac:dyDescent="0.25">
      <c r="A591"/>
      <c r="B591"/>
      <c r="C591"/>
      <c r="D591"/>
      <c r="E591"/>
      <c r="F591"/>
      <c r="G591"/>
      <c r="H591"/>
      <c r="I591"/>
      <c r="J591"/>
    </row>
    <row r="592" spans="1:10" ht="11.25" customHeight="1" x14ac:dyDescent="0.25">
      <c r="A592"/>
      <c r="B592"/>
      <c r="C592"/>
      <c r="D592"/>
      <c r="E592"/>
      <c r="F592"/>
      <c r="G592"/>
      <c r="H592"/>
      <c r="I592"/>
      <c r="J592"/>
    </row>
    <row r="593" spans="1:10" ht="11.25" customHeight="1" x14ac:dyDescent="0.25">
      <c r="A593"/>
      <c r="B593"/>
      <c r="C593"/>
      <c r="D593"/>
      <c r="E593"/>
      <c r="F593"/>
      <c r="G593"/>
      <c r="H593"/>
      <c r="I593"/>
      <c r="J593"/>
    </row>
    <row r="594" spans="1:10" ht="11.25" customHeight="1" x14ac:dyDescent="0.25">
      <c r="A594"/>
      <c r="B594"/>
      <c r="C594"/>
      <c r="D594"/>
      <c r="E594"/>
      <c r="F594"/>
      <c r="G594"/>
      <c r="H594"/>
      <c r="I594"/>
      <c r="J594"/>
    </row>
    <row r="595" spans="1:10" ht="11.25" customHeight="1" x14ac:dyDescent="0.25">
      <c r="A595"/>
      <c r="B595"/>
      <c r="C595"/>
      <c r="D595"/>
      <c r="E595"/>
      <c r="F595"/>
      <c r="G595"/>
      <c r="H595"/>
      <c r="I595"/>
      <c r="J595"/>
    </row>
    <row r="596" spans="1:10" ht="11.25" customHeight="1" x14ac:dyDescent="0.25">
      <c r="A596"/>
      <c r="B596"/>
      <c r="C596"/>
      <c r="D596"/>
      <c r="E596"/>
      <c r="F596"/>
      <c r="G596"/>
      <c r="H596"/>
      <c r="I596"/>
      <c r="J596"/>
    </row>
    <row r="597" spans="1:10" ht="11.25" customHeight="1" x14ac:dyDescent="0.25">
      <c r="A597"/>
      <c r="B597"/>
      <c r="C597"/>
      <c r="D597"/>
      <c r="E597"/>
      <c r="F597"/>
      <c r="G597"/>
      <c r="H597"/>
      <c r="I597"/>
      <c r="J597"/>
    </row>
    <row r="598" spans="1:10" ht="11.25" customHeight="1" x14ac:dyDescent="0.25">
      <c r="A598"/>
      <c r="B598"/>
      <c r="C598"/>
      <c r="D598"/>
      <c r="E598"/>
      <c r="F598"/>
      <c r="G598"/>
      <c r="H598"/>
      <c r="I598"/>
      <c r="J598"/>
    </row>
    <row r="599" spans="1:10" ht="11.25" customHeight="1" x14ac:dyDescent="0.25">
      <c r="A599"/>
      <c r="B599"/>
      <c r="C599"/>
      <c r="D599"/>
      <c r="E599"/>
      <c r="F599"/>
      <c r="G599"/>
      <c r="H599"/>
      <c r="I599"/>
      <c r="J599"/>
    </row>
    <row r="600" spans="1:10" ht="11.25" customHeight="1" x14ac:dyDescent="0.25">
      <c r="A600"/>
      <c r="B600"/>
      <c r="C600"/>
      <c r="D600"/>
      <c r="E600"/>
      <c r="F600"/>
      <c r="G600"/>
      <c r="H600"/>
      <c r="I600"/>
      <c r="J600"/>
    </row>
    <row r="601" spans="1:10" ht="11.25" customHeight="1" x14ac:dyDescent="0.25">
      <c r="A601"/>
      <c r="B601"/>
      <c r="C601"/>
      <c r="D601"/>
      <c r="E601"/>
      <c r="F601"/>
      <c r="G601"/>
      <c r="H601"/>
      <c r="I601"/>
      <c r="J601"/>
    </row>
    <row r="602" spans="1:10" ht="11.25" customHeight="1" x14ac:dyDescent="0.25">
      <c r="A602"/>
      <c r="B602"/>
      <c r="C602"/>
      <c r="D602"/>
      <c r="E602"/>
      <c r="F602"/>
      <c r="G602"/>
      <c r="H602"/>
      <c r="I602"/>
      <c r="J602"/>
    </row>
    <row r="603" spans="1:10" ht="11.25" customHeight="1" x14ac:dyDescent="0.25">
      <c r="A603"/>
      <c r="B603"/>
      <c r="C603"/>
      <c r="D603"/>
      <c r="E603"/>
      <c r="F603"/>
      <c r="G603"/>
      <c r="H603"/>
      <c r="I603"/>
      <c r="J603"/>
    </row>
    <row r="604" spans="1:10" ht="11.25" customHeight="1" x14ac:dyDescent="0.25">
      <c r="A604"/>
      <c r="B604"/>
      <c r="C604"/>
      <c r="D604"/>
      <c r="E604"/>
      <c r="F604"/>
      <c r="G604"/>
      <c r="H604"/>
      <c r="I604"/>
      <c r="J604"/>
    </row>
    <row r="605" spans="1:10" ht="11.25" customHeight="1" x14ac:dyDescent="0.25">
      <c r="A605"/>
      <c r="B605"/>
      <c r="C605"/>
      <c r="D605"/>
      <c r="E605"/>
      <c r="F605"/>
      <c r="G605"/>
      <c r="H605"/>
      <c r="I605"/>
      <c r="J605"/>
    </row>
    <row r="606" spans="1:10" ht="11.25" customHeight="1" x14ac:dyDescent="0.25">
      <c r="A606"/>
      <c r="B606"/>
      <c r="C606"/>
      <c r="D606"/>
      <c r="E606"/>
      <c r="F606"/>
      <c r="G606"/>
      <c r="H606"/>
      <c r="I606"/>
      <c r="J606"/>
    </row>
    <row r="607" spans="1:10" ht="11.25" customHeight="1" x14ac:dyDescent="0.25">
      <c r="A607"/>
      <c r="B607"/>
      <c r="C607"/>
      <c r="D607"/>
      <c r="E607"/>
      <c r="F607"/>
      <c r="G607"/>
      <c r="H607"/>
      <c r="I607"/>
      <c r="J607"/>
    </row>
    <row r="608" spans="1:10" ht="11.25" customHeight="1" x14ac:dyDescent="0.25">
      <c r="A608"/>
      <c r="B608"/>
      <c r="C608"/>
      <c r="D608"/>
      <c r="E608"/>
      <c r="F608"/>
      <c r="G608"/>
      <c r="H608"/>
      <c r="I608"/>
      <c r="J608"/>
    </row>
    <row r="609" spans="1:10" ht="11.25" customHeight="1" x14ac:dyDescent="0.25">
      <c r="A609"/>
      <c r="B609"/>
      <c r="C609"/>
      <c r="D609"/>
      <c r="E609"/>
      <c r="F609"/>
      <c r="G609"/>
      <c r="H609"/>
      <c r="I609"/>
      <c r="J609"/>
    </row>
    <row r="610" spans="1:10" ht="11.25" customHeight="1" x14ac:dyDescent="0.25">
      <c r="A610"/>
      <c r="B610"/>
      <c r="C610"/>
      <c r="D610"/>
      <c r="E610"/>
      <c r="F610"/>
      <c r="G610"/>
      <c r="H610"/>
      <c r="I610"/>
      <c r="J610"/>
    </row>
    <row r="611" spans="1:10" ht="11.25" customHeight="1" x14ac:dyDescent="0.25">
      <c r="A611"/>
      <c r="B611"/>
      <c r="C611"/>
      <c r="D611"/>
      <c r="E611"/>
      <c r="F611"/>
      <c r="G611"/>
      <c r="H611"/>
      <c r="I611"/>
      <c r="J611"/>
    </row>
    <row r="612" spans="1:10" ht="11.25" customHeight="1" x14ac:dyDescent="0.25">
      <c r="A612"/>
      <c r="B612"/>
      <c r="C612"/>
      <c r="D612"/>
      <c r="E612"/>
      <c r="F612"/>
      <c r="G612"/>
      <c r="H612"/>
      <c r="I612"/>
      <c r="J612"/>
    </row>
    <row r="613" spans="1:10" ht="11.25" customHeight="1" x14ac:dyDescent="0.25">
      <c r="A613"/>
      <c r="B613"/>
      <c r="C613"/>
      <c r="D613"/>
      <c r="E613"/>
      <c r="F613"/>
      <c r="G613"/>
      <c r="H613"/>
      <c r="I613"/>
      <c r="J613"/>
    </row>
    <row r="614" spans="1:10" ht="11.25" customHeight="1" x14ac:dyDescent="0.25">
      <c r="A614"/>
      <c r="B614"/>
      <c r="C614"/>
      <c r="D614"/>
      <c r="E614"/>
      <c r="F614"/>
      <c r="G614"/>
      <c r="H614"/>
      <c r="I614"/>
      <c r="J614"/>
    </row>
    <row r="615" spans="1:10" ht="11.25" customHeight="1" x14ac:dyDescent="0.25">
      <c r="A615"/>
      <c r="B615"/>
      <c r="C615"/>
      <c r="D615"/>
      <c r="E615"/>
      <c r="F615"/>
      <c r="G615"/>
      <c r="H615"/>
      <c r="I615"/>
      <c r="J615"/>
    </row>
    <row r="616" spans="1:10" ht="11.25" customHeight="1" x14ac:dyDescent="0.25">
      <c r="A616"/>
      <c r="B616"/>
      <c r="C616"/>
      <c r="D616"/>
      <c r="E616"/>
      <c r="F616"/>
      <c r="G616"/>
      <c r="H616"/>
      <c r="I616"/>
      <c r="J616"/>
    </row>
    <row r="617" spans="1:10" ht="11.25" customHeight="1" x14ac:dyDescent="0.25">
      <c r="A617"/>
      <c r="B617"/>
      <c r="C617"/>
      <c r="D617"/>
      <c r="E617"/>
      <c r="F617"/>
      <c r="G617"/>
      <c r="H617"/>
      <c r="I617"/>
      <c r="J617"/>
    </row>
    <row r="618" spans="1:10" ht="11.25" customHeight="1" x14ac:dyDescent="0.25">
      <c r="A618"/>
      <c r="B618"/>
      <c r="C618"/>
      <c r="D618"/>
      <c r="E618"/>
      <c r="F618"/>
      <c r="G618"/>
      <c r="H618"/>
      <c r="I618"/>
      <c r="J618"/>
    </row>
    <row r="619" spans="1:10" ht="11.25" customHeight="1" x14ac:dyDescent="0.25">
      <c r="A619"/>
      <c r="B619"/>
      <c r="C619"/>
      <c r="D619"/>
      <c r="E619"/>
      <c r="F619"/>
      <c r="G619"/>
      <c r="H619"/>
      <c r="I619"/>
      <c r="J619"/>
    </row>
    <row r="620" spans="1:10" ht="11.25" customHeight="1" x14ac:dyDescent="0.25">
      <c r="A620"/>
      <c r="B620"/>
      <c r="C620"/>
      <c r="D620"/>
      <c r="E620"/>
      <c r="F620"/>
      <c r="G620"/>
      <c r="H620"/>
      <c r="I620"/>
      <c r="J620"/>
    </row>
    <row r="621" spans="1:10" ht="11.25" customHeight="1" x14ac:dyDescent="0.25">
      <c r="A621"/>
      <c r="B621"/>
      <c r="C621"/>
      <c r="D621"/>
      <c r="E621"/>
      <c r="F621"/>
      <c r="G621"/>
      <c r="H621"/>
      <c r="I621"/>
      <c r="J621"/>
    </row>
    <row r="622" spans="1:10" ht="11.25" customHeight="1" x14ac:dyDescent="0.25">
      <c r="A622"/>
      <c r="B622"/>
      <c r="C622"/>
      <c r="D622"/>
      <c r="E622"/>
      <c r="F622"/>
      <c r="G622"/>
      <c r="H622"/>
      <c r="I622"/>
      <c r="J622"/>
    </row>
    <row r="623" spans="1:10" ht="11.25" customHeight="1" x14ac:dyDescent="0.25">
      <c r="A623"/>
      <c r="B623"/>
      <c r="C623"/>
      <c r="D623"/>
      <c r="E623"/>
      <c r="F623"/>
      <c r="G623"/>
      <c r="H623"/>
      <c r="I623"/>
      <c r="J623"/>
    </row>
    <row r="624" spans="1:10" ht="11.25" customHeight="1" x14ac:dyDescent="0.25">
      <c r="A624"/>
      <c r="B624"/>
      <c r="C624"/>
      <c r="D624"/>
      <c r="E624"/>
      <c r="F624"/>
      <c r="G624"/>
      <c r="H624"/>
      <c r="I624"/>
      <c r="J624"/>
    </row>
    <row r="625" spans="1:10" ht="11.25" customHeight="1" x14ac:dyDescent="0.25">
      <c r="A625"/>
      <c r="B625"/>
      <c r="C625"/>
      <c r="D625"/>
      <c r="E625"/>
      <c r="F625"/>
      <c r="G625"/>
      <c r="H625"/>
      <c r="I625"/>
      <c r="J625"/>
    </row>
    <row r="626" spans="1:10" ht="11.25" customHeight="1" x14ac:dyDescent="0.25">
      <c r="A626"/>
      <c r="B626"/>
      <c r="C626"/>
      <c r="D626"/>
      <c r="E626"/>
      <c r="F626"/>
      <c r="G626"/>
      <c r="H626"/>
      <c r="I626"/>
      <c r="J626"/>
    </row>
    <row r="627" spans="1:10" ht="11.25" customHeight="1" x14ac:dyDescent="0.25">
      <c r="A627"/>
      <c r="B627"/>
      <c r="C627"/>
      <c r="D627"/>
      <c r="E627"/>
      <c r="F627"/>
      <c r="G627"/>
      <c r="H627"/>
      <c r="I627"/>
      <c r="J627"/>
    </row>
    <row r="628" spans="1:10" ht="11.25" customHeight="1" x14ac:dyDescent="0.25">
      <c r="A628"/>
      <c r="B628"/>
      <c r="C628"/>
      <c r="D628"/>
      <c r="E628"/>
      <c r="F628"/>
      <c r="G628"/>
      <c r="H628"/>
      <c r="I628"/>
      <c r="J628"/>
    </row>
    <row r="629" spans="1:10" ht="11.25" customHeight="1" x14ac:dyDescent="0.25">
      <c r="A629"/>
      <c r="B629"/>
      <c r="C629"/>
      <c r="D629"/>
      <c r="E629"/>
      <c r="F629"/>
      <c r="G629"/>
      <c r="H629"/>
      <c r="I629"/>
      <c r="J629"/>
    </row>
    <row r="630" spans="1:10" ht="11.25" customHeight="1" x14ac:dyDescent="0.25">
      <c r="A630"/>
      <c r="B630"/>
      <c r="C630"/>
      <c r="D630"/>
      <c r="E630"/>
      <c r="F630"/>
      <c r="G630"/>
      <c r="H630"/>
      <c r="I630"/>
      <c r="J630"/>
    </row>
    <row r="631" spans="1:10" ht="11.25" customHeight="1" x14ac:dyDescent="0.25">
      <c r="A631"/>
      <c r="B631"/>
      <c r="C631"/>
      <c r="D631"/>
      <c r="E631"/>
      <c r="F631"/>
      <c r="G631"/>
      <c r="H631"/>
      <c r="I631"/>
      <c r="J631"/>
    </row>
    <row r="632" spans="1:10" ht="11.25" customHeight="1" x14ac:dyDescent="0.25">
      <c r="A632"/>
      <c r="B632"/>
      <c r="C632"/>
      <c r="D632"/>
      <c r="E632"/>
      <c r="F632"/>
      <c r="G632"/>
      <c r="H632"/>
      <c r="I632"/>
      <c r="J632"/>
    </row>
    <row r="633" spans="1:10" ht="11.25" customHeight="1" x14ac:dyDescent="0.25">
      <c r="A633"/>
      <c r="B633"/>
      <c r="C633"/>
      <c r="D633"/>
      <c r="E633"/>
      <c r="F633"/>
      <c r="G633"/>
      <c r="H633"/>
      <c r="I633"/>
      <c r="J633"/>
    </row>
    <row r="634" spans="1:10" ht="11.25" customHeight="1" x14ac:dyDescent="0.25">
      <c r="A634"/>
      <c r="B634"/>
      <c r="C634"/>
      <c r="D634"/>
      <c r="E634"/>
      <c r="F634"/>
      <c r="G634"/>
      <c r="H634"/>
      <c r="I634"/>
      <c r="J634"/>
    </row>
    <row r="635" spans="1:10" ht="11.25" customHeight="1" x14ac:dyDescent="0.25">
      <c r="A635"/>
      <c r="B635"/>
      <c r="C635"/>
      <c r="D635"/>
      <c r="E635"/>
      <c r="F635"/>
      <c r="G635"/>
      <c r="H635"/>
      <c r="I635"/>
      <c r="J635"/>
    </row>
    <row r="636" spans="1:10" ht="11.25" customHeight="1" x14ac:dyDescent="0.25">
      <c r="A636"/>
      <c r="B636"/>
      <c r="C636"/>
      <c r="D636"/>
      <c r="E636"/>
      <c r="F636"/>
      <c r="G636"/>
      <c r="H636"/>
      <c r="I636"/>
      <c r="J636"/>
    </row>
    <row r="637" spans="1:10" ht="11.25" customHeight="1" x14ac:dyDescent="0.25">
      <c r="A637"/>
      <c r="B637"/>
      <c r="C637"/>
      <c r="D637"/>
      <c r="E637"/>
      <c r="F637"/>
      <c r="G637"/>
      <c r="H637"/>
      <c r="I637"/>
      <c r="J637"/>
    </row>
    <row r="638" spans="1:10" ht="11.25" customHeight="1" x14ac:dyDescent="0.25">
      <c r="A638"/>
      <c r="B638"/>
      <c r="C638"/>
      <c r="D638"/>
      <c r="E638"/>
      <c r="F638"/>
      <c r="G638"/>
      <c r="H638"/>
      <c r="I638"/>
      <c r="J638"/>
    </row>
    <row r="639" spans="1:10" ht="11.25" customHeight="1" x14ac:dyDescent="0.25">
      <c r="A639"/>
      <c r="B639"/>
      <c r="C639"/>
      <c r="D639"/>
      <c r="E639"/>
      <c r="F639"/>
      <c r="G639"/>
      <c r="H639"/>
      <c r="I639"/>
      <c r="J639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38B3A-5E8B-439C-8E54-6BCE3339E27B}">
  <sheetPr codeName="Planilha27"/>
  <dimension ref="A1:G367"/>
  <sheetViews>
    <sheetView showGridLines="0" workbookViewId="0"/>
  </sheetViews>
  <sheetFormatPr defaultRowHeight="11.25" customHeight="1" x14ac:dyDescent="0.2"/>
  <cols>
    <col min="1" max="1" width="34.7109375" style="15" bestFit="1" customWidth="1"/>
    <col min="2" max="2" width="20.42578125" style="19" bestFit="1" customWidth="1"/>
    <col min="3" max="3" width="21.85546875" style="19" bestFit="1" customWidth="1"/>
    <col min="4" max="4" width="20.28515625" style="19" bestFit="1" customWidth="1"/>
    <col min="5" max="5" width="21.7109375" style="19" bestFit="1" customWidth="1"/>
    <col min="6" max="6" width="14.85546875" style="19" bestFit="1" customWidth="1"/>
    <col min="7" max="7" width="14.7109375" style="19" bestFit="1" customWidth="1"/>
    <col min="8" max="16384" width="9.140625" style="15"/>
  </cols>
  <sheetData>
    <row r="1" spans="1:7" ht="11.25" customHeight="1" x14ac:dyDescent="0.2">
      <c r="A1" s="18" t="s">
        <v>631</v>
      </c>
      <c r="B1" s="19" t="s">
        <v>657</v>
      </c>
      <c r="C1" s="19" t="s">
        <v>658</v>
      </c>
      <c r="D1" s="19" t="s">
        <v>659</v>
      </c>
      <c r="E1" s="19" t="s">
        <v>660</v>
      </c>
      <c r="F1" s="19" t="s">
        <v>661</v>
      </c>
      <c r="G1" s="19" t="s">
        <v>662</v>
      </c>
    </row>
    <row r="2" spans="1:7" ht="11.25" customHeight="1" x14ac:dyDescent="0.2">
      <c r="A2" s="21" t="s">
        <v>646</v>
      </c>
      <c r="B2" s="19">
        <v>16709.489999999994</v>
      </c>
      <c r="C2" s="19">
        <v>95117.569133999976</v>
      </c>
      <c r="D2" s="19">
        <v>23058.24621622702</v>
      </c>
      <c r="E2" s="19">
        <v>90966.774415498847</v>
      </c>
      <c r="F2" s="19">
        <v>111827.05913399997</v>
      </c>
      <c r="G2" s="19">
        <v>114025.02063172587</v>
      </c>
    </row>
    <row r="3" spans="1:7" ht="11.25" customHeight="1" x14ac:dyDescent="0.2">
      <c r="A3" s="22" t="s">
        <v>38</v>
      </c>
      <c r="B3" s="19">
        <v>16709.489999999994</v>
      </c>
      <c r="C3" s="19">
        <v>33385.652064000009</v>
      </c>
      <c r="D3" s="19">
        <v>23058.24621622702</v>
      </c>
      <c r="E3" s="19">
        <v>31004.462030133749</v>
      </c>
      <c r="F3" s="19">
        <v>50095.142064</v>
      </c>
      <c r="G3" s="19">
        <v>54062.708246360766</v>
      </c>
    </row>
    <row r="4" spans="1:7" ht="11.25" customHeight="1" x14ac:dyDescent="0.2">
      <c r="A4" s="23" t="s">
        <v>50</v>
      </c>
      <c r="B4" s="19">
        <v>16709.489999999994</v>
      </c>
      <c r="C4" s="19">
        <v>33385.652064000009</v>
      </c>
      <c r="D4" s="19">
        <v>23058.24621622702</v>
      </c>
      <c r="E4" s="19">
        <v>31004.462030133749</v>
      </c>
      <c r="F4" s="19">
        <v>50095.142064</v>
      </c>
      <c r="G4" s="19">
        <v>54062.708246360766</v>
      </c>
    </row>
    <row r="5" spans="1:7" ht="11.25" customHeight="1" x14ac:dyDescent="0.2">
      <c r="A5" s="24" t="s">
        <v>48</v>
      </c>
      <c r="B5" s="19">
        <v>16709.489999999994</v>
      </c>
      <c r="C5" s="19">
        <v>33385.652064000009</v>
      </c>
      <c r="D5" s="19">
        <v>23058.24621622702</v>
      </c>
      <c r="E5" s="19">
        <v>31004.462030133749</v>
      </c>
      <c r="F5" s="19">
        <v>50095.142064</v>
      </c>
      <c r="G5" s="19">
        <v>54062.708246360766</v>
      </c>
    </row>
    <row r="6" spans="1:7" ht="11.25" customHeight="1" x14ac:dyDescent="0.2">
      <c r="A6" s="25" t="s">
        <v>49</v>
      </c>
      <c r="B6" s="19">
        <v>16709.489999999994</v>
      </c>
      <c r="C6" s="19">
        <v>33385.652064000009</v>
      </c>
      <c r="D6" s="19">
        <v>23058.24621622702</v>
      </c>
      <c r="E6" s="19">
        <v>31004.462030133749</v>
      </c>
      <c r="F6" s="19">
        <v>50095.142064</v>
      </c>
      <c r="G6" s="19">
        <v>54062.708246360766</v>
      </c>
    </row>
    <row r="7" spans="1:7" ht="11.25" customHeight="1" x14ac:dyDescent="0.2">
      <c r="A7" s="26" t="s">
        <v>25</v>
      </c>
      <c r="B7" s="19">
        <v>16709.489999999994</v>
      </c>
      <c r="C7" s="19">
        <v>33385.652064000009</v>
      </c>
      <c r="D7" s="19">
        <v>23058.24621622702</v>
      </c>
      <c r="E7" s="19">
        <v>31004.462030133749</v>
      </c>
      <c r="F7" s="19">
        <v>50095.142064</v>
      </c>
      <c r="G7" s="19">
        <v>54062.708246360766</v>
      </c>
    </row>
    <row r="8" spans="1:7" ht="11.25" customHeight="1" x14ac:dyDescent="0.2">
      <c r="A8" s="27" t="s">
        <v>25</v>
      </c>
      <c r="B8" s="19">
        <v>16709.489999999994</v>
      </c>
      <c r="C8" s="19">
        <v>33385.652064000009</v>
      </c>
      <c r="D8" s="19">
        <v>23058.24621622702</v>
      </c>
      <c r="E8" s="19">
        <v>31004.462030133749</v>
      </c>
      <c r="F8" s="19">
        <v>50095.142064</v>
      </c>
      <c r="G8" s="19">
        <v>54062.708246360766</v>
      </c>
    </row>
    <row r="9" spans="1:7" ht="11.25" customHeight="1" x14ac:dyDescent="0.2">
      <c r="A9" s="28" t="s">
        <v>34</v>
      </c>
      <c r="B9" s="19">
        <v>7183.89</v>
      </c>
      <c r="C9" s="19">
        <v>28711.8388848</v>
      </c>
      <c r="D9" s="19">
        <v>11333.915122899647</v>
      </c>
      <c r="E9" s="19">
        <v>26880.690816811464</v>
      </c>
      <c r="F9" s="19">
        <v>35895.728884800003</v>
      </c>
      <c r="G9" s="19">
        <v>38214.605939711109</v>
      </c>
    </row>
    <row r="10" spans="1:7" ht="11.25" customHeight="1" x14ac:dyDescent="0.2">
      <c r="A10" s="29">
        <v>44378</v>
      </c>
      <c r="B10" s="19">
        <v>598.65749999999991</v>
      </c>
      <c r="C10" s="19">
        <v>2339.6381316000015</v>
      </c>
      <c r="D10" s="19">
        <v>944.49292690830362</v>
      </c>
      <c r="E10" s="19">
        <v>2190.4235911569049</v>
      </c>
      <c r="F10" s="19">
        <v>2938.2956316000013</v>
      </c>
      <c r="G10" s="19">
        <v>3134.9165180652085</v>
      </c>
    </row>
    <row r="11" spans="1:7" ht="11.25" customHeight="1" x14ac:dyDescent="0.2">
      <c r="A11" s="29">
        <v>44409</v>
      </c>
      <c r="B11" s="19">
        <v>598.65749999999991</v>
      </c>
      <c r="C11" s="19">
        <v>2591.6515547999988</v>
      </c>
      <c r="D11" s="19">
        <v>944.49292690830362</v>
      </c>
      <c r="E11" s="19">
        <v>2426.3644146585193</v>
      </c>
      <c r="F11" s="19">
        <v>3190.3090547999986</v>
      </c>
      <c r="G11" s="19">
        <v>3370.8573415668229</v>
      </c>
    </row>
    <row r="12" spans="1:7" ht="11.25" customHeight="1" x14ac:dyDescent="0.2">
      <c r="A12" s="29">
        <v>44440</v>
      </c>
      <c r="B12" s="19">
        <v>598.65749999999991</v>
      </c>
      <c r="C12" s="19">
        <v>2165.8426337999999</v>
      </c>
      <c r="D12" s="19">
        <v>944.49292690830362</v>
      </c>
      <c r="E12" s="19">
        <v>2027.7122071713641</v>
      </c>
      <c r="F12" s="19">
        <v>2764.5001337999997</v>
      </c>
      <c r="G12" s="19">
        <v>2972.2051340796679</v>
      </c>
    </row>
    <row r="13" spans="1:7" ht="11.25" customHeight="1" x14ac:dyDescent="0.2">
      <c r="A13" s="29">
        <v>44470</v>
      </c>
      <c r="B13" s="19">
        <v>598.65749999999991</v>
      </c>
      <c r="C13" s="19">
        <v>2213.3881638000016</v>
      </c>
      <c r="D13" s="19">
        <v>944.49292690830362</v>
      </c>
      <c r="E13" s="19">
        <v>2072.2254372984698</v>
      </c>
      <c r="F13" s="19">
        <v>2812.0456638000014</v>
      </c>
      <c r="G13" s="19">
        <v>3016.7183642067735</v>
      </c>
    </row>
    <row r="14" spans="1:7" ht="11.25" customHeight="1" x14ac:dyDescent="0.2">
      <c r="A14" s="29">
        <v>44501</v>
      </c>
      <c r="B14" s="19">
        <v>598.65749999999991</v>
      </c>
      <c r="C14" s="19">
        <v>2455.2953976000017</v>
      </c>
      <c r="D14" s="19">
        <v>944.49292690830362</v>
      </c>
      <c r="E14" s="19">
        <v>2298.7046114195814</v>
      </c>
      <c r="F14" s="19">
        <v>3053.9528976000015</v>
      </c>
      <c r="G14" s="19">
        <v>3243.197538327885</v>
      </c>
    </row>
    <row r="15" spans="1:7" ht="11.25" customHeight="1" x14ac:dyDescent="0.2">
      <c r="A15" s="29">
        <v>44531</v>
      </c>
      <c r="B15" s="19">
        <v>598.65749999999991</v>
      </c>
      <c r="C15" s="19">
        <v>2512.1288915999976</v>
      </c>
      <c r="D15" s="19">
        <v>944.49292690830362</v>
      </c>
      <c r="E15" s="19">
        <v>2351.9134492924413</v>
      </c>
      <c r="F15" s="19">
        <v>3110.7863915999974</v>
      </c>
      <c r="G15" s="19">
        <v>3296.4063762007449</v>
      </c>
    </row>
    <row r="16" spans="1:7" ht="11.25" customHeight="1" x14ac:dyDescent="0.2">
      <c r="A16" s="29">
        <v>44562</v>
      </c>
      <c r="B16" s="19">
        <v>598.65749999999991</v>
      </c>
      <c r="C16" s="19">
        <v>2526.0608375999991</v>
      </c>
      <c r="D16" s="19">
        <v>944.49292690830362</v>
      </c>
      <c r="E16" s="19">
        <v>2364.9568609110825</v>
      </c>
      <c r="F16" s="19">
        <v>3124.7183375999989</v>
      </c>
      <c r="G16" s="19">
        <v>3309.4497878193861</v>
      </c>
    </row>
    <row r="17" spans="1:7" ht="11.25" customHeight="1" x14ac:dyDescent="0.2">
      <c r="A17" s="29">
        <v>44593</v>
      </c>
      <c r="B17" s="19">
        <v>598.65749999999991</v>
      </c>
      <c r="C17" s="19">
        <v>2284.0430328000007</v>
      </c>
      <c r="D17" s="19">
        <v>944.49292690830362</v>
      </c>
      <c r="E17" s="19">
        <v>2138.3741676501418</v>
      </c>
      <c r="F17" s="19">
        <v>2882.7005328000005</v>
      </c>
      <c r="G17" s="19">
        <v>3082.8670945584454</v>
      </c>
    </row>
    <row r="18" spans="1:7" ht="11.25" customHeight="1" x14ac:dyDescent="0.2">
      <c r="A18" s="29">
        <v>44621</v>
      </c>
      <c r="B18" s="19">
        <v>598.65749999999991</v>
      </c>
      <c r="C18" s="19">
        <v>2523.3850193999983</v>
      </c>
      <c r="D18" s="19">
        <v>944.49292690830362</v>
      </c>
      <c r="E18" s="19">
        <v>2362.4516977271842</v>
      </c>
      <c r="F18" s="19">
        <v>3122.0425193999981</v>
      </c>
      <c r="G18" s="19">
        <v>3306.9446246354878</v>
      </c>
    </row>
    <row r="19" spans="1:7" ht="11.25" customHeight="1" x14ac:dyDescent="0.2">
      <c r="A19" s="29">
        <v>44652</v>
      </c>
      <c r="B19" s="19">
        <v>598.65749999999991</v>
      </c>
      <c r="C19" s="19">
        <v>2461.0672038000002</v>
      </c>
      <c r="D19" s="19">
        <v>944.49292690830362</v>
      </c>
      <c r="E19" s="19">
        <v>2304.1083105187308</v>
      </c>
      <c r="F19" s="19">
        <v>3059.7247038</v>
      </c>
      <c r="G19" s="19">
        <v>3248.6012374270344</v>
      </c>
    </row>
    <row r="20" spans="1:7" ht="11.25" customHeight="1" x14ac:dyDescent="0.2">
      <c r="A20" s="29">
        <v>44682</v>
      </c>
      <c r="B20" s="19">
        <v>598.65749999999991</v>
      </c>
      <c r="C20" s="19">
        <v>2319.6690090000002</v>
      </c>
      <c r="D20" s="19">
        <v>944.49292690830362</v>
      </c>
      <c r="E20" s="19">
        <v>2171.7280345035206</v>
      </c>
      <c r="F20" s="19">
        <v>2918.326509</v>
      </c>
      <c r="G20" s="19">
        <v>3116.2209614118242</v>
      </c>
    </row>
    <row r="21" spans="1:7" ht="11.25" customHeight="1" x14ac:dyDescent="0.2">
      <c r="A21" s="29">
        <v>44713</v>
      </c>
      <c r="B21" s="19">
        <v>598.65749999999991</v>
      </c>
      <c r="C21" s="19">
        <v>2319.6690090000002</v>
      </c>
      <c r="D21" s="19">
        <v>944.49292690830362</v>
      </c>
      <c r="E21" s="19">
        <v>2171.7280345035206</v>
      </c>
      <c r="F21" s="19">
        <v>2918.326509</v>
      </c>
      <c r="G21" s="19">
        <v>3116.2209614118242</v>
      </c>
    </row>
    <row r="22" spans="1:7" ht="11.25" customHeight="1" x14ac:dyDescent="0.2">
      <c r="A22" s="28" t="s">
        <v>33</v>
      </c>
      <c r="B22" s="19">
        <v>9525.6</v>
      </c>
      <c r="C22" s="19">
        <v>4673.8131792000031</v>
      </c>
      <c r="D22" s="19">
        <v>11724.331093327373</v>
      </c>
      <c r="E22" s="19">
        <v>4123.7712133222858</v>
      </c>
      <c r="F22" s="19">
        <v>14199.413179200004</v>
      </c>
      <c r="G22" s="19">
        <v>15848.10230664966</v>
      </c>
    </row>
    <row r="23" spans="1:7" ht="11.25" customHeight="1" x14ac:dyDescent="0.2">
      <c r="A23" s="29">
        <v>44378</v>
      </c>
      <c r="B23" s="19">
        <v>793.80000000000007</v>
      </c>
      <c r="C23" s="19">
        <v>374.13554639999984</v>
      </c>
      <c r="D23" s="19">
        <v>977.02759111061425</v>
      </c>
      <c r="E23" s="19">
        <v>330.10506346105319</v>
      </c>
      <c r="F23" s="19">
        <v>1167.9355464</v>
      </c>
      <c r="G23" s="19">
        <v>1307.1326545716674</v>
      </c>
    </row>
    <row r="24" spans="1:7" ht="11.25" customHeight="1" x14ac:dyDescent="0.2">
      <c r="A24" s="29">
        <v>44409</v>
      </c>
      <c r="B24" s="19">
        <v>793.80000000000007</v>
      </c>
      <c r="C24" s="19">
        <v>401.04929039999945</v>
      </c>
      <c r="D24" s="19">
        <v>977.02759111061425</v>
      </c>
      <c r="E24" s="19">
        <v>353.85143895672945</v>
      </c>
      <c r="F24" s="19">
        <v>1194.8492903999995</v>
      </c>
      <c r="G24" s="19">
        <v>1330.8790300673436</v>
      </c>
    </row>
    <row r="25" spans="1:7" ht="11.25" customHeight="1" x14ac:dyDescent="0.2">
      <c r="A25" s="29">
        <v>44440</v>
      </c>
      <c r="B25" s="19">
        <v>793.80000000000007</v>
      </c>
      <c r="C25" s="19">
        <v>405.18986639999997</v>
      </c>
      <c r="D25" s="19">
        <v>977.02759111061425</v>
      </c>
      <c r="E25" s="19">
        <v>357.50472749452638</v>
      </c>
      <c r="F25" s="19">
        <v>1198.9898664</v>
      </c>
      <c r="G25" s="19">
        <v>1334.5323186051405</v>
      </c>
    </row>
    <row r="26" spans="1:7" ht="11.25" customHeight="1" x14ac:dyDescent="0.2">
      <c r="A26" s="29">
        <v>44470</v>
      </c>
      <c r="B26" s="19">
        <v>793.80000000000007</v>
      </c>
      <c r="C26" s="19">
        <v>372.23778240000019</v>
      </c>
      <c r="D26" s="19">
        <v>977.02759111061425</v>
      </c>
      <c r="E26" s="19">
        <v>328.43063954789687</v>
      </c>
      <c r="F26" s="19">
        <v>1166.0377824000002</v>
      </c>
      <c r="G26" s="19">
        <v>1305.4582306585112</v>
      </c>
    </row>
    <row r="27" spans="1:7" ht="11.25" customHeight="1" x14ac:dyDescent="0.2">
      <c r="A27" s="29">
        <v>44501</v>
      </c>
      <c r="B27" s="19">
        <v>793.80000000000007</v>
      </c>
      <c r="C27" s="19">
        <v>396.42564720000081</v>
      </c>
      <c r="D27" s="19">
        <v>977.02759111061425</v>
      </c>
      <c r="E27" s="19">
        <v>349.77193342285801</v>
      </c>
      <c r="F27" s="19">
        <v>1190.2256472000008</v>
      </c>
      <c r="G27" s="19">
        <v>1326.7995245334723</v>
      </c>
    </row>
    <row r="28" spans="1:7" ht="11.25" customHeight="1" x14ac:dyDescent="0.2">
      <c r="A28" s="29">
        <v>44531</v>
      </c>
      <c r="B28" s="19">
        <v>793.80000000000007</v>
      </c>
      <c r="C28" s="19">
        <v>421.44162720000071</v>
      </c>
      <c r="D28" s="19">
        <v>977.02759111061425</v>
      </c>
      <c r="E28" s="19">
        <v>371.84388500537796</v>
      </c>
      <c r="F28" s="19">
        <v>1215.2416272000007</v>
      </c>
      <c r="G28" s="19">
        <v>1348.8714761159922</v>
      </c>
    </row>
    <row r="29" spans="1:7" ht="11.25" customHeight="1" x14ac:dyDescent="0.2">
      <c r="A29" s="29">
        <v>44562</v>
      </c>
      <c r="B29" s="19">
        <v>793.80000000000007</v>
      </c>
      <c r="C29" s="19">
        <v>382.83075600000063</v>
      </c>
      <c r="D29" s="19">
        <v>977.02759111061425</v>
      </c>
      <c r="E29" s="19">
        <v>337.77696939042636</v>
      </c>
      <c r="F29" s="19">
        <v>1176.6307560000007</v>
      </c>
      <c r="G29" s="19">
        <v>1314.8045605010407</v>
      </c>
    </row>
    <row r="30" spans="1:7" ht="11.25" customHeight="1" x14ac:dyDescent="0.2">
      <c r="A30" s="29">
        <v>44593</v>
      </c>
      <c r="B30" s="19">
        <v>793.80000000000007</v>
      </c>
      <c r="C30" s="19">
        <v>364.19816400000013</v>
      </c>
      <c r="D30" s="19">
        <v>977.02759111061425</v>
      </c>
      <c r="E30" s="19">
        <v>321.33717097034207</v>
      </c>
      <c r="F30" s="19">
        <v>1157.9981640000001</v>
      </c>
      <c r="G30" s="19">
        <v>1298.3647620809563</v>
      </c>
    </row>
    <row r="31" spans="1:7" ht="11.25" customHeight="1" x14ac:dyDescent="0.2">
      <c r="A31" s="29">
        <v>44621</v>
      </c>
      <c r="B31" s="19">
        <v>793.80000000000007</v>
      </c>
      <c r="C31" s="19">
        <v>417.95664239999985</v>
      </c>
      <c r="D31" s="19">
        <v>977.02759111061425</v>
      </c>
      <c r="E31" s="19">
        <v>368.76903381939854</v>
      </c>
      <c r="F31" s="19">
        <v>1211.7566423999999</v>
      </c>
      <c r="G31" s="19">
        <v>1345.7966249300127</v>
      </c>
    </row>
    <row r="32" spans="1:7" ht="11.25" customHeight="1" x14ac:dyDescent="0.2">
      <c r="A32" s="29">
        <v>44652</v>
      </c>
      <c r="B32" s="19">
        <v>793.80000000000007</v>
      </c>
      <c r="C32" s="19">
        <v>327.14000879999941</v>
      </c>
      <c r="D32" s="19">
        <v>977.02759111061425</v>
      </c>
      <c r="E32" s="19">
        <v>288.6402385570637</v>
      </c>
      <c r="F32" s="19">
        <v>1120.9400087999995</v>
      </c>
      <c r="G32" s="19">
        <v>1265.667829667678</v>
      </c>
    </row>
    <row r="33" spans="1:7" ht="11.25" customHeight="1" x14ac:dyDescent="0.2">
      <c r="A33" s="29">
        <v>44682</v>
      </c>
      <c r="B33" s="19">
        <v>793.80000000000007</v>
      </c>
      <c r="C33" s="19">
        <v>405.60392400000063</v>
      </c>
      <c r="D33" s="19">
        <v>977.02759111061425</v>
      </c>
      <c r="E33" s="19">
        <v>357.87005634830666</v>
      </c>
      <c r="F33" s="19">
        <v>1199.4039240000006</v>
      </c>
      <c r="G33" s="19">
        <v>1334.8976474589208</v>
      </c>
    </row>
    <row r="34" spans="1:7" ht="11.25" customHeight="1" x14ac:dyDescent="0.2">
      <c r="A34" s="29">
        <v>44713</v>
      </c>
      <c r="B34" s="19">
        <v>793.80000000000007</v>
      </c>
      <c r="C34" s="19">
        <v>405.60392400000063</v>
      </c>
      <c r="D34" s="19">
        <v>977.02759111061425</v>
      </c>
      <c r="E34" s="19">
        <v>357.87005634830666</v>
      </c>
      <c r="F34" s="19">
        <v>1199.4039240000006</v>
      </c>
      <c r="G34" s="19">
        <v>1334.8976474589208</v>
      </c>
    </row>
    <row r="35" spans="1:7" ht="11.25" customHeight="1" x14ac:dyDescent="0.2">
      <c r="A35" s="22" t="s">
        <v>36</v>
      </c>
      <c r="B35" s="19">
        <v>0</v>
      </c>
      <c r="C35" s="19">
        <v>61731.917069999967</v>
      </c>
      <c r="D35" s="19">
        <v>0</v>
      </c>
      <c r="E35" s="19">
        <v>59962.31238536509</v>
      </c>
      <c r="F35" s="19">
        <v>61731.917069999967</v>
      </c>
      <c r="G35" s="19">
        <v>59962.31238536509</v>
      </c>
    </row>
    <row r="36" spans="1:7" ht="11.25" customHeight="1" x14ac:dyDescent="0.2">
      <c r="A36" s="23" t="s">
        <v>23</v>
      </c>
      <c r="B36" s="19">
        <v>0</v>
      </c>
      <c r="C36" s="19">
        <v>61731.917069999967</v>
      </c>
      <c r="D36" s="19">
        <v>0</v>
      </c>
      <c r="E36" s="19">
        <v>59962.31238536509</v>
      </c>
      <c r="F36" s="19">
        <v>61731.917069999967</v>
      </c>
      <c r="G36" s="19">
        <v>59962.31238536509</v>
      </c>
    </row>
    <row r="37" spans="1:7" ht="11.25" customHeight="1" x14ac:dyDescent="0.2">
      <c r="A37" s="24" t="s">
        <v>48</v>
      </c>
      <c r="B37" s="19">
        <v>0</v>
      </c>
      <c r="C37" s="19">
        <v>61731.917069999967</v>
      </c>
      <c r="D37" s="19">
        <v>0</v>
      </c>
      <c r="E37" s="19">
        <v>59962.31238536509</v>
      </c>
      <c r="F37" s="19">
        <v>61731.917069999967</v>
      </c>
      <c r="G37" s="19">
        <v>59962.31238536509</v>
      </c>
    </row>
    <row r="38" spans="1:7" ht="11.25" customHeight="1" x14ac:dyDescent="0.2">
      <c r="A38" s="25" t="s">
        <v>49</v>
      </c>
      <c r="B38" s="19">
        <v>0</v>
      </c>
      <c r="C38" s="19">
        <v>61731.917069999967</v>
      </c>
      <c r="D38" s="19">
        <v>0</v>
      </c>
      <c r="E38" s="19">
        <v>59962.31238536509</v>
      </c>
      <c r="F38" s="19">
        <v>61731.917069999967</v>
      </c>
      <c r="G38" s="19">
        <v>59962.31238536509</v>
      </c>
    </row>
    <row r="39" spans="1:7" ht="11.25" customHeight="1" x14ac:dyDescent="0.2">
      <c r="A39" s="26" t="s">
        <v>25</v>
      </c>
      <c r="B39" s="19">
        <v>0</v>
      </c>
      <c r="C39" s="19">
        <v>61731.917069999967</v>
      </c>
      <c r="D39" s="19">
        <v>0</v>
      </c>
      <c r="E39" s="19">
        <v>59962.31238536509</v>
      </c>
      <c r="F39" s="19">
        <v>61731.917069999967</v>
      </c>
      <c r="G39" s="19">
        <v>59962.31238536509</v>
      </c>
    </row>
    <row r="40" spans="1:7" ht="11.25" customHeight="1" x14ac:dyDescent="0.2">
      <c r="A40" s="27" t="s">
        <v>25</v>
      </c>
      <c r="B40" s="19">
        <v>0</v>
      </c>
      <c r="C40" s="19">
        <v>61731.917069999967</v>
      </c>
      <c r="D40" s="19">
        <v>0</v>
      </c>
      <c r="E40" s="19">
        <v>59962.31238536509</v>
      </c>
      <c r="F40" s="19">
        <v>61731.917069999967</v>
      </c>
      <c r="G40" s="19">
        <v>59962.31238536509</v>
      </c>
    </row>
    <row r="41" spans="1:7" ht="11.25" customHeight="1" x14ac:dyDescent="0.2">
      <c r="A41" s="28" t="s">
        <v>25</v>
      </c>
      <c r="B41" s="19">
        <v>0</v>
      </c>
      <c r="C41" s="19">
        <v>61731.917069999967</v>
      </c>
      <c r="D41" s="19">
        <v>0</v>
      </c>
      <c r="E41" s="19">
        <v>59962.31238536509</v>
      </c>
      <c r="F41" s="19">
        <v>61731.917069999967</v>
      </c>
      <c r="G41" s="19">
        <v>59962.31238536509</v>
      </c>
    </row>
    <row r="42" spans="1:7" ht="11.25" customHeight="1" x14ac:dyDescent="0.2">
      <c r="A42" s="29">
        <v>44378</v>
      </c>
      <c r="B42" s="19">
        <v>0</v>
      </c>
      <c r="C42" s="19">
        <v>4935.4187400000028</v>
      </c>
      <c r="D42" s="19">
        <v>0</v>
      </c>
      <c r="E42" s="19">
        <v>4793.9402222822519</v>
      </c>
      <c r="F42" s="19">
        <v>4935.4187400000028</v>
      </c>
      <c r="G42" s="19">
        <v>4793.9402222822519</v>
      </c>
    </row>
    <row r="43" spans="1:7" ht="11.25" customHeight="1" x14ac:dyDescent="0.2">
      <c r="A43" s="29">
        <v>44409</v>
      </c>
      <c r="B43" s="19">
        <v>0</v>
      </c>
      <c r="C43" s="19">
        <v>5164.896119999994</v>
      </c>
      <c r="D43" s="19">
        <v>0</v>
      </c>
      <c r="E43" s="19">
        <v>5016.8394128149494</v>
      </c>
      <c r="F43" s="19">
        <v>5164.896119999994</v>
      </c>
      <c r="G43" s="19">
        <v>5016.8394128149494</v>
      </c>
    </row>
    <row r="44" spans="1:7" ht="11.25" customHeight="1" x14ac:dyDescent="0.2">
      <c r="A44" s="29">
        <v>44440</v>
      </c>
      <c r="B44" s="19">
        <v>0</v>
      </c>
      <c r="C44" s="19">
        <v>4632.4639499999994</v>
      </c>
      <c r="D44" s="19">
        <v>0</v>
      </c>
      <c r="E44" s="19">
        <v>4499.6699222683383</v>
      </c>
      <c r="F44" s="19">
        <v>4632.4639499999994</v>
      </c>
      <c r="G44" s="19">
        <v>4499.6699222683383</v>
      </c>
    </row>
    <row r="45" spans="1:7" ht="11.25" customHeight="1" x14ac:dyDescent="0.2">
      <c r="A45" s="29">
        <v>44470</v>
      </c>
      <c r="B45" s="19">
        <v>0</v>
      </c>
      <c r="C45" s="19">
        <v>4531.8895800000009</v>
      </c>
      <c r="D45" s="19">
        <v>0</v>
      </c>
      <c r="E45" s="19">
        <v>4401.9786131670389</v>
      </c>
      <c r="F45" s="19">
        <v>4531.8895800000009</v>
      </c>
      <c r="G45" s="19">
        <v>4401.9786131670389</v>
      </c>
    </row>
    <row r="46" spans="1:7" ht="11.25" customHeight="1" x14ac:dyDescent="0.2">
      <c r="A46" s="29">
        <v>44501</v>
      </c>
      <c r="B46" s="19">
        <v>0</v>
      </c>
      <c r="C46" s="19">
        <v>5344.7983799999929</v>
      </c>
      <c r="D46" s="19">
        <v>0</v>
      </c>
      <c r="E46" s="19">
        <v>5191.5846017699751</v>
      </c>
      <c r="F46" s="19">
        <v>5344.7983799999929</v>
      </c>
      <c r="G46" s="19">
        <v>5191.5846017699751</v>
      </c>
    </row>
    <row r="47" spans="1:7" ht="11.25" customHeight="1" x14ac:dyDescent="0.2">
      <c r="A47" s="29">
        <v>44531</v>
      </c>
      <c r="B47" s="19">
        <v>0</v>
      </c>
      <c r="C47" s="19">
        <v>5262.352800000006</v>
      </c>
      <c r="D47" s="19">
        <v>0</v>
      </c>
      <c r="E47" s="19">
        <v>5111.5024034940634</v>
      </c>
      <c r="F47" s="19">
        <v>5262.352800000006</v>
      </c>
      <c r="G47" s="19">
        <v>5111.5024034940634</v>
      </c>
    </row>
    <row r="48" spans="1:7" ht="11.25" customHeight="1" x14ac:dyDescent="0.2">
      <c r="A48" s="29">
        <v>44562</v>
      </c>
      <c r="B48" s="19">
        <v>0</v>
      </c>
      <c r="C48" s="19">
        <v>5157.429060000004</v>
      </c>
      <c r="D48" s="19">
        <v>0</v>
      </c>
      <c r="E48" s="19">
        <v>5009.5864032605568</v>
      </c>
      <c r="F48" s="19">
        <v>5157.429060000004</v>
      </c>
      <c r="G48" s="19">
        <v>5009.5864032605568</v>
      </c>
    </row>
    <row r="49" spans="1:7" ht="11.25" customHeight="1" x14ac:dyDescent="0.2">
      <c r="A49" s="29">
        <v>44593</v>
      </c>
      <c r="B49" s="19">
        <v>0</v>
      </c>
      <c r="C49" s="19">
        <v>5016.1322700000055</v>
      </c>
      <c r="D49" s="19">
        <v>0</v>
      </c>
      <c r="E49" s="19">
        <v>4872.3400214347348</v>
      </c>
      <c r="F49" s="19">
        <v>5016.1322700000055</v>
      </c>
      <c r="G49" s="19">
        <v>4872.3400214347348</v>
      </c>
    </row>
    <row r="50" spans="1:7" ht="11.25" customHeight="1" x14ac:dyDescent="0.2">
      <c r="A50" s="29">
        <v>44621</v>
      </c>
      <c r="B50" s="19">
        <v>0</v>
      </c>
      <c r="C50" s="19">
        <v>5173.4024099999961</v>
      </c>
      <c r="D50" s="19">
        <v>0</v>
      </c>
      <c r="E50" s="19">
        <v>5025.1018618434191</v>
      </c>
      <c r="F50" s="19">
        <v>5173.4024099999961</v>
      </c>
      <c r="G50" s="19">
        <v>5025.1018618434191</v>
      </c>
    </row>
    <row r="51" spans="1:7" ht="11.25" customHeight="1" x14ac:dyDescent="0.2">
      <c r="A51" s="29">
        <v>44652</v>
      </c>
      <c r="B51" s="19">
        <v>0</v>
      </c>
      <c r="C51" s="19">
        <v>5428.1677200000013</v>
      </c>
      <c r="D51" s="19">
        <v>0</v>
      </c>
      <c r="E51" s="19">
        <v>5272.5640795784093</v>
      </c>
      <c r="F51" s="19">
        <v>5428.1677200000013</v>
      </c>
      <c r="G51" s="19">
        <v>5272.5640795784093</v>
      </c>
    </row>
    <row r="52" spans="1:7" ht="11.25" customHeight="1" x14ac:dyDescent="0.2">
      <c r="A52" s="29">
        <v>44682</v>
      </c>
      <c r="B52" s="19">
        <v>0</v>
      </c>
      <c r="C52" s="19">
        <v>5542.4830199999851</v>
      </c>
      <c r="D52" s="19">
        <v>0</v>
      </c>
      <c r="E52" s="19">
        <v>5383.6024217256818</v>
      </c>
      <c r="F52" s="19">
        <v>5542.4830199999851</v>
      </c>
      <c r="G52" s="19">
        <v>5383.6024217256818</v>
      </c>
    </row>
    <row r="53" spans="1:7" ht="11.25" customHeight="1" x14ac:dyDescent="0.2">
      <c r="A53" s="29">
        <v>44713</v>
      </c>
      <c r="B53" s="19">
        <v>0</v>
      </c>
      <c r="C53" s="19">
        <v>5542.4830199999851</v>
      </c>
      <c r="D53" s="19">
        <v>0</v>
      </c>
      <c r="E53" s="19">
        <v>5383.6024217256818</v>
      </c>
      <c r="F53" s="19">
        <v>5542.4830199999851</v>
      </c>
      <c r="G53" s="19">
        <v>5383.6024217256818</v>
      </c>
    </row>
    <row r="54" spans="1:7" ht="11.25" customHeight="1" x14ac:dyDescent="0.2">
      <c r="A54" s="21" t="s">
        <v>651</v>
      </c>
      <c r="B54" s="19">
        <v>0</v>
      </c>
      <c r="C54" s="19">
        <v>249161.42329999979</v>
      </c>
      <c r="D54" s="19">
        <v>0</v>
      </c>
      <c r="E54" s="19">
        <v>220693.11385573278</v>
      </c>
      <c r="F54" s="19">
        <v>249161.42329999979</v>
      </c>
      <c r="G54" s="19">
        <v>220693.1138557329</v>
      </c>
    </row>
    <row r="55" spans="1:7" ht="11.25" customHeight="1" x14ac:dyDescent="0.2">
      <c r="A55" s="22" t="s">
        <v>22</v>
      </c>
      <c r="B55" s="19">
        <v>0</v>
      </c>
      <c r="C55" s="19">
        <v>249161.42329999979</v>
      </c>
      <c r="D55" s="19">
        <v>0</v>
      </c>
      <c r="E55" s="19">
        <v>220693.11385573278</v>
      </c>
      <c r="F55" s="19">
        <v>249161.42329999979</v>
      </c>
      <c r="G55" s="19">
        <v>220693.1138557329</v>
      </c>
    </row>
    <row r="56" spans="1:7" ht="11.25" customHeight="1" x14ac:dyDescent="0.2">
      <c r="A56" s="23" t="s">
        <v>23</v>
      </c>
      <c r="B56" s="19">
        <v>0</v>
      </c>
      <c r="C56" s="19">
        <v>249161.42329999979</v>
      </c>
      <c r="D56" s="19">
        <v>0</v>
      </c>
      <c r="E56" s="19">
        <v>220693.11385573278</v>
      </c>
      <c r="F56" s="19">
        <v>249161.42329999979</v>
      </c>
      <c r="G56" s="19">
        <v>220693.1138557329</v>
      </c>
    </row>
    <row r="57" spans="1:7" ht="11.25" customHeight="1" x14ac:dyDescent="0.2">
      <c r="A57" s="24" t="s">
        <v>24</v>
      </c>
      <c r="B57" s="19">
        <v>0</v>
      </c>
      <c r="C57" s="19">
        <v>249161.42329999979</v>
      </c>
      <c r="D57" s="19">
        <v>0</v>
      </c>
      <c r="E57" s="19">
        <v>220693.11385573278</v>
      </c>
      <c r="F57" s="19">
        <v>249161.42329999979</v>
      </c>
      <c r="G57" s="19">
        <v>220693.1138557329</v>
      </c>
    </row>
    <row r="58" spans="1:7" ht="11.25" customHeight="1" x14ac:dyDescent="0.2">
      <c r="A58" s="25" t="s">
        <v>28</v>
      </c>
      <c r="B58" s="19">
        <v>0</v>
      </c>
      <c r="C58" s="19">
        <v>97734.957389999967</v>
      </c>
      <c r="D58" s="19">
        <v>0</v>
      </c>
      <c r="E58" s="19">
        <v>86566.913604377507</v>
      </c>
      <c r="F58" s="19">
        <v>97734.957389999967</v>
      </c>
      <c r="G58" s="19">
        <v>86566.913604377507</v>
      </c>
    </row>
    <row r="59" spans="1:7" ht="11.25" customHeight="1" x14ac:dyDescent="0.2">
      <c r="A59" s="26" t="s">
        <v>25</v>
      </c>
      <c r="B59" s="19">
        <v>0</v>
      </c>
      <c r="C59" s="19">
        <v>97734.957389999967</v>
      </c>
      <c r="D59" s="19">
        <v>0</v>
      </c>
      <c r="E59" s="19">
        <v>86566.913604377507</v>
      </c>
      <c r="F59" s="19">
        <v>97734.957389999967</v>
      </c>
      <c r="G59" s="19">
        <v>86566.913604377507</v>
      </c>
    </row>
    <row r="60" spans="1:7" ht="11.25" customHeight="1" x14ac:dyDescent="0.2">
      <c r="A60" s="27" t="s">
        <v>25</v>
      </c>
      <c r="B60" s="19">
        <v>0</v>
      </c>
      <c r="C60" s="19">
        <v>97734.957389999967</v>
      </c>
      <c r="D60" s="19">
        <v>0</v>
      </c>
      <c r="E60" s="19">
        <v>86566.913604377507</v>
      </c>
      <c r="F60" s="19">
        <v>97734.957389999967</v>
      </c>
      <c r="G60" s="19">
        <v>86566.913604377507</v>
      </c>
    </row>
    <row r="61" spans="1:7" ht="11.25" customHeight="1" x14ac:dyDescent="0.2">
      <c r="A61" s="28" t="s">
        <v>25</v>
      </c>
      <c r="B61" s="19">
        <v>0</v>
      </c>
      <c r="C61" s="19">
        <v>97734.957389999967</v>
      </c>
      <c r="D61" s="19">
        <v>0</v>
      </c>
      <c r="E61" s="19">
        <v>86566.913604377507</v>
      </c>
      <c r="F61" s="19">
        <v>97734.957389999967</v>
      </c>
      <c r="G61" s="19">
        <v>86566.913604377507</v>
      </c>
    </row>
    <row r="62" spans="1:7" ht="11.25" customHeight="1" x14ac:dyDescent="0.2">
      <c r="A62" s="29">
        <v>44378</v>
      </c>
      <c r="B62" s="19">
        <v>0</v>
      </c>
      <c r="C62" s="19">
        <v>6828.5240999999996</v>
      </c>
      <c r="D62" s="19">
        <v>0</v>
      </c>
      <c r="E62" s="19">
        <v>6048.2377196042244</v>
      </c>
      <c r="F62" s="19">
        <v>6828.5240999999996</v>
      </c>
      <c r="G62" s="19">
        <v>6048.2377196042244</v>
      </c>
    </row>
    <row r="63" spans="1:7" ht="11.25" customHeight="1" x14ac:dyDescent="0.2">
      <c r="A63" s="29">
        <v>44409</v>
      </c>
      <c r="B63" s="19">
        <v>0</v>
      </c>
      <c r="C63" s="19">
        <v>6905.9951999999994</v>
      </c>
      <c r="D63" s="19">
        <v>0</v>
      </c>
      <c r="E63" s="19">
        <v>6116.8562998914676</v>
      </c>
      <c r="F63" s="19">
        <v>6905.9951999999994</v>
      </c>
      <c r="G63" s="19">
        <v>6116.8562998914676</v>
      </c>
    </row>
    <row r="64" spans="1:7" ht="11.25" customHeight="1" x14ac:dyDescent="0.2">
      <c r="A64" s="29">
        <v>44440</v>
      </c>
      <c r="B64" s="19">
        <v>0</v>
      </c>
      <c r="C64" s="19">
        <v>6983.4662999999991</v>
      </c>
      <c r="D64" s="19">
        <v>0</v>
      </c>
      <c r="E64" s="19">
        <v>6185.4748801787118</v>
      </c>
      <c r="F64" s="19">
        <v>6983.4662999999991</v>
      </c>
      <c r="G64" s="19">
        <v>6185.4748801787118</v>
      </c>
    </row>
    <row r="65" spans="1:7" ht="11.25" customHeight="1" x14ac:dyDescent="0.2">
      <c r="A65" s="29">
        <v>44470</v>
      </c>
      <c r="B65" s="19">
        <v>0</v>
      </c>
      <c r="C65" s="19">
        <v>7016.6681999999992</v>
      </c>
      <c r="D65" s="19">
        <v>0</v>
      </c>
      <c r="E65" s="19">
        <v>6214.8828431589591</v>
      </c>
      <c r="F65" s="19">
        <v>7016.6681999999992</v>
      </c>
      <c r="G65" s="19">
        <v>6214.8828431589591</v>
      </c>
    </row>
    <row r="66" spans="1:7" ht="11.25" customHeight="1" x14ac:dyDescent="0.2">
      <c r="A66" s="29">
        <v>44501</v>
      </c>
      <c r="B66" s="19">
        <v>0</v>
      </c>
      <c r="C66" s="19">
        <v>7060.9373999999998</v>
      </c>
      <c r="D66" s="19">
        <v>0</v>
      </c>
      <c r="E66" s="19">
        <v>6254.093460465956</v>
      </c>
      <c r="F66" s="19">
        <v>7060.9373999999998</v>
      </c>
      <c r="G66" s="19">
        <v>6254.093460465956</v>
      </c>
    </row>
    <row r="67" spans="1:7" ht="11.25" customHeight="1" x14ac:dyDescent="0.2">
      <c r="A67" s="29">
        <v>44531</v>
      </c>
      <c r="B67" s="19">
        <v>0</v>
      </c>
      <c r="C67" s="19">
        <v>7105.2065999999995</v>
      </c>
      <c r="D67" s="19">
        <v>0</v>
      </c>
      <c r="E67" s="19">
        <v>6293.304077772953</v>
      </c>
      <c r="F67" s="19">
        <v>7105.2065999999995</v>
      </c>
      <c r="G67" s="19">
        <v>6293.304077772953</v>
      </c>
    </row>
    <row r="68" spans="1:7" ht="11.25" customHeight="1" x14ac:dyDescent="0.2">
      <c r="A68" s="29">
        <v>44562</v>
      </c>
      <c r="B68" s="19">
        <v>0</v>
      </c>
      <c r="C68" s="19">
        <v>8815.8422699999992</v>
      </c>
      <c r="D68" s="19">
        <v>0</v>
      </c>
      <c r="E68" s="19">
        <v>7808.4676815441444</v>
      </c>
      <c r="F68" s="19">
        <v>8815.8422699999992</v>
      </c>
      <c r="G68" s="19">
        <v>7808.4676815441444</v>
      </c>
    </row>
    <row r="69" spans="1:7" ht="11.25" customHeight="1" x14ac:dyDescent="0.2">
      <c r="A69" s="29">
        <v>44593</v>
      </c>
      <c r="B69" s="19">
        <v>0</v>
      </c>
      <c r="C69" s="19">
        <v>9097.3205999999991</v>
      </c>
      <c r="D69" s="19">
        <v>0</v>
      </c>
      <c r="E69" s="19">
        <v>8057.7818565877988</v>
      </c>
      <c r="F69" s="19">
        <v>9097.3205999999991</v>
      </c>
      <c r="G69" s="19">
        <v>8057.7818565877988</v>
      </c>
    </row>
    <row r="70" spans="1:7" ht="11.25" customHeight="1" x14ac:dyDescent="0.2">
      <c r="A70" s="29">
        <v>44621</v>
      </c>
      <c r="B70" s="19">
        <v>0</v>
      </c>
      <c r="C70" s="19">
        <v>9528.9452999999994</v>
      </c>
      <c r="D70" s="19">
        <v>0</v>
      </c>
      <c r="E70" s="19">
        <v>8440.0853753310148</v>
      </c>
      <c r="F70" s="19">
        <v>9528.9452999999994</v>
      </c>
      <c r="G70" s="19">
        <v>8440.0853753310148</v>
      </c>
    </row>
    <row r="71" spans="1:7" ht="11.25" customHeight="1" x14ac:dyDescent="0.2">
      <c r="A71" s="29">
        <v>44652</v>
      </c>
      <c r="B71" s="19">
        <v>0</v>
      </c>
      <c r="C71" s="19">
        <v>9728.1566999999995</v>
      </c>
      <c r="D71" s="19">
        <v>0</v>
      </c>
      <c r="E71" s="19">
        <v>8616.5331532125001</v>
      </c>
      <c r="F71" s="19">
        <v>9728.1566999999995</v>
      </c>
      <c r="G71" s="19">
        <v>8616.5331532125001</v>
      </c>
    </row>
    <row r="72" spans="1:7" ht="11.25" customHeight="1" x14ac:dyDescent="0.2">
      <c r="A72" s="29">
        <v>44682</v>
      </c>
      <c r="B72" s="19">
        <v>0</v>
      </c>
      <c r="C72" s="19">
        <v>9331.9473599999983</v>
      </c>
      <c r="D72" s="19">
        <v>0</v>
      </c>
      <c r="E72" s="19">
        <v>8265.5981283148813</v>
      </c>
      <c r="F72" s="19">
        <v>9331.9473599999983</v>
      </c>
      <c r="G72" s="19">
        <v>8265.5981283148813</v>
      </c>
    </row>
    <row r="73" spans="1:7" ht="11.25" customHeight="1" x14ac:dyDescent="0.2">
      <c r="A73" s="29">
        <v>44713</v>
      </c>
      <c r="B73" s="19">
        <v>0</v>
      </c>
      <c r="C73" s="19">
        <v>9331.9473599999983</v>
      </c>
      <c r="D73" s="19">
        <v>0</v>
      </c>
      <c r="E73" s="19">
        <v>8265.5981283148813</v>
      </c>
      <c r="F73" s="19">
        <v>9331.9473599999983</v>
      </c>
      <c r="G73" s="19">
        <v>8265.5981283148813</v>
      </c>
    </row>
    <row r="74" spans="1:7" ht="11.25" customHeight="1" x14ac:dyDescent="0.2">
      <c r="A74" s="25" t="s">
        <v>29</v>
      </c>
      <c r="B74" s="19">
        <v>0</v>
      </c>
      <c r="C74" s="19">
        <v>124176.08065999995</v>
      </c>
      <c r="D74" s="19">
        <v>0</v>
      </c>
      <c r="E74" s="19">
        <v>109987.39018683543</v>
      </c>
      <c r="F74" s="19">
        <v>124176.08065999992</v>
      </c>
      <c r="G74" s="19">
        <v>109987.39018683542</v>
      </c>
    </row>
    <row r="75" spans="1:7" ht="11.25" customHeight="1" x14ac:dyDescent="0.2">
      <c r="A75" s="26" t="s">
        <v>25</v>
      </c>
      <c r="B75" s="19">
        <v>0</v>
      </c>
      <c r="C75" s="19">
        <v>124176.08065999995</v>
      </c>
      <c r="D75" s="19">
        <v>0</v>
      </c>
      <c r="E75" s="19">
        <v>109987.39018683543</v>
      </c>
      <c r="F75" s="19">
        <v>124176.08065999992</v>
      </c>
      <c r="G75" s="19">
        <v>109987.39018683542</v>
      </c>
    </row>
    <row r="76" spans="1:7" ht="11.25" customHeight="1" x14ac:dyDescent="0.2">
      <c r="A76" s="27" t="s">
        <v>25</v>
      </c>
      <c r="B76" s="19">
        <v>0</v>
      </c>
      <c r="C76" s="19">
        <v>124176.08065999995</v>
      </c>
      <c r="D76" s="19">
        <v>0</v>
      </c>
      <c r="E76" s="19">
        <v>109987.39018683543</v>
      </c>
      <c r="F76" s="19">
        <v>124176.08065999992</v>
      </c>
      <c r="G76" s="19">
        <v>109987.39018683542</v>
      </c>
    </row>
    <row r="77" spans="1:7" ht="11.25" customHeight="1" x14ac:dyDescent="0.2">
      <c r="A77" s="28" t="s">
        <v>25</v>
      </c>
      <c r="B77" s="19">
        <v>0</v>
      </c>
      <c r="C77" s="19">
        <v>124176.08065999995</v>
      </c>
      <c r="D77" s="19">
        <v>0</v>
      </c>
      <c r="E77" s="19">
        <v>109987.39018683543</v>
      </c>
      <c r="F77" s="19">
        <v>124176.08065999992</v>
      </c>
      <c r="G77" s="19">
        <v>109987.39018683542</v>
      </c>
    </row>
    <row r="78" spans="1:7" ht="11.25" customHeight="1" x14ac:dyDescent="0.2">
      <c r="A78" s="29">
        <v>44378</v>
      </c>
      <c r="B78" s="19">
        <v>0</v>
      </c>
      <c r="C78" s="19">
        <v>8398.1508599999961</v>
      </c>
      <c r="D78" s="19">
        <v>0</v>
      </c>
      <c r="E78" s="19">
        <v>7438.5557232703823</v>
      </c>
      <c r="F78" s="19">
        <v>8398.1508599999961</v>
      </c>
      <c r="G78" s="19">
        <v>7438.5557232703823</v>
      </c>
    </row>
    <row r="79" spans="1:7" ht="11.25" customHeight="1" x14ac:dyDescent="0.2">
      <c r="A79" s="29">
        <v>44409</v>
      </c>
      <c r="B79" s="19">
        <v>0</v>
      </c>
      <c r="C79" s="19">
        <v>8651.7321999999967</v>
      </c>
      <c r="D79" s="19">
        <v>0</v>
      </c>
      <c r="E79" s="19">
        <v>7663.1621824084086</v>
      </c>
      <c r="F79" s="19">
        <v>8651.7321999999967</v>
      </c>
      <c r="G79" s="19">
        <v>7663.1621824084086</v>
      </c>
    </row>
    <row r="80" spans="1:7" ht="11.25" customHeight="1" x14ac:dyDescent="0.2">
      <c r="A80" s="29">
        <v>44440</v>
      </c>
      <c r="B80" s="19">
        <v>0</v>
      </c>
      <c r="C80" s="19">
        <v>8856.050199999996</v>
      </c>
      <c r="D80" s="19">
        <v>0</v>
      </c>
      <c r="E80" s="19">
        <v>7844.1342622868542</v>
      </c>
      <c r="F80" s="19">
        <v>8856.050199999996</v>
      </c>
      <c r="G80" s="19">
        <v>7844.1342622868542</v>
      </c>
    </row>
    <row r="81" spans="1:7" ht="11.25" customHeight="1" x14ac:dyDescent="0.2">
      <c r="A81" s="29">
        <v>44470</v>
      </c>
      <c r="B81" s="19">
        <v>0</v>
      </c>
      <c r="C81" s="19">
        <v>8876.2549799999961</v>
      </c>
      <c r="D81" s="19">
        <v>0</v>
      </c>
      <c r="E81" s="19">
        <v>7862.0303901859443</v>
      </c>
      <c r="F81" s="19">
        <v>8876.2549799999961</v>
      </c>
      <c r="G81" s="19">
        <v>7862.0303901859443</v>
      </c>
    </row>
    <row r="82" spans="1:7" ht="11.25" customHeight="1" x14ac:dyDescent="0.2">
      <c r="A82" s="29">
        <v>44501</v>
      </c>
      <c r="B82" s="19">
        <v>0</v>
      </c>
      <c r="C82" s="19">
        <v>9178.872639999996</v>
      </c>
      <c r="D82" s="19">
        <v>0</v>
      </c>
      <c r="E82" s="19">
        <v>8130.0701484947995</v>
      </c>
      <c r="F82" s="19">
        <v>9178.872639999996</v>
      </c>
      <c r="G82" s="19">
        <v>8130.0701484947995</v>
      </c>
    </row>
    <row r="83" spans="1:7" ht="11.25" customHeight="1" x14ac:dyDescent="0.2">
      <c r="A83" s="29">
        <v>44531</v>
      </c>
      <c r="B83" s="19">
        <v>0</v>
      </c>
      <c r="C83" s="19">
        <v>9281.2586599999959</v>
      </c>
      <c r="D83" s="19">
        <v>0</v>
      </c>
      <c r="E83" s="19">
        <v>8220.7572685227751</v>
      </c>
      <c r="F83" s="19">
        <v>9281.2586599999959</v>
      </c>
      <c r="G83" s="19">
        <v>8220.7572685227751</v>
      </c>
    </row>
    <row r="84" spans="1:7" ht="11.25" customHeight="1" x14ac:dyDescent="0.2">
      <c r="A84" s="29">
        <v>44562</v>
      </c>
      <c r="B84" s="19">
        <v>0</v>
      </c>
      <c r="C84" s="19">
        <v>11642.493679999994</v>
      </c>
      <c r="D84" s="19">
        <v>0</v>
      </c>
      <c r="E84" s="19">
        <v>10312.191271651347</v>
      </c>
      <c r="F84" s="19">
        <v>11642.493679999994</v>
      </c>
      <c r="G84" s="19">
        <v>10312.191271651347</v>
      </c>
    </row>
    <row r="85" spans="1:7" ht="11.25" customHeight="1" x14ac:dyDescent="0.2">
      <c r="A85" s="29">
        <v>44593</v>
      </c>
      <c r="B85" s="19">
        <v>0</v>
      </c>
      <c r="C85" s="19">
        <v>11780.975879999995</v>
      </c>
      <c r="D85" s="19">
        <v>0</v>
      </c>
      <c r="E85" s="19">
        <v>10434.850125791181</v>
      </c>
      <c r="F85" s="19">
        <v>11780.975879999995</v>
      </c>
      <c r="G85" s="19">
        <v>10434.850125791181</v>
      </c>
    </row>
    <row r="86" spans="1:7" ht="11.25" customHeight="1" x14ac:dyDescent="0.2">
      <c r="A86" s="29">
        <v>44621</v>
      </c>
      <c r="B86" s="19">
        <v>0</v>
      </c>
      <c r="C86" s="19">
        <v>12581.221379999994</v>
      </c>
      <c r="D86" s="19">
        <v>0</v>
      </c>
      <c r="E86" s="19">
        <v>11143.657438648428</v>
      </c>
      <c r="F86" s="19">
        <v>12581.221379999994</v>
      </c>
      <c r="G86" s="19">
        <v>11143.657438648428</v>
      </c>
    </row>
    <row r="87" spans="1:7" ht="11.25" customHeight="1" x14ac:dyDescent="0.2">
      <c r="A87" s="29">
        <v>44652</v>
      </c>
      <c r="B87" s="19">
        <v>0</v>
      </c>
      <c r="C87" s="19">
        <v>12093.128379999995</v>
      </c>
      <c r="D87" s="19">
        <v>0</v>
      </c>
      <c r="E87" s="19">
        <v>10711.335247827696</v>
      </c>
      <c r="F87" s="19">
        <v>12093.128379999995</v>
      </c>
      <c r="G87" s="19">
        <v>10711.335247827696</v>
      </c>
    </row>
    <row r="88" spans="1:7" ht="11.25" customHeight="1" x14ac:dyDescent="0.2">
      <c r="A88" s="29">
        <v>44682</v>
      </c>
      <c r="B88" s="19">
        <v>0</v>
      </c>
      <c r="C88" s="19">
        <v>11417.970899999995</v>
      </c>
      <c r="D88" s="19">
        <v>0</v>
      </c>
      <c r="E88" s="19">
        <v>10113.32306387381</v>
      </c>
      <c r="F88" s="19">
        <v>11417.970899999995</v>
      </c>
      <c r="G88" s="19">
        <v>10113.32306387381</v>
      </c>
    </row>
    <row r="89" spans="1:7" ht="11.25" customHeight="1" x14ac:dyDescent="0.2">
      <c r="A89" s="29">
        <v>44713</v>
      </c>
      <c r="B89" s="19">
        <v>0</v>
      </c>
      <c r="C89" s="19">
        <v>11417.970899999995</v>
      </c>
      <c r="D89" s="19">
        <v>0</v>
      </c>
      <c r="E89" s="19">
        <v>10113.32306387381</v>
      </c>
      <c r="F89" s="19">
        <v>11417.970899999995</v>
      </c>
      <c r="G89" s="19">
        <v>10113.32306387381</v>
      </c>
    </row>
    <row r="90" spans="1:7" ht="11.25" customHeight="1" x14ac:dyDescent="0.2">
      <c r="A90" s="25" t="s">
        <v>30</v>
      </c>
      <c r="B90" s="19">
        <v>0</v>
      </c>
      <c r="C90" s="19">
        <v>27250.385249999978</v>
      </c>
      <c r="D90" s="19">
        <v>0</v>
      </c>
      <c r="E90" s="19">
        <v>24138.810064519905</v>
      </c>
      <c r="F90" s="19">
        <v>27250.385249999978</v>
      </c>
      <c r="G90" s="19">
        <v>24138.810064519905</v>
      </c>
    </row>
    <row r="91" spans="1:7" ht="11.25" customHeight="1" x14ac:dyDescent="0.2">
      <c r="A91" s="26" t="s">
        <v>25</v>
      </c>
      <c r="B91" s="19">
        <v>0</v>
      </c>
      <c r="C91" s="19">
        <v>27250.385249999978</v>
      </c>
      <c r="D91" s="19">
        <v>0</v>
      </c>
      <c r="E91" s="19">
        <v>24138.810064519905</v>
      </c>
      <c r="F91" s="19">
        <v>27250.385249999978</v>
      </c>
      <c r="G91" s="19">
        <v>24138.810064519905</v>
      </c>
    </row>
    <row r="92" spans="1:7" ht="11.25" customHeight="1" x14ac:dyDescent="0.2">
      <c r="A92" s="27" t="s">
        <v>25</v>
      </c>
      <c r="B92" s="19">
        <v>0</v>
      </c>
      <c r="C92" s="19">
        <v>27250.385249999978</v>
      </c>
      <c r="D92" s="19">
        <v>0</v>
      </c>
      <c r="E92" s="19">
        <v>24138.810064519905</v>
      </c>
      <c r="F92" s="19">
        <v>27250.385249999978</v>
      </c>
      <c r="G92" s="19">
        <v>24138.810064519905</v>
      </c>
    </row>
    <row r="93" spans="1:7" ht="11.25" customHeight="1" x14ac:dyDescent="0.2">
      <c r="A93" s="28" t="s">
        <v>25</v>
      </c>
      <c r="B93" s="19">
        <v>0</v>
      </c>
      <c r="C93" s="19">
        <v>27250.385249999978</v>
      </c>
      <c r="D93" s="19">
        <v>0</v>
      </c>
      <c r="E93" s="19">
        <v>24138.810064519905</v>
      </c>
      <c r="F93" s="19">
        <v>27250.385249999978</v>
      </c>
      <c r="G93" s="19">
        <v>24138.810064519905</v>
      </c>
    </row>
    <row r="94" spans="1:7" ht="11.25" customHeight="1" x14ac:dyDescent="0.2">
      <c r="A94" s="29">
        <v>44378</v>
      </c>
      <c r="B94" s="19">
        <v>0</v>
      </c>
      <c r="C94" s="19">
        <v>1715.7227499999983</v>
      </c>
      <c r="D94" s="19">
        <v>0</v>
      </c>
      <c r="E94" s="19">
        <v>1519.8135808236241</v>
      </c>
      <c r="F94" s="19">
        <v>1715.7227499999983</v>
      </c>
      <c r="G94" s="19">
        <v>1519.8135808236241</v>
      </c>
    </row>
    <row r="95" spans="1:7" ht="11.25" customHeight="1" x14ac:dyDescent="0.2">
      <c r="A95" s="29">
        <v>44409</v>
      </c>
      <c r="B95" s="19">
        <v>0</v>
      </c>
      <c r="C95" s="19">
        <v>1829.5064999999981</v>
      </c>
      <c r="D95" s="19">
        <v>0</v>
      </c>
      <c r="E95" s="19">
        <v>1620.6049753114805</v>
      </c>
      <c r="F95" s="19">
        <v>1829.5064999999981</v>
      </c>
      <c r="G95" s="19">
        <v>1620.6049753114805</v>
      </c>
    </row>
    <row r="96" spans="1:7" ht="11.25" customHeight="1" x14ac:dyDescent="0.2">
      <c r="A96" s="29">
        <v>44440</v>
      </c>
      <c r="B96" s="19">
        <v>0</v>
      </c>
      <c r="C96" s="19">
        <v>1799.6559999999981</v>
      </c>
      <c r="D96" s="19">
        <v>0</v>
      </c>
      <c r="E96" s="19">
        <v>1594.1629436403521</v>
      </c>
      <c r="F96" s="19">
        <v>1799.6559999999981</v>
      </c>
      <c r="G96" s="19">
        <v>1594.1629436403521</v>
      </c>
    </row>
    <row r="97" spans="1:7" ht="11.25" customHeight="1" x14ac:dyDescent="0.2">
      <c r="A97" s="29">
        <v>44470</v>
      </c>
      <c r="B97" s="19">
        <v>0</v>
      </c>
      <c r="C97" s="19">
        <v>1664.7044999999982</v>
      </c>
      <c r="D97" s="19">
        <v>0</v>
      </c>
      <c r="E97" s="19">
        <v>1474.6208308762011</v>
      </c>
      <c r="F97" s="19">
        <v>1664.7044999999982</v>
      </c>
      <c r="G97" s="19">
        <v>1474.6208308762011</v>
      </c>
    </row>
    <row r="98" spans="1:7" ht="11.25" customHeight="1" x14ac:dyDescent="0.2">
      <c r="A98" s="29">
        <v>44501</v>
      </c>
      <c r="B98" s="19">
        <v>0</v>
      </c>
      <c r="C98" s="19">
        <v>2056.5632499999979</v>
      </c>
      <c r="D98" s="19">
        <v>0</v>
      </c>
      <c r="E98" s="19">
        <v>1821.7353340874974</v>
      </c>
      <c r="F98" s="19">
        <v>2056.5632499999979</v>
      </c>
      <c r="G98" s="19">
        <v>1821.7353340874974</v>
      </c>
    </row>
    <row r="99" spans="1:7" ht="11.25" customHeight="1" x14ac:dyDescent="0.2">
      <c r="A99" s="29">
        <v>44531</v>
      </c>
      <c r="B99" s="19">
        <v>0</v>
      </c>
      <c r="C99" s="19">
        <v>2180.1079999999979</v>
      </c>
      <c r="D99" s="19">
        <v>0</v>
      </c>
      <c r="E99" s="19">
        <v>1931.1731723917685</v>
      </c>
      <c r="F99" s="19">
        <v>2180.1079999999979</v>
      </c>
      <c r="G99" s="19">
        <v>1931.1731723917685</v>
      </c>
    </row>
    <row r="100" spans="1:7" ht="11.25" customHeight="1" x14ac:dyDescent="0.2">
      <c r="A100" s="29">
        <v>44562</v>
      </c>
      <c r="B100" s="19">
        <v>0</v>
      </c>
      <c r="C100" s="19">
        <v>2999.9752499999972</v>
      </c>
      <c r="D100" s="19">
        <v>0</v>
      </c>
      <c r="E100" s="19">
        <v>2657.424182948409</v>
      </c>
      <c r="F100" s="19">
        <v>2999.9752499999972</v>
      </c>
      <c r="G100" s="19">
        <v>2657.424182948409</v>
      </c>
    </row>
    <row r="101" spans="1:7" ht="11.25" customHeight="1" x14ac:dyDescent="0.2">
      <c r="A101" s="29">
        <v>44593</v>
      </c>
      <c r="B101" s="19">
        <v>0</v>
      </c>
      <c r="C101" s="19">
        <v>2661.1209999999974</v>
      </c>
      <c r="D101" s="19">
        <v>0</v>
      </c>
      <c r="E101" s="19">
        <v>2357.2618804611316</v>
      </c>
      <c r="F101" s="19">
        <v>2661.1209999999974</v>
      </c>
      <c r="G101" s="19">
        <v>2357.2618804611316</v>
      </c>
    </row>
    <row r="102" spans="1:7" ht="11.25" customHeight="1" x14ac:dyDescent="0.2">
      <c r="A102" s="29">
        <v>44621</v>
      </c>
      <c r="B102" s="19">
        <v>0</v>
      </c>
      <c r="C102" s="19">
        <v>3243.8299999999967</v>
      </c>
      <c r="D102" s="19">
        <v>0</v>
      </c>
      <c r="E102" s="19">
        <v>2873.4344682922087</v>
      </c>
      <c r="F102" s="19">
        <v>3243.8299999999967</v>
      </c>
      <c r="G102" s="19">
        <v>2873.4344682922087</v>
      </c>
    </row>
    <row r="103" spans="1:7" ht="11.25" customHeight="1" x14ac:dyDescent="0.2">
      <c r="A103" s="29">
        <v>44652</v>
      </c>
      <c r="B103" s="19">
        <v>0</v>
      </c>
      <c r="C103" s="19">
        <v>2366.5884999999976</v>
      </c>
      <c r="D103" s="19">
        <v>0</v>
      </c>
      <c r="E103" s="19">
        <v>2096.3604653030388</v>
      </c>
      <c r="F103" s="19">
        <v>2366.5884999999976</v>
      </c>
      <c r="G103" s="19">
        <v>2096.3604653030388</v>
      </c>
    </row>
    <row r="104" spans="1:7" ht="11.25" customHeight="1" x14ac:dyDescent="0.2">
      <c r="A104" s="29">
        <v>44682</v>
      </c>
      <c r="B104" s="19">
        <v>0</v>
      </c>
      <c r="C104" s="19">
        <v>2366.3047499999975</v>
      </c>
      <c r="D104" s="19">
        <v>0</v>
      </c>
      <c r="E104" s="19">
        <v>2096.1091151920964</v>
      </c>
      <c r="F104" s="19">
        <v>2366.3047499999975</v>
      </c>
      <c r="G104" s="19">
        <v>2096.1091151920964</v>
      </c>
    </row>
    <row r="105" spans="1:7" ht="11.25" customHeight="1" x14ac:dyDescent="0.2">
      <c r="A105" s="29">
        <v>44713</v>
      </c>
      <c r="B105" s="19">
        <v>0</v>
      </c>
      <c r="C105" s="19">
        <v>2366.3047499999975</v>
      </c>
      <c r="D105" s="19">
        <v>0</v>
      </c>
      <c r="E105" s="19">
        <v>2096.1091151920964</v>
      </c>
      <c r="F105" s="19">
        <v>2366.3047499999975</v>
      </c>
      <c r="G105" s="19">
        <v>2096.1091151920964</v>
      </c>
    </row>
    <row r="106" spans="1:7" ht="11.25" customHeight="1" x14ac:dyDescent="0.2">
      <c r="A106" s="25" t="s">
        <v>31</v>
      </c>
      <c r="B106" s="19">
        <v>0</v>
      </c>
      <c r="C106" s="19">
        <v>0</v>
      </c>
      <c r="D106" s="19">
        <v>0</v>
      </c>
      <c r="E106" s="19">
        <v>0</v>
      </c>
      <c r="F106" s="19">
        <v>0</v>
      </c>
      <c r="G106" s="19">
        <v>0</v>
      </c>
    </row>
    <row r="107" spans="1:7" ht="11.25" customHeight="1" x14ac:dyDescent="0.2">
      <c r="A107" s="26" t="s">
        <v>25</v>
      </c>
      <c r="B107" s="19">
        <v>0</v>
      </c>
      <c r="C107" s="19">
        <v>0</v>
      </c>
      <c r="D107" s="19">
        <v>0</v>
      </c>
      <c r="E107" s="19">
        <v>0</v>
      </c>
      <c r="F107" s="19">
        <v>0</v>
      </c>
      <c r="G107" s="19">
        <v>0</v>
      </c>
    </row>
    <row r="108" spans="1:7" ht="11.25" customHeight="1" x14ac:dyDescent="0.2">
      <c r="A108" s="27" t="s">
        <v>25</v>
      </c>
      <c r="B108" s="19">
        <v>0</v>
      </c>
      <c r="C108" s="19">
        <v>0</v>
      </c>
      <c r="D108" s="19">
        <v>0</v>
      </c>
      <c r="E108" s="19">
        <v>0</v>
      </c>
      <c r="F108" s="19">
        <v>0</v>
      </c>
      <c r="G108" s="19">
        <v>0</v>
      </c>
    </row>
    <row r="109" spans="1:7" ht="11.25" customHeight="1" x14ac:dyDescent="0.2">
      <c r="A109" s="28" t="s">
        <v>25</v>
      </c>
      <c r="B109" s="19">
        <v>0</v>
      </c>
      <c r="C109" s="19">
        <v>0</v>
      </c>
      <c r="D109" s="19">
        <v>0</v>
      </c>
      <c r="E109" s="19">
        <v>0</v>
      </c>
      <c r="F109" s="19">
        <v>0</v>
      </c>
      <c r="G109" s="19">
        <v>0</v>
      </c>
    </row>
    <row r="110" spans="1:7" ht="11.25" customHeight="1" x14ac:dyDescent="0.2">
      <c r="A110" s="29">
        <v>44378</v>
      </c>
      <c r="B110" s="19">
        <v>0</v>
      </c>
      <c r="C110" s="19">
        <v>0</v>
      </c>
      <c r="D110" s="19">
        <v>0</v>
      </c>
      <c r="E110" s="19">
        <v>0</v>
      </c>
      <c r="F110" s="19">
        <v>0</v>
      </c>
      <c r="G110" s="19">
        <v>0</v>
      </c>
    </row>
    <row r="111" spans="1:7" ht="11.25" customHeight="1" x14ac:dyDescent="0.2">
      <c r="A111" s="29">
        <v>44409</v>
      </c>
      <c r="B111" s="19">
        <v>0</v>
      </c>
      <c r="C111" s="19">
        <v>0</v>
      </c>
      <c r="D111" s="19">
        <v>0</v>
      </c>
      <c r="E111" s="19">
        <v>0</v>
      </c>
      <c r="F111" s="19">
        <v>0</v>
      </c>
      <c r="G111" s="19">
        <v>0</v>
      </c>
    </row>
    <row r="112" spans="1:7" ht="11.25" customHeight="1" x14ac:dyDescent="0.2">
      <c r="A112" s="29">
        <v>44440</v>
      </c>
      <c r="B112" s="19">
        <v>0</v>
      </c>
      <c r="C112" s="19">
        <v>0</v>
      </c>
      <c r="D112" s="19">
        <v>0</v>
      </c>
      <c r="E112" s="19">
        <v>0</v>
      </c>
      <c r="F112" s="19">
        <v>0</v>
      </c>
      <c r="G112" s="19">
        <v>0</v>
      </c>
    </row>
    <row r="113" spans="1:7" ht="11.25" customHeight="1" x14ac:dyDescent="0.2">
      <c r="A113" s="29">
        <v>44470</v>
      </c>
      <c r="B113" s="19">
        <v>0</v>
      </c>
      <c r="C113" s="19">
        <v>0</v>
      </c>
      <c r="D113" s="19">
        <v>0</v>
      </c>
      <c r="E113" s="19">
        <v>0</v>
      </c>
      <c r="F113" s="19">
        <v>0</v>
      </c>
      <c r="G113" s="19">
        <v>0</v>
      </c>
    </row>
    <row r="114" spans="1:7" ht="11.25" customHeight="1" x14ac:dyDescent="0.2">
      <c r="A114" s="29">
        <v>44501</v>
      </c>
      <c r="B114" s="19">
        <v>0</v>
      </c>
      <c r="C114" s="19">
        <v>0</v>
      </c>
      <c r="D114" s="19">
        <v>0</v>
      </c>
      <c r="E114" s="19">
        <v>0</v>
      </c>
      <c r="F114" s="19">
        <v>0</v>
      </c>
      <c r="G114" s="19">
        <v>0</v>
      </c>
    </row>
    <row r="115" spans="1:7" ht="11.25" customHeight="1" x14ac:dyDescent="0.2">
      <c r="A115" s="29">
        <v>44531</v>
      </c>
      <c r="B115" s="19">
        <v>0</v>
      </c>
      <c r="C115" s="19">
        <v>0</v>
      </c>
      <c r="D115" s="19">
        <v>0</v>
      </c>
      <c r="E115" s="19">
        <v>0</v>
      </c>
      <c r="F115" s="19">
        <v>0</v>
      </c>
      <c r="G115" s="19">
        <v>0</v>
      </c>
    </row>
    <row r="116" spans="1:7" ht="11.25" customHeight="1" x14ac:dyDescent="0.2">
      <c r="A116" s="29">
        <v>44562</v>
      </c>
      <c r="B116" s="19">
        <v>0</v>
      </c>
      <c r="C116" s="19">
        <v>0</v>
      </c>
      <c r="D116" s="19">
        <v>0</v>
      </c>
      <c r="E116" s="19">
        <v>0</v>
      </c>
      <c r="F116" s="19">
        <v>0</v>
      </c>
      <c r="G116" s="19">
        <v>0</v>
      </c>
    </row>
    <row r="117" spans="1:7" ht="11.25" customHeight="1" x14ac:dyDescent="0.2">
      <c r="A117" s="29">
        <v>44593</v>
      </c>
      <c r="B117" s="19">
        <v>0</v>
      </c>
      <c r="C117" s="19">
        <v>0</v>
      </c>
      <c r="D117" s="19">
        <v>0</v>
      </c>
      <c r="E117" s="19">
        <v>0</v>
      </c>
      <c r="F117" s="19">
        <v>0</v>
      </c>
      <c r="G117" s="19">
        <v>0</v>
      </c>
    </row>
    <row r="118" spans="1:7" ht="11.25" customHeight="1" x14ac:dyDescent="0.2">
      <c r="A118" s="29">
        <v>44621</v>
      </c>
      <c r="B118" s="19">
        <v>0</v>
      </c>
      <c r="C118" s="19">
        <v>0</v>
      </c>
      <c r="D118" s="19">
        <v>0</v>
      </c>
      <c r="E118" s="19">
        <v>0</v>
      </c>
      <c r="F118" s="19">
        <v>0</v>
      </c>
      <c r="G118" s="19">
        <v>0</v>
      </c>
    </row>
    <row r="119" spans="1:7" ht="11.25" customHeight="1" x14ac:dyDescent="0.2">
      <c r="A119" s="29">
        <v>44652</v>
      </c>
      <c r="B119" s="19">
        <v>0</v>
      </c>
      <c r="C119" s="19">
        <v>0</v>
      </c>
      <c r="D119" s="19">
        <v>0</v>
      </c>
      <c r="E119" s="19">
        <v>0</v>
      </c>
      <c r="F119" s="19">
        <v>0</v>
      </c>
      <c r="G119" s="19">
        <v>0</v>
      </c>
    </row>
    <row r="120" spans="1:7" ht="11.25" customHeight="1" x14ac:dyDescent="0.2">
      <c r="A120" s="29">
        <v>44682</v>
      </c>
      <c r="B120" s="19">
        <v>0</v>
      </c>
      <c r="C120" s="19">
        <v>0</v>
      </c>
      <c r="D120" s="19">
        <v>0</v>
      </c>
      <c r="E120" s="19">
        <v>0</v>
      </c>
      <c r="F120" s="19">
        <v>0</v>
      </c>
      <c r="G120" s="19">
        <v>0</v>
      </c>
    </row>
    <row r="121" spans="1:7" ht="11.25" customHeight="1" x14ac:dyDescent="0.2">
      <c r="A121" s="29">
        <v>44713</v>
      </c>
      <c r="B121" s="19">
        <v>0</v>
      </c>
      <c r="C121" s="19">
        <v>0</v>
      </c>
      <c r="D121" s="19">
        <v>0</v>
      </c>
      <c r="E121" s="19">
        <v>0</v>
      </c>
      <c r="F121" s="19">
        <v>0</v>
      </c>
      <c r="G121" s="19">
        <v>0</v>
      </c>
    </row>
    <row r="122" spans="1:7" ht="11.25" customHeight="1" x14ac:dyDescent="0.2">
      <c r="A122" s="21" t="s">
        <v>648</v>
      </c>
      <c r="B122" s="19">
        <v>1133075.385</v>
      </c>
      <c r="C122" s="19">
        <v>1334823.0565379877</v>
      </c>
      <c r="D122" s="19">
        <v>1787635.9801495895</v>
      </c>
      <c r="E122" s="19">
        <v>1687082.6197153968</v>
      </c>
      <c r="F122" s="19">
        <v>2467898.4415379874</v>
      </c>
      <c r="G122" s="19">
        <v>3474718.5998649863</v>
      </c>
    </row>
    <row r="123" spans="1:7" ht="11.25" customHeight="1" x14ac:dyDescent="0.2">
      <c r="A123" s="22" t="s">
        <v>38</v>
      </c>
      <c r="B123" s="19">
        <v>1133075.385</v>
      </c>
      <c r="C123" s="19">
        <v>1334823.0565379877</v>
      </c>
      <c r="D123" s="19">
        <v>1787635.9801495895</v>
      </c>
      <c r="E123" s="19">
        <v>1687082.6197153968</v>
      </c>
      <c r="F123" s="19">
        <v>2467898.4415379874</v>
      </c>
      <c r="G123" s="19">
        <v>3474718.5998649863</v>
      </c>
    </row>
    <row r="124" spans="1:7" ht="11.25" customHeight="1" x14ac:dyDescent="0.2">
      <c r="A124" s="23" t="s">
        <v>39</v>
      </c>
      <c r="B124" s="19">
        <v>1133075.385</v>
      </c>
      <c r="C124" s="19">
        <v>1334823.0565379877</v>
      </c>
      <c r="D124" s="19">
        <v>1787635.9801495895</v>
      </c>
      <c r="E124" s="19">
        <v>1687082.6197153968</v>
      </c>
      <c r="F124" s="19">
        <v>2467898.4415379874</v>
      </c>
      <c r="G124" s="19">
        <v>3474718.5998649863</v>
      </c>
    </row>
    <row r="125" spans="1:7" ht="11.25" customHeight="1" x14ac:dyDescent="0.2">
      <c r="A125" s="24" t="s">
        <v>37</v>
      </c>
      <c r="B125" s="19">
        <v>1133075.385</v>
      </c>
      <c r="C125" s="19">
        <v>1334823.0565379877</v>
      </c>
      <c r="D125" s="19">
        <v>1787635.9801495895</v>
      </c>
      <c r="E125" s="19">
        <v>1687082.6197153968</v>
      </c>
      <c r="F125" s="19">
        <v>2467898.4415379874</v>
      </c>
      <c r="G125" s="19">
        <v>3474718.5998649863</v>
      </c>
    </row>
    <row r="126" spans="1:7" ht="11.25" customHeight="1" x14ac:dyDescent="0.2">
      <c r="A126" s="25" t="s">
        <v>25</v>
      </c>
      <c r="B126" s="19">
        <v>1133075.385</v>
      </c>
      <c r="C126" s="19">
        <v>1334823.0565379877</v>
      </c>
      <c r="D126" s="19">
        <v>1787635.9801495895</v>
      </c>
      <c r="E126" s="19">
        <v>1687082.6197153968</v>
      </c>
      <c r="F126" s="19">
        <v>2467898.4415379874</v>
      </c>
      <c r="G126" s="19">
        <v>3474718.5998649863</v>
      </c>
    </row>
    <row r="127" spans="1:7" ht="11.25" customHeight="1" x14ac:dyDescent="0.2">
      <c r="A127" s="26" t="s">
        <v>56</v>
      </c>
      <c r="B127" s="19">
        <v>1133075.385</v>
      </c>
      <c r="C127" s="19">
        <v>1334823.0565379877</v>
      </c>
      <c r="D127" s="19">
        <v>1787635.9801495895</v>
      </c>
      <c r="E127" s="19">
        <v>1687082.6197153968</v>
      </c>
      <c r="F127" s="19">
        <v>2467898.4415379874</v>
      </c>
      <c r="G127" s="19">
        <v>3474718.5998649863</v>
      </c>
    </row>
    <row r="128" spans="1:7" ht="11.25" customHeight="1" x14ac:dyDescent="0.2">
      <c r="A128" s="27" t="s">
        <v>25</v>
      </c>
      <c r="B128" s="19">
        <v>1133075.385</v>
      </c>
      <c r="C128" s="19">
        <v>1334823.0565379877</v>
      </c>
      <c r="D128" s="19">
        <v>1787635.9801495895</v>
      </c>
      <c r="E128" s="19">
        <v>1687082.6197153968</v>
      </c>
      <c r="F128" s="19">
        <v>2467898.4415379874</v>
      </c>
      <c r="G128" s="19">
        <v>3474718.5998649863</v>
      </c>
    </row>
    <row r="129" spans="1:7" ht="11.25" customHeight="1" x14ac:dyDescent="0.2">
      <c r="A129" s="28" t="s">
        <v>34</v>
      </c>
      <c r="B129" s="19">
        <v>0</v>
      </c>
      <c r="C129" s="19">
        <v>0</v>
      </c>
      <c r="D129" s="19">
        <v>0</v>
      </c>
      <c r="E129" s="19">
        <v>0</v>
      </c>
      <c r="F129" s="19">
        <v>0</v>
      </c>
      <c r="G129" s="19">
        <v>0</v>
      </c>
    </row>
    <row r="130" spans="1:7" ht="11.25" customHeight="1" x14ac:dyDescent="0.2">
      <c r="A130" s="29">
        <v>44378</v>
      </c>
      <c r="B130" s="19">
        <v>0</v>
      </c>
      <c r="C130" s="19">
        <v>0</v>
      </c>
      <c r="D130" s="19">
        <v>0</v>
      </c>
      <c r="E130" s="19">
        <v>0</v>
      </c>
      <c r="F130" s="19">
        <v>0</v>
      </c>
      <c r="G130" s="19">
        <v>0</v>
      </c>
    </row>
    <row r="131" spans="1:7" ht="11.25" customHeight="1" x14ac:dyDescent="0.2">
      <c r="A131" s="29">
        <v>44409</v>
      </c>
      <c r="B131" s="19">
        <v>0</v>
      </c>
      <c r="C131" s="19">
        <v>0</v>
      </c>
      <c r="D131" s="19">
        <v>0</v>
      </c>
      <c r="E131" s="19">
        <v>0</v>
      </c>
      <c r="F131" s="19">
        <v>0</v>
      </c>
      <c r="G131" s="19">
        <v>0</v>
      </c>
    </row>
    <row r="132" spans="1:7" ht="11.25" customHeight="1" x14ac:dyDescent="0.2">
      <c r="A132" s="29">
        <v>44440</v>
      </c>
      <c r="B132" s="19">
        <v>0</v>
      </c>
      <c r="C132" s="19">
        <v>0</v>
      </c>
      <c r="D132" s="19">
        <v>0</v>
      </c>
      <c r="E132" s="19">
        <v>0</v>
      </c>
      <c r="F132" s="19">
        <v>0</v>
      </c>
      <c r="G132" s="19">
        <v>0</v>
      </c>
    </row>
    <row r="133" spans="1:7" ht="11.25" customHeight="1" x14ac:dyDescent="0.2">
      <c r="A133" s="29">
        <v>44470</v>
      </c>
      <c r="B133" s="19">
        <v>0</v>
      </c>
      <c r="C133" s="19">
        <v>0</v>
      </c>
      <c r="D133" s="19">
        <v>0</v>
      </c>
      <c r="E133" s="19">
        <v>0</v>
      </c>
      <c r="F133" s="19">
        <v>0</v>
      </c>
      <c r="G133" s="19">
        <v>0</v>
      </c>
    </row>
    <row r="134" spans="1:7" ht="11.25" customHeight="1" x14ac:dyDescent="0.2">
      <c r="A134" s="29">
        <v>44501</v>
      </c>
      <c r="B134" s="19">
        <v>0</v>
      </c>
      <c r="C134" s="19">
        <v>0</v>
      </c>
      <c r="D134" s="19">
        <v>0</v>
      </c>
      <c r="E134" s="19">
        <v>0</v>
      </c>
      <c r="F134" s="19">
        <v>0</v>
      </c>
      <c r="G134" s="19">
        <v>0</v>
      </c>
    </row>
    <row r="135" spans="1:7" ht="11.25" customHeight="1" x14ac:dyDescent="0.2">
      <c r="A135" s="29">
        <v>44531</v>
      </c>
      <c r="B135" s="19">
        <v>0</v>
      </c>
      <c r="C135" s="19">
        <v>0</v>
      </c>
      <c r="D135" s="19">
        <v>0</v>
      </c>
      <c r="E135" s="19">
        <v>0</v>
      </c>
      <c r="F135" s="19">
        <v>0</v>
      </c>
      <c r="G135" s="19">
        <v>0</v>
      </c>
    </row>
    <row r="136" spans="1:7" ht="11.25" customHeight="1" x14ac:dyDescent="0.2">
      <c r="A136" s="29">
        <v>44562</v>
      </c>
      <c r="B136" s="19">
        <v>0</v>
      </c>
      <c r="C136" s="19">
        <v>0</v>
      </c>
      <c r="D136" s="19">
        <v>0</v>
      </c>
      <c r="E136" s="19">
        <v>0</v>
      </c>
      <c r="F136" s="19">
        <v>0</v>
      </c>
      <c r="G136" s="19">
        <v>0</v>
      </c>
    </row>
    <row r="137" spans="1:7" ht="11.25" customHeight="1" x14ac:dyDescent="0.2">
      <c r="A137" s="29">
        <v>44593</v>
      </c>
      <c r="B137" s="19">
        <v>0</v>
      </c>
      <c r="C137" s="19">
        <v>0</v>
      </c>
      <c r="D137" s="19">
        <v>0</v>
      </c>
      <c r="E137" s="19">
        <v>0</v>
      </c>
      <c r="F137" s="19">
        <v>0</v>
      </c>
      <c r="G137" s="19">
        <v>0</v>
      </c>
    </row>
    <row r="138" spans="1:7" ht="11.25" customHeight="1" x14ac:dyDescent="0.2">
      <c r="A138" s="29">
        <v>44621</v>
      </c>
      <c r="B138" s="19">
        <v>0</v>
      </c>
      <c r="C138" s="19">
        <v>0</v>
      </c>
      <c r="D138" s="19">
        <v>0</v>
      </c>
      <c r="E138" s="19">
        <v>0</v>
      </c>
      <c r="F138" s="19">
        <v>0</v>
      </c>
      <c r="G138" s="19">
        <v>0</v>
      </c>
    </row>
    <row r="139" spans="1:7" ht="11.25" customHeight="1" x14ac:dyDescent="0.2">
      <c r="A139" s="29">
        <v>44652</v>
      </c>
      <c r="B139" s="19">
        <v>0</v>
      </c>
      <c r="C139" s="19">
        <v>0</v>
      </c>
      <c r="D139" s="19">
        <v>0</v>
      </c>
      <c r="E139" s="19">
        <v>0</v>
      </c>
      <c r="F139" s="19">
        <v>0</v>
      </c>
      <c r="G139" s="19">
        <v>0</v>
      </c>
    </row>
    <row r="140" spans="1:7" ht="11.25" customHeight="1" x14ac:dyDescent="0.2">
      <c r="A140" s="29">
        <v>44682</v>
      </c>
      <c r="B140" s="19">
        <v>0</v>
      </c>
      <c r="C140" s="19">
        <v>0</v>
      </c>
      <c r="D140" s="19">
        <v>0</v>
      </c>
      <c r="E140" s="19">
        <v>0</v>
      </c>
      <c r="F140" s="19">
        <v>0</v>
      </c>
      <c r="G140" s="19">
        <v>0</v>
      </c>
    </row>
    <row r="141" spans="1:7" ht="11.25" customHeight="1" x14ac:dyDescent="0.2">
      <c r="A141" s="29">
        <v>44713</v>
      </c>
      <c r="B141" s="19">
        <v>0</v>
      </c>
      <c r="C141" s="19">
        <v>0</v>
      </c>
      <c r="D141" s="19">
        <v>0</v>
      </c>
      <c r="E141" s="19">
        <v>0</v>
      </c>
      <c r="F141" s="19">
        <v>0</v>
      </c>
      <c r="G141" s="19">
        <v>0</v>
      </c>
    </row>
    <row r="142" spans="1:7" ht="11.25" customHeight="1" x14ac:dyDescent="0.2">
      <c r="A142" s="28" t="s">
        <v>25</v>
      </c>
      <c r="B142" s="19">
        <v>1133075.385</v>
      </c>
      <c r="C142" s="19">
        <v>0</v>
      </c>
      <c r="D142" s="19">
        <v>1787635.9801495895</v>
      </c>
      <c r="E142" s="19">
        <v>0</v>
      </c>
      <c r="F142" s="19">
        <v>1133075.385</v>
      </c>
      <c r="G142" s="19">
        <v>1787635.9801495895</v>
      </c>
    </row>
    <row r="143" spans="1:7" ht="11.25" customHeight="1" x14ac:dyDescent="0.2">
      <c r="A143" s="29">
        <v>44378</v>
      </c>
      <c r="B143" s="19">
        <v>84846.464999999997</v>
      </c>
      <c r="C143" s="19">
        <v>0</v>
      </c>
      <c r="D143" s="19">
        <v>133860.99074290882</v>
      </c>
      <c r="E143" s="19">
        <v>0</v>
      </c>
      <c r="F143" s="19">
        <v>84846.464999999997</v>
      </c>
      <c r="G143" s="19">
        <v>133860.99074290882</v>
      </c>
    </row>
    <row r="144" spans="1:7" ht="11.25" customHeight="1" x14ac:dyDescent="0.2">
      <c r="A144" s="29">
        <v>44409</v>
      </c>
      <c r="B144" s="19">
        <v>88739.774999999994</v>
      </c>
      <c r="C144" s="19">
        <v>0</v>
      </c>
      <c r="D144" s="19">
        <v>140003.40732878869</v>
      </c>
      <c r="E144" s="19">
        <v>0</v>
      </c>
      <c r="F144" s="19">
        <v>88739.774999999994</v>
      </c>
      <c r="G144" s="19">
        <v>140003.40732878869</v>
      </c>
    </row>
    <row r="145" spans="1:7" ht="11.25" customHeight="1" x14ac:dyDescent="0.2">
      <c r="A145" s="29">
        <v>44440</v>
      </c>
      <c r="B145" s="19">
        <v>88984.125</v>
      </c>
      <c r="C145" s="19">
        <v>0</v>
      </c>
      <c r="D145" s="19">
        <v>140388.91464589411</v>
      </c>
      <c r="E145" s="19">
        <v>0</v>
      </c>
      <c r="F145" s="19">
        <v>88984.125</v>
      </c>
      <c r="G145" s="19">
        <v>140388.91464589411</v>
      </c>
    </row>
    <row r="146" spans="1:7" ht="11.25" customHeight="1" x14ac:dyDescent="0.2">
      <c r="A146" s="29">
        <v>44470</v>
      </c>
      <c r="B146" s="19">
        <v>88739.774999999994</v>
      </c>
      <c r="C146" s="19">
        <v>0</v>
      </c>
      <c r="D146" s="19">
        <v>140003.40732878869</v>
      </c>
      <c r="E146" s="19">
        <v>0</v>
      </c>
      <c r="F146" s="19">
        <v>88739.774999999994</v>
      </c>
      <c r="G146" s="19">
        <v>140003.40732878869</v>
      </c>
    </row>
    <row r="147" spans="1:7" ht="11.25" customHeight="1" x14ac:dyDescent="0.2">
      <c r="A147" s="29">
        <v>44501</v>
      </c>
      <c r="B147" s="19">
        <v>92893.724999999991</v>
      </c>
      <c r="C147" s="19">
        <v>0</v>
      </c>
      <c r="D147" s="19">
        <v>146557.03171958099</v>
      </c>
      <c r="E147" s="19">
        <v>0</v>
      </c>
      <c r="F147" s="19">
        <v>92893.724999999991</v>
      </c>
      <c r="G147" s="19">
        <v>146557.03171958099</v>
      </c>
    </row>
    <row r="148" spans="1:7" ht="11.25" customHeight="1" x14ac:dyDescent="0.2">
      <c r="A148" s="29">
        <v>44531</v>
      </c>
      <c r="B148" s="19">
        <v>92812.274999999994</v>
      </c>
      <c r="C148" s="19">
        <v>0</v>
      </c>
      <c r="D148" s="19">
        <v>146428.52928054583</v>
      </c>
      <c r="E148" s="19">
        <v>0</v>
      </c>
      <c r="F148" s="19">
        <v>92812.274999999994</v>
      </c>
      <c r="G148" s="19">
        <v>146428.52928054583</v>
      </c>
    </row>
    <row r="149" spans="1:7" ht="11.25" customHeight="1" x14ac:dyDescent="0.2">
      <c r="A149" s="29">
        <v>44562</v>
      </c>
      <c r="B149" s="19">
        <v>93243.959999999992</v>
      </c>
      <c r="C149" s="19">
        <v>0</v>
      </c>
      <c r="D149" s="19">
        <v>147109.59220743211</v>
      </c>
      <c r="E149" s="19">
        <v>0</v>
      </c>
      <c r="F149" s="19">
        <v>93243.959999999992</v>
      </c>
      <c r="G149" s="19">
        <v>147109.59220743211</v>
      </c>
    </row>
    <row r="150" spans="1:7" ht="11.25" customHeight="1" x14ac:dyDescent="0.2">
      <c r="A150" s="29">
        <v>44593</v>
      </c>
      <c r="B150" s="19">
        <v>100232.37</v>
      </c>
      <c r="C150" s="19">
        <v>0</v>
      </c>
      <c r="D150" s="19">
        <v>158135.1014766474</v>
      </c>
      <c r="E150" s="19">
        <v>0</v>
      </c>
      <c r="F150" s="19">
        <v>100232.37</v>
      </c>
      <c r="G150" s="19">
        <v>158135.1014766474</v>
      </c>
    </row>
    <row r="151" spans="1:7" ht="11.25" customHeight="1" x14ac:dyDescent="0.2">
      <c r="A151" s="29">
        <v>44621</v>
      </c>
      <c r="B151" s="19">
        <v>100843.245</v>
      </c>
      <c r="C151" s="19">
        <v>0</v>
      </c>
      <c r="D151" s="19">
        <v>159098.86976941099</v>
      </c>
      <c r="E151" s="19">
        <v>0</v>
      </c>
      <c r="F151" s="19">
        <v>100843.245</v>
      </c>
      <c r="G151" s="19">
        <v>159098.86976941099</v>
      </c>
    </row>
    <row r="152" spans="1:7" ht="11.25" customHeight="1" x14ac:dyDescent="0.2">
      <c r="A152" s="29">
        <v>44652</v>
      </c>
      <c r="B152" s="19">
        <v>100737.36</v>
      </c>
      <c r="C152" s="19">
        <v>0</v>
      </c>
      <c r="D152" s="19">
        <v>158931.81659866529</v>
      </c>
      <c r="E152" s="19">
        <v>0</v>
      </c>
      <c r="F152" s="19">
        <v>100737.36</v>
      </c>
      <c r="G152" s="19">
        <v>158931.81659866529</v>
      </c>
    </row>
    <row r="153" spans="1:7" ht="11.25" customHeight="1" x14ac:dyDescent="0.2">
      <c r="A153" s="29">
        <v>44682</v>
      </c>
      <c r="B153" s="19">
        <v>100501.155</v>
      </c>
      <c r="C153" s="19">
        <v>0</v>
      </c>
      <c r="D153" s="19">
        <v>158559.15952546336</v>
      </c>
      <c r="E153" s="19">
        <v>0</v>
      </c>
      <c r="F153" s="19">
        <v>100501.155</v>
      </c>
      <c r="G153" s="19">
        <v>158559.15952546336</v>
      </c>
    </row>
    <row r="154" spans="1:7" ht="11.25" customHeight="1" x14ac:dyDescent="0.2">
      <c r="A154" s="29">
        <v>44713</v>
      </c>
      <c r="B154" s="19">
        <v>100501.155</v>
      </c>
      <c r="C154" s="19">
        <v>0</v>
      </c>
      <c r="D154" s="19">
        <v>158559.15952546336</v>
      </c>
      <c r="E154" s="19">
        <v>0</v>
      </c>
      <c r="F154" s="19">
        <v>100501.155</v>
      </c>
      <c r="G154" s="19">
        <v>158559.15952546336</v>
      </c>
    </row>
    <row r="155" spans="1:7" ht="11.25" customHeight="1" x14ac:dyDescent="0.2">
      <c r="A155" s="28" t="s">
        <v>33</v>
      </c>
      <c r="B155" s="19">
        <v>0</v>
      </c>
      <c r="C155" s="19">
        <v>1334823.0565379877</v>
      </c>
      <c r="D155" s="19">
        <v>0</v>
      </c>
      <c r="E155" s="19">
        <v>1687082.6197153968</v>
      </c>
      <c r="F155" s="19">
        <v>1334823.0565379877</v>
      </c>
      <c r="G155" s="19">
        <v>1687082.6197153968</v>
      </c>
    </row>
    <row r="156" spans="1:7" ht="11.25" customHeight="1" x14ac:dyDescent="0.2">
      <c r="A156" s="29">
        <v>44378</v>
      </c>
      <c r="B156" s="19">
        <v>0</v>
      </c>
      <c r="C156" s="19">
        <v>106142.646158244</v>
      </c>
      <c r="D156" s="19">
        <v>0</v>
      </c>
      <c r="E156" s="19">
        <v>134153.67128030909</v>
      </c>
      <c r="F156" s="19">
        <v>106142.646158244</v>
      </c>
      <c r="G156" s="19">
        <v>134153.67128030909</v>
      </c>
    </row>
    <row r="157" spans="1:7" ht="11.25" customHeight="1" x14ac:dyDescent="0.2">
      <c r="A157" s="29">
        <v>44409</v>
      </c>
      <c r="B157" s="19">
        <v>0</v>
      </c>
      <c r="C157" s="19">
        <v>109770.762589138</v>
      </c>
      <c r="D157" s="19">
        <v>0</v>
      </c>
      <c r="E157" s="19">
        <v>138739.24698106188</v>
      </c>
      <c r="F157" s="19">
        <v>109770.762589138</v>
      </c>
      <c r="G157" s="19">
        <v>138739.24698106188</v>
      </c>
    </row>
    <row r="158" spans="1:7" ht="11.25" customHeight="1" x14ac:dyDescent="0.2">
      <c r="A158" s="29">
        <v>44440</v>
      </c>
      <c r="B158" s="19">
        <v>0</v>
      </c>
      <c r="C158" s="19">
        <v>100111.36010506397</v>
      </c>
      <c r="D158" s="19">
        <v>0</v>
      </c>
      <c r="E158" s="19">
        <v>126530.72992863467</v>
      </c>
      <c r="F158" s="19">
        <v>100111.36010506397</v>
      </c>
      <c r="G158" s="19">
        <v>126530.72992863467</v>
      </c>
    </row>
    <row r="159" spans="1:7" ht="11.25" customHeight="1" x14ac:dyDescent="0.2">
      <c r="A159" s="29">
        <v>44470</v>
      </c>
      <c r="B159" s="19">
        <v>0</v>
      </c>
      <c r="C159" s="19">
        <v>92617.11842915001</v>
      </c>
      <c r="D159" s="19">
        <v>0</v>
      </c>
      <c r="E159" s="19">
        <v>117058.7592300064</v>
      </c>
      <c r="F159" s="19">
        <v>92617.11842915001</v>
      </c>
      <c r="G159" s="19">
        <v>117058.7592300064</v>
      </c>
    </row>
    <row r="160" spans="1:7" ht="11.25" customHeight="1" x14ac:dyDescent="0.2">
      <c r="A160" s="29">
        <v>44501</v>
      </c>
      <c r="B160" s="19">
        <v>0</v>
      </c>
      <c r="C160" s="19">
        <v>103857.56127520198</v>
      </c>
      <c r="D160" s="19">
        <v>0</v>
      </c>
      <c r="E160" s="19">
        <v>131265.55290995876</v>
      </c>
      <c r="F160" s="19">
        <v>103857.56127520198</v>
      </c>
      <c r="G160" s="19">
        <v>131265.55290995876</v>
      </c>
    </row>
    <row r="161" spans="1:7" ht="11.25" customHeight="1" x14ac:dyDescent="0.2">
      <c r="A161" s="29">
        <v>44531</v>
      </c>
      <c r="B161" s="19">
        <v>0</v>
      </c>
      <c r="C161" s="19">
        <v>100660.00764965599</v>
      </c>
      <c r="D161" s="19">
        <v>0</v>
      </c>
      <c r="E161" s="19">
        <v>127224.16546100508</v>
      </c>
      <c r="F161" s="19">
        <v>100660.00764965599</v>
      </c>
      <c r="G161" s="19">
        <v>127224.16546100508</v>
      </c>
    </row>
    <row r="162" spans="1:7" ht="11.25" customHeight="1" x14ac:dyDescent="0.2">
      <c r="A162" s="29">
        <v>44562</v>
      </c>
      <c r="B162" s="19">
        <v>0</v>
      </c>
      <c r="C162" s="19">
        <v>107734.61803787199</v>
      </c>
      <c r="D162" s="19">
        <v>0</v>
      </c>
      <c r="E162" s="19">
        <v>136165.76425101483</v>
      </c>
      <c r="F162" s="19">
        <v>107734.61803787199</v>
      </c>
      <c r="G162" s="19">
        <v>136165.76425101483</v>
      </c>
    </row>
    <row r="163" spans="1:7" ht="11.25" customHeight="1" x14ac:dyDescent="0.2">
      <c r="A163" s="29">
        <v>44593</v>
      </c>
      <c r="B163" s="19">
        <v>0</v>
      </c>
      <c r="C163" s="19">
        <v>112570.49419240798</v>
      </c>
      <c r="D163" s="19">
        <v>0</v>
      </c>
      <c r="E163" s="19">
        <v>142277.82724801899</v>
      </c>
      <c r="F163" s="19">
        <v>112570.49419240798</v>
      </c>
      <c r="G163" s="19">
        <v>142277.82724801899</v>
      </c>
    </row>
    <row r="164" spans="1:7" ht="11.25" customHeight="1" x14ac:dyDescent="0.2">
      <c r="A164" s="29">
        <v>44621</v>
      </c>
      <c r="B164" s="19">
        <v>0</v>
      </c>
      <c r="C164" s="19">
        <v>129472.93765669198</v>
      </c>
      <c r="D164" s="19">
        <v>0</v>
      </c>
      <c r="E164" s="19">
        <v>163640.82248521139</v>
      </c>
      <c r="F164" s="19">
        <v>129472.93765669198</v>
      </c>
      <c r="G164" s="19">
        <v>163640.82248521139</v>
      </c>
    </row>
    <row r="165" spans="1:7" ht="11.25" customHeight="1" x14ac:dyDescent="0.2">
      <c r="A165" s="29">
        <v>44652</v>
      </c>
      <c r="B165" s="19">
        <v>0</v>
      </c>
      <c r="C165" s="19">
        <v>111279.017812298</v>
      </c>
      <c r="D165" s="19">
        <v>0</v>
      </c>
      <c r="E165" s="19">
        <v>140645.5304848004</v>
      </c>
      <c r="F165" s="19">
        <v>111279.017812298</v>
      </c>
      <c r="G165" s="19">
        <v>140645.5304848004</v>
      </c>
    </row>
    <row r="166" spans="1:7" ht="11.25" customHeight="1" x14ac:dyDescent="0.2">
      <c r="A166" s="29">
        <v>44682</v>
      </c>
      <c r="B166" s="19">
        <v>0</v>
      </c>
      <c r="C166" s="19">
        <v>130303.26631613201</v>
      </c>
      <c r="D166" s="19">
        <v>0</v>
      </c>
      <c r="E166" s="19">
        <v>164690.27472768768</v>
      </c>
      <c r="F166" s="19">
        <v>130303.26631613201</v>
      </c>
      <c r="G166" s="19">
        <v>164690.27472768768</v>
      </c>
    </row>
    <row r="167" spans="1:7" ht="11.25" customHeight="1" x14ac:dyDescent="0.2">
      <c r="A167" s="29">
        <v>44713</v>
      </c>
      <c r="B167" s="19">
        <v>0</v>
      </c>
      <c r="C167" s="19">
        <v>130303.26631613201</v>
      </c>
      <c r="D167" s="19">
        <v>0</v>
      </c>
      <c r="E167" s="19">
        <v>164690.27472768768</v>
      </c>
      <c r="F167" s="19">
        <v>130303.26631613201</v>
      </c>
      <c r="G167" s="19">
        <v>164690.27472768768</v>
      </c>
    </row>
    <row r="168" spans="1:7" ht="11.25" customHeight="1" x14ac:dyDescent="0.2">
      <c r="A168" s="21" t="s">
        <v>647</v>
      </c>
      <c r="B168" s="19">
        <v>58565.074999999997</v>
      </c>
      <c r="C168" s="19">
        <v>0</v>
      </c>
      <c r="D168" s="19">
        <v>70715.694401180968</v>
      </c>
      <c r="E168" s="19">
        <v>0</v>
      </c>
      <c r="F168" s="19">
        <v>58565.074999999997</v>
      </c>
      <c r="G168" s="19">
        <v>70715.694401180968</v>
      </c>
    </row>
    <row r="169" spans="1:7" ht="11.25" customHeight="1" x14ac:dyDescent="0.2">
      <c r="A169" s="22" t="s">
        <v>38</v>
      </c>
      <c r="B169" s="19">
        <v>58565.074999999997</v>
      </c>
      <c r="C169" s="19">
        <v>0</v>
      </c>
      <c r="D169" s="19">
        <v>70715.694401180968</v>
      </c>
      <c r="E169" s="19">
        <v>0</v>
      </c>
      <c r="F169" s="19">
        <v>58565.074999999997</v>
      </c>
      <c r="G169" s="19">
        <v>70715.694401180968</v>
      </c>
    </row>
    <row r="170" spans="1:7" ht="11.25" customHeight="1" x14ac:dyDescent="0.2">
      <c r="A170" s="23" t="s">
        <v>58</v>
      </c>
      <c r="B170" s="19">
        <v>58565.074999999997</v>
      </c>
      <c r="C170" s="19">
        <v>0</v>
      </c>
      <c r="D170" s="19">
        <v>70715.694401180968</v>
      </c>
      <c r="E170" s="19">
        <v>0</v>
      </c>
      <c r="F170" s="19">
        <v>58565.074999999997</v>
      </c>
      <c r="G170" s="19">
        <v>70715.694401180968</v>
      </c>
    </row>
    <row r="171" spans="1:7" ht="11.25" customHeight="1" x14ac:dyDescent="0.2">
      <c r="A171" s="24" t="s">
        <v>25</v>
      </c>
      <c r="B171" s="19">
        <v>58565.074999999997</v>
      </c>
      <c r="C171" s="19">
        <v>0</v>
      </c>
      <c r="D171" s="19">
        <v>70715.694401180968</v>
      </c>
      <c r="E171" s="19">
        <v>0</v>
      </c>
      <c r="F171" s="19">
        <v>58565.074999999997</v>
      </c>
      <c r="G171" s="19">
        <v>70715.694401180968</v>
      </c>
    </row>
    <row r="172" spans="1:7" ht="11.25" customHeight="1" x14ac:dyDescent="0.2">
      <c r="A172" s="25" t="s">
        <v>25</v>
      </c>
      <c r="B172" s="19">
        <v>58565.074999999997</v>
      </c>
      <c r="C172" s="19">
        <v>0</v>
      </c>
      <c r="D172" s="19">
        <v>70715.694401180968</v>
      </c>
      <c r="E172" s="19">
        <v>0</v>
      </c>
      <c r="F172" s="19">
        <v>58565.074999999997</v>
      </c>
      <c r="G172" s="19">
        <v>70715.694401180968</v>
      </c>
    </row>
    <row r="173" spans="1:7" ht="11.25" customHeight="1" x14ac:dyDescent="0.2">
      <c r="A173" s="26" t="s">
        <v>25</v>
      </c>
      <c r="B173" s="19">
        <v>58565.074999999997</v>
      </c>
      <c r="C173" s="19">
        <v>0</v>
      </c>
      <c r="D173" s="19">
        <v>70715.694401180968</v>
      </c>
      <c r="E173" s="19">
        <v>0</v>
      </c>
      <c r="F173" s="19">
        <v>58565.074999999997</v>
      </c>
      <c r="G173" s="19">
        <v>70715.694401180968</v>
      </c>
    </row>
    <row r="174" spans="1:7" ht="11.25" customHeight="1" x14ac:dyDescent="0.2">
      <c r="A174" s="27" t="s">
        <v>59</v>
      </c>
      <c r="B174" s="19">
        <v>32123.075000000001</v>
      </c>
      <c r="C174" s="19">
        <v>0</v>
      </c>
      <c r="D174" s="19">
        <v>38787.716995602197</v>
      </c>
      <c r="E174" s="19">
        <v>0</v>
      </c>
      <c r="F174" s="19">
        <v>32123.075000000001</v>
      </c>
      <c r="G174" s="19">
        <v>38787.716995602197</v>
      </c>
    </row>
    <row r="175" spans="1:7" ht="11.25" customHeight="1" x14ac:dyDescent="0.2">
      <c r="A175" s="28" t="s">
        <v>25</v>
      </c>
      <c r="B175" s="19">
        <v>32123.075000000001</v>
      </c>
      <c r="C175" s="19">
        <v>0</v>
      </c>
      <c r="D175" s="19">
        <v>38787.716995602197</v>
      </c>
      <c r="E175" s="19">
        <v>0</v>
      </c>
      <c r="F175" s="19">
        <v>32123.075000000001</v>
      </c>
      <c r="G175" s="19">
        <v>38787.716995602197</v>
      </c>
    </row>
    <row r="176" spans="1:7" ht="11.25" customHeight="1" x14ac:dyDescent="0.2">
      <c r="A176" s="29">
        <v>44378</v>
      </c>
      <c r="B176" s="19">
        <v>2542.5</v>
      </c>
      <c r="C176" s="19">
        <v>0</v>
      </c>
      <c r="D176" s="19">
        <v>3069.9978274595001</v>
      </c>
      <c r="E176" s="19">
        <v>0</v>
      </c>
      <c r="F176" s="19">
        <v>2542.5</v>
      </c>
      <c r="G176" s="19">
        <v>3069.9978274595001</v>
      </c>
    </row>
    <row r="177" spans="1:7" ht="11.25" customHeight="1" x14ac:dyDescent="0.2">
      <c r="A177" s="29">
        <v>44409</v>
      </c>
      <c r="B177" s="19">
        <v>2542.5</v>
      </c>
      <c r="C177" s="19">
        <v>0</v>
      </c>
      <c r="D177" s="19">
        <v>3069.9978274595001</v>
      </c>
      <c r="E177" s="19">
        <v>0</v>
      </c>
      <c r="F177" s="19">
        <v>2542.5</v>
      </c>
      <c r="G177" s="19">
        <v>3069.9978274595001</v>
      </c>
    </row>
    <row r="178" spans="1:7" ht="11.25" customHeight="1" x14ac:dyDescent="0.2">
      <c r="A178" s="29">
        <v>44440</v>
      </c>
      <c r="B178" s="19">
        <v>2714.8250000000003</v>
      </c>
      <c r="C178" s="19">
        <v>0</v>
      </c>
      <c r="D178" s="19">
        <v>3278.0754579873105</v>
      </c>
      <c r="E178" s="19">
        <v>0</v>
      </c>
      <c r="F178" s="19">
        <v>2714.8250000000003</v>
      </c>
      <c r="G178" s="19">
        <v>3278.0754579873105</v>
      </c>
    </row>
    <row r="179" spans="1:7" ht="11.25" customHeight="1" x14ac:dyDescent="0.2">
      <c r="A179" s="29">
        <v>44470</v>
      </c>
      <c r="B179" s="19">
        <v>2720.4750000000004</v>
      </c>
      <c r="C179" s="19">
        <v>0</v>
      </c>
      <c r="D179" s="19">
        <v>3284.8976753816651</v>
      </c>
      <c r="E179" s="19">
        <v>0</v>
      </c>
      <c r="F179" s="19">
        <v>2720.4750000000004</v>
      </c>
      <c r="G179" s="19">
        <v>3284.8976753816651</v>
      </c>
    </row>
    <row r="180" spans="1:7" ht="11.25" customHeight="1" x14ac:dyDescent="0.2">
      <c r="A180" s="29">
        <v>44501</v>
      </c>
      <c r="B180" s="19">
        <v>2689.4</v>
      </c>
      <c r="C180" s="19">
        <v>0</v>
      </c>
      <c r="D180" s="19">
        <v>3247.3754797127153</v>
      </c>
      <c r="E180" s="19">
        <v>0</v>
      </c>
      <c r="F180" s="19">
        <v>2689.4</v>
      </c>
      <c r="G180" s="19">
        <v>3247.3754797127153</v>
      </c>
    </row>
    <row r="181" spans="1:7" ht="11.25" customHeight="1" x14ac:dyDescent="0.2">
      <c r="A181" s="29">
        <v>44531</v>
      </c>
      <c r="B181" s="19">
        <v>2542.5</v>
      </c>
      <c r="C181" s="19">
        <v>0</v>
      </c>
      <c r="D181" s="19">
        <v>3069.9978274595001</v>
      </c>
      <c r="E181" s="19">
        <v>0</v>
      </c>
      <c r="F181" s="19">
        <v>2542.5</v>
      </c>
      <c r="G181" s="19">
        <v>3069.9978274595001</v>
      </c>
    </row>
    <row r="182" spans="1:7" ht="11.25" customHeight="1" x14ac:dyDescent="0.2">
      <c r="A182" s="29">
        <v>44562</v>
      </c>
      <c r="B182" s="19">
        <v>2542.5</v>
      </c>
      <c r="C182" s="19">
        <v>0</v>
      </c>
      <c r="D182" s="19">
        <v>3069.9978274595001</v>
      </c>
      <c r="E182" s="19">
        <v>0</v>
      </c>
      <c r="F182" s="19">
        <v>2542.5</v>
      </c>
      <c r="G182" s="19">
        <v>3069.9978274595001</v>
      </c>
    </row>
    <row r="183" spans="1:7" ht="11.25" customHeight="1" x14ac:dyDescent="0.2">
      <c r="A183" s="29">
        <v>44593</v>
      </c>
      <c r="B183" s="19">
        <v>2542.5</v>
      </c>
      <c r="C183" s="19">
        <v>0</v>
      </c>
      <c r="D183" s="19">
        <v>3069.9978274595001</v>
      </c>
      <c r="E183" s="19">
        <v>0</v>
      </c>
      <c r="F183" s="19">
        <v>2542.5</v>
      </c>
      <c r="G183" s="19">
        <v>3069.9978274595001</v>
      </c>
    </row>
    <row r="184" spans="1:7" ht="11.25" customHeight="1" x14ac:dyDescent="0.2">
      <c r="A184" s="29">
        <v>44621</v>
      </c>
      <c r="B184" s="19">
        <v>2542.5</v>
      </c>
      <c r="C184" s="19">
        <v>0</v>
      </c>
      <c r="D184" s="19">
        <v>3069.9978274595001</v>
      </c>
      <c r="E184" s="19">
        <v>0</v>
      </c>
      <c r="F184" s="19">
        <v>2542.5</v>
      </c>
      <c r="G184" s="19">
        <v>3069.9978274595001</v>
      </c>
    </row>
    <row r="185" spans="1:7" ht="11.25" customHeight="1" x14ac:dyDescent="0.2">
      <c r="A185" s="29">
        <v>44652</v>
      </c>
      <c r="B185" s="19">
        <v>2669.625</v>
      </c>
      <c r="C185" s="19">
        <v>0</v>
      </c>
      <c r="D185" s="19">
        <v>3223.4977188324751</v>
      </c>
      <c r="E185" s="19">
        <v>0</v>
      </c>
      <c r="F185" s="19">
        <v>2669.625</v>
      </c>
      <c r="G185" s="19">
        <v>3223.4977188324751</v>
      </c>
    </row>
    <row r="186" spans="1:7" ht="11.25" customHeight="1" x14ac:dyDescent="0.2">
      <c r="A186" s="29">
        <v>44682</v>
      </c>
      <c r="B186" s="19">
        <v>3036.875</v>
      </c>
      <c r="C186" s="19">
        <v>0</v>
      </c>
      <c r="D186" s="19">
        <v>3666.9418494655138</v>
      </c>
      <c r="E186" s="19">
        <v>0</v>
      </c>
      <c r="F186" s="19">
        <v>3036.875</v>
      </c>
      <c r="G186" s="19">
        <v>3666.9418494655138</v>
      </c>
    </row>
    <row r="187" spans="1:7" ht="11.25" customHeight="1" x14ac:dyDescent="0.2">
      <c r="A187" s="29">
        <v>44713</v>
      </c>
      <c r="B187" s="19">
        <v>3036.875</v>
      </c>
      <c r="C187" s="19">
        <v>0</v>
      </c>
      <c r="D187" s="19">
        <v>3666.9418494655138</v>
      </c>
      <c r="E187" s="19">
        <v>0</v>
      </c>
      <c r="F187" s="19">
        <v>3036.875</v>
      </c>
      <c r="G187" s="19">
        <v>3666.9418494655138</v>
      </c>
    </row>
    <row r="188" spans="1:7" ht="11.25" customHeight="1" x14ac:dyDescent="0.2">
      <c r="A188" s="27" t="s">
        <v>61</v>
      </c>
      <c r="B188" s="19">
        <v>26442</v>
      </c>
      <c r="C188" s="19">
        <v>0</v>
      </c>
      <c r="D188" s="19">
        <v>31927.977405578804</v>
      </c>
      <c r="E188" s="19">
        <v>0</v>
      </c>
      <c r="F188" s="19">
        <v>26442</v>
      </c>
      <c r="G188" s="19">
        <v>31927.977405578804</v>
      </c>
    </row>
    <row r="189" spans="1:7" ht="11.25" customHeight="1" x14ac:dyDescent="0.2">
      <c r="A189" s="28" t="s">
        <v>25</v>
      </c>
      <c r="B189" s="19">
        <v>26442</v>
      </c>
      <c r="C189" s="19">
        <v>0</v>
      </c>
      <c r="D189" s="19">
        <v>31927.977405578804</v>
      </c>
      <c r="E189" s="19">
        <v>0</v>
      </c>
      <c r="F189" s="19">
        <v>26442</v>
      </c>
      <c r="G189" s="19">
        <v>31927.977405578804</v>
      </c>
    </row>
    <row r="190" spans="1:7" ht="11.25" customHeight="1" x14ac:dyDescent="0.2">
      <c r="A190" s="29">
        <v>44378</v>
      </c>
      <c r="B190" s="19">
        <v>2203.5</v>
      </c>
      <c r="C190" s="19">
        <v>0</v>
      </c>
      <c r="D190" s="19">
        <v>2660.6647837982332</v>
      </c>
      <c r="E190" s="19">
        <v>0</v>
      </c>
      <c r="F190" s="19">
        <v>2203.5</v>
      </c>
      <c r="G190" s="19">
        <v>2660.6647837982332</v>
      </c>
    </row>
    <row r="191" spans="1:7" ht="11.25" customHeight="1" x14ac:dyDescent="0.2">
      <c r="A191" s="29">
        <v>44409</v>
      </c>
      <c r="B191" s="19">
        <v>2203.5</v>
      </c>
      <c r="C191" s="19">
        <v>0</v>
      </c>
      <c r="D191" s="19">
        <v>2660.6647837982332</v>
      </c>
      <c r="E191" s="19">
        <v>0</v>
      </c>
      <c r="F191" s="19">
        <v>2203.5</v>
      </c>
      <c r="G191" s="19">
        <v>2660.6647837982332</v>
      </c>
    </row>
    <row r="192" spans="1:7" ht="11.25" customHeight="1" x14ac:dyDescent="0.2">
      <c r="A192" s="29">
        <v>44440</v>
      </c>
      <c r="B192" s="19">
        <v>2203.5</v>
      </c>
      <c r="C192" s="19">
        <v>0</v>
      </c>
      <c r="D192" s="19">
        <v>2660.6647837982332</v>
      </c>
      <c r="E192" s="19">
        <v>0</v>
      </c>
      <c r="F192" s="19">
        <v>2203.5</v>
      </c>
      <c r="G192" s="19">
        <v>2660.6647837982332</v>
      </c>
    </row>
    <row r="193" spans="1:7" ht="11.25" customHeight="1" x14ac:dyDescent="0.2">
      <c r="A193" s="29">
        <v>44470</v>
      </c>
      <c r="B193" s="19">
        <v>2203.5</v>
      </c>
      <c r="C193" s="19">
        <v>0</v>
      </c>
      <c r="D193" s="19">
        <v>2660.6647837982332</v>
      </c>
      <c r="E193" s="19">
        <v>0</v>
      </c>
      <c r="F193" s="19">
        <v>2203.5</v>
      </c>
      <c r="G193" s="19">
        <v>2660.6647837982332</v>
      </c>
    </row>
    <row r="194" spans="1:7" ht="11.25" customHeight="1" x14ac:dyDescent="0.2">
      <c r="A194" s="29">
        <v>44501</v>
      </c>
      <c r="B194" s="19">
        <v>2203.5</v>
      </c>
      <c r="C194" s="19">
        <v>0</v>
      </c>
      <c r="D194" s="19">
        <v>2660.6647837982332</v>
      </c>
      <c r="E194" s="19">
        <v>0</v>
      </c>
      <c r="F194" s="19">
        <v>2203.5</v>
      </c>
      <c r="G194" s="19">
        <v>2660.6647837982332</v>
      </c>
    </row>
    <row r="195" spans="1:7" ht="11.25" customHeight="1" x14ac:dyDescent="0.2">
      <c r="A195" s="29">
        <v>44531</v>
      </c>
      <c r="B195" s="19">
        <v>2203.5</v>
      </c>
      <c r="C195" s="19">
        <v>0</v>
      </c>
      <c r="D195" s="19">
        <v>2660.6647837982332</v>
      </c>
      <c r="E195" s="19">
        <v>0</v>
      </c>
      <c r="F195" s="19">
        <v>2203.5</v>
      </c>
      <c r="G195" s="19">
        <v>2660.6647837982332</v>
      </c>
    </row>
    <row r="196" spans="1:7" ht="11.25" customHeight="1" x14ac:dyDescent="0.2">
      <c r="A196" s="29">
        <v>44562</v>
      </c>
      <c r="B196" s="19">
        <v>2203.5</v>
      </c>
      <c r="C196" s="19">
        <v>0</v>
      </c>
      <c r="D196" s="19">
        <v>2660.6647837982332</v>
      </c>
      <c r="E196" s="19">
        <v>0</v>
      </c>
      <c r="F196" s="19">
        <v>2203.5</v>
      </c>
      <c r="G196" s="19">
        <v>2660.6647837982332</v>
      </c>
    </row>
    <row r="197" spans="1:7" ht="11.25" customHeight="1" x14ac:dyDescent="0.2">
      <c r="A197" s="29">
        <v>44593</v>
      </c>
      <c r="B197" s="19">
        <v>2203.5</v>
      </c>
      <c r="C197" s="19">
        <v>0</v>
      </c>
      <c r="D197" s="19">
        <v>2660.6647837982332</v>
      </c>
      <c r="E197" s="19">
        <v>0</v>
      </c>
      <c r="F197" s="19">
        <v>2203.5</v>
      </c>
      <c r="G197" s="19">
        <v>2660.6647837982332</v>
      </c>
    </row>
    <row r="198" spans="1:7" ht="11.25" customHeight="1" x14ac:dyDescent="0.2">
      <c r="A198" s="29">
        <v>44621</v>
      </c>
      <c r="B198" s="19">
        <v>2203.5</v>
      </c>
      <c r="C198" s="19">
        <v>0</v>
      </c>
      <c r="D198" s="19">
        <v>2660.6647837982332</v>
      </c>
      <c r="E198" s="19">
        <v>0</v>
      </c>
      <c r="F198" s="19">
        <v>2203.5</v>
      </c>
      <c r="G198" s="19">
        <v>2660.6647837982332</v>
      </c>
    </row>
    <row r="199" spans="1:7" ht="11.25" customHeight="1" x14ac:dyDescent="0.2">
      <c r="A199" s="29">
        <v>44652</v>
      </c>
      <c r="B199" s="19">
        <v>2203.5</v>
      </c>
      <c r="C199" s="19">
        <v>0</v>
      </c>
      <c r="D199" s="19">
        <v>2660.6647837982332</v>
      </c>
      <c r="E199" s="19">
        <v>0</v>
      </c>
      <c r="F199" s="19">
        <v>2203.5</v>
      </c>
      <c r="G199" s="19">
        <v>2660.6647837982332</v>
      </c>
    </row>
    <row r="200" spans="1:7" ht="11.25" customHeight="1" x14ac:dyDescent="0.2">
      <c r="A200" s="29">
        <v>44682</v>
      </c>
      <c r="B200" s="19">
        <v>2203.5</v>
      </c>
      <c r="C200" s="19">
        <v>0</v>
      </c>
      <c r="D200" s="19">
        <v>2660.6647837982332</v>
      </c>
      <c r="E200" s="19">
        <v>0</v>
      </c>
      <c r="F200" s="19">
        <v>2203.5</v>
      </c>
      <c r="G200" s="19">
        <v>2660.6647837982332</v>
      </c>
    </row>
    <row r="201" spans="1:7" ht="11.25" customHeight="1" x14ac:dyDescent="0.2">
      <c r="A201" s="29">
        <v>44713</v>
      </c>
      <c r="B201" s="19">
        <v>2203.5</v>
      </c>
      <c r="C201" s="19">
        <v>0</v>
      </c>
      <c r="D201" s="19">
        <v>2660.6647837982332</v>
      </c>
      <c r="E201" s="19">
        <v>0</v>
      </c>
      <c r="F201" s="19">
        <v>2203.5</v>
      </c>
      <c r="G201" s="19">
        <v>2660.6647837982332</v>
      </c>
    </row>
    <row r="202" spans="1:7" ht="11.25" customHeight="1" x14ac:dyDescent="0.2">
      <c r="A202" s="21" t="s">
        <v>650</v>
      </c>
      <c r="B202" s="19">
        <v>0</v>
      </c>
      <c r="C202" s="19">
        <v>47205.421564000011</v>
      </c>
      <c r="D202" s="19">
        <v>0</v>
      </c>
      <c r="E202" s="19">
        <v>44192.975493419792</v>
      </c>
      <c r="F202" s="19">
        <v>47205.421564000011</v>
      </c>
      <c r="G202" s="19">
        <v>44192.975493419792</v>
      </c>
    </row>
    <row r="203" spans="1:7" ht="11.25" customHeight="1" x14ac:dyDescent="0.2">
      <c r="A203" s="22" t="s">
        <v>38</v>
      </c>
      <c r="B203" s="19">
        <v>0</v>
      </c>
      <c r="C203" s="19">
        <v>45057.977356000003</v>
      </c>
      <c r="D203" s="19">
        <v>0</v>
      </c>
      <c r="E203" s="19">
        <v>42184.325531957817</v>
      </c>
      <c r="F203" s="19">
        <v>45057.977356000003</v>
      </c>
      <c r="G203" s="19">
        <v>42184.325531957817</v>
      </c>
    </row>
    <row r="204" spans="1:7" ht="11.25" customHeight="1" x14ac:dyDescent="0.2">
      <c r="A204" s="23" t="s">
        <v>39</v>
      </c>
      <c r="B204" s="19">
        <v>0</v>
      </c>
      <c r="C204" s="19">
        <v>45057.977356000003</v>
      </c>
      <c r="D204" s="19">
        <v>0</v>
      </c>
      <c r="E204" s="19">
        <v>42184.325531957817</v>
      </c>
      <c r="F204" s="19">
        <v>45057.977356000003</v>
      </c>
      <c r="G204" s="19">
        <v>42184.325531957817</v>
      </c>
    </row>
    <row r="205" spans="1:7" ht="11.25" customHeight="1" x14ac:dyDescent="0.2">
      <c r="A205" s="24" t="s">
        <v>43</v>
      </c>
      <c r="B205" s="19">
        <v>0</v>
      </c>
      <c r="C205" s="19">
        <v>45057.977356000003</v>
      </c>
      <c r="D205" s="19">
        <v>0</v>
      </c>
      <c r="E205" s="19">
        <v>42184.325531957817</v>
      </c>
      <c r="F205" s="19">
        <v>45057.977356000003</v>
      </c>
      <c r="G205" s="19">
        <v>42184.325531957817</v>
      </c>
    </row>
    <row r="206" spans="1:7" ht="11.25" customHeight="1" x14ac:dyDescent="0.2">
      <c r="A206" s="25" t="s">
        <v>52</v>
      </c>
      <c r="B206" s="19">
        <v>0</v>
      </c>
      <c r="C206" s="19">
        <v>45057.977356000003</v>
      </c>
      <c r="D206" s="19">
        <v>0</v>
      </c>
      <c r="E206" s="19">
        <v>42184.325531957817</v>
      </c>
      <c r="F206" s="19">
        <v>45057.977356000003</v>
      </c>
      <c r="G206" s="19">
        <v>42184.325531957817</v>
      </c>
    </row>
    <row r="207" spans="1:7" ht="11.25" customHeight="1" x14ac:dyDescent="0.2">
      <c r="A207" s="26" t="s">
        <v>54</v>
      </c>
      <c r="B207" s="19">
        <v>0</v>
      </c>
      <c r="C207" s="19">
        <v>45057.977356000003</v>
      </c>
      <c r="D207" s="19">
        <v>0</v>
      </c>
      <c r="E207" s="19">
        <v>42184.325531957817</v>
      </c>
      <c r="F207" s="19">
        <v>45057.977356000003</v>
      </c>
      <c r="G207" s="19">
        <v>42184.325531957817</v>
      </c>
    </row>
    <row r="208" spans="1:7" ht="11.25" customHeight="1" x14ac:dyDescent="0.2">
      <c r="A208" s="27" t="s">
        <v>25</v>
      </c>
      <c r="B208" s="19">
        <v>0</v>
      </c>
      <c r="C208" s="19">
        <v>45057.977356000003</v>
      </c>
      <c r="D208" s="19">
        <v>0</v>
      </c>
      <c r="E208" s="19">
        <v>42184.325531957817</v>
      </c>
      <c r="F208" s="19">
        <v>45057.977356000003</v>
      </c>
      <c r="G208" s="19">
        <v>42184.325531957817</v>
      </c>
    </row>
    <row r="209" spans="1:7" ht="11.25" customHeight="1" x14ac:dyDescent="0.2">
      <c r="A209" s="28" t="s">
        <v>34</v>
      </c>
      <c r="B209" s="19">
        <v>0</v>
      </c>
      <c r="C209" s="19">
        <v>45057.977356000003</v>
      </c>
      <c r="D209" s="19">
        <v>0</v>
      </c>
      <c r="E209" s="19">
        <v>42184.325531957817</v>
      </c>
      <c r="F209" s="19">
        <v>45057.977356000003</v>
      </c>
      <c r="G209" s="19">
        <v>42184.325531957817</v>
      </c>
    </row>
    <row r="210" spans="1:7" ht="11.25" customHeight="1" x14ac:dyDescent="0.2">
      <c r="A210" s="29">
        <v>44378</v>
      </c>
      <c r="B210" s="19">
        <v>0</v>
      </c>
      <c r="C210" s="19">
        <v>39.215848000000001</v>
      </c>
      <c r="D210" s="19">
        <v>0</v>
      </c>
      <c r="E210" s="19">
        <v>36.714788259874879</v>
      </c>
      <c r="F210" s="19">
        <v>39.215848000000001</v>
      </c>
      <c r="G210" s="19">
        <v>36.714788259874879</v>
      </c>
    </row>
    <row r="211" spans="1:7" ht="11.25" customHeight="1" x14ac:dyDescent="0.2">
      <c r="A211" s="29">
        <v>44409</v>
      </c>
      <c r="B211" s="19">
        <v>0</v>
      </c>
      <c r="C211" s="19">
        <v>46.955818000000001</v>
      </c>
      <c r="D211" s="19">
        <v>0</v>
      </c>
      <c r="E211" s="19">
        <v>43.961128048008078</v>
      </c>
      <c r="F211" s="19">
        <v>46.955818000000001</v>
      </c>
      <c r="G211" s="19">
        <v>43.961128048008078</v>
      </c>
    </row>
    <row r="212" spans="1:7" ht="11.25" customHeight="1" x14ac:dyDescent="0.2">
      <c r="A212" s="29">
        <v>44440</v>
      </c>
      <c r="B212" s="19">
        <v>0</v>
      </c>
      <c r="C212" s="19">
        <v>15.479939999999999</v>
      </c>
      <c r="D212" s="19">
        <v>0</v>
      </c>
      <c r="E212" s="19">
        <v>14.492679576266401</v>
      </c>
      <c r="F212" s="19">
        <v>15.479939999999999</v>
      </c>
      <c r="G212" s="19">
        <v>14.492679576266401</v>
      </c>
    </row>
    <row r="213" spans="1:7" ht="11.25" customHeight="1" x14ac:dyDescent="0.2">
      <c r="A213" s="29">
        <v>44470</v>
      </c>
      <c r="B213" s="19">
        <v>0</v>
      </c>
      <c r="C213" s="19">
        <v>1883.3926999999999</v>
      </c>
      <c r="D213" s="19">
        <v>0</v>
      </c>
      <c r="E213" s="19">
        <v>1763.2760151124119</v>
      </c>
      <c r="F213" s="19">
        <v>1883.3926999999999</v>
      </c>
      <c r="G213" s="19">
        <v>1763.2760151124119</v>
      </c>
    </row>
    <row r="214" spans="1:7" ht="11.25" customHeight="1" x14ac:dyDescent="0.2">
      <c r="A214" s="29">
        <v>44501</v>
      </c>
      <c r="B214" s="19">
        <v>0</v>
      </c>
      <c r="C214" s="19">
        <v>7362.5174630000001</v>
      </c>
      <c r="D214" s="19">
        <v>0</v>
      </c>
      <c r="E214" s="19">
        <v>6892.9599511319047</v>
      </c>
      <c r="F214" s="19">
        <v>7362.5174630000001</v>
      </c>
      <c r="G214" s="19">
        <v>6892.9599511319047</v>
      </c>
    </row>
    <row r="215" spans="1:7" ht="11.25" customHeight="1" x14ac:dyDescent="0.2">
      <c r="A215" s="29">
        <v>44531</v>
      </c>
      <c r="B215" s="19">
        <v>0</v>
      </c>
      <c r="C215" s="19">
        <v>16395.578451000001</v>
      </c>
      <c r="D215" s="19">
        <v>0</v>
      </c>
      <c r="E215" s="19">
        <v>15349.921573202559</v>
      </c>
      <c r="F215" s="19">
        <v>16395.578451000001</v>
      </c>
      <c r="G215" s="19">
        <v>15349.921573202559</v>
      </c>
    </row>
    <row r="216" spans="1:7" ht="11.25" customHeight="1" x14ac:dyDescent="0.2">
      <c r="A216" s="29">
        <v>44562</v>
      </c>
      <c r="B216" s="19">
        <v>0</v>
      </c>
      <c r="C216" s="19">
        <v>9555.5089630000002</v>
      </c>
      <c r="D216" s="19">
        <v>0</v>
      </c>
      <c r="E216" s="19">
        <v>8946.0895577696447</v>
      </c>
      <c r="F216" s="19">
        <v>9555.5089630000002</v>
      </c>
      <c r="G216" s="19">
        <v>8946.0895577696447</v>
      </c>
    </row>
    <row r="217" spans="1:7" ht="11.25" customHeight="1" x14ac:dyDescent="0.2">
      <c r="A217" s="29">
        <v>44593</v>
      </c>
      <c r="B217" s="19">
        <v>0</v>
      </c>
      <c r="C217" s="19">
        <v>8372.5835480000005</v>
      </c>
      <c r="D217" s="19">
        <v>0</v>
      </c>
      <c r="E217" s="19">
        <v>7838.6072934832882</v>
      </c>
      <c r="F217" s="19">
        <v>8372.5835480000005</v>
      </c>
      <c r="G217" s="19">
        <v>7838.6072934832882</v>
      </c>
    </row>
    <row r="218" spans="1:7" ht="11.25" customHeight="1" x14ac:dyDescent="0.2">
      <c r="A218" s="29">
        <v>44621</v>
      </c>
      <c r="B218" s="19">
        <v>0</v>
      </c>
      <c r="C218" s="19">
        <v>98.55561800000001</v>
      </c>
      <c r="D218" s="19">
        <v>0</v>
      </c>
      <c r="E218" s="19">
        <v>92.270059968896106</v>
      </c>
      <c r="F218" s="19">
        <v>98.55561800000001</v>
      </c>
      <c r="G218" s="19">
        <v>92.270059968896106</v>
      </c>
    </row>
    <row r="219" spans="1:7" ht="11.25" customHeight="1" x14ac:dyDescent="0.2">
      <c r="A219" s="29">
        <v>44652</v>
      </c>
      <c r="B219" s="19">
        <v>0</v>
      </c>
      <c r="C219" s="19">
        <v>413.056399</v>
      </c>
      <c r="D219" s="19">
        <v>0</v>
      </c>
      <c r="E219" s="19">
        <v>386.71300002670847</v>
      </c>
      <c r="F219" s="19">
        <v>413.056399</v>
      </c>
      <c r="G219" s="19">
        <v>386.71300002670847</v>
      </c>
    </row>
    <row r="220" spans="1:7" ht="11.25" customHeight="1" x14ac:dyDescent="0.2">
      <c r="A220" s="29">
        <v>44682</v>
      </c>
      <c r="B220" s="19">
        <v>0</v>
      </c>
      <c r="C220" s="19">
        <v>437.56630399999995</v>
      </c>
      <c r="D220" s="19">
        <v>0</v>
      </c>
      <c r="E220" s="19">
        <v>409.65974268913021</v>
      </c>
      <c r="F220" s="19">
        <v>437.56630399999995</v>
      </c>
      <c r="G220" s="19">
        <v>409.65974268913021</v>
      </c>
    </row>
    <row r="221" spans="1:7" ht="11.25" customHeight="1" x14ac:dyDescent="0.2">
      <c r="A221" s="29">
        <v>44713</v>
      </c>
      <c r="B221" s="19">
        <v>0</v>
      </c>
      <c r="C221" s="19">
        <v>437.56630399999995</v>
      </c>
      <c r="D221" s="19">
        <v>0</v>
      </c>
      <c r="E221" s="19">
        <v>409.65974268913021</v>
      </c>
      <c r="F221" s="19">
        <v>437.56630399999995</v>
      </c>
      <c r="G221" s="19">
        <v>409.65974268913021</v>
      </c>
    </row>
    <row r="222" spans="1:7" ht="11.25" customHeight="1" x14ac:dyDescent="0.2">
      <c r="A222" s="22" t="s">
        <v>42</v>
      </c>
      <c r="B222" s="19">
        <v>0</v>
      </c>
      <c r="C222" s="19">
        <v>2147.4442080000003</v>
      </c>
      <c r="D222" s="19">
        <v>0</v>
      </c>
      <c r="E222" s="19">
        <v>2008.6499614619888</v>
      </c>
      <c r="F222" s="19">
        <v>2147.4442080000003</v>
      </c>
      <c r="G222" s="19">
        <v>2008.6499614619888</v>
      </c>
    </row>
    <row r="223" spans="1:7" ht="11.25" customHeight="1" x14ac:dyDescent="0.2">
      <c r="A223" s="23" t="s">
        <v>23</v>
      </c>
      <c r="B223" s="19">
        <v>0</v>
      </c>
      <c r="C223" s="19">
        <v>2147.4442080000003</v>
      </c>
      <c r="D223" s="19">
        <v>0</v>
      </c>
      <c r="E223" s="19">
        <v>2008.6499614619888</v>
      </c>
      <c r="F223" s="19">
        <v>2147.4442080000003</v>
      </c>
      <c r="G223" s="19">
        <v>2008.6499614619888</v>
      </c>
    </row>
    <row r="224" spans="1:7" ht="11.25" customHeight="1" x14ac:dyDescent="0.2">
      <c r="A224" s="24" t="s">
        <v>43</v>
      </c>
      <c r="B224" s="19">
        <v>0</v>
      </c>
      <c r="C224" s="19">
        <v>2147.4442080000003</v>
      </c>
      <c r="D224" s="19">
        <v>0</v>
      </c>
      <c r="E224" s="19">
        <v>2008.6499614619888</v>
      </c>
      <c r="F224" s="19">
        <v>2147.4442080000003</v>
      </c>
      <c r="G224" s="19">
        <v>2008.6499614619888</v>
      </c>
    </row>
    <row r="225" spans="1:7" ht="11.25" customHeight="1" x14ac:dyDescent="0.2">
      <c r="A225" s="25" t="s">
        <v>52</v>
      </c>
      <c r="B225" s="19">
        <v>0</v>
      </c>
      <c r="C225" s="19">
        <v>2147.4442080000003</v>
      </c>
      <c r="D225" s="19">
        <v>0</v>
      </c>
      <c r="E225" s="19">
        <v>2008.6499614619888</v>
      </c>
      <c r="F225" s="19">
        <v>2147.4442080000003</v>
      </c>
      <c r="G225" s="19">
        <v>2008.6499614619888</v>
      </c>
    </row>
    <row r="226" spans="1:7" ht="11.25" customHeight="1" x14ac:dyDescent="0.2">
      <c r="A226" s="26" t="s">
        <v>54</v>
      </c>
      <c r="B226" s="19">
        <v>0</v>
      </c>
      <c r="C226" s="19">
        <v>2147.4442080000003</v>
      </c>
      <c r="D226" s="19">
        <v>0</v>
      </c>
      <c r="E226" s="19">
        <v>2008.6499614619888</v>
      </c>
      <c r="F226" s="19">
        <v>2147.4442080000003</v>
      </c>
      <c r="G226" s="19">
        <v>2008.6499614619888</v>
      </c>
    </row>
    <row r="227" spans="1:7" ht="11.25" customHeight="1" x14ac:dyDescent="0.2">
      <c r="A227" s="27" t="s">
        <v>25</v>
      </c>
      <c r="B227" s="19">
        <v>0</v>
      </c>
      <c r="C227" s="19">
        <v>2147.4442080000003</v>
      </c>
      <c r="D227" s="19">
        <v>0</v>
      </c>
      <c r="E227" s="19">
        <v>2008.6499614619888</v>
      </c>
      <c r="F227" s="19">
        <v>2147.4442080000003</v>
      </c>
      <c r="G227" s="19">
        <v>2008.6499614619888</v>
      </c>
    </row>
    <row r="228" spans="1:7" ht="11.25" customHeight="1" x14ac:dyDescent="0.2">
      <c r="A228" s="28" t="s">
        <v>25</v>
      </c>
      <c r="B228" s="19">
        <v>0</v>
      </c>
      <c r="C228" s="19">
        <v>2147.4442080000003</v>
      </c>
      <c r="D228" s="19">
        <v>0</v>
      </c>
      <c r="E228" s="19">
        <v>2008.6499614619888</v>
      </c>
      <c r="F228" s="19">
        <v>2147.4442080000003</v>
      </c>
      <c r="G228" s="19">
        <v>2008.6499614619888</v>
      </c>
    </row>
    <row r="229" spans="1:7" ht="11.25" customHeight="1" x14ac:dyDescent="0.2">
      <c r="A229" s="29">
        <v>44440</v>
      </c>
      <c r="B229" s="19">
        <v>0</v>
      </c>
      <c r="C229" s="19">
        <v>17.043208</v>
      </c>
      <c r="D229" s="19">
        <v>0</v>
      </c>
      <c r="E229" s="19">
        <v>15.941666360809435</v>
      </c>
      <c r="F229" s="19">
        <v>17.043208</v>
      </c>
      <c r="G229" s="19">
        <v>15.941666360809435</v>
      </c>
    </row>
    <row r="230" spans="1:7" ht="11.25" customHeight="1" x14ac:dyDescent="0.2">
      <c r="A230" s="29">
        <v>44470</v>
      </c>
      <c r="B230" s="19">
        <v>0</v>
      </c>
      <c r="C230" s="19">
        <v>17.043208</v>
      </c>
      <c r="D230" s="19">
        <v>0</v>
      </c>
      <c r="E230" s="19">
        <v>15.941666360809435</v>
      </c>
      <c r="F230" s="19">
        <v>17.043208</v>
      </c>
      <c r="G230" s="19">
        <v>15.941666360809435</v>
      </c>
    </row>
    <row r="231" spans="1:7" ht="11.25" customHeight="1" x14ac:dyDescent="0.2">
      <c r="A231" s="29">
        <v>44501</v>
      </c>
      <c r="B231" s="19">
        <v>0</v>
      </c>
      <c r="C231" s="19">
        <v>494.25303200000008</v>
      </c>
      <c r="D231" s="19">
        <v>0</v>
      </c>
      <c r="E231" s="19">
        <v>462.30832446347364</v>
      </c>
      <c r="F231" s="19">
        <v>494.25303200000008</v>
      </c>
      <c r="G231" s="19">
        <v>462.30832446347364</v>
      </c>
    </row>
    <row r="232" spans="1:7" ht="11.25" customHeight="1" x14ac:dyDescent="0.2">
      <c r="A232" s="29">
        <v>44531</v>
      </c>
      <c r="B232" s="19">
        <v>0</v>
      </c>
      <c r="C232" s="19">
        <v>783.98756800000001</v>
      </c>
      <c r="D232" s="19">
        <v>0</v>
      </c>
      <c r="E232" s="19">
        <v>733.316652597234</v>
      </c>
      <c r="F232" s="19">
        <v>783.98756800000001</v>
      </c>
      <c r="G232" s="19">
        <v>733.316652597234</v>
      </c>
    </row>
    <row r="233" spans="1:7" ht="11.25" customHeight="1" x14ac:dyDescent="0.2">
      <c r="A233" s="29">
        <v>44562</v>
      </c>
      <c r="B233" s="19">
        <v>0</v>
      </c>
      <c r="C233" s="19">
        <v>801.03077600000006</v>
      </c>
      <c r="D233" s="19">
        <v>0</v>
      </c>
      <c r="E233" s="19">
        <v>749.25831895804356</v>
      </c>
      <c r="F233" s="19">
        <v>801.03077600000006</v>
      </c>
      <c r="G233" s="19">
        <v>749.25831895804356</v>
      </c>
    </row>
    <row r="234" spans="1:7" ht="11.25" customHeight="1" x14ac:dyDescent="0.2">
      <c r="A234" s="29">
        <v>44682</v>
      </c>
      <c r="B234" s="19">
        <v>0</v>
      </c>
      <c r="C234" s="19">
        <v>17.043208</v>
      </c>
      <c r="D234" s="19">
        <v>0</v>
      </c>
      <c r="E234" s="19">
        <v>15.941666360809435</v>
      </c>
      <c r="F234" s="19">
        <v>17.043208</v>
      </c>
      <c r="G234" s="19">
        <v>15.941666360809435</v>
      </c>
    </row>
    <row r="235" spans="1:7" ht="11.25" customHeight="1" x14ac:dyDescent="0.2">
      <c r="A235" s="29">
        <v>44713</v>
      </c>
      <c r="B235" s="19">
        <v>0</v>
      </c>
      <c r="C235" s="19">
        <v>17.043208</v>
      </c>
      <c r="D235" s="19">
        <v>0</v>
      </c>
      <c r="E235" s="19">
        <v>15.941666360809435</v>
      </c>
      <c r="F235" s="19">
        <v>17.043208</v>
      </c>
      <c r="G235" s="19">
        <v>15.941666360809435</v>
      </c>
    </row>
    <row r="236" spans="1:7" ht="11.25" customHeight="1" x14ac:dyDescent="0.2">
      <c r="A236" s="21" t="s">
        <v>649</v>
      </c>
      <c r="B236" s="19">
        <v>8135.2259999999978</v>
      </c>
      <c r="C236" s="19">
        <v>154890.41235080006</v>
      </c>
      <c r="D236" s="19">
        <v>12834.823610830113</v>
      </c>
      <c r="E236" s="19">
        <v>86853.093854039369</v>
      </c>
      <c r="F236" s="19">
        <v>163025.6383508</v>
      </c>
      <c r="G236" s="19">
        <v>99687.917464869504</v>
      </c>
    </row>
    <row r="237" spans="1:7" ht="11.25" customHeight="1" x14ac:dyDescent="0.2">
      <c r="A237" s="22" t="s">
        <v>38</v>
      </c>
      <c r="B237" s="19">
        <v>8135.2259999999978</v>
      </c>
      <c r="C237" s="19">
        <v>24841.361560799985</v>
      </c>
      <c r="D237" s="19">
        <v>12834.823610830113</v>
      </c>
      <c r="E237" s="19">
        <v>23684.353059273479</v>
      </c>
      <c r="F237" s="19">
        <v>32976.587560799984</v>
      </c>
      <c r="G237" s="19">
        <v>36519.176670103596</v>
      </c>
    </row>
    <row r="238" spans="1:7" ht="11.25" customHeight="1" x14ac:dyDescent="0.2">
      <c r="A238" s="23" t="s">
        <v>39</v>
      </c>
      <c r="B238" s="19">
        <v>8135.2259999999978</v>
      </c>
      <c r="C238" s="19">
        <v>24841.361560799985</v>
      </c>
      <c r="D238" s="19">
        <v>12834.823610830113</v>
      </c>
      <c r="E238" s="19">
        <v>23684.353059273479</v>
      </c>
      <c r="F238" s="19">
        <v>32976.587560799984</v>
      </c>
      <c r="G238" s="19">
        <v>36519.176670103596</v>
      </c>
    </row>
    <row r="239" spans="1:7" ht="11.25" customHeight="1" x14ac:dyDescent="0.2">
      <c r="A239" s="24" t="s">
        <v>43</v>
      </c>
      <c r="B239" s="19">
        <v>8135.2259999999978</v>
      </c>
      <c r="C239" s="19">
        <v>24841.361560799985</v>
      </c>
      <c r="D239" s="19">
        <v>12834.823610830113</v>
      </c>
      <c r="E239" s="19">
        <v>23684.353059273479</v>
      </c>
      <c r="F239" s="19">
        <v>32976.587560799984</v>
      </c>
      <c r="G239" s="19">
        <v>36519.176670103596</v>
      </c>
    </row>
    <row r="240" spans="1:7" ht="11.25" customHeight="1" x14ac:dyDescent="0.2">
      <c r="A240" s="25" t="s">
        <v>52</v>
      </c>
      <c r="B240" s="19">
        <v>3689.359199999999</v>
      </c>
      <c r="C240" s="19">
        <v>3126.5823311999998</v>
      </c>
      <c r="D240" s="19">
        <v>5820.6464785358521</v>
      </c>
      <c r="E240" s="19">
        <v>2931.9972235799496</v>
      </c>
      <c r="F240" s="19">
        <v>6815.9415311999983</v>
      </c>
      <c r="G240" s="19">
        <v>8752.6437021158017</v>
      </c>
    </row>
    <row r="241" spans="1:7" ht="11.25" customHeight="1" x14ac:dyDescent="0.2">
      <c r="A241" s="26" t="s">
        <v>25</v>
      </c>
      <c r="B241" s="19">
        <v>3689.359199999999</v>
      </c>
      <c r="C241" s="19">
        <v>3126.5823311999998</v>
      </c>
      <c r="D241" s="19">
        <v>5820.6464785358521</v>
      </c>
      <c r="E241" s="19">
        <v>2931.9972235799496</v>
      </c>
      <c r="F241" s="19">
        <v>6815.9415311999983</v>
      </c>
      <c r="G241" s="19">
        <v>8752.6437021158017</v>
      </c>
    </row>
    <row r="242" spans="1:7" ht="11.25" customHeight="1" x14ac:dyDescent="0.2">
      <c r="A242" s="27" t="s">
        <v>25</v>
      </c>
      <c r="B242" s="19">
        <v>3689.359199999999</v>
      </c>
      <c r="C242" s="19">
        <v>3126.5823311999998</v>
      </c>
      <c r="D242" s="19">
        <v>5820.6464785358521</v>
      </c>
      <c r="E242" s="19">
        <v>2931.9972235799496</v>
      </c>
      <c r="F242" s="19">
        <v>6815.9415311999983</v>
      </c>
      <c r="G242" s="19">
        <v>8752.6437021158017</v>
      </c>
    </row>
    <row r="243" spans="1:7" ht="11.25" customHeight="1" x14ac:dyDescent="0.2">
      <c r="A243" s="28" t="s">
        <v>34</v>
      </c>
      <c r="B243" s="19">
        <v>0</v>
      </c>
      <c r="C243" s="19">
        <v>3082.7784511999998</v>
      </c>
      <c r="D243" s="19">
        <v>0</v>
      </c>
      <c r="E243" s="19">
        <v>2886.1688286815329</v>
      </c>
      <c r="F243" s="19">
        <v>3082.7784511999998</v>
      </c>
      <c r="G243" s="19">
        <v>2886.1688286815329</v>
      </c>
    </row>
    <row r="244" spans="1:7" ht="11.25" customHeight="1" x14ac:dyDescent="0.2">
      <c r="A244" s="29">
        <v>44378</v>
      </c>
      <c r="B244" s="19">
        <v>0</v>
      </c>
      <c r="C244" s="19">
        <v>60.931992400000134</v>
      </c>
      <c r="D244" s="19">
        <v>0</v>
      </c>
      <c r="E244" s="19">
        <v>57.045947322580155</v>
      </c>
      <c r="F244" s="19">
        <v>60.931992400000134</v>
      </c>
      <c r="G244" s="19">
        <v>57.045947322580155</v>
      </c>
    </row>
    <row r="245" spans="1:7" ht="11.25" customHeight="1" x14ac:dyDescent="0.2">
      <c r="A245" s="29">
        <v>44409</v>
      </c>
      <c r="B245" s="19">
        <v>0</v>
      </c>
      <c r="C245" s="19">
        <v>17.455475199999945</v>
      </c>
      <c r="D245" s="19">
        <v>0</v>
      </c>
      <c r="E245" s="19">
        <v>16.342221541237489</v>
      </c>
      <c r="F245" s="19">
        <v>17.455475199999945</v>
      </c>
      <c r="G245" s="19">
        <v>16.342221541237489</v>
      </c>
    </row>
    <row r="246" spans="1:7" ht="11.25" customHeight="1" x14ac:dyDescent="0.2">
      <c r="A246" s="29">
        <v>44440</v>
      </c>
      <c r="B246" s="19">
        <v>0</v>
      </c>
      <c r="C246" s="19">
        <v>79.331006800000196</v>
      </c>
      <c r="D246" s="19">
        <v>0</v>
      </c>
      <c r="E246" s="19">
        <v>74.271532190371147</v>
      </c>
      <c r="F246" s="19">
        <v>79.331006800000196</v>
      </c>
      <c r="G246" s="19">
        <v>74.271532190371147</v>
      </c>
    </row>
    <row r="247" spans="1:7" ht="11.25" customHeight="1" x14ac:dyDescent="0.2">
      <c r="A247" s="29">
        <v>44470</v>
      </c>
      <c r="B247" s="19">
        <v>0</v>
      </c>
      <c r="C247" s="19">
        <v>102.16760399999988</v>
      </c>
      <c r="D247" s="19">
        <v>0</v>
      </c>
      <c r="E247" s="19">
        <v>95.651685203358127</v>
      </c>
      <c r="F247" s="19">
        <v>102.16760399999988</v>
      </c>
      <c r="G247" s="19">
        <v>95.651685203358127</v>
      </c>
    </row>
    <row r="248" spans="1:7" ht="11.25" customHeight="1" x14ac:dyDescent="0.2">
      <c r="A248" s="29">
        <v>44501</v>
      </c>
      <c r="B248" s="19">
        <v>0</v>
      </c>
      <c r="C248" s="19">
        <v>518.57798999999864</v>
      </c>
      <c r="D248" s="19">
        <v>0</v>
      </c>
      <c r="E248" s="19">
        <v>485.50476580492324</v>
      </c>
      <c r="F248" s="19">
        <v>518.57798999999864</v>
      </c>
      <c r="G248" s="19">
        <v>485.50476580492324</v>
      </c>
    </row>
    <row r="249" spans="1:7" ht="11.25" customHeight="1" x14ac:dyDescent="0.2">
      <c r="A249" s="29">
        <v>44531</v>
      </c>
      <c r="B249" s="19">
        <v>0</v>
      </c>
      <c r="C249" s="19">
        <v>884.50902880000172</v>
      </c>
      <c r="D249" s="19">
        <v>0</v>
      </c>
      <c r="E249" s="19">
        <v>828.09790843588644</v>
      </c>
      <c r="F249" s="19">
        <v>884.50902880000172</v>
      </c>
      <c r="G249" s="19">
        <v>828.09790843588644</v>
      </c>
    </row>
    <row r="250" spans="1:7" ht="11.25" customHeight="1" x14ac:dyDescent="0.2">
      <c r="A250" s="29">
        <v>44562</v>
      </c>
      <c r="B250" s="19">
        <v>0</v>
      </c>
      <c r="C250" s="19">
        <v>834.89950679999947</v>
      </c>
      <c r="D250" s="19">
        <v>0</v>
      </c>
      <c r="E250" s="19">
        <v>781.65232103194478</v>
      </c>
      <c r="F250" s="19">
        <v>834.89950679999947</v>
      </c>
      <c r="G250" s="19">
        <v>781.65232103194478</v>
      </c>
    </row>
    <row r="251" spans="1:7" ht="11.25" customHeight="1" x14ac:dyDescent="0.2">
      <c r="A251" s="29">
        <v>44593</v>
      </c>
      <c r="B251" s="19">
        <v>0</v>
      </c>
      <c r="C251" s="19">
        <v>453.34110000000015</v>
      </c>
      <c r="D251" s="19">
        <v>0</v>
      </c>
      <c r="E251" s="19">
        <v>424.42847330494476</v>
      </c>
      <c r="F251" s="19">
        <v>453.34110000000015</v>
      </c>
      <c r="G251" s="19">
        <v>424.42847330494476</v>
      </c>
    </row>
    <row r="252" spans="1:7" ht="11.25" customHeight="1" x14ac:dyDescent="0.2">
      <c r="A252" s="29">
        <v>44621</v>
      </c>
      <c r="B252" s="19">
        <v>0</v>
      </c>
      <c r="C252" s="19">
        <v>6.2509471999999917</v>
      </c>
      <c r="D252" s="19">
        <v>0</v>
      </c>
      <c r="E252" s="19">
        <v>5.8522820384161385</v>
      </c>
      <c r="F252" s="19">
        <v>6.2509471999999917</v>
      </c>
      <c r="G252" s="19">
        <v>5.8522820384161385</v>
      </c>
    </row>
    <row r="253" spans="1:7" ht="11.25" customHeight="1" x14ac:dyDescent="0.2">
      <c r="A253" s="29">
        <v>44652</v>
      </c>
      <c r="B253" s="19">
        <v>0</v>
      </c>
      <c r="C253" s="19">
        <v>31.579077599999991</v>
      </c>
      <c r="D253" s="19">
        <v>0</v>
      </c>
      <c r="E253" s="19">
        <v>29.565066335583452</v>
      </c>
      <c r="F253" s="19">
        <v>31.579077599999991</v>
      </c>
      <c r="G253" s="19">
        <v>29.565066335583452</v>
      </c>
    </row>
    <row r="254" spans="1:7" ht="11.25" customHeight="1" x14ac:dyDescent="0.2">
      <c r="A254" s="29">
        <v>44682</v>
      </c>
      <c r="B254" s="19">
        <v>0</v>
      </c>
      <c r="C254" s="19">
        <v>46.867361199999976</v>
      </c>
      <c r="D254" s="19">
        <v>0</v>
      </c>
      <c r="E254" s="19">
        <v>43.878312736143684</v>
      </c>
      <c r="F254" s="19">
        <v>46.867361199999976</v>
      </c>
      <c r="G254" s="19">
        <v>43.878312736143684</v>
      </c>
    </row>
    <row r="255" spans="1:7" ht="11.25" customHeight="1" x14ac:dyDescent="0.2">
      <c r="A255" s="29">
        <v>44713</v>
      </c>
      <c r="B255" s="19">
        <v>0</v>
      </c>
      <c r="C255" s="19">
        <v>46.867361199999976</v>
      </c>
      <c r="D255" s="19">
        <v>0</v>
      </c>
      <c r="E255" s="19">
        <v>43.878312736143684</v>
      </c>
      <c r="F255" s="19">
        <v>46.867361199999976</v>
      </c>
      <c r="G255" s="19">
        <v>43.878312736143684</v>
      </c>
    </row>
    <row r="256" spans="1:7" ht="11.25" customHeight="1" x14ac:dyDescent="0.2">
      <c r="A256" s="28" t="s">
        <v>25</v>
      </c>
      <c r="B256" s="19">
        <v>3689.359199999999</v>
      </c>
      <c r="C256" s="19">
        <v>0</v>
      </c>
      <c r="D256" s="19">
        <v>5820.6464785358521</v>
      </c>
      <c r="E256" s="19">
        <v>0</v>
      </c>
      <c r="F256" s="19">
        <v>3689.359199999999</v>
      </c>
      <c r="G256" s="19">
        <v>5820.6464785358521</v>
      </c>
    </row>
    <row r="257" spans="1:7" ht="11.25" customHeight="1" x14ac:dyDescent="0.2">
      <c r="A257" s="29">
        <v>44378</v>
      </c>
      <c r="B257" s="19">
        <v>639.21960000000013</v>
      </c>
      <c r="C257" s="19">
        <v>0</v>
      </c>
      <c r="D257" s="19">
        <v>1008.4871415478052</v>
      </c>
      <c r="E257" s="19">
        <v>0</v>
      </c>
      <c r="F257" s="19">
        <v>639.21960000000013</v>
      </c>
      <c r="G257" s="19">
        <v>1008.4871415478052</v>
      </c>
    </row>
    <row r="258" spans="1:7" ht="11.25" customHeight="1" x14ac:dyDescent="0.2">
      <c r="A258" s="29">
        <v>44409</v>
      </c>
      <c r="B258" s="19">
        <v>114.03</v>
      </c>
      <c r="C258" s="19">
        <v>0</v>
      </c>
      <c r="D258" s="19">
        <v>179.90341464920067</v>
      </c>
      <c r="E258" s="19">
        <v>0</v>
      </c>
      <c r="F258" s="19">
        <v>114.03</v>
      </c>
      <c r="G258" s="19">
        <v>179.90341464920067</v>
      </c>
    </row>
    <row r="259" spans="1:7" ht="11.25" customHeight="1" x14ac:dyDescent="0.2">
      <c r="A259" s="29">
        <v>44440</v>
      </c>
      <c r="B259" s="19">
        <v>652.25159999999937</v>
      </c>
      <c r="C259" s="19">
        <v>0</v>
      </c>
      <c r="D259" s="19">
        <v>1029.047531793427</v>
      </c>
      <c r="E259" s="19">
        <v>0</v>
      </c>
      <c r="F259" s="19">
        <v>652.25159999999937</v>
      </c>
      <c r="G259" s="19">
        <v>1029.047531793427</v>
      </c>
    </row>
    <row r="260" spans="1:7" ht="11.25" customHeight="1" x14ac:dyDescent="0.2">
      <c r="A260" s="29">
        <v>44470</v>
      </c>
      <c r="B260" s="19">
        <v>224.80200000000016</v>
      </c>
      <c r="C260" s="19">
        <v>0</v>
      </c>
      <c r="D260" s="19">
        <v>354.66673173699593</v>
      </c>
      <c r="E260" s="19">
        <v>0</v>
      </c>
      <c r="F260" s="19">
        <v>224.80200000000016</v>
      </c>
      <c r="G260" s="19">
        <v>354.66673173699593</v>
      </c>
    </row>
    <row r="261" spans="1:7" ht="11.25" customHeight="1" x14ac:dyDescent="0.2">
      <c r="A261" s="29">
        <v>44501</v>
      </c>
      <c r="B261" s="19">
        <v>248.25960000000015</v>
      </c>
      <c r="C261" s="19">
        <v>0</v>
      </c>
      <c r="D261" s="19">
        <v>391.67543417911713</v>
      </c>
      <c r="E261" s="19">
        <v>0</v>
      </c>
      <c r="F261" s="19">
        <v>248.25960000000015</v>
      </c>
      <c r="G261" s="19">
        <v>391.67543417911713</v>
      </c>
    </row>
    <row r="262" spans="1:7" ht="11.25" customHeight="1" x14ac:dyDescent="0.2">
      <c r="A262" s="29">
        <v>44531</v>
      </c>
      <c r="B262" s="19">
        <v>604.03320000000065</v>
      </c>
      <c r="C262" s="19">
        <v>0</v>
      </c>
      <c r="D262" s="19">
        <v>952.97408788462405</v>
      </c>
      <c r="E262" s="19">
        <v>0</v>
      </c>
      <c r="F262" s="19">
        <v>604.03320000000065</v>
      </c>
      <c r="G262" s="19">
        <v>952.97408788462405</v>
      </c>
    </row>
    <row r="263" spans="1:7" ht="11.25" customHeight="1" x14ac:dyDescent="0.2">
      <c r="A263" s="29">
        <v>44562</v>
      </c>
      <c r="B263" s="19">
        <v>413.76599999999962</v>
      </c>
      <c r="C263" s="19">
        <v>0</v>
      </c>
      <c r="D263" s="19">
        <v>652.79239029852761</v>
      </c>
      <c r="E263" s="19">
        <v>0</v>
      </c>
      <c r="F263" s="19">
        <v>413.76599999999962</v>
      </c>
      <c r="G263" s="19">
        <v>652.79239029852761</v>
      </c>
    </row>
    <row r="264" spans="1:7" ht="11.25" customHeight="1" x14ac:dyDescent="0.2">
      <c r="A264" s="29">
        <v>44593</v>
      </c>
      <c r="B264" s="19">
        <v>383.79239999999908</v>
      </c>
      <c r="C264" s="19">
        <v>0</v>
      </c>
      <c r="D264" s="19">
        <v>605.50349273359404</v>
      </c>
      <c r="E264" s="19">
        <v>0</v>
      </c>
      <c r="F264" s="19">
        <v>383.79239999999908</v>
      </c>
      <c r="G264" s="19">
        <v>605.50349273359404</v>
      </c>
    </row>
    <row r="265" spans="1:7" ht="11.25" customHeight="1" x14ac:dyDescent="0.2">
      <c r="A265" s="29">
        <v>44621</v>
      </c>
      <c r="B265" s="19">
        <v>66.463199999999972</v>
      </c>
      <c r="C265" s="19">
        <v>0</v>
      </c>
      <c r="D265" s="19">
        <v>104.85799025267693</v>
      </c>
      <c r="E265" s="19">
        <v>0</v>
      </c>
      <c r="F265" s="19">
        <v>66.463199999999972</v>
      </c>
      <c r="G265" s="19">
        <v>104.85799025267693</v>
      </c>
    </row>
    <row r="266" spans="1:7" ht="11.25" customHeight="1" x14ac:dyDescent="0.2">
      <c r="A266" s="29">
        <v>44652</v>
      </c>
      <c r="B266" s="19">
        <v>112.07519999999992</v>
      </c>
      <c r="C266" s="19">
        <v>0</v>
      </c>
      <c r="D266" s="19">
        <v>176.81935611235713</v>
      </c>
      <c r="E266" s="19">
        <v>0</v>
      </c>
      <c r="F266" s="19">
        <v>112.07519999999992</v>
      </c>
      <c r="G266" s="19">
        <v>176.81935611235713</v>
      </c>
    </row>
    <row r="267" spans="1:7" ht="11.25" customHeight="1" x14ac:dyDescent="0.2">
      <c r="A267" s="29">
        <v>44682</v>
      </c>
      <c r="B267" s="19">
        <v>115.3332000000002</v>
      </c>
      <c r="C267" s="19">
        <v>0</v>
      </c>
      <c r="D267" s="19">
        <v>181.95945367376331</v>
      </c>
      <c r="E267" s="19">
        <v>0</v>
      </c>
      <c r="F267" s="19">
        <v>115.3332000000002</v>
      </c>
      <c r="G267" s="19">
        <v>181.95945367376331</v>
      </c>
    </row>
    <row r="268" spans="1:7" ht="11.25" customHeight="1" x14ac:dyDescent="0.2">
      <c r="A268" s="29">
        <v>44713</v>
      </c>
      <c r="B268" s="19">
        <v>115.3332000000002</v>
      </c>
      <c r="C268" s="19">
        <v>0</v>
      </c>
      <c r="D268" s="19">
        <v>181.95945367376331</v>
      </c>
      <c r="E268" s="19">
        <v>0</v>
      </c>
      <c r="F268" s="19">
        <v>115.3332000000002</v>
      </c>
      <c r="G268" s="19">
        <v>181.95945367376331</v>
      </c>
    </row>
    <row r="269" spans="1:7" ht="11.25" customHeight="1" x14ac:dyDescent="0.2">
      <c r="A269" s="28" t="s">
        <v>33</v>
      </c>
      <c r="B269" s="19">
        <v>0</v>
      </c>
      <c r="C269" s="19">
        <v>43.803879999999978</v>
      </c>
      <c r="D269" s="19">
        <v>0</v>
      </c>
      <c r="E269" s="19">
        <v>45.828394898416732</v>
      </c>
      <c r="F269" s="19">
        <v>43.803879999999978</v>
      </c>
      <c r="G269" s="19">
        <v>45.828394898416732</v>
      </c>
    </row>
    <row r="270" spans="1:7" ht="11.25" customHeight="1" x14ac:dyDescent="0.2">
      <c r="A270" s="29">
        <v>44378</v>
      </c>
      <c r="B270" s="19">
        <v>0</v>
      </c>
      <c r="C270" s="19">
        <v>2.2452240000000003</v>
      </c>
      <c r="D270" s="19">
        <v>0</v>
      </c>
      <c r="E270" s="19">
        <v>2.3489931053459836</v>
      </c>
      <c r="F270" s="19">
        <v>2.2452240000000003</v>
      </c>
      <c r="G270" s="19">
        <v>2.3489931053459836</v>
      </c>
    </row>
    <row r="271" spans="1:7" ht="11.25" customHeight="1" x14ac:dyDescent="0.2">
      <c r="A271" s="29">
        <v>44409</v>
      </c>
      <c r="B271" s="19">
        <v>0</v>
      </c>
      <c r="C271" s="19">
        <v>2.2452240000000003</v>
      </c>
      <c r="D271" s="19">
        <v>0</v>
      </c>
      <c r="E271" s="19">
        <v>2.3489931053459836</v>
      </c>
      <c r="F271" s="19">
        <v>2.2452240000000003</v>
      </c>
      <c r="G271" s="19">
        <v>2.3489931053459836</v>
      </c>
    </row>
    <row r="272" spans="1:7" ht="11.25" customHeight="1" x14ac:dyDescent="0.2">
      <c r="A272" s="29">
        <v>44440</v>
      </c>
      <c r="B272" s="19">
        <v>0</v>
      </c>
      <c r="C272" s="19">
        <v>2.289247999999998</v>
      </c>
      <c r="D272" s="19">
        <v>0</v>
      </c>
      <c r="E272" s="19">
        <v>2.3950517936860996</v>
      </c>
      <c r="F272" s="19">
        <v>2.289247999999998</v>
      </c>
      <c r="G272" s="19">
        <v>2.3950517936860996</v>
      </c>
    </row>
    <row r="273" spans="1:7" ht="11.25" customHeight="1" x14ac:dyDescent="0.2">
      <c r="A273" s="29">
        <v>44470</v>
      </c>
      <c r="B273" s="19">
        <v>0</v>
      </c>
      <c r="C273" s="19">
        <v>3.2137519999999911</v>
      </c>
      <c r="D273" s="19">
        <v>0</v>
      </c>
      <c r="E273" s="19">
        <v>3.3622842488285558</v>
      </c>
      <c r="F273" s="19">
        <v>3.2137519999999911</v>
      </c>
      <c r="G273" s="19">
        <v>3.3622842488285558</v>
      </c>
    </row>
    <row r="274" spans="1:7" ht="11.25" customHeight="1" x14ac:dyDescent="0.2">
      <c r="A274" s="29">
        <v>44501</v>
      </c>
      <c r="B274" s="19">
        <v>0</v>
      </c>
      <c r="C274" s="19">
        <v>1.5848639999999965</v>
      </c>
      <c r="D274" s="19">
        <v>0</v>
      </c>
      <c r="E274" s="19">
        <v>1.6581127802442202</v>
      </c>
      <c r="F274" s="19">
        <v>1.5848639999999965</v>
      </c>
      <c r="G274" s="19">
        <v>1.6581127802442202</v>
      </c>
    </row>
    <row r="275" spans="1:7" ht="11.25" customHeight="1" x14ac:dyDescent="0.2">
      <c r="A275" s="29">
        <v>44531</v>
      </c>
      <c r="B275" s="19">
        <v>0</v>
      </c>
      <c r="C275" s="19">
        <v>3.0376560000000135</v>
      </c>
      <c r="D275" s="19">
        <v>0</v>
      </c>
      <c r="E275" s="19">
        <v>3.1780494954681098</v>
      </c>
      <c r="F275" s="19">
        <v>3.0376560000000135</v>
      </c>
      <c r="G275" s="19">
        <v>3.1780494954681098</v>
      </c>
    </row>
    <row r="276" spans="1:7" ht="11.25" customHeight="1" x14ac:dyDescent="0.2">
      <c r="A276" s="29">
        <v>44562</v>
      </c>
      <c r="B276" s="19">
        <v>0</v>
      </c>
      <c r="C276" s="19">
        <v>6.735671999999985</v>
      </c>
      <c r="D276" s="19">
        <v>0</v>
      </c>
      <c r="E276" s="19">
        <v>7.0469793160379357</v>
      </c>
      <c r="F276" s="19">
        <v>6.735671999999985</v>
      </c>
      <c r="G276" s="19">
        <v>7.0469793160379357</v>
      </c>
    </row>
    <row r="277" spans="1:7" ht="11.25" customHeight="1" x14ac:dyDescent="0.2">
      <c r="A277" s="29">
        <v>44593</v>
      </c>
      <c r="B277" s="19">
        <v>0</v>
      </c>
      <c r="C277" s="19">
        <v>5.5030000000000046</v>
      </c>
      <c r="D277" s="19">
        <v>0</v>
      </c>
      <c r="E277" s="19">
        <v>5.7573360425146705</v>
      </c>
      <c r="F277" s="19">
        <v>5.5030000000000046</v>
      </c>
      <c r="G277" s="19">
        <v>5.7573360425146705</v>
      </c>
    </row>
    <row r="278" spans="1:7" ht="11.25" customHeight="1" x14ac:dyDescent="0.2">
      <c r="A278" s="29">
        <v>44621</v>
      </c>
      <c r="B278" s="19">
        <v>0</v>
      </c>
      <c r="C278" s="19">
        <v>2.9936319999999998</v>
      </c>
      <c r="D278" s="19">
        <v>0</v>
      </c>
      <c r="E278" s="19">
        <v>3.1319908071279783</v>
      </c>
      <c r="F278" s="19">
        <v>2.9936319999999998</v>
      </c>
      <c r="G278" s="19">
        <v>3.1319908071279783</v>
      </c>
    </row>
    <row r="279" spans="1:7" ht="11.25" customHeight="1" x14ac:dyDescent="0.2">
      <c r="A279" s="29">
        <v>44652</v>
      </c>
      <c r="B279" s="19">
        <v>0</v>
      </c>
      <c r="C279" s="19">
        <v>4.1822799999999978</v>
      </c>
      <c r="D279" s="19">
        <v>0</v>
      </c>
      <c r="E279" s="19">
        <v>4.3755753923111431</v>
      </c>
      <c r="F279" s="19">
        <v>4.1822799999999978</v>
      </c>
      <c r="G279" s="19">
        <v>4.3755753923111431</v>
      </c>
    </row>
    <row r="280" spans="1:7" ht="11.25" customHeight="1" x14ac:dyDescent="0.2">
      <c r="A280" s="29">
        <v>44682</v>
      </c>
      <c r="B280" s="19">
        <v>0</v>
      </c>
      <c r="C280" s="19">
        <v>4.8866639999999997</v>
      </c>
      <c r="D280" s="19">
        <v>0</v>
      </c>
      <c r="E280" s="19">
        <v>5.1125144057530223</v>
      </c>
      <c r="F280" s="19">
        <v>4.8866639999999997</v>
      </c>
      <c r="G280" s="19">
        <v>5.1125144057530223</v>
      </c>
    </row>
    <row r="281" spans="1:7" ht="11.25" customHeight="1" x14ac:dyDescent="0.2">
      <c r="A281" s="29">
        <v>44713</v>
      </c>
      <c r="B281" s="19">
        <v>0</v>
      </c>
      <c r="C281" s="19">
        <v>4.8866639999999997</v>
      </c>
      <c r="D281" s="19">
        <v>0</v>
      </c>
      <c r="E281" s="19">
        <v>5.1125144057530223</v>
      </c>
      <c r="F281" s="19">
        <v>4.8866639999999997</v>
      </c>
      <c r="G281" s="19">
        <v>5.1125144057530223</v>
      </c>
    </row>
    <row r="282" spans="1:7" ht="11.25" customHeight="1" x14ac:dyDescent="0.2">
      <c r="A282" s="25" t="s">
        <v>25</v>
      </c>
      <c r="B282" s="19">
        <v>4445.8667999999989</v>
      </c>
      <c r="C282" s="19">
        <v>21714.779229599986</v>
      </c>
      <c r="D282" s="19">
        <v>7014.1771322942623</v>
      </c>
      <c r="E282" s="19">
        <v>20752.355835693532</v>
      </c>
      <c r="F282" s="19">
        <v>26160.646029599986</v>
      </c>
      <c r="G282" s="19">
        <v>27766.532967987794</v>
      </c>
    </row>
    <row r="283" spans="1:7" ht="11.25" customHeight="1" x14ac:dyDescent="0.2">
      <c r="A283" s="26" t="s">
        <v>25</v>
      </c>
      <c r="B283" s="19">
        <v>4445.8667999999989</v>
      </c>
      <c r="C283" s="19">
        <v>21714.779229599986</v>
      </c>
      <c r="D283" s="19">
        <v>7014.1771322942623</v>
      </c>
      <c r="E283" s="19">
        <v>20752.355835693532</v>
      </c>
      <c r="F283" s="19">
        <v>26160.646029599986</v>
      </c>
      <c r="G283" s="19">
        <v>27766.532967987794</v>
      </c>
    </row>
    <row r="284" spans="1:7" ht="11.25" customHeight="1" x14ac:dyDescent="0.2">
      <c r="A284" s="27" t="s">
        <v>25</v>
      </c>
      <c r="B284" s="19">
        <v>4445.8667999999989</v>
      </c>
      <c r="C284" s="19">
        <v>21714.779229599986</v>
      </c>
      <c r="D284" s="19">
        <v>7014.1771322942623</v>
      </c>
      <c r="E284" s="19">
        <v>20752.355835693532</v>
      </c>
      <c r="F284" s="19">
        <v>26160.646029599986</v>
      </c>
      <c r="G284" s="19">
        <v>27766.532967987794</v>
      </c>
    </row>
    <row r="285" spans="1:7" ht="11.25" customHeight="1" x14ac:dyDescent="0.2">
      <c r="A285" s="28" t="s">
        <v>34</v>
      </c>
      <c r="B285" s="19">
        <v>0</v>
      </c>
      <c r="C285" s="19">
        <v>17873.905349599991</v>
      </c>
      <c r="D285" s="19">
        <v>0</v>
      </c>
      <c r="E285" s="19">
        <v>16733.965571460005</v>
      </c>
      <c r="F285" s="19">
        <v>17873.905349599991</v>
      </c>
      <c r="G285" s="19">
        <v>16733.965571460005</v>
      </c>
    </row>
    <row r="286" spans="1:7" ht="11.25" customHeight="1" x14ac:dyDescent="0.2">
      <c r="A286" s="29">
        <v>44378</v>
      </c>
      <c r="B286" s="19">
        <v>0</v>
      </c>
      <c r="C286" s="19">
        <v>1209.499311999999</v>
      </c>
      <c r="D286" s="19">
        <v>0</v>
      </c>
      <c r="E286" s="19">
        <v>1132.3613642256139</v>
      </c>
      <c r="F286" s="19">
        <v>1209.499311999999</v>
      </c>
      <c r="G286" s="19">
        <v>1132.3613642256139</v>
      </c>
    </row>
    <row r="287" spans="1:7" ht="11.25" customHeight="1" x14ac:dyDescent="0.2">
      <c r="A287" s="29">
        <v>44409</v>
      </c>
      <c r="B287" s="19">
        <v>0</v>
      </c>
      <c r="C287" s="19">
        <v>1128.3549408000017</v>
      </c>
      <c r="D287" s="19">
        <v>0</v>
      </c>
      <c r="E287" s="19">
        <v>1056.3921181420255</v>
      </c>
      <c r="F287" s="19">
        <v>1128.3549408000017</v>
      </c>
      <c r="G287" s="19">
        <v>1056.3921181420255</v>
      </c>
    </row>
    <row r="288" spans="1:7" ht="11.25" customHeight="1" x14ac:dyDescent="0.2">
      <c r="A288" s="29">
        <v>44440</v>
      </c>
      <c r="B288" s="19">
        <v>0</v>
      </c>
      <c r="C288" s="19">
        <v>1092.0876527999972</v>
      </c>
      <c r="D288" s="19">
        <v>0</v>
      </c>
      <c r="E288" s="19">
        <v>1022.4378402776258</v>
      </c>
      <c r="F288" s="19">
        <v>1092.0876527999972</v>
      </c>
      <c r="G288" s="19">
        <v>1022.4378402776258</v>
      </c>
    </row>
    <row r="289" spans="1:7" ht="11.25" customHeight="1" x14ac:dyDescent="0.2">
      <c r="A289" s="29">
        <v>44470</v>
      </c>
      <c r="B289" s="19">
        <v>0</v>
      </c>
      <c r="C289" s="19">
        <v>1173.4973944000003</v>
      </c>
      <c r="D289" s="19">
        <v>0</v>
      </c>
      <c r="E289" s="19">
        <v>1098.6555322968125</v>
      </c>
      <c r="F289" s="19">
        <v>1173.4973944000003</v>
      </c>
      <c r="G289" s="19">
        <v>1098.6555322968125</v>
      </c>
    </row>
    <row r="290" spans="1:7" ht="11.25" customHeight="1" x14ac:dyDescent="0.2">
      <c r="A290" s="29">
        <v>44501</v>
      </c>
      <c r="B290" s="19">
        <v>0</v>
      </c>
      <c r="C290" s="19">
        <v>1554.4808320000016</v>
      </c>
      <c r="D290" s="19">
        <v>0</v>
      </c>
      <c r="E290" s="19">
        <v>1455.3410804966961</v>
      </c>
      <c r="F290" s="19">
        <v>1554.4808320000016</v>
      </c>
      <c r="G290" s="19">
        <v>1455.3410804966961</v>
      </c>
    </row>
    <row r="291" spans="1:7" ht="11.25" customHeight="1" x14ac:dyDescent="0.2">
      <c r="A291" s="29">
        <v>44531</v>
      </c>
      <c r="B291" s="19">
        <v>0</v>
      </c>
      <c r="C291" s="19">
        <v>1260.8042559999999</v>
      </c>
      <c r="D291" s="19">
        <v>0</v>
      </c>
      <c r="E291" s="19">
        <v>1180.3942451069547</v>
      </c>
      <c r="F291" s="19">
        <v>1260.8042559999999</v>
      </c>
      <c r="G291" s="19">
        <v>1180.3942451069547</v>
      </c>
    </row>
    <row r="292" spans="1:7" ht="11.25" customHeight="1" x14ac:dyDescent="0.2">
      <c r="A292" s="29">
        <v>44562</v>
      </c>
      <c r="B292" s="19">
        <v>0</v>
      </c>
      <c r="C292" s="19">
        <v>1631.1728776</v>
      </c>
      <c r="D292" s="19">
        <v>0</v>
      </c>
      <c r="E292" s="19">
        <v>1527.1419558831115</v>
      </c>
      <c r="F292" s="19">
        <v>1631.1728776</v>
      </c>
      <c r="G292" s="19">
        <v>1527.1419558831115</v>
      </c>
    </row>
    <row r="293" spans="1:7" ht="11.25" customHeight="1" x14ac:dyDescent="0.2">
      <c r="A293" s="29">
        <v>44593</v>
      </c>
      <c r="B293" s="19">
        <v>0</v>
      </c>
      <c r="C293" s="19">
        <v>1537.8214679999985</v>
      </c>
      <c r="D293" s="19">
        <v>0</v>
      </c>
      <c r="E293" s="19">
        <v>1439.7441967622351</v>
      </c>
      <c r="F293" s="19">
        <v>1537.8214679999985</v>
      </c>
      <c r="G293" s="19">
        <v>1439.7441967622351</v>
      </c>
    </row>
    <row r="294" spans="1:7" ht="11.25" customHeight="1" x14ac:dyDescent="0.2">
      <c r="A294" s="29">
        <v>44621</v>
      </c>
      <c r="B294" s="19">
        <v>0</v>
      </c>
      <c r="C294" s="19">
        <v>1698.0609612000028</v>
      </c>
      <c r="D294" s="19">
        <v>0</v>
      </c>
      <c r="E294" s="19">
        <v>1589.7641342045624</v>
      </c>
      <c r="F294" s="19">
        <v>1698.0609612000028</v>
      </c>
      <c r="G294" s="19">
        <v>1589.7641342045624</v>
      </c>
    </row>
    <row r="295" spans="1:7" ht="11.25" customHeight="1" x14ac:dyDescent="0.2">
      <c r="A295" s="29">
        <v>44652</v>
      </c>
      <c r="B295" s="19">
        <v>0</v>
      </c>
      <c r="C295" s="19">
        <v>2132.7966475999965</v>
      </c>
      <c r="D295" s="19">
        <v>0</v>
      </c>
      <c r="E295" s="19">
        <v>1996.7737869140265</v>
      </c>
      <c r="F295" s="19">
        <v>2132.7966475999965</v>
      </c>
      <c r="G295" s="19">
        <v>1996.7737869140265</v>
      </c>
    </row>
    <row r="296" spans="1:7" ht="11.25" customHeight="1" x14ac:dyDescent="0.2">
      <c r="A296" s="29">
        <v>44682</v>
      </c>
      <c r="B296" s="19">
        <v>0</v>
      </c>
      <c r="C296" s="19">
        <v>1727.6645035999977</v>
      </c>
      <c r="D296" s="19">
        <v>0</v>
      </c>
      <c r="E296" s="19">
        <v>1617.4796585751701</v>
      </c>
      <c r="F296" s="19">
        <v>1727.6645035999977</v>
      </c>
      <c r="G296" s="19">
        <v>1617.4796585751701</v>
      </c>
    </row>
    <row r="297" spans="1:7" ht="11.25" customHeight="1" x14ac:dyDescent="0.2">
      <c r="A297" s="29">
        <v>44713</v>
      </c>
      <c r="B297" s="19">
        <v>0</v>
      </c>
      <c r="C297" s="19">
        <v>1727.6645035999977</v>
      </c>
      <c r="D297" s="19">
        <v>0</v>
      </c>
      <c r="E297" s="19">
        <v>1617.4796585751701</v>
      </c>
      <c r="F297" s="19">
        <v>1727.6645035999977</v>
      </c>
      <c r="G297" s="19">
        <v>1617.4796585751701</v>
      </c>
    </row>
    <row r="298" spans="1:7" ht="11.25" customHeight="1" x14ac:dyDescent="0.2">
      <c r="A298" s="28" t="s">
        <v>25</v>
      </c>
      <c r="B298" s="19">
        <v>4445.8667999999989</v>
      </c>
      <c r="C298" s="19">
        <v>0</v>
      </c>
      <c r="D298" s="19">
        <v>7014.1771322942623</v>
      </c>
      <c r="E298" s="19">
        <v>0</v>
      </c>
      <c r="F298" s="19">
        <v>4445.8667999999989</v>
      </c>
      <c r="G298" s="19">
        <v>7014.1771322942623</v>
      </c>
    </row>
    <row r="299" spans="1:7" ht="11.25" customHeight="1" x14ac:dyDescent="0.2">
      <c r="A299" s="29">
        <v>44378</v>
      </c>
      <c r="B299" s="19">
        <v>337.52880000000044</v>
      </c>
      <c r="C299" s="19">
        <v>0</v>
      </c>
      <c r="D299" s="19">
        <v>532.51410736163473</v>
      </c>
      <c r="E299" s="19">
        <v>0</v>
      </c>
      <c r="F299" s="19">
        <v>337.52880000000044</v>
      </c>
      <c r="G299" s="19">
        <v>532.51410736163473</v>
      </c>
    </row>
    <row r="300" spans="1:7" ht="11.25" customHeight="1" x14ac:dyDescent="0.2">
      <c r="A300" s="29">
        <v>44409</v>
      </c>
      <c r="B300" s="19">
        <v>247.60799999999981</v>
      </c>
      <c r="C300" s="19">
        <v>0</v>
      </c>
      <c r="D300" s="19">
        <v>390.64741466683546</v>
      </c>
      <c r="E300" s="19">
        <v>0</v>
      </c>
      <c r="F300" s="19">
        <v>247.60799999999981</v>
      </c>
      <c r="G300" s="19">
        <v>390.64741466683546</v>
      </c>
    </row>
    <row r="301" spans="1:7" ht="11.25" customHeight="1" x14ac:dyDescent="0.2">
      <c r="A301" s="29">
        <v>44440</v>
      </c>
      <c r="B301" s="19">
        <v>209.16359999999958</v>
      </c>
      <c r="C301" s="19">
        <v>0</v>
      </c>
      <c r="D301" s="19">
        <v>329.99426344224747</v>
      </c>
      <c r="E301" s="19">
        <v>0</v>
      </c>
      <c r="F301" s="19">
        <v>209.16359999999958</v>
      </c>
      <c r="G301" s="19">
        <v>329.99426344224747</v>
      </c>
    </row>
    <row r="302" spans="1:7" ht="11.25" customHeight="1" x14ac:dyDescent="0.2">
      <c r="A302" s="29">
        <v>44470</v>
      </c>
      <c r="B302" s="19">
        <v>293.21999999999997</v>
      </c>
      <c r="C302" s="19">
        <v>0</v>
      </c>
      <c r="D302" s="19">
        <v>462.60878052651606</v>
      </c>
      <c r="E302" s="19">
        <v>0</v>
      </c>
      <c r="F302" s="19">
        <v>293.21999999999997</v>
      </c>
      <c r="G302" s="19">
        <v>462.60878052651606</v>
      </c>
    </row>
    <row r="303" spans="1:7" ht="11.25" customHeight="1" x14ac:dyDescent="0.2">
      <c r="A303" s="29">
        <v>44501</v>
      </c>
      <c r="B303" s="19">
        <v>349.90920000000028</v>
      </c>
      <c r="C303" s="19">
        <v>0</v>
      </c>
      <c r="D303" s="19">
        <v>552.04647809497624</v>
      </c>
      <c r="E303" s="19">
        <v>0</v>
      </c>
      <c r="F303" s="19">
        <v>349.90920000000028</v>
      </c>
      <c r="G303" s="19">
        <v>552.04647809497624</v>
      </c>
    </row>
    <row r="304" spans="1:7" ht="11.25" customHeight="1" x14ac:dyDescent="0.2">
      <c r="A304" s="29">
        <v>44531</v>
      </c>
      <c r="B304" s="19">
        <v>263.24640000000039</v>
      </c>
      <c r="C304" s="19">
        <v>0</v>
      </c>
      <c r="D304" s="19">
        <v>415.31988296158391</v>
      </c>
      <c r="E304" s="19">
        <v>0</v>
      </c>
      <c r="F304" s="19">
        <v>263.24640000000039</v>
      </c>
      <c r="G304" s="19">
        <v>415.31988296158391</v>
      </c>
    </row>
    <row r="305" spans="1:7" ht="11.25" customHeight="1" x14ac:dyDescent="0.2">
      <c r="A305" s="29">
        <v>44562</v>
      </c>
      <c r="B305" s="19">
        <v>342.09</v>
      </c>
      <c r="C305" s="19">
        <v>0</v>
      </c>
      <c r="D305" s="19">
        <v>539.71024394760207</v>
      </c>
      <c r="E305" s="19">
        <v>0</v>
      </c>
      <c r="F305" s="19">
        <v>342.09</v>
      </c>
      <c r="G305" s="19">
        <v>539.71024394760207</v>
      </c>
    </row>
    <row r="306" spans="1:7" ht="11.25" customHeight="1" x14ac:dyDescent="0.2">
      <c r="A306" s="29">
        <v>44593</v>
      </c>
      <c r="B306" s="19">
        <v>387.70199999999926</v>
      </c>
      <c r="C306" s="19">
        <v>0</v>
      </c>
      <c r="D306" s="19">
        <v>611.67160980728113</v>
      </c>
      <c r="E306" s="19">
        <v>0</v>
      </c>
      <c r="F306" s="19">
        <v>387.70199999999926</v>
      </c>
      <c r="G306" s="19">
        <v>611.67160980728113</v>
      </c>
    </row>
    <row r="307" spans="1:7" ht="11.25" customHeight="1" x14ac:dyDescent="0.2">
      <c r="A307" s="29">
        <v>44621</v>
      </c>
      <c r="B307" s="19">
        <v>480.22920000000028</v>
      </c>
      <c r="C307" s="19">
        <v>0</v>
      </c>
      <c r="D307" s="19">
        <v>757.65038055120567</v>
      </c>
      <c r="E307" s="19">
        <v>0</v>
      </c>
      <c r="F307" s="19">
        <v>480.22920000000028</v>
      </c>
      <c r="G307" s="19">
        <v>757.65038055120567</v>
      </c>
    </row>
    <row r="308" spans="1:7" ht="11.25" customHeight="1" x14ac:dyDescent="0.2">
      <c r="A308" s="29">
        <v>44652</v>
      </c>
      <c r="B308" s="19">
        <v>527.79599999999959</v>
      </c>
      <c r="C308" s="19">
        <v>0</v>
      </c>
      <c r="D308" s="19">
        <v>832.69580494772833</v>
      </c>
      <c r="E308" s="19">
        <v>0</v>
      </c>
      <c r="F308" s="19">
        <v>527.79599999999959</v>
      </c>
      <c r="G308" s="19">
        <v>832.69580494772833</v>
      </c>
    </row>
    <row r="309" spans="1:7" ht="11.25" customHeight="1" x14ac:dyDescent="0.2">
      <c r="A309" s="29">
        <v>44682</v>
      </c>
      <c r="B309" s="19">
        <v>503.68679999999932</v>
      </c>
      <c r="C309" s="19">
        <v>0</v>
      </c>
      <c r="D309" s="19">
        <v>794.65908299332534</v>
      </c>
      <c r="E309" s="19">
        <v>0</v>
      </c>
      <c r="F309" s="19">
        <v>503.68679999999932</v>
      </c>
      <c r="G309" s="19">
        <v>794.65908299332534</v>
      </c>
    </row>
    <row r="310" spans="1:7" ht="11.25" customHeight="1" x14ac:dyDescent="0.2">
      <c r="A310" s="29">
        <v>44713</v>
      </c>
      <c r="B310" s="19">
        <v>503.68679999999932</v>
      </c>
      <c r="C310" s="19">
        <v>0</v>
      </c>
      <c r="D310" s="19">
        <v>794.65908299332534</v>
      </c>
      <c r="E310" s="19">
        <v>0</v>
      </c>
      <c r="F310" s="19">
        <v>503.68679999999932</v>
      </c>
      <c r="G310" s="19">
        <v>794.65908299332534</v>
      </c>
    </row>
    <row r="311" spans="1:7" ht="11.25" customHeight="1" x14ac:dyDescent="0.2">
      <c r="A311" s="28" t="s">
        <v>33</v>
      </c>
      <c r="B311" s="19">
        <v>0</v>
      </c>
      <c r="C311" s="19">
        <v>3840.8738799999978</v>
      </c>
      <c r="D311" s="19">
        <v>0</v>
      </c>
      <c r="E311" s="19">
        <v>4018.3902642335343</v>
      </c>
      <c r="F311" s="19">
        <v>3840.8738799999978</v>
      </c>
      <c r="G311" s="19">
        <v>4018.3902642335343</v>
      </c>
    </row>
    <row r="312" spans="1:7" ht="11.25" customHeight="1" x14ac:dyDescent="0.2">
      <c r="A312" s="29">
        <v>44378</v>
      </c>
      <c r="B312" s="19">
        <v>0</v>
      </c>
      <c r="C312" s="19">
        <v>136.29830399999994</v>
      </c>
      <c r="D312" s="19">
        <v>0</v>
      </c>
      <c r="E312" s="19">
        <v>142.59769910100317</v>
      </c>
      <c r="F312" s="19">
        <v>136.29830399999994</v>
      </c>
      <c r="G312" s="19">
        <v>142.59769910100317</v>
      </c>
    </row>
    <row r="313" spans="1:7" ht="11.25" customHeight="1" x14ac:dyDescent="0.2">
      <c r="A313" s="29">
        <v>44409</v>
      </c>
      <c r="B313" s="19">
        <v>0</v>
      </c>
      <c r="C313" s="19">
        <v>138.19133599999964</v>
      </c>
      <c r="D313" s="19">
        <v>0</v>
      </c>
      <c r="E313" s="19">
        <v>144.57822269962793</v>
      </c>
      <c r="F313" s="19">
        <v>138.19133599999964</v>
      </c>
      <c r="G313" s="19">
        <v>144.57822269962793</v>
      </c>
    </row>
    <row r="314" spans="1:7" ht="11.25" customHeight="1" x14ac:dyDescent="0.2">
      <c r="A314" s="29">
        <v>44440</v>
      </c>
      <c r="B314" s="19">
        <v>0</v>
      </c>
      <c r="C314" s="19">
        <v>138.45547999999991</v>
      </c>
      <c r="D314" s="19">
        <v>0</v>
      </c>
      <c r="E314" s="19">
        <v>144.85457482966888</v>
      </c>
      <c r="F314" s="19">
        <v>138.45547999999991</v>
      </c>
      <c r="G314" s="19">
        <v>144.85457482966888</v>
      </c>
    </row>
    <row r="315" spans="1:7" ht="11.25" customHeight="1" x14ac:dyDescent="0.2">
      <c r="A315" s="29">
        <v>44470</v>
      </c>
      <c r="B315" s="19">
        <v>0</v>
      </c>
      <c r="C315" s="19">
        <v>344.61987200000056</v>
      </c>
      <c r="D315" s="19">
        <v>0</v>
      </c>
      <c r="E315" s="19">
        <v>360.54741232643903</v>
      </c>
      <c r="F315" s="19">
        <v>344.61987200000056</v>
      </c>
      <c r="G315" s="19">
        <v>360.54741232643903</v>
      </c>
    </row>
    <row r="316" spans="1:7" ht="11.25" customHeight="1" x14ac:dyDescent="0.2">
      <c r="A316" s="29">
        <v>44501</v>
      </c>
      <c r="B316" s="19">
        <v>0</v>
      </c>
      <c r="C316" s="19">
        <v>412.32878399999936</v>
      </c>
      <c r="D316" s="19">
        <v>0</v>
      </c>
      <c r="E316" s="19">
        <v>431.3856749935382</v>
      </c>
      <c r="F316" s="19">
        <v>412.32878399999936</v>
      </c>
      <c r="G316" s="19">
        <v>431.3856749935382</v>
      </c>
    </row>
    <row r="317" spans="1:7" ht="11.25" customHeight="1" x14ac:dyDescent="0.2">
      <c r="A317" s="29">
        <v>44531</v>
      </c>
      <c r="B317" s="19">
        <v>0</v>
      </c>
      <c r="C317" s="19">
        <v>167.55534399999993</v>
      </c>
      <c r="D317" s="19">
        <v>0</v>
      </c>
      <c r="E317" s="19">
        <v>175.29936782248646</v>
      </c>
      <c r="F317" s="19">
        <v>167.55534399999993</v>
      </c>
      <c r="G317" s="19">
        <v>175.29936782248646</v>
      </c>
    </row>
    <row r="318" spans="1:7" ht="11.25" customHeight="1" x14ac:dyDescent="0.2">
      <c r="A318" s="29">
        <v>44562</v>
      </c>
      <c r="B318" s="19">
        <v>0</v>
      </c>
      <c r="C318" s="19">
        <v>305.79070399999932</v>
      </c>
      <c r="D318" s="19">
        <v>0</v>
      </c>
      <c r="E318" s="19">
        <v>319.9236492104543</v>
      </c>
      <c r="F318" s="19">
        <v>305.79070399999932</v>
      </c>
      <c r="G318" s="19">
        <v>319.9236492104543</v>
      </c>
    </row>
    <row r="319" spans="1:7" ht="11.25" customHeight="1" x14ac:dyDescent="0.2">
      <c r="A319" s="29">
        <v>44593</v>
      </c>
      <c r="B319" s="19">
        <v>0</v>
      </c>
      <c r="C319" s="19">
        <v>340.657712</v>
      </c>
      <c r="D319" s="19">
        <v>0</v>
      </c>
      <c r="E319" s="19">
        <v>356.40213037582788</v>
      </c>
      <c r="F319" s="19">
        <v>340.657712</v>
      </c>
      <c r="G319" s="19">
        <v>356.40213037582788</v>
      </c>
    </row>
    <row r="320" spans="1:7" ht="11.25" customHeight="1" x14ac:dyDescent="0.2">
      <c r="A320" s="29">
        <v>44621</v>
      </c>
      <c r="B320" s="19">
        <v>0</v>
      </c>
      <c r="C320" s="19">
        <v>533.92307200000027</v>
      </c>
      <c r="D320" s="19">
        <v>0</v>
      </c>
      <c r="E320" s="19">
        <v>558.59977218894323</v>
      </c>
      <c r="F320" s="19">
        <v>533.92307200000027</v>
      </c>
      <c r="G320" s="19">
        <v>558.59977218894323</v>
      </c>
    </row>
    <row r="321" spans="1:7" ht="11.25" customHeight="1" x14ac:dyDescent="0.2">
      <c r="A321" s="29">
        <v>44652</v>
      </c>
      <c r="B321" s="19">
        <v>0</v>
      </c>
      <c r="C321" s="19">
        <v>607.0469360000003</v>
      </c>
      <c r="D321" s="19">
        <v>0</v>
      </c>
      <c r="E321" s="19">
        <v>635.10325352187806</v>
      </c>
      <c r="F321" s="19">
        <v>607.0469360000003</v>
      </c>
      <c r="G321" s="19">
        <v>635.10325352187806</v>
      </c>
    </row>
    <row r="322" spans="1:7" ht="11.25" customHeight="1" x14ac:dyDescent="0.2">
      <c r="A322" s="29">
        <v>44682</v>
      </c>
      <c r="B322" s="19">
        <v>0</v>
      </c>
      <c r="C322" s="19">
        <v>358.00316799999928</v>
      </c>
      <c r="D322" s="19">
        <v>0</v>
      </c>
      <c r="E322" s="19">
        <v>374.54925358183334</v>
      </c>
      <c r="F322" s="19">
        <v>358.00316799999928</v>
      </c>
      <c r="G322" s="19">
        <v>374.54925358183334</v>
      </c>
    </row>
    <row r="323" spans="1:7" ht="11.25" customHeight="1" x14ac:dyDescent="0.2">
      <c r="A323" s="29">
        <v>44713</v>
      </c>
      <c r="B323" s="19">
        <v>0</v>
      </c>
      <c r="C323" s="19">
        <v>358.00316799999928</v>
      </c>
      <c r="D323" s="19">
        <v>0</v>
      </c>
      <c r="E323" s="19">
        <v>374.54925358183334</v>
      </c>
      <c r="F323" s="19">
        <v>358.00316799999928</v>
      </c>
      <c r="G323" s="19">
        <v>374.54925358183334</v>
      </c>
    </row>
    <row r="324" spans="1:7" ht="11.25" customHeight="1" x14ac:dyDescent="0.2">
      <c r="A324" s="22" t="s">
        <v>42</v>
      </c>
      <c r="B324" s="19">
        <v>0</v>
      </c>
      <c r="C324" s="19">
        <v>130049.05079000004</v>
      </c>
      <c r="D324" s="19">
        <v>0</v>
      </c>
      <c r="E324" s="19">
        <v>63168.740794765879</v>
      </c>
      <c r="F324" s="19">
        <v>130049.05079000002</v>
      </c>
      <c r="G324" s="19">
        <v>63168.740794765872</v>
      </c>
    </row>
    <row r="325" spans="1:7" ht="11.25" customHeight="1" x14ac:dyDescent="0.2">
      <c r="A325" s="23" t="s">
        <v>23</v>
      </c>
      <c r="B325" s="19">
        <v>0</v>
      </c>
      <c r="C325" s="19">
        <v>130049.05079000004</v>
      </c>
      <c r="D325" s="19">
        <v>0</v>
      </c>
      <c r="E325" s="19">
        <v>63168.740794765879</v>
      </c>
      <c r="F325" s="19">
        <v>130049.05079000002</v>
      </c>
      <c r="G325" s="19">
        <v>63168.740794765872</v>
      </c>
    </row>
    <row r="326" spans="1:7" ht="11.25" customHeight="1" x14ac:dyDescent="0.2">
      <c r="A326" s="24" t="s">
        <v>43</v>
      </c>
      <c r="B326" s="19">
        <v>0</v>
      </c>
      <c r="C326" s="19">
        <v>130049.05079000004</v>
      </c>
      <c r="D326" s="19">
        <v>0</v>
      </c>
      <c r="E326" s="19">
        <v>63168.740794765879</v>
      </c>
      <c r="F326" s="19">
        <v>130049.05079000002</v>
      </c>
      <c r="G326" s="19">
        <v>63168.740794765872</v>
      </c>
    </row>
    <row r="327" spans="1:7" ht="11.25" customHeight="1" x14ac:dyDescent="0.2">
      <c r="A327" s="25" t="s">
        <v>52</v>
      </c>
      <c r="B327" s="19">
        <v>0</v>
      </c>
      <c r="C327" s="19">
        <v>469.67094000000014</v>
      </c>
      <c r="D327" s="19">
        <v>0</v>
      </c>
      <c r="E327" s="19">
        <v>228.13332113897579</v>
      </c>
      <c r="F327" s="19">
        <v>469.67094000000014</v>
      </c>
      <c r="G327" s="19">
        <v>228.13332113897579</v>
      </c>
    </row>
    <row r="328" spans="1:7" ht="11.25" customHeight="1" x14ac:dyDescent="0.2">
      <c r="A328" s="26" t="s">
        <v>53</v>
      </c>
      <c r="B328" s="19">
        <v>0</v>
      </c>
      <c r="C328" s="19">
        <v>469.67094000000014</v>
      </c>
      <c r="D328" s="19">
        <v>0</v>
      </c>
      <c r="E328" s="19">
        <v>228.13332113897579</v>
      </c>
      <c r="F328" s="19">
        <v>469.67094000000014</v>
      </c>
      <c r="G328" s="19">
        <v>228.13332113897579</v>
      </c>
    </row>
    <row r="329" spans="1:7" ht="11.25" customHeight="1" x14ac:dyDescent="0.2">
      <c r="A329" s="27" t="s">
        <v>25</v>
      </c>
      <c r="B329" s="19">
        <v>0</v>
      </c>
      <c r="C329" s="19">
        <v>469.67094000000014</v>
      </c>
      <c r="D329" s="19">
        <v>0</v>
      </c>
      <c r="E329" s="19">
        <v>228.13332113897579</v>
      </c>
      <c r="F329" s="19">
        <v>469.67094000000014</v>
      </c>
      <c r="G329" s="19">
        <v>228.13332113897579</v>
      </c>
    </row>
    <row r="330" spans="1:7" ht="11.25" customHeight="1" x14ac:dyDescent="0.2">
      <c r="A330" s="28" t="s">
        <v>25</v>
      </c>
      <c r="B330" s="19">
        <v>0</v>
      </c>
      <c r="C330" s="19">
        <v>469.67094000000014</v>
      </c>
      <c r="D330" s="19">
        <v>0</v>
      </c>
      <c r="E330" s="19">
        <v>228.13332113897579</v>
      </c>
      <c r="F330" s="19">
        <v>469.67094000000014</v>
      </c>
      <c r="G330" s="19">
        <v>228.13332113897579</v>
      </c>
    </row>
    <row r="331" spans="1:7" ht="11.25" customHeight="1" x14ac:dyDescent="0.2">
      <c r="A331" s="29">
        <v>44378</v>
      </c>
      <c r="B331" s="19">
        <v>0</v>
      </c>
      <c r="C331" s="19">
        <v>7.6970000000000027</v>
      </c>
      <c r="D331" s="19">
        <v>0</v>
      </c>
      <c r="E331" s="19">
        <v>3.7386647187639426</v>
      </c>
      <c r="F331" s="19">
        <v>7.6970000000000027</v>
      </c>
      <c r="G331" s="19">
        <v>3.7386647187639426</v>
      </c>
    </row>
    <row r="332" spans="1:7" ht="11.25" customHeight="1" x14ac:dyDescent="0.2">
      <c r="A332" s="29">
        <v>44409</v>
      </c>
      <c r="B332" s="19">
        <v>0</v>
      </c>
      <c r="C332" s="19">
        <v>7.6970000000000027</v>
      </c>
      <c r="D332" s="19">
        <v>0</v>
      </c>
      <c r="E332" s="19">
        <v>3.7386647187639426</v>
      </c>
      <c r="F332" s="19">
        <v>7.6970000000000027</v>
      </c>
      <c r="G332" s="19">
        <v>3.7386647187639426</v>
      </c>
    </row>
    <row r="333" spans="1:7" ht="11.25" customHeight="1" x14ac:dyDescent="0.2">
      <c r="A333" s="29">
        <v>44440</v>
      </c>
      <c r="B333" s="19">
        <v>0</v>
      </c>
      <c r="C333" s="19">
        <v>4.5412300000000014</v>
      </c>
      <c r="D333" s="19">
        <v>0</v>
      </c>
      <c r="E333" s="19">
        <v>2.2058121840707261</v>
      </c>
      <c r="F333" s="19">
        <v>4.5412300000000014</v>
      </c>
      <c r="G333" s="19">
        <v>2.2058121840707261</v>
      </c>
    </row>
    <row r="334" spans="1:7" ht="11.25" customHeight="1" x14ac:dyDescent="0.2">
      <c r="A334" s="29">
        <v>44470</v>
      </c>
      <c r="B334" s="19">
        <v>0</v>
      </c>
      <c r="C334" s="19">
        <v>4.5412300000000014</v>
      </c>
      <c r="D334" s="19">
        <v>0</v>
      </c>
      <c r="E334" s="19">
        <v>2.2058121840707261</v>
      </c>
      <c r="F334" s="19">
        <v>4.5412300000000014</v>
      </c>
      <c r="G334" s="19">
        <v>2.2058121840707261</v>
      </c>
    </row>
    <row r="335" spans="1:7" ht="11.25" customHeight="1" x14ac:dyDescent="0.2">
      <c r="A335" s="29">
        <v>44501</v>
      </c>
      <c r="B335" s="19">
        <v>0</v>
      </c>
      <c r="C335" s="19">
        <v>126.92353000000004</v>
      </c>
      <c r="D335" s="19">
        <v>0</v>
      </c>
      <c r="E335" s="19">
        <v>61.650581212417414</v>
      </c>
      <c r="F335" s="19">
        <v>126.92353000000004</v>
      </c>
      <c r="G335" s="19">
        <v>61.650581212417414</v>
      </c>
    </row>
    <row r="336" spans="1:7" ht="11.25" customHeight="1" x14ac:dyDescent="0.2">
      <c r="A336" s="29">
        <v>44531</v>
      </c>
      <c r="B336" s="19">
        <v>0</v>
      </c>
      <c r="C336" s="19">
        <v>118.53380000000004</v>
      </c>
      <c r="D336" s="19">
        <v>0</v>
      </c>
      <c r="E336" s="19">
        <v>57.57543666896472</v>
      </c>
      <c r="F336" s="19">
        <v>118.53380000000004</v>
      </c>
      <c r="G336" s="19">
        <v>57.57543666896472</v>
      </c>
    </row>
    <row r="337" spans="1:7" ht="11.25" customHeight="1" x14ac:dyDescent="0.2">
      <c r="A337" s="29">
        <v>44562</v>
      </c>
      <c r="B337" s="19">
        <v>0</v>
      </c>
      <c r="C337" s="19">
        <v>155.94122000000004</v>
      </c>
      <c r="D337" s="19">
        <v>0</v>
      </c>
      <c r="E337" s="19">
        <v>75.745347202157475</v>
      </c>
      <c r="F337" s="19">
        <v>155.94122000000004</v>
      </c>
      <c r="G337" s="19">
        <v>75.745347202157475</v>
      </c>
    </row>
    <row r="338" spans="1:7" ht="11.25" customHeight="1" x14ac:dyDescent="0.2">
      <c r="A338" s="29">
        <v>44593</v>
      </c>
      <c r="B338" s="19">
        <v>0</v>
      </c>
      <c r="C338" s="19">
        <v>19.319470000000006</v>
      </c>
      <c r="D338" s="19">
        <v>0</v>
      </c>
      <c r="E338" s="19">
        <v>9.3840484440974965</v>
      </c>
      <c r="F338" s="19">
        <v>19.319470000000006</v>
      </c>
      <c r="G338" s="19">
        <v>9.3840484440974965</v>
      </c>
    </row>
    <row r="339" spans="1:7" ht="11.25" customHeight="1" x14ac:dyDescent="0.2">
      <c r="A339" s="29">
        <v>44621</v>
      </c>
      <c r="B339" s="19">
        <v>0</v>
      </c>
      <c r="C339" s="19">
        <v>7.6970000000000027</v>
      </c>
      <c r="D339" s="19">
        <v>0</v>
      </c>
      <c r="E339" s="19">
        <v>3.7386647187639426</v>
      </c>
      <c r="F339" s="19">
        <v>7.6970000000000027</v>
      </c>
      <c r="G339" s="19">
        <v>3.7386647187639426</v>
      </c>
    </row>
    <row r="340" spans="1:7" ht="11.25" customHeight="1" x14ac:dyDescent="0.2">
      <c r="A340" s="29">
        <v>44652</v>
      </c>
      <c r="B340" s="19">
        <v>0</v>
      </c>
      <c r="C340" s="19">
        <v>7.6970000000000027</v>
      </c>
      <c r="D340" s="19">
        <v>0</v>
      </c>
      <c r="E340" s="19">
        <v>3.7386647187639426</v>
      </c>
      <c r="F340" s="19">
        <v>7.6970000000000027</v>
      </c>
      <c r="G340" s="19">
        <v>3.7386647187639426</v>
      </c>
    </row>
    <row r="341" spans="1:7" ht="11.25" customHeight="1" x14ac:dyDescent="0.2">
      <c r="A341" s="29">
        <v>44682</v>
      </c>
      <c r="B341" s="19">
        <v>0</v>
      </c>
      <c r="C341" s="19">
        <v>4.5412300000000014</v>
      </c>
      <c r="D341" s="19">
        <v>0</v>
      </c>
      <c r="E341" s="19">
        <v>2.2058121840707261</v>
      </c>
      <c r="F341" s="19">
        <v>4.5412300000000014</v>
      </c>
      <c r="G341" s="19">
        <v>2.2058121840707261</v>
      </c>
    </row>
    <row r="342" spans="1:7" ht="11.25" customHeight="1" x14ac:dyDescent="0.2">
      <c r="A342" s="29">
        <v>44713</v>
      </c>
      <c r="B342" s="19">
        <v>0</v>
      </c>
      <c r="C342" s="19">
        <v>4.5412300000000014</v>
      </c>
      <c r="D342" s="19">
        <v>0</v>
      </c>
      <c r="E342" s="19">
        <v>2.2058121840707261</v>
      </c>
      <c r="F342" s="19">
        <v>4.5412300000000014</v>
      </c>
      <c r="G342" s="19">
        <v>2.2058121840707261</v>
      </c>
    </row>
    <row r="343" spans="1:7" ht="11.25" customHeight="1" x14ac:dyDescent="0.2">
      <c r="A343" s="25" t="s">
        <v>25</v>
      </c>
      <c r="B343" s="19">
        <v>0</v>
      </c>
      <c r="C343" s="19">
        <v>129579.37985000004</v>
      </c>
      <c r="D343" s="19">
        <v>0</v>
      </c>
      <c r="E343" s="19">
        <v>62940.607473626907</v>
      </c>
      <c r="F343" s="19">
        <v>129579.37985000003</v>
      </c>
      <c r="G343" s="19">
        <v>62940.6074736269</v>
      </c>
    </row>
    <row r="344" spans="1:7" ht="11.25" customHeight="1" x14ac:dyDescent="0.2">
      <c r="A344" s="26" t="s">
        <v>25</v>
      </c>
      <c r="B344" s="19">
        <v>0</v>
      </c>
      <c r="C344" s="19">
        <v>129579.37985000004</v>
      </c>
      <c r="D344" s="19">
        <v>0</v>
      </c>
      <c r="E344" s="19">
        <v>62940.607473626907</v>
      </c>
      <c r="F344" s="19">
        <v>129579.37985000003</v>
      </c>
      <c r="G344" s="19">
        <v>62940.6074736269</v>
      </c>
    </row>
    <row r="345" spans="1:7" ht="11.25" customHeight="1" x14ac:dyDescent="0.2">
      <c r="A345" s="27" t="s">
        <v>25</v>
      </c>
      <c r="B345" s="19">
        <v>0</v>
      </c>
      <c r="C345" s="19">
        <v>129579.37985000004</v>
      </c>
      <c r="D345" s="19">
        <v>0</v>
      </c>
      <c r="E345" s="19">
        <v>62940.607473626907</v>
      </c>
      <c r="F345" s="19">
        <v>129579.37985000003</v>
      </c>
      <c r="G345" s="19">
        <v>62940.6074736269</v>
      </c>
    </row>
    <row r="346" spans="1:7" ht="11.25" customHeight="1" x14ac:dyDescent="0.2">
      <c r="A346" s="28" t="s">
        <v>25</v>
      </c>
      <c r="B346" s="19">
        <v>0</v>
      </c>
      <c r="C346" s="19">
        <v>129579.37985000004</v>
      </c>
      <c r="D346" s="19">
        <v>0</v>
      </c>
      <c r="E346" s="19">
        <v>62940.607473626907</v>
      </c>
      <c r="F346" s="19">
        <v>129579.37985000003</v>
      </c>
      <c r="G346" s="19">
        <v>62940.6074736269</v>
      </c>
    </row>
    <row r="347" spans="1:7" ht="11.25" customHeight="1" x14ac:dyDescent="0.2">
      <c r="A347" s="29">
        <v>44378</v>
      </c>
      <c r="B347" s="19">
        <v>0</v>
      </c>
      <c r="C347" s="19">
        <v>10138.334460000004</v>
      </c>
      <c r="D347" s="19">
        <v>0</v>
      </c>
      <c r="E347" s="19">
        <v>4924.4943942614891</v>
      </c>
      <c r="F347" s="19">
        <v>10138.334460000004</v>
      </c>
      <c r="G347" s="19">
        <v>4924.4943942614891</v>
      </c>
    </row>
    <row r="348" spans="1:7" ht="11.25" customHeight="1" x14ac:dyDescent="0.2">
      <c r="A348" s="29">
        <v>44409</v>
      </c>
      <c r="B348" s="19">
        <v>0</v>
      </c>
      <c r="C348" s="19">
        <v>9518.6489900000033</v>
      </c>
      <c r="D348" s="19">
        <v>0</v>
      </c>
      <c r="E348" s="19">
        <v>4623.4944977538053</v>
      </c>
      <c r="F348" s="19">
        <v>9518.6489900000033</v>
      </c>
      <c r="G348" s="19">
        <v>4623.4944977538053</v>
      </c>
    </row>
    <row r="349" spans="1:7" ht="11.25" customHeight="1" x14ac:dyDescent="0.2">
      <c r="A349" s="29">
        <v>44440</v>
      </c>
      <c r="B349" s="19">
        <v>0</v>
      </c>
      <c r="C349" s="19">
        <v>10349.078320000002</v>
      </c>
      <c r="D349" s="19">
        <v>0</v>
      </c>
      <c r="E349" s="19">
        <v>5026.8590342612461</v>
      </c>
      <c r="F349" s="19">
        <v>10349.078320000002</v>
      </c>
      <c r="G349" s="19">
        <v>5026.8590342612461</v>
      </c>
    </row>
    <row r="350" spans="1:7" ht="11.25" customHeight="1" x14ac:dyDescent="0.2">
      <c r="A350" s="29">
        <v>44470</v>
      </c>
      <c r="B350" s="19">
        <v>0</v>
      </c>
      <c r="C350" s="19">
        <v>9715.4612800000032</v>
      </c>
      <c r="D350" s="19">
        <v>0</v>
      </c>
      <c r="E350" s="19">
        <v>4719.0921546125992</v>
      </c>
      <c r="F350" s="19">
        <v>9715.4612800000032</v>
      </c>
      <c r="G350" s="19">
        <v>4719.0921546125992</v>
      </c>
    </row>
    <row r="351" spans="1:7" ht="11.25" customHeight="1" x14ac:dyDescent="0.2">
      <c r="A351" s="29">
        <v>44501</v>
      </c>
      <c r="B351" s="19">
        <v>0</v>
      </c>
      <c r="C351" s="19">
        <v>11897.945630000004</v>
      </c>
      <c r="D351" s="19">
        <v>0</v>
      </c>
      <c r="E351" s="19">
        <v>5779.1905356181142</v>
      </c>
      <c r="F351" s="19">
        <v>11897.945630000004</v>
      </c>
      <c r="G351" s="19">
        <v>5779.1905356181142</v>
      </c>
    </row>
    <row r="352" spans="1:7" ht="11.25" customHeight="1" x14ac:dyDescent="0.2">
      <c r="A352" s="29">
        <v>44531</v>
      </c>
      <c r="B352" s="19">
        <v>0</v>
      </c>
      <c r="C352" s="19">
        <v>10988.775990000004</v>
      </c>
      <c r="D352" s="19">
        <v>0</v>
      </c>
      <c r="E352" s="19">
        <v>5337.5794590377191</v>
      </c>
      <c r="F352" s="19">
        <v>10988.775990000004</v>
      </c>
      <c r="G352" s="19">
        <v>5337.5794590377191</v>
      </c>
    </row>
    <row r="353" spans="1:7" ht="11.25" customHeight="1" x14ac:dyDescent="0.2">
      <c r="A353" s="29">
        <v>44562</v>
      </c>
      <c r="B353" s="19">
        <v>0</v>
      </c>
      <c r="C353" s="19">
        <v>11975.685330000004</v>
      </c>
      <c r="D353" s="19">
        <v>0</v>
      </c>
      <c r="E353" s="19">
        <v>5816.9510492776308</v>
      </c>
      <c r="F353" s="19">
        <v>11975.685330000004</v>
      </c>
      <c r="G353" s="19">
        <v>5816.9510492776308</v>
      </c>
    </row>
    <row r="354" spans="1:7" ht="11.25" customHeight="1" x14ac:dyDescent="0.2">
      <c r="A354" s="29">
        <v>44593</v>
      </c>
      <c r="B354" s="19">
        <v>0</v>
      </c>
      <c r="C354" s="19">
        <v>11924.962100000004</v>
      </c>
      <c r="D354" s="19">
        <v>0</v>
      </c>
      <c r="E354" s="19">
        <v>5792.3132487809771</v>
      </c>
      <c r="F354" s="19">
        <v>11924.962100000004</v>
      </c>
      <c r="G354" s="19">
        <v>5792.3132487809771</v>
      </c>
    </row>
    <row r="355" spans="1:7" ht="11.25" customHeight="1" x14ac:dyDescent="0.2">
      <c r="A355" s="29">
        <v>44621</v>
      </c>
      <c r="B355" s="19">
        <v>0</v>
      </c>
      <c r="C355" s="19">
        <v>10521.106270000004</v>
      </c>
      <c r="D355" s="19">
        <v>0</v>
      </c>
      <c r="E355" s="19">
        <v>5110.4181907256216</v>
      </c>
      <c r="F355" s="19">
        <v>10521.106270000004</v>
      </c>
      <c r="G355" s="19">
        <v>5110.4181907256216</v>
      </c>
    </row>
    <row r="356" spans="1:7" ht="11.25" customHeight="1" x14ac:dyDescent="0.2">
      <c r="A356" s="29">
        <v>44652</v>
      </c>
      <c r="B356" s="19">
        <v>0</v>
      </c>
      <c r="C356" s="19">
        <v>11610.308740000004</v>
      </c>
      <c r="D356" s="19">
        <v>0</v>
      </c>
      <c r="E356" s="19">
        <v>5639.4766350779055</v>
      </c>
      <c r="F356" s="19">
        <v>11610.308740000004</v>
      </c>
      <c r="G356" s="19">
        <v>5639.4766350779055</v>
      </c>
    </row>
    <row r="357" spans="1:7" ht="11.25" customHeight="1" x14ac:dyDescent="0.2">
      <c r="A357" s="29">
        <v>44682</v>
      </c>
      <c r="B357" s="19">
        <v>0</v>
      </c>
      <c r="C357" s="19">
        <v>10469.536370000003</v>
      </c>
      <c r="D357" s="19">
        <v>0</v>
      </c>
      <c r="E357" s="19">
        <v>5085.3691371099012</v>
      </c>
      <c r="F357" s="19">
        <v>10469.536370000003</v>
      </c>
      <c r="G357" s="19">
        <v>5085.3691371099012</v>
      </c>
    </row>
    <row r="358" spans="1:7" ht="11.25" customHeight="1" x14ac:dyDescent="0.2">
      <c r="A358" s="29">
        <v>44713</v>
      </c>
      <c r="B358" s="19">
        <v>0</v>
      </c>
      <c r="C358" s="19">
        <v>10469.536370000003</v>
      </c>
      <c r="D358" s="19">
        <v>0</v>
      </c>
      <c r="E358" s="19">
        <v>5085.3691371099012</v>
      </c>
      <c r="F358" s="19">
        <v>10469.536370000003</v>
      </c>
      <c r="G358" s="19">
        <v>5085.3691371099012</v>
      </c>
    </row>
    <row r="359" spans="1:7" ht="11.25" customHeight="1" x14ac:dyDescent="0.2">
      <c r="A359" s="21" t="s">
        <v>656</v>
      </c>
      <c r="B359" s="19">
        <v>0</v>
      </c>
      <c r="C359" s="19">
        <v>0</v>
      </c>
      <c r="D359" s="19">
        <v>0</v>
      </c>
      <c r="E359" s="19">
        <v>0</v>
      </c>
      <c r="F359" s="19">
        <v>0</v>
      </c>
      <c r="G359" s="19">
        <v>0</v>
      </c>
    </row>
    <row r="360" spans="1:7" ht="11.25" customHeight="1" x14ac:dyDescent="0.2">
      <c r="A360" s="22" t="s">
        <v>22</v>
      </c>
      <c r="B360" s="19">
        <v>0</v>
      </c>
      <c r="C360" s="19">
        <v>0</v>
      </c>
      <c r="D360" s="19">
        <v>0</v>
      </c>
      <c r="E360" s="19">
        <v>0</v>
      </c>
      <c r="F360" s="19">
        <v>0</v>
      </c>
      <c r="G360" s="19">
        <v>0</v>
      </c>
    </row>
    <row r="361" spans="1:7" ht="11.25" customHeight="1" x14ac:dyDescent="0.2">
      <c r="A361" s="23" t="s">
        <v>23</v>
      </c>
      <c r="B361" s="19">
        <v>0</v>
      </c>
      <c r="C361" s="19">
        <v>0</v>
      </c>
      <c r="D361" s="19">
        <v>0</v>
      </c>
      <c r="E361" s="19">
        <v>0</v>
      </c>
      <c r="F361" s="19">
        <v>0</v>
      </c>
      <c r="G361" s="19">
        <v>0</v>
      </c>
    </row>
    <row r="362" spans="1:7" ht="11.25" customHeight="1" x14ac:dyDescent="0.2">
      <c r="A362" s="24" t="s">
        <v>24</v>
      </c>
      <c r="B362" s="19">
        <v>0</v>
      </c>
      <c r="C362" s="19">
        <v>0</v>
      </c>
      <c r="D362" s="19">
        <v>0</v>
      </c>
      <c r="E362" s="19">
        <v>0</v>
      </c>
      <c r="F362" s="19">
        <v>0</v>
      </c>
      <c r="G362" s="19">
        <v>0</v>
      </c>
    </row>
    <row r="363" spans="1:7" ht="11.25" customHeight="1" x14ac:dyDescent="0.2">
      <c r="A363" s="25" t="s">
        <v>24</v>
      </c>
      <c r="B363" s="19">
        <v>0</v>
      </c>
      <c r="C363" s="19">
        <v>0</v>
      </c>
      <c r="D363" s="19">
        <v>0</v>
      </c>
      <c r="E363" s="19">
        <v>0</v>
      </c>
      <c r="F363" s="19">
        <v>0</v>
      </c>
      <c r="G363" s="19">
        <v>0</v>
      </c>
    </row>
    <row r="364" spans="1:7" ht="11.25" customHeight="1" x14ac:dyDescent="0.2">
      <c r="A364" s="26" t="s">
        <v>25</v>
      </c>
      <c r="B364" s="19">
        <v>0</v>
      </c>
      <c r="C364" s="19">
        <v>0</v>
      </c>
      <c r="D364" s="19">
        <v>0</v>
      </c>
      <c r="E364" s="19">
        <v>0</v>
      </c>
      <c r="F364" s="19">
        <v>0</v>
      </c>
      <c r="G364" s="19">
        <v>0</v>
      </c>
    </row>
    <row r="365" spans="1:7" ht="11.25" customHeight="1" x14ac:dyDescent="0.2">
      <c r="A365" s="27" t="s">
        <v>25</v>
      </c>
      <c r="B365" s="19">
        <v>0</v>
      </c>
      <c r="C365" s="19">
        <v>0</v>
      </c>
      <c r="D365" s="19">
        <v>0</v>
      </c>
      <c r="E365" s="19">
        <v>0</v>
      </c>
      <c r="F365" s="19">
        <v>0</v>
      </c>
      <c r="G365" s="19">
        <v>0</v>
      </c>
    </row>
    <row r="366" spans="1:7" ht="11.25" customHeight="1" x14ac:dyDescent="0.2">
      <c r="A366" s="28" t="s">
        <v>25</v>
      </c>
      <c r="B366" s="19">
        <v>0</v>
      </c>
      <c r="C366" s="19">
        <v>0</v>
      </c>
      <c r="D366" s="19">
        <v>0</v>
      </c>
      <c r="E366" s="19">
        <v>0</v>
      </c>
      <c r="F366" s="19">
        <v>0</v>
      </c>
      <c r="G366" s="19">
        <v>0</v>
      </c>
    </row>
    <row r="367" spans="1:7" ht="11.25" customHeight="1" x14ac:dyDescent="0.2">
      <c r="A367" s="29">
        <v>44378</v>
      </c>
      <c r="B367" s="19">
        <v>0</v>
      </c>
      <c r="C367" s="19">
        <v>0</v>
      </c>
      <c r="D367" s="19">
        <v>0</v>
      </c>
      <c r="E367" s="19">
        <v>0</v>
      </c>
      <c r="F367" s="19">
        <v>0</v>
      </c>
      <c r="G367" s="19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F529B-9E6F-4A76-8CC8-F5DCD3725B63}">
  <dimension ref="A1:V35"/>
  <sheetViews>
    <sheetView showGridLines="0" topLeftCell="D4" workbookViewId="0">
      <selection activeCell="J18" sqref="J18"/>
    </sheetView>
  </sheetViews>
  <sheetFormatPr defaultRowHeight="11.25" customHeight="1" x14ac:dyDescent="0.25"/>
  <cols>
    <col min="1" max="1" width="9.28515625" style="119" bestFit="1" customWidth="1"/>
    <col min="2" max="2" width="11.140625" style="119" bestFit="1" customWidth="1"/>
    <col min="3" max="3" width="10.28515625" style="119" bestFit="1" customWidth="1"/>
    <col min="4" max="4" width="6.28515625" style="119" bestFit="1" customWidth="1"/>
    <col min="5" max="10" width="7.7109375" style="119" customWidth="1"/>
    <col min="11" max="12" width="9.140625" style="119"/>
    <col min="13" max="13" width="14.28515625" style="119" customWidth="1"/>
    <col min="14" max="14" width="16.7109375" style="119" customWidth="1"/>
    <col min="15" max="15" width="31.7109375" style="119" customWidth="1"/>
    <col min="16" max="22" width="7.7109375" style="119" customWidth="1"/>
    <col min="23" max="16384" width="9.140625" style="119"/>
  </cols>
  <sheetData>
    <row r="1" spans="1:22" ht="11.25" customHeight="1" x14ac:dyDescent="0.25">
      <c r="A1" s="155" t="s">
        <v>726</v>
      </c>
      <c r="B1" s="180"/>
      <c r="C1" s="180"/>
      <c r="D1" s="180"/>
      <c r="E1" s="180"/>
      <c r="F1" s="180"/>
      <c r="G1" s="180"/>
      <c r="H1" s="180"/>
      <c r="I1" s="180"/>
      <c r="J1" s="180"/>
      <c r="L1" s="155" t="s">
        <v>736</v>
      </c>
      <c r="M1" s="156"/>
      <c r="N1" s="156"/>
      <c r="O1" s="156"/>
      <c r="P1" s="156"/>
      <c r="Q1" s="156"/>
      <c r="R1" s="156"/>
      <c r="S1" s="156"/>
      <c r="T1" s="156"/>
      <c r="U1" s="156"/>
      <c r="V1" s="156"/>
    </row>
    <row r="2" spans="1:22" ht="11.25" customHeight="1" x14ac:dyDescent="0.25">
      <c r="A2" s="176" t="s">
        <v>68</v>
      </c>
      <c r="B2" s="176" t="s">
        <v>69</v>
      </c>
      <c r="C2" s="176" t="s">
        <v>727</v>
      </c>
      <c r="D2" s="176" t="s">
        <v>74</v>
      </c>
      <c r="E2" s="176" t="s">
        <v>728</v>
      </c>
      <c r="F2" s="179"/>
      <c r="G2" s="179"/>
      <c r="H2" s="176" t="s">
        <v>525</v>
      </c>
      <c r="I2" s="179"/>
      <c r="J2" s="179"/>
      <c r="L2" s="176" t="s">
        <v>68</v>
      </c>
      <c r="M2" s="176" t="s">
        <v>69</v>
      </c>
      <c r="N2" s="176" t="s">
        <v>70</v>
      </c>
      <c r="O2" s="176" t="s">
        <v>71</v>
      </c>
      <c r="P2" s="176" t="s">
        <v>74</v>
      </c>
      <c r="Q2" s="176" t="s">
        <v>728</v>
      </c>
      <c r="R2" s="181"/>
      <c r="S2" s="181"/>
      <c r="T2" s="176" t="s">
        <v>525</v>
      </c>
      <c r="U2" s="181"/>
      <c r="V2" s="181"/>
    </row>
    <row r="3" spans="1:22" ht="11.25" customHeight="1" x14ac:dyDescent="0.25">
      <c r="A3" s="179"/>
      <c r="B3" s="179"/>
      <c r="C3" s="179"/>
      <c r="D3" s="179"/>
      <c r="E3" s="176" t="s">
        <v>483</v>
      </c>
      <c r="F3" s="179"/>
      <c r="G3" s="147" t="s">
        <v>511</v>
      </c>
      <c r="H3" s="176" t="s">
        <v>483</v>
      </c>
      <c r="I3" s="179"/>
      <c r="J3" s="147" t="s">
        <v>511</v>
      </c>
      <c r="L3" s="181"/>
      <c r="M3" s="181"/>
      <c r="N3" s="181"/>
      <c r="O3" s="181"/>
      <c r="P3" s="181"/>
      <c r="Q3" s="176" t="s">
        <v>483</v>
      </c>
      <c r="R3" s="181"/>
      <c r="S3" s="147" t="s">
        <v>511</v>
      </c>
      <c r="T3" s="176" t="s">
        <v>483</v>
      </c>
      <c r="U3" s="181"/>
      <c r="V3" s="147" t="s">
        <v>511</v>
      </c>
    </row>
    <row r="4" spans="1:22" ht="11.25" customHeight="1" x14ac:dyDescent="0.25">
      <c r="A4" s="179"/>
      <c r="B4" s="179"/>
      <c r="C4" s="179"/>
      <c r="D4" s="179"/>
      <c r="E4" s="147" t="s">
        <v>729</v>
      </c>
      <c r="F4" s="147" t="s">
        <v>730</v>
      </c>
      <c r="G4" s="147" t="s">
        <v>730</v>
      </c>
      <c r="H4" s="147" t="s">
        <v>729</v>
      </c>
      <c r="I4" s="147" t="s">
        <v>730</v>
      </c>
      <c r="J4" s="147" t="s">
        <v>730</v>
      </c>
      <c r="L4" s="181"/>
      <c r="M4" s="181"/>
      <c r="N4" s="181"/>
      <c r="O4" s="181"/>
      <c r="P4" s="181"/>
      <c r="Q4" s="147" t="s">
        <v>729</v>
      </c>
      <c r="R4" s="147" t="s">
        <v>730</v>
      </c>
      <c r="S4" s="147" t="s">
        <v>730</v>
      </c>
      <c r="T4" s="147" t="s">
        <v>729</v>
      </c>
      <c r="U4" s="147" t="s">
        <v>730</v>
      </c>
      <c r="V4" s="147" t="s">
        <v>730</v>
      </c>
    </row>
    <row r="5" spans="1:22" ht="11.25" customHeight="1" x14ac:dyDescent="0.25">
      <c r="A5" s="178" t="s">
        <v>38</v>
      </c>
      <c r="B5" s="178" t="s">
        <v>50</v>
      </c>
      <c r="C5" s="178" t="s">
        <v>25</v>
      </c>
      <c r="D5" s="148" t="s">
        <v>731</v>
      </c>
      <c r="E5" s="78">
        <f ca="1">ROUND('TUSD BE'!$AM$5+'TUSD BF'!$AM$5+'TUSD CVA'!$AM$5,2)</f>
        <v>21.87</v>
      </c>
      <c r="F5" s="78">
        <f ca="1">ROUND('TUSD BE'!$AM$7+'TUSD BF'!$AM$7+'TUSD CVA'!$AM$7,2)</f>
        <v>95.82</v>
      </c>
      <c r="G5" s="78">
        <f>ROUND('TE BE'!$AB$5+'TE BF'!$AB$5+'TE CVA'!$AB$5,2)</f>
        <v>398.02</v>
      </c>
      <c r="H5" s="78">
        <f ca="1">ROUND('TUSD BE'!$AM$5,2)</f>
        <v>26.5</v>
      </c>
      <c r="I5" s="78">
        <f ca="1">ROUND('TUSD BE'!$AM$7,2)</f>
        <v>100.65</v>
      </c>
      <c r="J5" s="78">
        <f>ROUND('TE BE'!$AB$5,2)</f>
        <v>459.69</v>
      </c>
      <c r="L5" s="182" t="s">
        <v>22</v>
      </c>
      <c r="M5" s="182" t="s">
        <v>737</v>
      </c>
      <c r="N5" s="182" t="s">
        <v>738</v>
      </c>
      <c r="O5" s="182" t="s">
        <v>738</v>
      </c>
      <c r="P5" s="148" t="s">
        <v>731</v>
      </c>
      <c r="Q5" s="78">
        <v>0</v>
      </c>
      <c r="R5" s="78">
        <f ca="1">ROUND('TUSD BE'!$AM$17+'TUSD BF'!$AM$17+'TUSD CVA'!$AM$17,2)</f>
        <v>751.67</v>
      </c>
      <c r="S5" s="78">
        <f>ROUND('TE BE'!$AB$9+'TE BF'!$AB$9+'TE CVA'!$AB$9,2)</f>
        <v>398.02</v>
      </c>
      <c r="T5" s="78">
        <v>0</v>
      </c>
      <c r="U5" s="78">
        <f ca="1">ROUND('TUSD BE'!$AM$17,2)</f>
        <v>902.97</v>
      </c>
      <c r="V5" s="78">
        <f>ROUND('TE BE'!$AB$9,2)</f>
        <v>459.69</v>
      </c>
    </row>
    <row r="6" spans="1:22" ht="11.25" customHeight="1" x14ac:dyDescent="0.25">
      <c r="A6" s="179"/>
      <c r="B6" s="179"/>
      <c r="C6" s="179"/>
      <c r="D6" s="148" t="s">
        <v>732</v>
      </c>
      <c r="E6" s="78">
        <f ca="1">ROUND('TUSD BE'!$AM$6+'TUSD BF'!$AM$6+'TUSD CVA'!$AM$6,2)</f>
        <v>21.14</v>
      </c>
      <c r="F6" s="78">
        <f ca="1">ROUND('TUSD BE'!$AM$7+'TUSD BF'!$AM$7+'TUSD CVA'!$AM$7,2)</f>
        <v>95.82</v>
      </c>
      <c r="G6" s="78">
        <f>ROUND('TE BE'!$AB$6+'TE BF'!$AB$6+'TE CVA'!$AB$6,2)</f>
        <v>235.34</v>
      </c>
      <c r="H6" s="78">
        <f ca="1">ROUND('TUSD BE'!$AM$6,2)</f>
        <v>25.64</v>
      </c>
      <c r="I6" s="78">
        <f ca="1">ROUND('TUSD BE'!$AM$7,2)</f>
        <v>100.65</v>
      </c>
      <c r="J6" s="78">
        <f>ROUND('TE BE'!$AB$6,2)</f>
        <v>272.12</v>
      </c>
      <c r="L6" s="183"/>
      <c r="M6" s="183"/>
      <c r="N6" s="183"/>
      <c r="O6" s="183"/>
      <c r="P6" s="148" t="s">
        <v>739</v>
      </c>
      <c r="Q6" s="78">
        <v>0</v>
      </c>
      <c r="R6" s="78">
        <f ca="1">ROUND('TUSD BE'!$AM$18+'TUSD BF'!$AM$18+'TUSD CVA'!$AM$18,2)</f>
        <v>437.63</v>
      </c>
      <c r="S6" s="78">
        <f>ROUND('TE BE'!$AB$10+'TE BF'!$AB$10+'TE CVA'!$AB$10,2)</f>
        <v>235.34</v>
      </c>
      <c r="T6" s="78">
        <v>0</v>
      </c>
      <c r="U6" s="78">
        <f ca="1">ROUND('TUSD BE'!$AM$18,2)</f>
        <v>517.15</v>
      </c>
      <c r="V6" s="78">
        <f>ROUND('TE BE'!$AB$10,2)</f>
        <v>272.12</v>
      </c>
    </row>
    <row r="7" spans="1:22" ht="11.25" customHeight="1" x14ac:dyDescent="0.25">
      <c r="A7" s="179"/>
      <c r="B7" s="178" t="s">
        <v>733</v>
      </c>
      <c r="C7" s="178" t="s">
        <v>25</v>
      </c>
      <c r="D7" s="148" t="s">
        <v>731</v>
      </c>
      <c r="E7" s="78">
        <f ca="1">ROUND('TUSD BE'!$AM$5+'TUSD BF'!$AM$5+'TUSD CVA'!$AM$5,2)</f>
        <v>21.87</v>
      </c>
      <c r="F7" s="78">
        <f ca="1">ROUND('TUSD BE'!$AM$8+'TUSD BF'!$AM$8+'TUSD CVA'!$AM$8,2)</f>
        <v>6.09</v>
      </c>
      <c r="G7" s="78">
        <v>0</v>
      </c>
      <c r="H7" s="78">
        <f ca="1">ROUND('TUSD BE'!$AM$5,2)</f>
        <v>26.5</v>
      </c>
      <c r="I7" s="78">
        <f ca="1">ROUND('TUSD BE'!$AM$8,2)</f>
        <v>6.96</v>
      </c>
      <c r="J7" s="78">
        <v>0</v>
      </c>
      <c r="L7" s="183"/>
      <c r="M7" s="184"/>
      <c r="N7" s="184"/>
      <c r="O7" s="184"/>
      <c r="P7" s="148" t="s">
        <v>732</v>
      </c>
      <c r="Q7" s="78">
        <v>0</v>
      </c>
      <c r="R7" s="78">
        <f ca="1">ROUND('TUSD BE'!$AM$19+'TUSD BF'!$AM$19+'TUSD CVA'!$AM$19,2)</f>
        <v>186.39</v>
      </c>
      <c r="S7" s="78">
        <f>ROUND('TE BE'!$AB$11+'TE BF'!$AB$11+'TE CVA'!$AB$11,2)</f>
        <v>235.34</v>
      </c>
      <c r="T7" s="78">
        <v>0</v>
      </c>
      <c r="U7" s="78">
        <f ca="1">ROUND('TUSD BE'!$AM$19,2)</f>
        <v>208.48</v>
      </c>
      <c r="V7" s="78">
        <f>ROUND('TE BE'!$AB$11,2)</f>
        <v>272.12</v>
      </c>
    </row>
    <row r="8" spans="1:22" ht="11.25" customHeight="1" x14ac:dyDescent="0.25">
      <c r="A8" s="179"/>
      <c r="B8" s="179"/>
      <c r="C8" s="179"/>
      <c r="D8" s="148" t="s">
        <v>732</v>
      </c>
      <c r="E8" s="78">
        <f ca="1">ROUND('TUSD BE'!$AM$6+'TUSD BF'!$AM$6+'TUSD CVA'!$AM$6,2)</f>
        <v>21.14</v>
      </c>
      <c r="F8" s="78">
        <f ca="1">ROUND('TUSD BE'!$AM$8+'TUSD BF'!$AM$8+'TUSD CVA'!$AM$8,2)</f>
        <v>6.09</v>
      </c>
      <c r="G8" s="78">
        <v>0</v>
      </c>
      <c r="H8" s="78">
        <f ca="1">ROUND('TUSD BE'!$AM$6,2)</f>
        <v>25.64</v>
      </c>
      <c r="I8" s="78">
        <f ca="1">ROUND('TUSD BE'!$AM$8,2)</f>
        <v>6.96</v>
      </c>
      <c r="J8" s="78">
        <v>0</v>
      </c>
      <c r="L8" s="183"/>
      <c r="M8" s="148" t="s">
        <v>740</v>
      </c>
      <c r="N8" s="148" t="s">
        <v>738</v>
      </c>
      <c r="O8" s="148" t="s">
        <v>738</v>
      </c>
      <c r="P8" s="148" t="s">
        <v>734</v>
      </c>
      <c r="Q8" s="78">
        <v>0</v>
      </c>
      <c r="R8" s="78">
        <f ca="1">ROUND('TUSD BE'!$AM$25+'TUSD BF'!$AM$25+'TUSD CVA'!$AM$25,2)</f>
        <v>313.91000000000003</v>
      </c>
      <c r="S8" s="78">
        <f>ROUND('TE BE'!$AB$17+'TE BF'!$AB$17+'TE CVA'!$AB$17,2)</f>
        <v>248.9</v>
      </c>
      <c r="T8" s="78">
        <v>0</v>
      </c>
      <c r="U8" s="78">
        <f ca="1">ROUND('TUSD BE'!$AM$25,2)</f>
        <v>365.15</v>
      </c>
      <c r="V8" s="78">
        <f>ROUND('TE BE'!$AB$17,2)</f>
        <v>287.75</v>
      </c>
    </row>
    <row r="9" spans="1:22" ht="11.25" customHeight="1" x14ac:dyDescent="0.25">
      <c r="A9" s="179"/>
      <c r="B9" s="178" t="s">
        <v>39</v>
      </c>
      <c r="C9" s="178" t="s">
        <v>25</v>
      </c>
      <c r="D9" s="148" t="s">
        <v>734</v>
      </c>
      <c r="E9" s="78">
        <f ca="1">ROUND('TUSD BE'!$AM$10+'TUSD BF'!$AM$10+'TUSD CVA'!$AM$10,2)</f>
        <v>21.14</v>
      </c>
      <c r="F9" s="78">
        <v>0</v>
      </c>
      <c r="G9" s="78">
        <v>0</v>
      </c>
      <c r="H9" s="78">
        <f ca="1">ROUND('TUSD BE'!$AM$10,2)</f>
        <v>25.64</v>
      </c>
      <c r="I9" s="78">
        <v>0</v>
      </c>
      <c r="J9" s="78">
        <v>0</v>
      </c>
      <c r="L9" s="183"/>
      <c r="M9" s="148" t="s">
        <v>742</v>
      </c>
      <c r="N9" s="148" t="s">
        <v>738</v>
      </c>
      <c r="O9" s="148" t="s">
        <v>738</v>
      </c>
      <c r="P9" s="148" t="s">
        <v>734</v>
      </c>
      <c r="Q9" s="78">
        <v>0</v>
      </c>
      <c r="R9" s="78">
        <f ca="1">ROUND('TUSD BE'!$AM$20+'TUSD BF'!$AM$20+'TUSD CVA'!$AM$20,2)</f>
        <v>313.91000000000003</v>
      </c>
      <c r="S9" s="78">
        <f>ROUND('TE BE'!$AB$12+'TE BF'!$AB$12+'TE CVA'!$AB$12,2)</f>
        <v>248.9</v>
      </c>
      <c r="T9" s="78">
        <v>0</v>
      </c>
      <c r="U9" s="78">
        <f ca="1">ROUND('TUSD BE'!$AM$20,2)</f>
        <v>365.15</v>
      </c>
      <c r="V9" s="78">
        <f>ROUND('TE BE'!$AB$12,2)</f>
        <v>287.75</v>
      </c>
    </row>
    <row r="10" spans="1:22" ht="11.25" customHeight="1" x14ac:dyDescent="0.25">
      <c r="A10" s="179"/>
      <c r="B10" s="179"/>
      <c r="C10" s="179"/>
      <c r="D10" s="148" t="s">
        <v>731</v>
      </c>
      <c r="E10" s="78">
        <v>0</v>
      </c>
      <c r="F10" s="78">
        <f ca="1">ROUND('TUSD BE'!$AM$11+'TUSD BF'!$AM$11+'TUSD CVA'!$AM$11,2)</f>
        <v>625.66999999999996</v>
      </c>
      <c r="G10" s="78">
        <f>ROUND('TE BE'!$AB$5+'TE BF'!$AB$5+'TE CVA'!$AB$5,2)</f>
        <v>398.02</v>
      </c>
      <c r="H10" s="78">
        <v>0</v>
      </c>
      <c r="I10" s="78">
        <f ca="1">ROUND('TUSD BE'!$AM$11,2)</f>
        <v>742.6</v>
      </c>
      <c r="J10" s="78">
        <f>ROUND('TE BE'!$AB$5,2)</f>
        <v>459.69</v>
      </c>
      <c r="L10" s="183"/>
      <c r="M10" s="148" t="s">
        <v>740</v>
      </c>
      <c r="N10" s="148" t="s">
        <v>738</v>
      </c>
      <c r="O10" s="148" t="s">
        <v>741</v>
      </c>
      <c r="P10" s="148" t="s">
        <v>734</v>
      </c>
      <c r="Q10" s="78">
        <v>0</v>
      </c>
      <c r="R10" s="78">
        <f ca="1">ROUND('TUSD BE'!$AM$26+'TUSD BF'!$AM$26+'TUSD CVA'!$AM$26,2)</f>
        <v>209.81</v>
      </c>
      <c r="S10" s="78">
        <f>ROUND('TE BE'!$AB$18+'TE BF'!$AB$18+'TE CVA'!$AB$18,2)</f>
        <v>248.9</v>
      </c>
      <c r="T10" s="78">
        <v>0</v>
      </c>
      <c r="U10" s="78">
        <f ca="1">ROUND('TUSD BE'!$AM$26,2)</f>
        <v>256.27</v>
      </c>
      <c r="V10" s="78">
        <f>ROUND('TE BE'!$AB$18,2)</f>
        <v>287.75</v>
      </c>
    </row>
    <row r="11" spans="1:22" ht="11.25" customHeight="1" x14ac:dyDescent="0.25">
      <c r="A11" s="179"/>
      <c r="B11" s="179"/>
      <c r="C11" s="179"/>
      <c r="D11" s="148" t="s">
        <v>732</v>
      </c>
      <c r="E11" s="78">
        <v>0</v>
      </c>
      <c r="F11" s="78">
        <f ca="1">ROUND('TUSD BE'!$AM$12+'TUSD BF'!$AM$12+'TUSD CVA'!$AM$12,2)</f>
        <v>95.82</v>
      </c>
      <c r="G11" s="78">
        <f>ROUND('TE BE'!$AB$6+'TE BF'!$AB$6+'TE CVA'!$AB$6,2)</f>
        <v>235.34</v>
      </c>
      <c r="H11" s="78">
        <v>0</v>
      </c>
      <c r="I11" s="78">
        <f ca="1">ROUND('TUSD BE'!$AM$12,2)</f>
        <v>100.65</v>
      </c>
      <c r="J11" s="78">
        <f>ROUND('TE BE'!$AB$6,2)</f>
        <v>272.12</v>
      </c>
      <c r="L11" s="184"/>
      <c r="M11" s="148" t="s">
        <v>742</v>
      </c>
      <c r="N11" s="148" t="s">
        <v>738</v>
      </c>
      <c r="O11" s="148" t="s">
        <v>741</v>
      </c>
      <c r="P11" s="148" t="s">
        <v>734</v>
      </c>
      <c r="Q11" s="78">
        <v>0</v>
      </c>
      <c r="R11" s="78">
        <f ca="1">ROUND('TUSD BE'!$AM$21+'TUSD BF'!$AM$21+'TUSD CVA'!$AM$21,2)</f>
        <v>209.81</v>
      </c>
      <c r="S11" s="78">
        <f>ROUND('TE BE'!$AB$13+'TE BF'!$AB$13+'TE CVA'!$AB$13,2)</f>
        <v>248.9</v>
      </c>
      <c r="T11" s="78">
        <v>0</v>
      </c>
      <c r="U11" s="78">
        <f ca="1">ROUND('TUSD BE'!$AM$21,2)</f>
        <v>256.27</v>
      </c>
      <c r="V11" s="78">
        <f>ROUND('TE BE'!$AB$13,2)</f>
        <v>287.75</v>
      </c>
    </row>
    <row r="12" spans="1:22" ht="11.25" customHeight="1" x14ac:dyDescent="0.25">
      <c r="A12" s="179"/>
      <c r="B12" s="178" t="s">
        <v>735</v>
      </c>
      <c r="C12" s="178" t="s">
        <v>25</v>
      </c>
      <c r="D12" s="148" t="s">
        <v>734</v>
      </c>
      <c r="E12" s="78">
        <f ca="1">ROUND('TUSD BE'!$AM$10+'TUSD BF'!$AM$10+'TUSD CVA'!$AM$10,2)</f>
        <v>21.14</v>
      </c>
      <c r="F12" s="78">
        <v>0</v>
      </c>
      <c r="G12" s="78">
        <v>0</v>
      </c>
      <c r="H12" s="78">
        <f ca="1">ROUND('TUSD BE'!$AM$10,2)</f>
        <v>25.64</v>
      </c>
      <c r="I12" s="78">
        <v>0</v>
      </c>
      <c r="J12" s="78">
        <v>0</v>
      </c>
      <c r="L12" s="182" t="s">
        <v>42</v>
      </c>
      <c r="M12" s="182" t="s">
        <v>737</v>
      </c>
      <c r="N12" s="182" t="s">
        <v>743</v>
      </c>
      <c r="O12" s="182" t="s">
        <v>744</v>
      </c>
      <c r="P12" s="148" t="s">
        <v>731</v>
      </c>
      <c r="Q12" s="78">
        <v>0</v>
      </c>
      <c r="R12" s="78">
        <f ca="1">ROUND(('TUSD BE'!$AM$30+'TUSD BF'!$AM$30+'TUSD CVA'!$AM$30)*(1-CUSTOS!$M$38),2)</f>
        <v>706.57</v>
      </c>
      <c r="S12" s="78">
        <f>ROUND(('TE BE'!$AB$22+'TE BF'!$AB$22+'TE CVA'!$AB$22)*(1-CUSTOS!$M$38),2)</f>
        <v>374.14</v>
      </c>
      <c r="T12" s="78">
        <v>0</v>
      </c>
      <c r="U12" s="78">
        <f ca="1">ROUND('TUSD BE'!$AM$30*(1-CUSTOS!$M$38),2)</f>
        <v>848.8</v>
      </c>
      <c r="V12" s="78">
        <f>ROUND('TE BE'!$AB$22*(1-CUSTOS!$M$38),2)</f>
        <v>432.11</v>
      </c>
    </row>
    <row r="13" spans="1:22" ht="11.25" customHeight="1" x14ac:dyDescent="0.25">
      <c r="A13" s="179"/>
      <c r="B13" s="179"/>
      <c r="C13" s="179"/>
      <c r="D13" s="148" t="s">
        <v>731</v>
      </c>
      <c r="E13" s="78">
        <v>0</v>
      </c>
      <c r="F13" s="78">
        <f ca="1">ROUND('TUSD BE'!$AM$13+'TUSD BF'!$AM$13+'TUSD CVA'!$AM$13,2)</f>
        <v>535.94000000000005</v>
      </c>
      <c r="G13" s="78">
        <v>0</v>
      </c>
      <c r="H13" s="78">
        <v>0</v>
      </c>
      <c r="I13" s="78">
        <f ca="1">ROUND('TUSD BE'!$AM$13,2)</f>
        <v>648.91</v>
      </c>
      <c r="J13" s="78">
        <v>0</v>
      </c>
      <c r="L13" s="183"/>
      <c r="M13" s="183"/>
      <c r="N13" s="183"/>
      <c r="O13" s="183"/>
      <c r="P13" s="148" t="s">
        <v>739</v>
      </c>
      <c r="Q13" s="78">
        <v>0</v>
      </c>
      <c r="R13" s="78">
        <f ca="1">ROUND(('TUSD BE'!$AM$31+'TUSD BF'!$AM$31+'TUSD CVA'!$AM$31)*(1-CUSTOS!$M$38),2)</f>
        <v>352.33</v>
      </c>
      <c r="S13" s="78">
        <f>ROUND(('TE BE'!$AB$23+'TE BF'!$AB$23+'TE CVA'!$AB$23)*(1-CUSTOS!$M$38),2)</f>
        <v>221.22</v>
      </c>
      <c r="T13" s="78">
        <v>0</v>
      </c>
      <c r="U13" s="78">
        <f ca="1">ROUND('TUSD BE'!$AM$31*(1-CUSTOS!$M$38),2)</f>
        <v>413.58</v>
      </c>
      <c r="V13" s="78">
        <f>ROUND('TE BE'!$AB$23*(1-CUSTOS!$M$38),2)</f>
        <v>255.79</v>
      </c>
    </row>
    <row r="14" spans="1:22" ht="11.25" customHeight="1" x14ac:dyDescent="0.25">
      <c r="A14" s="179"/>
      <c r="B14" s="179"/>
      <c r="C14" s="179"/>
      <c r="D14" s="148" t="s">
        <v>732</v>
      </c>
      <c r="E14" s="78">
        <v>0</v>
      </c>
      <c r="F14" s="78">
        <f ca="1">ROUND('TUSD BE'!$AM$14+'TUSD BF'!$AM$14+'TUSD CVA'!$AM$14,2)</f>
        <v>6.09</v>
      </c>
      <c r="G14" s="78">
        <v>0</v>
      </c>
      <c r="H14" s="78">
        <v>0</v>
      </c>
      <c r="I14" s="78">
        <f ca="1">ROUND('TUSD BE'!$AM$14,2)</f>
        <v>6.96</v>
      </c>
      <c r="J14" s="78">
        <v>0</v>
      </c>
      <c r="L14" s="183"/>
      <c r="M14" s="184"/>
      <c r="N14" s="184"/>
      <c r="O14" s="184"/>
      <c r="P14" s="148" t="s">
        <v>732</v>
      </c>
      <c r="Q14" s="78">
        <v>0</v>
      </c>
      <c r="R14" s="78">
        <f ca="1">ROUND(('TUSD BE'!$AM$32+'TUSD BF'!$AM$32+'TUSD CVA'!$AM$32)*(1-CUSTOS!$M$38),2)</f>
        <v>234.25</v>
      </c>
      <c r="S14" s="78">
        <f>ROUND(('TE BE'!$AB$24+'TE BF'!$AB$24+'TE CVA'!$AB$24)*(1-CUSTOS!$M$38),2)</f>
        <v>221.22</v>
      </c>
      <c r="T14" s="78">
        <v>0</v>
      </c>
      <c r="U14" s="78">
        <f ca="1">ROUND('TUSD BE'!$AM$32*(1-CUSTOS!$M$38),2)</f>
        <v>268.51</v>
      </c>
      <c r="V14" s="78">
        <f>ROUND('TE BE'!$AB$24*(1-CUSTOS!$M$38),2)</f>
        <v>255.79</v>
      </c>
    </row>
    <row r="15" spans="1:22" ht="11.25" customHeight="1" x14ac:dyDescent="0.25">
      <c r="A15" s="179"/>
      <c r="B15" s="148" t="s">
        <v>58</v>
      </c>
      <c r="C15" s="148" t="s">
        <v>25</v>
      </c>
      <c r="D15" s="148" t="s">
        <v>734</v>
      </c>
      <c r="E15" s="78">
        <f ca="1">ROUND('TUSD BE'!$AM$9+'TUSD BF'!$AM$9+'TUSD CVA'!$AM$9,2)</f>
        <v>5.58</v>
      </c>
      <c r="F15" s="78">
        <v>0</v>
      </c>
      <c r="G15" s="78">
        <v>0</v>
      </c>
      <c r="H15" s="78">
        <f ca="1">ROUND('TUSD BE'!$AM$9,2)</f>
        <v>6.95</v>
      </c>
      <c r="I15" s="78">
        <v>0</v>
      </c>
      <c r="J15" s="78">
        <v>0</v>
      </c>
      <c r="L15" s="183"/>
      <c r="M15" s="148" t="s">
        <v>740</v>
      </c>
      <c r="N15" s="148" t="s">
        <v>743</v>
      </c>
      <c r="O15" s="148" t="s">
        <v>744</v>
      </c>
      <c r="P15" s="148" t="s">
        <v>734</v>
      </c>
      <c r="Q15" s="78">
        <v>0</v>
      </c>
      <c r="R15" s="78">
        <f ca="1">ROUND(('TUSD BE'!$AM$42+'TUSD BF'!$AM$42+'TUSD CVA'!$AM$42)*(1-CUSTOS!$M$38),2)</f>
        <v>295.08</v>
      </c>
      <c r="S15" s="78">
        <f>ROUND(('TE BE'!$AB$34+'TE BF'!$AB$34+'TE CVA'!$AB$34)*(1-CUSTOS!$M$38),2)</f>
        <v>233.96</v>
      </c>
      <c r="T15" s="78">
        <v>0</v>
      </c>
      <c r="U15" s="78">
        <f ca="1">ROUND(('TUSD BE'!$AM$42)*(1-CUSTOS!$M$38),2)</f>
        <v>343.24</v>
      </c>
      <c r="V15" s="78">
        <f>ROUND(('TE BE'!$AB$34)*(1-CUSTOS!$M$38),2)</f>
        <v>270.48</v>
      </c>
    </row>
    <row r="16" spans="1:22" ht="11.25" customHeight="1" x14ac:dyDescent="0.25">
      <c r="L16" s="183"/>
      <c r="M16" s="148" t="s">
        <v>742</v>
      </c>
      <c r="N16" s="148" t="s">
        <v>743</v>
      </c>
      <c r="O16" s="148" t="s">
        <v>744</v>
      </c>
      <c r="P16" s="148" t="s">
        <v>734</v>
      </c>
      <c r="Q16" s="78">
        <v>0</v>
      </c>
      <c r="R16" s="78">
        <f ca="1">ROUND(('TUSD BE'!$AM$33+'TUSD BF'!$AM$33+'TUSD CVA'!$AM$33)*(1-CUSTOS!$M$38),2)</f>
        <v>295.08</v>
      </c>
      <c r="S16" s="78">
        <f>ROUND(('TE BE'!$AB$25+'TE BF'!$AB$25+'TE CVA'!$AB$25)*(1-CUSTOS!$M$38),2)</f>
        <v>233.96</v>
      </c>
      <c r="T16" s="78">
        <v>0</v>
      </c>
      <c r="U16" s="78">
        <f ca="1">ROUND(('TUSD BE'!$AM$33)*(1-CUSTOS!$M$38),2)</f>
        <v>343.24</v>
      </c>
      <c r="V16" s="78">
        <f>ROUND(('TE BE'!$AB$25)*(1-CUSTOS!$M$38),2)</f>
        <v>270.48</v>
      </c>
    </row>
    <row r="17" spans="12:22" ht="11.25" customHeight="1" x14ac:dyDescent="0.25">
      <c r="L17" s="183"/>
      <c r="M17" s="182" t="s">
        <v>737</v>
      </c>
      <c r="N17" s="182" t="s">
        <v>743</v>
      </c>
      <c r="O17" s="182" t="s">
        <v>745</v>
      </c>
      <c r="P17" s="148" t="s">
        <v>731</v>
      </c>
      <c r="Q17" s="78">
        <v>0</v>
      </c>
      <c r="R17" s="78">
        <f ca="1">ROUND(('TUSD BE'!$AM$34+'TUSD BF'!$AM$34+'TUSD CVA'!$AM$34)*(1-CUSTOS!$M$39),2)</f>
        <v>706.57</v>
      </c>
      <c r="S17" s="78">
        <f>ROUND(('TE BE'!$AB$26+'TE BF'!$AB$26+'TE CVA'!$AB$26)*(1-CUSTOS!$M$39),2)</f>
        <v>374.14</v>
      </c>
      <c r="T17" s="78">
        <v>0</v>
      </c>
      <c r="U17" s="78">
        <f ca="1">ROUND('TUSD BE'!$AM$34*(1-CUSTOS!$M$39),2)</f>
        <v>848.8</v>
      </c>
      <c r="V17" s="78">
        <f>ROUND('TE BE'!$AB$26*(1-CUSTOS!$M$39),2)</f>
        <v>432.11</v>
      </c>
    </row>
    <row r="18" spans="12:22" ht="11.25" customHeight="1" x14ac:dyDescent="0.25">
      <c r="L18" s="183"/>
      <c r="M18" s="183"/>
      <c r="N18" s="183"/>
      <c r="O18" s="183"/>
      <c r="P18" s="148" t="s">
        <v>739</v>
      </c>
      <c r="Q18" s="78">
        <v>0</v>
      </c>
      <c r="R18" s="78">
        <f ca="1">ROUND(('TUSD BE'!$AM$35+'TUSD BF'!$AM$35+'TUSD CVA'!$AM$35)*(1-CUSTOS!$M$39),2)</f>
        <v>352.33</v>
      </c>
      <c r="S18" s="78">
        <f>ROUND(('TE BE'!$AB$27+'TE BF'!$AB$27+'TE CVA'!$AB$27)*(1-CUSTOS!$M$39),2)</f>
        <v>221.22</v>
      </c>
      <c r="T18" s="78">
        <v>0</v>
      </c>
      <c r="U18" s="78">
        <f ca="1">ROUND('TUSD BE'!$AM$35*(1-CUSTOS!$M$39),2)</f>
        <v>413.58</v>
      </c>
      <c r="V18" s="78">
        <f>ROUND('TE BE'!$AB$27*(1-CUSTOS!$M$39),2)</f>
        <v>255.79</v>
      </c>
    </row>
    <row r="19" spans="12:22" ht="11.25" customHeight="1" x14ac:dyDescent="0.25">
      <c r="L19" s="183"/>
      <c r="M19" s="184"/>
      <c r="N19" s="184"/>
      <c r="O19" s="184"/>
      <c r="P19" s="148" t="s">
        <v>732</v>
      </c>
      <c r="Q19" s="78">
        <v>0</v>
      </c>
      <c r="R19" s="78">
        <f ca="1">ROUND(('TUSD BE'!$AM$36+'TUSD BF'!$AM$36+'TUSD CVA'!$AM$36)*(1-CUSTOS!$M$39),2)</f>
        <v>234.25</v>
      </c>
      <c r="S19" s="78">
        <f>ROUND(('TE BE'!$AB$28+'TE BF'!$AB$28+'TE CVA'!$AB$28)*(1-CUSTOS!$M$39),2)</f>
        <v>221.22</v>
      </c>
      <c r="T19" s="78">
        <v>0</v>
      </c>
      <c r="U19" s="78">
        <f ca="1">ROUND('TUSD BE'!$AM$36*(1-CUSTOS!$M$39),2)</f>
        <v>268.51</v>
      </c>
      <c r="V19" s="78">
        <f>ROUND('TE BE'!$AB$28*(1-CUSTOS!$M$39),2)</f>
        <v>255.79</v>
      </c>
    </row>
    <row r="20" spans="12:22" ht="11.25" customHeight="1" x14ac:dyDescent="0.25">
      <c r="L20" s="183"/>
      <c r="M20" s="148" t="s">
        <v>740</v>
      </c>
      <c r="N20" s="148" t="s">
        <v>743</v>
      </c>
      <c r="O20" s="148" t="s">
        <v>745</v>
      </c>
      <c r="P20" s="148" t="s">
        <v>734</v>
      </c>
      <c r="Q20" s="78">
        <v>0</v>
      </c>
      <c r="R20" s="78">
        <f ca="1">ROUND(('TUSD BE'!$AM$42+'TUSD BF'!$AM$42+'TUSD CVA'!$AM$42)*(1-CUSTOS!$M$39),2)</f>
        <v>295.08</v>
      </c>
      <c r="S20" s="78">
        <f>ROUND(('TE BE'!$AB$34+'TE BF'!$AB$34+'TE CVA'!$AB$34)*(1-CUSTOS!$M$39),2)</f>
        <v>233.96</v>
      </c>
      <c r="T20" s="78">
        <v>0</v>
      </c>
      <c r="U20" s="78">
        <f ca="1">ROUND(('TUSD BE'!$AM$42)*(1-CUSTOS!$M$39),2)</f>
        <v>343.24</v>
      </c>
      <c r="V20" s="78">
        <f>ROUND(('TE BE'!$AB$34)*(1-CUSTOS!$M$39),2)</f>
        <v>270.48</v>
      </c>
    </row>
    <row r="21" spans="12:22" ht="11.25" customHeight="1" x14ac:dyDescent="0.25">
      <c r="L21" s="183"/>
      <c r="M21" s="148" t="s">
        <v>742</v>
      </c>
      <c r="N21" s="148" t="s">
        <v>743</v>
      </c>
      <c r="O21" s="148" t="s">
        <v>745</v>
      </c>
      <c r="P21" s="148" t="s">
        <v>734</v>
      </c>
      <c r="Q21" s="78">
        <v>0</v>
      </c>
      <c r="R21" s="78">
        <f ca="1">ROUND(('TUSD BE'!$AM$33+'TUSD BF'!$AM$33+'TUSD CVA'!$AM$33)*(1-CUSTOS!$M$39),2)</f>
        <v>295.08</v>
      </c>
      <c r="S21" s="78">
        <f>ROUND(('TE BE'!$AB$25+'TE BF'!$AB$25+'TE CVA'!$AB$25)*(1-CUSTOS!$M$39),2)</f>
        <v>233.96</v>
      </c>
      <c r="T21" s="78">
        <v>0</v>
      </c>
      <c r="U21" s="78">
        <f ca="1">ROUND(('TUSD BE'!$AM$33)*(1-CUSTOS!$M$39),2)</f>
        <v>343.24</v>
      </c>
      <c r="V21" s="78">
        <f>ROUND(('TE BE'!$AB$25)*(1-CUSTOS!$M$39),2)</f>
        <v>270.48</v>
      </c>
    </row>
    <row r="22" spans="12:22" ht="11.25" customHeight="1" x14ac:dyDescent="0.25">
      <c r="L22" s="183"/>
      <c r="M22" s="182" t="s">
        <v>737</v>
      </c>
      <c r="N22" s="182" t="s">
        <v>743</v>
      </c>
      <c r="O22" s="182" t="s">
        <v>746</v>
      </c>
      <c r="P22" s="148" t="s">
        <v>731</v>
      </c>
      <c r="Q22" s="78">
        <v>0</v>
      </c>
      <c r="R22" s="78">
        <f ca="1">ROUND(('TUSD BE'!$AM$38+'TUSD BF'!$AM$38+'TUSD CVA'!$AM$38)*(1-CUSTOS!$M$40),2)</f>
        <v>691.53</v>
      </c>
      <c r="S22" s="78">
        <f>ROUND(('TE BE'!$AB$30+'TE BF'!$AB$30+'TE CVA'!$AB$30)*(1-CUSTOS!$M$40),2)</f>
        <v>366.18</v>
      </c>
      <c r="T22" s="78">
        <v>0</v>
      </c>
      <c r="U22" s="78">
        <f ca="1">ROUND('TUSD BE'!$AM$38*(1-CUSTOS!$M$40),2)</f>
        <v>830.74</v>
      </c>
      <c r="V22" s="78">
        <f>ROUND('TE BE'!$AB$30*(1-CUSTOS!$M$40),2)</f>
        <v>422.91</v>
      </c>
    </row>
    <row r="23" spans="12:22" ht="11.25" customHeight="1" x14ac:dyDescent="0.25">
      <c r="L23" s="183"/>
      <c r="M23" s="183"/>
      <c r="N23" s="183"/>
      <c r="O23" s="183"/>
      <c r="P23" s="148" t="s">
        <v>739</v>
      </c>
      <c r="Q23" s="78">
        <v>0</v>
      </c>
      <c r="R23" s="78">
        <f ca="1">ROUND(('TUSD BE'!$AM$39+'TUSD BF'!$AM$39+'TUSD CVA'!$AM$39)*(1-CUSTOS!$M$40),2)</f>
        <v>344.83</v>
      </c>
      <c r="S23" s="78">
        <f>ROUND(('TE BE'!$AB$31+'TE BF'!$AB$31+'TE CVA'!$AB$31)*(1-CUSTOS!$M$40),2)</f>
        <v>216.51</v>
      </c>
      <c r="T23" s="78">
        <v>0</v>
      </c>
      <c r="U23" s="78">
        <f ca="1">ROUND('TUSD BE'!$AM$39*(1-CUSTOS!$M$40),2)</f>
        <v>404.78</v>
      </c>
      <c r="V23" s="78">
        <f>ROUND('TE BE'!$AB$31*(1-CUSTOS!$M$40),2)</f>
        <v>250.35</v>
      </c>
    </row>
    <row r="24" spans="12:22" ht="11.25" customHeight="1" x14ac:dyDescent="0.25">
      <c r="L24" s="183"/>
      <c r="M24" s="184"/>
      <c r="N24" s="184"/>
      <c r="O24" s="184"/>
      <c r="P24" s="148" t="s">
        <v>732</v>
      </c>
      <c r="Q24" s="78">
        <v>0</v>
      </c>
      <c r="R24" s="78">
        <f ca="1">ROUND(('TUSD BE'!$AM$40+'TUSD BF'!$AM$40+'TUSD CVA'!$AM$40)*(1-CUSTOS!$M$40),2)</f>
        <v>229.27</v>
      </c>
      <c r="S24" s="78">
        <f>ROUND(('TE BE'!$AB$32+'TE BF'!$AB$32+'TE CVA'!$AB$32)*(1-CUSTOS!$M$40),2)</f>
        <v>216.51</v>
      </c>
      <c r="T24" s="78">
        <v>0</v>
      </c>
      <c r="U24" s="78">
        <f ca="1">ROUND('TUSD BE'!$AM$40*(1-CUSTOS!$M$40),2)</f>
        <v>262.8</v>
      </c>
      <c r="V24" s="78">
        <f>ROUND('TE BE'!$AB$32*(1-CUSTOS!$M$40),2)</f>
        <v>250.35</v>
      </c>
    </row>
    <row r="25" spans="12:22" ht="11.25" customHeight="1" x14ac:dyDescent="0.25">
      <c r="L25" s="183"/>
      <c r="M25" s="148" t="s">
        <v>740</v>
      </c>
      <c r="N25" s="148" t="s">
        <v>743</v>
      </c>
      <c r="O25" s="148" t="s">
        <v>746</v>
      </c>
      <c r="P25" s="148" t="s">
        <v>734</v>
      </c>
      <c r="Q25" s="78">
        <v>0</v>
      </c>
      <c r="R25" s="78">
        <f ca="1">ROUND(('TUSD BE'!$AM$42+'TUSD BF'!$AM$42+'TUSD CVA'!$AM$42)*(1-CUSTOS!$M$40),2)</f>
        <v>288.8</v>
      </c>
      <c r="S25" s="78">
        <f>ROUND(('TE BE'!$AB$34+'TE BF'!$AB$34+'TE CVA'!$AB$34)*(1-CUSTOS!$M$40),2)</f>
        <v>228.98</v>
      </c>
      <c r="T25" s="78">
        <v>0</v>
      </c>
      <c r="U25" s="78">
        <f ca="1">ROUND(('TUSD BE'!$AM$42)*(1-CUSTOS!$M$40),2)</f>
        <v>335.94</v>
      </c>
      <c r="V25" s="78">
        <f>ROUND(('TE BE'!$AB$34)*(1-CUSTOS!$M$40),2)</f>
        <v>264.73</v>
      </c>
    </row>
    <row r="26" spans="12:22" ht="11.25" customHeight="1" x14ac:dyDescent="0.25">
      <c r="L26" s="184"/>
      <c r="M26" s="148" t="s">
        <v>742</v>
      </c>
      <c r="N26" s="148" t="s">
        <v>743</v>
      </c>
      <c r="O26" s="148" t="s">
        <v>746</v>
      </c>
      <c r="P26" s="148" t="s">
        <v>734</v>
      </c>
      <c r="Q26" s="78">
        <v>0</v>
      </c>
      <c r="R26" s="78">
        <f ca="1">ROUND(('TUSD BE'!$AM$33+'TUSD BF'!$AM$33+'TUSD CVA'!$AM$33)*(1-CUSTOS!$M$40),2)</f>
        <v>288.8</v>
      </c>
      <c r="S26" s="78">
        <f>ROUND(('TE BE'!$AB$25+'TE BF'!$AB$25+'TE CVA'!$AB$25)*(1-CUSTOS!$M$40),2)</f>
        <v>228.98</v>
      </c>
      <c r="T26" s="78">
        <v>0</v>
      </c>
      <c r="U26" s="78">
        <f ca="1">ROUND(('TUSD BE'!$AM$33)*(1-CUSTOS!$M$40),2)</f>
        <v>335.94</v>
      </c>
      <c r="V26" s="78">
        <f>ROUND(('TE BE'!$AB$25)*(1-CUSTOS!$M$40),2)</f>
        <v>264.73</v>
      </c>
    </row>
    <row r="27" spans="12:22" ht="11.25" customHeight="1" x14ac:dyDescent="0.25">
      <c r="L27" s="182" t="s">
        <v>36</v>
      </c>
      <c r="M27" s="182" t="s">
        <v>737</v>
      </c>
      <c r="N27" s="182" t="s">
        <v>734</v>
      </c>
      <c r="O27" s="182" t="s">
        <v>734</v>
      </c>
      <c r="P27" s="148" t="s">
        <v>731</v>
      </c>
      <c r="Q27" s="78">
        <v>0</v>
      </c>
      <c r="R27" s="78">
        <f ca="1">ROUND(('TUSD BE'!$AM$45+'TUSD BF'!$AM$45+'TUSD CVA'!$AM$45)*(1-CUSTOS!$M$31),2)</f>
        <v>827.8</v>
      </c>
      <c r="S27" s="78">
        <f>ROUND(('TE BE'!$AB$37+'TE BF'!$AB$37+'TE CVA'!$AB$37)*(1-CUSTOS!$M$31),2)</f>
        <v>398.02</v>
      </c>
      <c r="T27" s="78">
        <v>0</v>
      </c>
      <c r="U27" s="78">
        <f ca="1">ROUND('TUSD BE'!$AM$45*(1-CUSTOS!$M$31),2)</f>
        <v>996.51</v>
      </c>
      <c r="V27" s="78">
        <f>ROUND('TE BE'!$AB$37*(1-CUSTOS!$M$31),2)</f>
        <v>459.69</v>
      </c>
    </row>
    <row r="28" spans="12:22" ht="11.25" customHeight="1" x14ac:dyDescent="0.25">
      <c r="L28" s="183"/>
      <c r="M28" s="183"/>
      <c r="N28" s="183"/>
      <c r="O28" s="183"/>
      <c r="P28" s="148" t="s">
        <v>739</v>
      </c>
      <c r="Q28" s="78">
        <v>0</v>
      </c>
      <c r="R28" s="78">
        <f ca="1">ROUND(('TUSD BE'!$AM$46+'TUSD BF'!$AM$46+'TUSD CVA'!$AM$46)*(1-CUSTOS!$M$31),2)</f>
        <v>264.43</v>
      </c>
      <c r="S28" s="78">
        <f>ROUND(('TE BE'!$AB$38+'TE BF'!$AB$38+'TE CVA'!$AB$38)*(1-CUSTOS!$M$31),2)</f>
        <v>235.34</v>
      </c>
      <c r="T28" s="78">
        <v>0</v>
      </c>
      <c r="U28" s="78">
        <f ca="1">ROUND('TUSD BE'!$AM$46*(1-CUSTOS!$M$31),2)</f>
        <v>304.36</v>
      </c>
      <c r="V28" s="78">
        <f>ROUND('TE BE'!$AB$38*(1-CUSTOS!$M$31),2)</f>
        <v>272.12</v>
      </c>
    </row>
    <row r="29" spans="12:22" ht="11.25" customHeight="1" x14ac:dyDescent="0.25">
      <c r="L29" s="183"/>
      <c r="M29" s="184"/>
      <c r="N29" s="184"/>
      <c r="O29" s="184"/>
      <c r="P29" s="148" t="s">
        <v>732</v>
      </c>
      <c r="Q29" s="78">
        <v>0</v>
      </c>
      <c r="R29" s="78">
        <f ca="1">ROUND(('TUSD BE'!$AM$47+'TUSD BF'!$AM$47+'TUSD CVA'!$AM$47)*(1-CUSTOS!$M$31),2)</f>
        <v>264.43</v>
      </c>
      <c r="S29" s="78">
        <f>ROUND(('TE BE'!$AB$39+'TE BF'!$AB$39+'TE CVA'!$AB$39)*(1-CUSTOS!$M$31),2)</f>
        <v>235.34</v>
      </c>
      <c r="T29" s="78">
        <v>0</v>
      </c>
      <c r="U29" s="78">
        <f ca="1">ROUND('TUSD BE'!$AM$47*(1-CUSTOS!$M$31),2)</f>
        <v>304.36</v>
      </c>
      <c r="V29" s="78">
        <f>ROUND('TE BE'!$AB$39*(1-CUSTOS!$M$31),2)</f>
        <v>272.12</v>
      </c>
    </row>
    <row r="30" spans="12:22" ht="11.25" customHeight="1" x14ac:dyDescent="0.25">
      <c r="L30" s="183"/>
      <c r="M30" s="148" t="s">
        <v>740</v>
      </c>
      <c r="N30" s="148" t="s">
        <v>734</v>
      </c>
      <c r="O30" s="148" t="s">
        <v>734</v>
      </c>
      <c r="P30" s="148" t="s">
        <v>734</v>
      </c>
      <c r="Q30" s="78">
        <v>0</v>
      </c>
      <c r="R30" s="78">
        <f ca="1">ROUND(('TUSD BE'!$AM$49+'TUSD BF'!$AM$49+'TUSD CVA'!$AM$49)*(1-CUSTOS!$M$31),2)</f>
        <v>313.91000000000003</v>
      </c>
      <c r="S30" s="78">
        <f>ROUND(('TE BE'!$AB$41+'TE BF'!$AB$41+'TE CVA'!$AB$41)*(1-CUSTOS!$M$31),2)</f>
        <v>248.9</v>
      </c>
      <c r="T30" s="78">
        <v>0</v>
      </c>
      <c r="U30" s="78">
        <f ca="1">ROUND(('TUSD BE'!$AM$49)*(1-CUSTOS!$M$31),2)</f>
        <v>365.15</v>
      </c>
      <c r="V30" s="78">
        <f>ROUND(('TE BE'!$AB$41)*(1-CUSTOS!$M$31),2)</f>
        <v>287.75</v>
      </c>
    </row>
    <row r="31" spans="12:22" ht="11.25" customHeight="1" x14ac:dyDescent="0.25">
      <c r="L31" s="184"/>
      <c r="M31" s="148" t="s">
        <v>742</v>
      </c>
      <c r="N31" s="148" t="s">
        <v>734</v>
      </c>
      <c r="O31" s="148" t="s">
        <v>734</v>
      </c>
      <c r="P31" s="148" t="s">
        <v>734</v>
      </c>
      <c r="Q31" s="78">
        <v>0</v>
      </c>
      <c r="R31" s="78">
        <f ca="1">ROUND(('TUSD BE'!$AM$48+'TUSD BF'!$AM$48+'TUSD CVA'!$AM$48)*(1-CUSTOS!$M$31),2)</f>
        <v>313.91000000000003</v>
      </c>
      <c r="S31" s="78">
        <f>ROUND(('TE BE'!$AB$40+'TE BF'!$AB$40+'TE CVA'!$AB$40)*(1-CUSTOS!$M$31),2)</f>
        <v>248.9</v>
      </c>
      <c r="T31" s="78">
        <v>0</v>
      </c>
      <c r="U31" s="78">
        <f ca="1">ROUND(('TUSD BE'!$AM$48)*(1-CUSTOS!$M$31),2)</f>
        <v>365.15</v>
      </c>
      <c r="V31" s="78">
        <f>ROUND(('TE BE'!$AB$40)*(1-CUSTOS!$M$31),2)</f>
        <v>287.75</v>
      </c>
    </row>
    <row r="32" spans="12:22" ht="11.25" customHeight="1" x14ac:dyDescent="0.25">
      <c r="L32" s="182" t="s">
        <v>45</v>
      </c>
      <c r="M32" s="182" t="s">
        <v>742</v>
      </c>
      <c r="N32" s="182" t="s">
        <v>747</v>
      </c>
      <c r="O32" s="148" t="s">
        <v>748</v>
      </c>
      <c r="P32" s="148" t="s">
        <v>734</v>
      </c>
      <c r="Q32" s="78">
        <v>0</v>
      </c>
      <c r="R32" s="78">
        <f ca="1">ROUND(('TUSD BE'!$AM$50+'TUSD BF'!$AM$50+'TUSD CVA'!$AM$50),2)</f>
        <v>172.65</v>
      </c>
      <c r="S32" s="78">
        <f>ROUND(('TE BE'!$AB$42+'TE BF'!$AB$42+'TE CVA'!$AB$42),2)</f>
        <v>136.88999999999999</v>
      </c>
      <c r="T32" s="78">
        <v>0</v>
      </c>
      <c r="U32" s="78">
        <f ca="1">ROUND(('TUSD BE'!$AM$50),2)</f>
        <v>200.83</v>
      </c>
      <c r="V32" s="78">
        <f>ROUND(('TE BE'!$AB$42),2)</f>
        <v>158.26</v>
      </c>
    </row>
    <row r="33" spans="12:22" ht="11.25" customHeight="1" x14ac:dyDescent="0.25">
      <c r="L33" s="184"/>
      <c r="M33" s="184"/>
      <c r="N33" s="184"/>
      <c r="O33" s="148" t="s">
        <v>749</v>
      </c>
      <c r="P33" s="148" t="s">
        <v>734</v>
      </c>
      <c r="Q33" s="78">
        <v>0</v>
      </c>
      <c r="R33" s="78">
        <f ca="1">ROUND(('TUSD BE'!$AM$51+'TUSD BF'!$AM$51+'TUSD CVA'!$AM$51),2)</f>
        <v>188.35</v>
      </c>
      <c r="S33" s="78">
        <f>ROUND(('TE BE'!$AB$43+'TE BF'!$AB$43+'TE CVA'!$AB$43),2)</f>
        <v>149.34</v>
      </c>
      <c r="T33" s="78">
        <v>0</v>
      </c>
      <c r="U33" s="78">
        <f ca="1">ROUND(('TUSD BE'!$AM$51),2)</f>
        <v>219.09</v>
      </c>
      <c r="V33" s="78">
        <f>ROUND(('TE BE'!$AB$43),2)</f>
        <v>172.65</v>
      </c>
    </row>
    <row r="34" spans="12:22" ht="11.25" customHeight="1" x14ac:dyDescent="0.25">
      <c r="L34" s="182" t="s">
        <v>89</v>
      </c>
      <c r="M34" s="182" t="s">
        <v>60</v>
      </c>
      <c r="N34" s="148" t="s">
        <v>90</v>
      </c>
      <c r="O34" s="148" t="s">
        <v>734</v>
      </c>
      <c r="P34" s="148" t="s">
        <v>734</v>
      </c>
      <c r="Q34" s="78">
        <f ca="1">ROUND(('TUSD BE'!$AM$15+'TUSD BF'!$AM$15+'TUSD CVA'!$AM$15),2)</f>
        <v>4.71</v>
      </c>
      <c r="R34" s="78">
        <v>0</v>
      </c>
      <c r="S34" s="78">
        <v>0</v>
      </c>
      <c r="T34" s="78">
        <f ca="1">ROUND(('TUSD BE'!$AM$15),2)</f>
        <v>5.87</v>
      </c>
      <c r="U34" s="78">
        <v>0</v>
      </c>
      <c r="V34" s="78">
        <v>0</v>
      </c>
    </row>
    <row r="35" spans="12:22" ht="11.25" customHeight="1" x14ac:dyDescent="0.25">
      <c r="L35" s="184"/>
      <c r="M35" s="184"/>
      <c r="N35" s="148" t="s">
        <v>91</v>
      </c>
      <c r="O35" s="148" t="s">
        <v>734</v>
      </c>
      <c r="P35" s="148" t="s">
        <v>734</v>
      </c>
      <c r="Q35" s="78">
        <f ca="1">ROUND(('TUSD BE'!$AM$16+'TUSD BF'!$AM$16+'TUSD CVA'!$AM$16),2)</f>
        <v>7.84</v>
      </c>
      <c r="R35" s="78">
        <v>0</v>
      </c>
      <c r="S35" s="78">
        <v>0</v>
      </c>
      <c r="T35" s="78">
        <f ca="1">ROUND(('TUSD BE'!$AM$16),2)</f>
        <v>9.76</v>
      </c>
      <c r="U35" s="78">
        <v>0</v>
      </c>
      <c r="V35" s="78">
        <v>0</v>
      </c>
    </row>
  </sheetData>
  <mergeCells count="51">
    <mergeCell ref="O5:O7"/>
    <mergeCell ref="O12:O14"/>
    <mergeCell ref="O17:O19"/>
    <mergeCell ref="O22:O24"/>
    <mergeCell ref="O27:O29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L27:L31"/>
    <mergeCell ref="L32:L33"/>
    <mergeCell ref="L34:L35"/>
    <mergeCell ref="M32:M33"/>
    <mergeCell ref="M34:M35"/>
    <mergeCell ref="B9:B11"/>
    <mergeCell ref="B12:B14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L5:L11"/>
    <mergeCell ref="L12:L26"/>
    <mergeCell ref="N5:N7"/>
    <mergeCell ref="N12:N14"/>
    <mergeCell ref="C5:C6"/>
    <mergeCell ref="C7:C8"/>
    <mergeCell ref="C9:C11"/>
    <mergeCell ref="C12:C14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5:A15"/>
    <mergeCell ref="B5:B6"/>
    <mergeCell ref="B7:B8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BD3A2-1D7C-46B1-AD19-55D9ED217B4B}">
  <dimension ref="A1:AN629"/>
  <sheetViews>
    <sheetView showGridLines="0" workbookViewId="0">
      <selection sqref="A1:O629 Q1:AJ13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2.140625" style="4" bestFit="1" customWidth="1"/>
    <col min="8" max="8" width="10.28515625" style="4" bestFit="1" customWidth="1"/>
    <col min="9" max="9" width="8.7109375" style="5" bestFit="1" customWidth="1"/>
    <col min="10" max="10" width="10.140625" style="6" bestFit="1" customWidth="1"/>
    <col min="11" max="11" width="10.5703125" style="6" bestFit="1" customWidth="1"/>
    <col min="12" max="12" width="9.42578125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7.85546875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9.14062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9.140625" style="4"/>
  </cols>
  <sheetData>
    <row r="1" spans="1:40" s="1" customFormat="1" ht="11.25" customHeight="1" x14ac:dyDescent="0.25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6</v>
      </c>
      <c r="H1" s="83" t="s">
        <v>7</v>
      </c>
      <c r="I1" s="89" t="s">
        <v>8</v>
      </c>
      <c r="J1" s="145" t="s">
        <v>697</v>
      </c>
      <c r="K1" s="145" t="s">
        <v>698</v>
      </c>
      <c r="L1" s="145" t="s">
        <v>699</v>
      </c>
      <c r="M1" s="145" t="s">
        <v>700</v>
      </c>
      <c r="N1" s="145" t="s">
        <v>701</v>
      </c>
      <c r="O1" s="145" t="s">
        <v>702</v>
      </c>
      <c r="P1" s="144"/>
      <c r="Q1" s="176" t="s">
        <v>703</v>
      </c>
      <c r="R1" s="181"/>
      <c r="S1" s="181"/>
      <c r="T1" s="181"/>
      <c r="U1" s="181"/>
      <c r="V1" s="181"/>
      <c r="W1" s="181"/>
      <c r="X1" s="181"/>
      <c r="Y1" s="181"/>
      <c r="Z1" s="181"/>
      <c r="AA1" s="181"/>
      <c r="AB1" s="181"/>
      <c r="AC1" s="181"/>
      <c r="AD1" s="181"/>
      <c r="AE1" s="181"/>
      <c r="AF1" s="181"/>
      <c r="AG1" s="181"/>
      <c r="AH1" s="181"/>
      <c r="AI1" s="181"/>
      <c r="AJ1" s="181"/>
      <c r="AL1" s="83" t="s">
        <v>724</v>
      </c>
      <c r="AM1" s="83" t="s">
        <v>65</v>
      </c>
      <c r="AN1" s="83" t="s">
        <v>725</v>
      </c>
    </row>
    <row r="2" spans="1:40" ht="11.25" customHeight="1" x14ac:dyDescent="0.2">
      <c r="A2" s="84" t="s">
        <v>21</v>
      </c>
      <c r="B2" s="84" t="s">
        <v>38</v>
      </c>
      <c r="C2" s="84" t="s">
        <v>50</v>
      </c>
      <c r="D2" s="84" t="s">
        <v>48</v>
      </c>
      <c r="E2" s="84" t="s">
        <v>49</v>
      </c>
      <c r="F2" s="84" t="s">
        <v>25</v>
      </c>
      <c r="G2" s="84" t="s">
        <v>25</v>
      </c>
      <c r="H2" s="84" t="s">
        <v>34</v>
      </c>
      <c r="I2" s="90">
        <v>44378</v>
      </c>
      <c r="J2" s="91" t="e">
        <f>EFEITO!$J$2*EFEITO!R0C25</f>
        <v>#NAME?</v>
      </c>
      <c r="K2" s="91" t="e">
        <f>EFEITO!$L$2*EFEITO!R0C26</f>
        <v>#NAME?</v>
      </c>
      <c r="L2" s="91" t="e">
        <f>EFEITO!$N$2*EFEITO!R0C27</f>
        <v>#NAME?</v>
      </c>
      <c r="M2" s="91" t="e">
        <f ca="1">$J$2-EFEITO!$K$2*EFEITO!$Y$2</f>
        <v>#NAME?</v>
      </c>
      <c r="N2" s="91" t="e">
        <f ca="1">$K$2-EFEITO!$M$2*EFEITO!$Z$2</f>
        <v>#NAME?</v>
      </c>
      <c r="O2" s="91" t="e">
        <f>$L$2-EFEITO!$O$2*EFEITO!$AA$2</f>
        <v>#NAME?</v>
      </c>
      <c r="P2" s="19"/>
      <c r="Q2" s="77" t="s">
        <v>68</v>
      </c>
      <c r="R2" s="77" t="s">
        <v>705</v>
      </c>
      <c r="S2" s="77" t="s">
        <v>706</v>
      </c>
      <c r="T2" s="77" t="s">
        <v>707</v>
      </c>
      <c r="U2" s="77" t="s">
        <v>708</v>
      </c>
      <c r="V2" s="77" t="s">
        <v>709</v>
      </c>
      <c r="W2" s="77" t="s">
        <v>710</v>
      </c>
      <c r="X2" s="92" t="s">
        <v>711</v>
      </c>
      <c r="Y2" s="92" t="s">
        <v>712</v>
      </c>
      <c r="Z2" s="92" t="s">
        <v>713</v>
      </c>
      <c r="AA2" s="92" t="s">
        <v>714</v>
      </c>
      <c r="AB2" s="92" t="s">
        <v>715</v>
      </c>
      <c r="AC2" s="92" t="s">
        <v>716</v>
      </c>
      <c r="AD2" s="92" t="s">
        <v>717</v>
      </c>
      <c r="AE2" s="92" t="s">
        <v>718</v>
      </c>
      <c r="AF2" s="92" t="s">
        <v>719</v>
      </c>
      <c r="AG2" s="92" t="s">
        <v>720</v>
      </c>
      <c r="AH2" s="92" t="s">
        <v>721</v>
      </c>
      <c r="AI2" s="92" t="s">
        <v>722</v>
      </c>
      <c r="AJ2" s="92" t="s">
        <v>723</v>
      </c>
      <c r="AL2" s="84"/>
      <c r="AM2" s="84"/>
      <c r="AN2" s="84"/>
    </row>
    <row r="3" spans="1:40" ht="11.25" customHeight="1" x14ac:dyDescent="0.2">
      <c r="A3" s="84" t="s">
        <v>21</v>
      </c>
      <c r="B3" s="84" t="s">
        <v>38</v>
      </c>
      <c r="C3" s="84" t="s">
        <v>50</v>
      </c>
      <c r="D3" s="84" t="s">
        <v>48</v>
      </c>
      <c r="E3" s="84" t="s">
        <v>49</v>
      </c>
      <c r="F3" s="84" t="s">
        <v>25</v>
      </c>
      <c r="G3" s="84" t="s">
        <v>25</v>
      </c>
      <c r="H3" s="84" t="s">
        <v>34</v>
      </c>
      <c r="I3" s="90">
        <v>44409</v>
      </c>
      <c r="J3" s="91" t="e">
        <f>EFEITO!$J$3*EFEITO!R0C25</f>
        <v>#NAME?</v>
      </c>
      <c r="K3" s="91" t="e">
        <f>EFEITO!$L$3*EFEITO!R0C26</f>
        <v>#NAME?</v>
      </c>
      <c r="L3" s="91" t="e">
        <f>EFEITO!$N$3*EFEITO!R0C27</f>
        <v>#NAME?</v>
      </c>
      <c r="M3" s="91" t="e">
        <f ca="1">$J$3-EFEITO!$K$3*EFEITO!$Y$3</f>
        <v>#NAME?</v>
      </c>
      <c r="N3" s="91" t="e">
        <f ca="1">$K$3-EFEITO!$M$3*EFEITO!$Z$3</f>
        <v>#NAME?</v>
      </c>
      <c r="O3" s="91" t="e">
        <f>$L$3-EFEITO!$O$3*EFEITO!$AA$3</f>
        <v>#NAME?</v>
      </c>
      <c r="P3" s="19"/>
      <c r="Q3" s="91" t="s">
        <v>704</v>
      </c>
      <c r="R3" s="91">
        <f>SUMIF($B$2:$B$629,$Q$3,$J$2:$J$629)</f>
        <v>0</v>
      </c>
      <c r="S3" s="91">
        <f>SUMIF($B$2:$B$629,$Q$3,$K$2:$K$629)</f>
        <v>0</v>
      </c>
      <c r="T3" s="91">
        <f>SUMIF($B$2:$B$629,$Q$3,$L$2:$L$629)</f>
        <v>0</v>
      </c>
      <c r="U3" s="91">
        <f>SUMIF($B$2:$B$629,$Q$3,$M$2:$M$629)</f>
        <v>0</v>
      </c>
      <c r="V3" s="91">
        <f>SUMIF($B$2:$B$629,$Q$3,$N$2:$N$629)</f>
        <v>0</v>
      </c>
      <c r="W3" s="91">
        <f>SUMIF($B$2:$B$629,$Q$3,$O$2:$O$629)</f>
        <v>0</v>
      </c>
      <c r="X3" s="85">
        <f>$R$3-$U$3</f>
        <v>0</v>
      </c>
      <c r="Y3" s="85">
        <f>$S$3-$V$3</f>
        <v>0</v>
      </c>
      <c r="Z3" s="85">
        <f>$T$3-$W$3</f>
        <v>0</v>
      </c>
      <c r="AA3" s="85">
        <f>SUMIF(EFEITO!$B$2:$B$629,$Q$3,EFEITO!$AE$2:$AE$629)</f>
        <v>0</v>
      </c>
      <c r="AB3" s="85">
        <f>SUMIF(EFEITO!$B$2:$B$629,$Q$3,EFEITO!$AF$2:$AF$629)</f>
        <v>0</v>
      </c>
      <c r="AC3" s="85">
        <f>SUMIF(EFEITO!$B$2:$B$629,$Q$3,EFEITO!$AG$2:$AH$629)</f>
        <v>0</v>
      </c>
      <c r="AD3" s="85">
        <f>SUMIF(SUBSIDIO!$B$2:$B$629,$Q$3,SUBSIDIO!$AD$2:$AD$629)</f>
        <v>0</v>
      </c>
      <c r="AE3" s="85">
        <f>SUMIF(SUBSIDIO!$B$2:$B$629,$Q$3,SUBSIDIO!$AE$2:$AE$629)</f>
        <v>0</v>
      </c>
      <c r="AF3" s="85" t="str">
        <f>IF(ABS($X$3-$AA$3)&lt;0.01,"OK","ERRO")</f>
        <v>OK</v>
      </c>
      <c r="AG3" s="85" t="str">
        <f>IF(ABS($Y$3-$AB$3)&lt;0.01,"OK","ERRO")</f>
        <v>OK</v>
      </c>
      <c r="AH3" s="85" t="str">
        <f>IF(ABS($Z$3-$AC$3)&lt;0.01,"OK","ERRO")</f>
        <v>OK</v>
      </c>
      <c r="AI3" s="85" t="str">
        <f>IF(ABS($U$3-$AD$3)&lt;0.01,"OK","ERRO")</f>
        <v>OK</v>
      </c>
      <c r="AJ3" s="85" t="str">
        <f>IF(ABS(($V$3+$W$3)-$AE$3)&lt;0.01,"OK","ERRO")</f>
        <v>OK</v>
      </c>
    </row>
    <row r="4" spans="1:40" ht="11.25" customHeight="1" x14ac:dyDescent="0.2">
      <c r="A4" s="84" t="s">
        <v>21</v>
      </c>
      <c r="B4" s="84" t="s">
        <v>38</v>
      </c>
      <c r="C4" s="84" t="s">
        <v>50</v>
      </c>
      <c r="D4" s="84" t="s">
        <v>48</v>
      </c>
      <c r="E4" s="84" t="s">
        <v>49</v>
      </c>
      <c r="F4" s="84" t="s">
        <v>25</v>
      </c>
      <c r="G4" s="84" t="s">
        <v>25</v>
      </c>
      <c r="H4" s="84" t="s">
        <v>34</v>
      </c>
      <c r="I4" s="90">
        <v>44440</v>
      </c>
      <c r="J4" s="91" t="e">
        <f>EFEITO!$J$4*EFEITO!R0C25</f>
        <v>#NAME?</v>
      </c>
      <c r="K4" s="91" t="e">
        <f>EFEITO!$L$4*EFEITO!R0C26</f>
        <v>#NAME?</v>
      </c>
      <c r="L4" s="91" t="e">
        <f>EFEITO!$N$4*EFEITO!R0C27</f>
        <v>#NAME?</v>
      </c>
      <c r="M4" s="91" t="e">
        <f ca="1">$J$4-EFEITO!$K$4*EFEITO!$Y$4</f>
        <v>#NAME?</v>
      </c>
      <c r="N4" s="91" t="e">
        <f ca="1">$K$4-EFEITO!$M$4*EFEITO!$Z$4</f>
        <v>#NAME?</v>
      </c>
      <c r="O4" s="91" t="e">
        <f>$L$4-EFEITO!$O$4*EFEITO!$AA$4</f>
        <v>#NAME?</v>
      </c>
      <c r="P4" s="19"/>
      <c r="Q4" s="91" t="s">
        <v>596</v>
      </c>
      <c r="R4" s="91">
        <f>SUMIF($B$2:$B$629,$Q$4,$J$2:$J$629)</f>
        <v>0</v>
      </c>
      <c r="S4" s="91">
        <f>SUMIF($B$2:$B$629,$Q$4,$K$2:$K$629)</f>
        <v>0</v>
      </c>
      <c r="T4" s="91">
        <f>SUMIF($B$2:$B$629,$Q$4,$L$2:$L$629)</f>
        <v>0</v>
      </c>
      <c r="U4" s="91">
        <f>SUMIF($B$2:$B$629,$Q$4,$M$2:$M$629)</f>
        <v>0</v>
      </c>
      <c r="V4" s="91">
        <f>SUMIF($B$2:$B$629,$Q$4,$N$2:$N$629)</f>
        <v>0</v>
      </c>
      <c r="W4" s="91">
        <f>SUMIF($B$2:$B$629,$Q$4,$O$2:$O$629)</f>
        <v>0</v>
      </c>
      <c r="X4" s="85">
        <f>$R$4-$U$4</f>
        <v>0</v>
      </c>
      <c r="Y4" s="85">
        <f>$S$4-$V$4</f>
        <v>0</v>
      </c>
      <c r="Z4" s="85">
        <f>$T$4-$W$4</f>
        <v>0</v>
      </c>
      <c r="AA4" s="85">
        <f>SUMIF(EFEITO!$B$2:$B$629,$Q$4,EFEITO!$AE$2:$AE$629)</f>
        <v>0</v>
      </c>
      <c r="AB4" s="85">
        <f>SUMIF(EFEITO!$B$2:$B$629,$Q$4,EFEITO!$AF$2:$AF$629)</f>
        <v>0</v>
      </c>
      <c r="AC4" s="85">
        <f>SUMIF(EFEITO!$B$2:$B$629,$Q$4,EFEITO!$AG$2:$AH$629)</f>
        <v>0</v>
      </c>
      <c r="AD4" s="85">
        <f>SUMIF(SUBSIDIO!$B$2:$B$629,$Q$4,SUBSIDIO!$AD$2:$AD$629)</f>
        <v>0</v>
      </c>
      <c r="AE4" s="85">
        <f>SUMIF(SUBSIDIO!$B$2:$B$629,$Q$4,SUBSIDIO!$AE$2:$AE$629)</f>
        <v>0</v>
      </c>
      <c r="AF4" s="85" t="str">
        <f>IF(ABS($X$4-$AA$4)&lt;0.01,"OK","ERRO")</f>
        <v>OK</v>
      </c>
      <c r="AG4" s="85" t="str">
        <f>IF(ABS($Y$4-$AB$4)&lt;0.01,"OK","ERRO")</f>
        <v>OK</v>
      </c>
      <c r="AH4" s="85" t="str">
        <f>IF(ABS($Z$4-$AC$4)&lt;0.01,"OK","ERRO")</f>
        <v>OK</v>
      </c>
      <c r="AI4" s="85" t="str">
        <f>IF(ABS($U$4-$AD$4)&lt;0.01,"OK","ERRO")</f>
        <v>OK</v>
      </c>
      <c r="AJ4" s="85" t="str">
        <f>IF(ABS(($V$4+$W$4)-$AE$4)&lt;0.01,"OK","ERRO")</f>
        <v>OK</v>
      </c>
    </row>
    <row r="5" spans="1:40" ht="11.25" customHeight="1" x14ac:dyDescent="0.2">
      <c r="A5" s="84" t="s">
        <v>21</v>
      </c>
      <c r="B5" s="84" t="s">
        <v>38</v>
      </c>
      <c r="C5" s="84" t="s">
        <v>50</v>
      </c>
      <c r="D5" s="84" t="s">
        <v>48</v>
      </c>
      <c r="E5" s="84" t="s">
        <v>49</v>
      </c>
      <c r="F5" s="84" t="s">
        <v>25</v>
      </c>
      <c r="G5" s="84" t="s">
        <v>25</v>
      </c>
      <c r="H5" s="84" t="s">
        <v>34</v>
      </c>
      <c r="I5" s="90">
        <v>44470</v>
      </c>
      <c r="J5" s="91" t="e">
        <f>EFEITO!$J$5*EFEITO!R0C25</f>
        <v>#NAME?</v>
      </c>
      <c r="K5" s="91" t="e">
        <f>EFEITO!$L$5*EFEITO!R0C26</f>
        <v>#NAME?</v>
      </c>
      <c r="L5" s="91" t="e">
        <f>EFEITO!$N$5*EFEITO!R0C27</f>
        <v>#NAME?</v>
      </c>
      <c r="M5" s="91" t="e">
        <f ca="1">$J$5-EFEITO!$K$5*EFEITO!$Y$5</f>
        <v>#NAME?</v>
      </c>
      <c r="N5" s="91" t="e">
        <f ca="1">$K$5-EFEITO!$M$5*EFEITO!$Z$5</f>
        <v>#NAME?</v>
      </c>
      <c r="O5" s="91" t="e">
        <f>$L$5-EFEITO!$O$5*EFEITO!$AA$5</f>
        <v>#NAME?</v>
      </c>
      <c r="P5" s="19"/>
      <c r="Q5" s="91" t="s">
        <v>597</v>
      </c>
      <c r="R5" s="91">
        <f>SUMIF($B$2:$B$629,$Q$5,$J$2:$J$629)</f>
        <v>0</v>
      </c>
      <c r="S5" s="91">
        <f>SUMIF($B$2:$B$629,$Q$5,$K$2:$K$629)</f>
        <v>0</v>
      </c>
      <c r="T5" s="91">
        <f>SUMIF($B$2:$B$629,$Q$5,$L$2:$L$629)</f>
        <v>0</v>
      </c>
      <c r="U5" s="91">
        <f>SUMIF($B$2:$B$629,$Q$5,$M$2:$M$629)</f>
        <v>0</v>
      </c>
      <c r="V5" s="91">
        <f>SUMIF($B$2:$B$629,$Q$5,$N$2:$N$629)</f>
        <v>0</v>
      </c>
      <c r="W5" s="91">
        <f>SUMIF($B$2:$B$629,$Q$5,$O$2:$O$629)</f>
        <v>0</v>
      </c>
      <c r="X5" s="85">
        <f>$R$5-$U$5</f>
        <v>0</v>
      </c>
      <c r="Y5" s="85">
        <f>$S$5-$V$5</f>
        <v>0</v>
      </c>
      <c r="Z5" s="85">
        <f>$T$5-$W$5</f>
        <v>0</v>
      </c>
      <c r="AA5" s="85">
        <f>SUMIF(EFEITO!$B$2:$B$629,$Q$5,EFEITO!$AE$2:$AE$629)</f>
        <v>0</v>
      </c>
      <c r="AB5" s="85">
        <f>SUMIF(EFEITO!$B$2:$B$629,$Q$5,EFEITO!$AF$2:$AF$629)</f>
        <v>0</v>
      </c>
      <c r="AC5" s="85">
        <f>SUMIF(EFEITO!$B$2:$B$629,$Q$5,EFEITO!$AG$2:$AH$629)</f>
        <v>0</v>
      </c>
      <c r="AD5" s="85">
        <f>SUMIF(SUBSIDIO!$B$2:$B$629,$Q$5,SUBSIDIO!$AD$2:$AD$629)</f>
        <v>0</v>
      </c>
      <c r="AE5" s="85">
        <f>SUMIF(SUBSIDIO!$B$2:$B$629,$Q$5,SUBSIDIO!$AE$2:$AE$629)</f>
        <v>0</v>
      </c>
      <c r="AF5" s="85" t="str">
        <f>IF(ABS($X$5-$AA$5)&lt;0.01,"OK","ERRO")</f>
        <v>OK</v>
      </c>
      <c r="AG5" s="85" t="str">
        <f>IF(ABS($Y$5-$AB$5)&lt;0.01,"OK","ERRO")</f>
        <v>OK</v>
      </c>
      <c r="AH5" s="85" t="str">
        <f>IF(ABS($Z$5-$AC$5)&lt;0.01,"OK","ERRO")</f>
        <v>OK</v>
      </c>
      <c r="AI5" s="85" t="str">
        <f>IF(ABS($U$5-$AD$5)&lt;0.01,"OK","ERRO")</f>
        <v>OK</v>
      </c>
      <c r="AJ5" s="85" t="str">
        <f>IF(ABS(($V$5+$W$5)-$AE$5)&lt;0.01,"OK","ERRO")</f>
        <v>OK</v>
      </c>
    </row>
    <row r="6" spans="1:40" ht="11.25" customHeight="1" x14ac:dyDescent="0.2">
      <c r="A6" s="84" t="s">
        <v>21</v>
      </c>
      <c r="B6" s="84" t="s">
        <v>38</v>
      </c>
      <c r="C6" s="84" t="s">
        <v>50</v>
      </c>
      <c r="D6" s="84" t="s">
        <v>48</v>
      </c>
      <c r="E6" s="84" t="s">
        <v>49</v>
      </c>
      <c r="F6" s="84" t="s">
        <v>25</v>
      </c>
      <c r="G6" s="84" t="s">
        <v>25</v>
      </c>
      <c r="H6" s="84" t="s">
        <v>34</v>
      </c>
      <c r="I6" s="90">
        <v>44501</v>
      </c>
      <c r="J6" s="91" t="e">
        <f>EFEITO!$J$6*EFEITO!R0C25</f>
        <v>#NAME?</v>
      </c>
      <c r="K6" s="91" t="e">
        <f>EFEITO!$L$6*EFEITO!R0C26</f>
        <v>#NAME?</v>
      </c>
      <c r="L6" s="91" t="e">
        <f>EFEITO!$N$6*EFEITO!R0C27</f>
        <v>#NAME?</v>
      </c>
      <c r="M6" s="91" t="e">
        <f ca="1">$J$6-EFEITO!$K$6*EFEITO!$Y$6</f>
        <v>#NAME?</v>
      </c>
      <c r="N6" s="91" t="e">
        <f ca="1">$K$6-EFEITO!$M$6*EFEITO!$Z$6</f>
        <v>#NAME?</v>
      </c>
      <c r="O6" s="91" t="e">
        <f>$L$6-EFEITO!$O$6*EFEITO!$AA$6</f>
        <v>#NAME?</v>
      </c>
      <c r="P6" s="19"/>
      <c r="Q6" s="91" t="s">
        <v>598</v>
      </c>
      <c r="R6" s="91">
        <f>SUMIF($B$2:$B$629,$Q$6,$J$2:$J$629)</f>
        <v>0</v>
      </c>
      <c r="S6" s="91">
        <f>SUMIF($B$2:$B$629,$Q$6,$K$2:$K$629)</f>
        <v>0</v>
      </c>
      <c r="T6" s="91">
        <f>SUMIF($B$2:$B$629,$Q$6,$L$2:$L$629)</f>
        <v>0</v>
      </c>
      <c r="U6" s="91">
        <f>SUMIF($B$2:$B$629,$Q$6,$M$2:$M$629)</f>
        <v>0</v>
      </c>
      <c r="V6" s="91">
        <f>SUMIF($B$2:$B$629,$Q$6,$N$2:$N$629)</f>
        <v>0</v>
      </c>
      <c r="W6" s="91">
        <f>SUMIF($B$2:$B$629,$Q$6,$O$2:$O$629)</f>
        <v>0</v>
      </c>
      <c r="X6" s="85">
        <f>$R$6-$U$6</f>
        <v>0</v>
      </c>
      <c r="Y6" s="85">
        <f>$S$6-$V$6</f>
        <v>0</v>
      </c>
      <c r="Z6" s="85">
        <f>$T$6-$W$6</f>
        <v>0</v>
      </c>
      <c r="AA6" s="85">
        <f>SUMIF(EFEITO!$B$2:$B$629,$Q$6,EFEITO!$AE$2:$AE$629)</f>
        <v>0</v>
      </c>
      <c r="AB6" s="85">
        <f>SUMIF(EFEITO!$B$2:$B$629,$Q$6,EFEITO!$AF$2:$AF$629)</f>
        <v>0</v>
      </c>
      <c r="AC6" s="85">
        <f>SUMIF(EFEITO!$B$2:$B$629,$Q$6,EFEITO!$AG$2:$AH$629)</f>
        <v>0</v>
      </c>
      <c r="AD6" s="85">
        <f>SUMIF(SUBSIDIO!$B$2:$B$629,$Q$6,SUBSIDIO!$AD$2:$AD$629)</f>
        <v>0</v>
      </c>
      <c r="AE6" s="85">
        <f>SUMIF(SUBSIDIO!$B$2:$B$629,$Q$6,SUBSIDIO!$AE$2:$AE$629)</f>
        <v>0</v>
      </c>
      <c r="AF6" s="85" t="str">
        <f>IF(ABS($X$6-$AA$6)&lt;0.01,"OK","ERRO")</f>
        <v>OK</v>
      </c>
      <c r="AG6" s="85" t="str">
        <f>IF(ABS($Y$6-$AB$6)&lt;0.01,"OK","ERRO")</f>
        <v>OK</v>
      </c>
      <c r="AH6" s="85" t="str">
        <f>IF(ABS($Z$6-$AC$6)&lt;0.01,"OK","ERRO")</f>
        <v>OK</v>
      </c>
      <c r="AI6" s="85" t="str">
        <f>IF(ABS($U$6-$AD$6)&lt;0.01,"OK","ERRO")</f>
        <v>OK</v>
      </c>
      <c r="AJ6" s="85" t="str">
        <f>IF(ABS(($V$6+$W$6)-$AE$6)&lt;0.01,"OK","ERRO")</f>
        <v>OK</v>
      </c>
    </row>
    <row r="7" spans="1:40" ht="11.25" customHeight="1" x14ac:dyDescent="0.2">
      <c r="A7" s="84" t="s">
        <v>21</v>
      </c>
      <c r="B7" s="84" t="s">
        <v>38</v>
      </c>
      <c r="C7" s="84" t="s">
        <v>50</v>
      </c>
      <c r="D7" s="84" t="s">
        <v>48</v>
      </c>
      <c r="E7" s="84" t="s">
        <v>49</v>
      </c>
      <c r="F7" s="84" t="s">
        <v>25</v>
      </c>
      <c r="G7" s="84" t="s">
        <v>25</v>
      </c>
      <c r="H7" s="84" t="s">
        <v>34</v>
      </c>
      <c r="I7" s="90">
        <v>44531</v>
      </c>
      <c r="J7" s="91" t="e">
        <f>EFEITO!$J$7*EFEITO!R0C25</f>
        <v>#NAME?</v>
      </c>
      <c r="K7" s="91" t="e">
        <f>EFEITO!$L$7*EFEITO!R0C26</f>
        <v>#NAME?</v>
      </c>
      <c r="L7" s="91" t="e">
        <f>EFEITO!$N$7*EFEITO!R0C27</f>
        <v>#NAME?</v>
      </c>
      <c r="M7" s="91" t="e">
        <f ca="1">$J$7-EFEITO!$K$7*EFEITO!$Y$7</f>
        <v>#NAME?</v>
      </c>
      <c r="N7" s="91" t="e">
        <f ca="1">$K$7-EFEITO!$M$7*EFEITO!$Z$7</f>
        <v>#NAME?</v>
      </c>
      <c r="O7" s="91" t="e">
        <f>$L$7-EFEITO!$O$7*EFEITO!$AA$7</f>
        <v>#NAME?</v>
      </c>
      <c r="P7" s="19"/>
      <c r="Q7" s="91" t="s">
        <v>38</v>
      </c>
      <c r="R7" s="91" t="e">
        <f>SUMIF($B$2:$B$629,$Q$7,$J$2:$J$629)</f>
        <v>#NAME?</v>
      </c>
      <c r="S7" s="91" t="e">
        <f>SUMIF($B$2:$B$629,$Q$7,$K$2:$K$629)</f>
        <v>#NAME?</v>
      </c>
      <c r="T7" s="91" t="e">
        <f>SUMIF($B$2:$B$629,$Q$7,$L$2:$L$629)</f>
        <v>#NAME?</v>
      </c>
      <c r="U7" s="91" t="e">
        <f ca="1">SUMIF($B$2:$B$629,$Q$7,$M$2:$M$629)</f>
        <v>#NAME?</v>
      </c>
      <c r="V7" s="91" t="e">
        <f ca="1">SUMIF($B$2:$B$629,$Q$7,$N$2:$N$629)</f>
        <v>#NAME?</v>
      </c>
      <c r="W7" s="91" t="e">
        <f>SUMIF($B$2:$B$629,$Q$7,$O$2:$O$629)</f>
        <v>#NAME?</v>
      </c>
      <c r="X7" s="85" t="e">
        <f ca="1">$R$7-$U$7</f>
        <v>#NAME?</v>
      </c>
      <c r="Y7" s="85" t="e">
        <f ca="1">$S$7-$V$7</f>
        <v>#NAME?</v>
      </c>
      <c r="Z7" s="85" t="e">
        <f>$T$7-$W$7</f>
        <v>#NAME?</v>
      </c>
      <c r="AA7" s="85">
        <f ca="1">SUMIF(EFEITO!$B$2:$B$629,$Q$7,EFEITO!$AE$2:$AE$629)</f>
        <v>4041512.993398665</v>
      </c>
      <c r="AB7" s="85">
        <f ca="1">SUMIF(EFEITO!$B$2:$B$629,$Q$7,EFEITO!$AF$2:$AF$629)</f>
        <v>8371981.4194319993</v>
      </c>
      <c r="AC7" s="85">
        <f>SUMIF(EFEITO!$B$2:$B$629,$Q$7,EFEITO!$AG$2:$AH$629)</f>
        <v>4001942.443246278</v>
      </c>
      <c r="AD7" s="85">
        <f ca="1">SUMIF(SUBSIDIO!$B$2:$B$629,$Q$7,SUBSIDIO!$AD$2:$AD$629)</f>
        <v>1537284.8639608151</v>
      </c>
      <c r="AE7" s="85">
        <f ca="1">SUMIF(SUBSIDIO!$B$2:$B$629,$Q$7,SUBSIDIO!$AE$2:$AE$629)</f>
        <v>1466052.9459218697</v>
      </c>
      <c r="AF7" s="85" t="e">
        <f ca="1">IF(ABS($X$7-$AA$7)&lt;0.01,"OK","ERRO")</f>
        <v>#NAME?</v>
      </c>
      <c r="AG7" s="85" t="e">
        <f ca="1">IF(ABS($Y$7-$AB$7)&lt;0.01,"OK","ERRO")</f>
        <v>#NAME?</v>
      </c>
      <c r="AH7" s="85" t="e">
        <f>IF(ABS($Z$7-$AC$7)&lt;0.01,"OK","ERRO")</f>
        <v>#NAME?</v>
      </c>
      <c r="AI7" s="85" t="e">
        <f ca="1">IF(ABS($U$7-$AD$7)&lt;0.01,"OK","ERRO")</f>
        <v>#NAME?</v>
      </c>
      <c r="AJ7" s="85" t="e">
        <f ca="1">IF(ABS(($V$7+$W$7)-$AE$7)&lt;0.01,"OK","ERRO")</f>
        <v>#NAME?</v>
      </c>
    </row>
    <row r="8" spans="1:40" ht="11.25" customHeight="1" x14ac:dyDescent="0.2">
      <c r="A8" s="84" t="s">
        <v>21</v>
      </c>
      <c r="B8" s="84" t="s">
        <v>38</v>
      </c>
      <c r="C8" s="84" t="s">
        <v>50</v>
      </c>
      <c r="D8" s="84" t="s">
        <v>48</v>
      </c>
      <c r="E8" s="84" t="s">
        <v>49</v>
      </c>
      <c r="F8" s="84" t="s">
        <v>25</v>
      </c>
      <c r="G8" s="84" t="s">
        <v>25</v>
      </c>
      <c r="H8" s="84" t="s">
        <v>34</v>
      </c>
      <c r="I8" s="90">
        <v>44562</v>
      </c>
      <c r="J8" s="91" t="e">
        <f>EFEITO!$J$8*EFEITO!R0C25</f>
        <v>#NAME?</v>
      </c>
      <c r="K8" s="91" t="e">
        <f>EFEITO!$L$8*EFEITO!R0C26</f>
        <v>#NAME?</v>
      </c>
      <c r="L8" s="91" t="e">
        <f>EFEITO!$N$8*EFEITO!R0C27</f>
        <v>#NAME?</v>
      </c>
      <c r="M8" s="91" t="e">
        <f ca="1">$J$8-EFEITO!$K$8*EFEITO!$Y$8</f>
        <v>#NAME?</v>
      </c>
      <c r="N8" s="91" t="e">
        <f ca="1">$K$8-EFEITO!$M$8*EFEITO!$Z$8</f>
        <v>#NAME?</v>
      </c>
      <c r="O8" s="91" t="e">
        <f>$L$8-EFEITO!$O$8*EFEITO!$AA$8</f>
        <v>#NAME?</v>
      </c>
      <c r="P8" s="19"/>
      <c r="Q8" s="91" t="s">
        <v>599</v>
      </c>
      <c r="R8" s="91">
        <f>SUMIF($B$2:$B$629,$Q$8,$J$2:$J$629)</f>
        <v>0</v>
      </c>
      <c r="S8" s="91">
        <f>SUMIF($B$2:$B$629,$Q$8,$K$2:$K$629)</f>
        <v>0</v>
      </c>
      <c r="T8" s="91">
        <f>SUMIF($B$2:$B$629,$Q$8,$L$2:$L$629)</f>
        <v>0</v>
      </c>
      <c r="U8" s="91">
        <f>SUMIF($B$2:$B$629,$Q$8,$M$2:$M$629)</f>
        <v>0</v>
      </c>
      <c r="V8" s="91">
        <f>SUMIF($B$2:$B$629,$Q$8,$N$2:$N$629)</f>
        <v>0</v>
      </c>
      <c r="W8" s="91">
        <f>SUMIF($B$2:$B$629,$Q$8,$O$2:$O$629)</f>
        <v>0</v>
      </c>
      <c r="X8" s="85">
        <f>$R$8-$U$8</f>
        <v>0</v>
      </c>
      <c r="Y8" s="85">
        <f>$S$8-$V$8</f>
        <v>0</v>
      </c>
      <c r="Z8" s="85">
        <f>$T$8-$W$8</f>
        <v>0</v>
      </c>
      <c r="AA8" s="85">
        <f>SUMIF(EFEITO!$B$2:$B$629,$Q$8,EFEITO!$AE$2:$AE$629)</f>
        <v>0</v>
      </c>
      <c r="AB8" s="85">
        <f>SUMIF(EFEITO!$B$2:$B$629,$Q$8,EFEITO!$AF$2:$AF$629)</f>
        <v>0</v>
      </c>
      <c r="AC8" s="85">
        <f>SUMIF(EFEITO!$B$2:$B$629,$Q$8,EFEITO!$AG$2:$AH$629)</f>
        <v>0</v>
      </c>
      <c r="AD8" s="85">
        <f>SUMIF(SUBSIDIO!$B$2:$B$629,$Q$8,SUBSIDIO!$AD$2:$AD$629)</f>
        <v>0</v>
      </c>
      <c r="AE8" s="85">
        <f>SUMIF(SUBSIDIO!$B$2:$B$629,$Q$8,SUBSIDIO!$AE$2:$AE$629)</f>
        <v>0</v>
      </c>
      <c r="AF8" s="85" t="str">
        <f>IF(ABS($X$8-$AA$8)&lt;0.01,"OK","ERRO")</f>
        <v>OK</v>
      </c>
      <c r="AG8" s="85" t="str">
        <f>IF(ABS($Y$8-$AB$8)&lt;0.01,"OK","ERRO")</f>
        <v>OK</v>
      </c>
      <c r="AH8" s="85" t="str">
        <f>IF(ABS($Z$8-$AC$8)&lt;0.01,"OK","ERRO")</f>
        <v>OK</v>
      </c>
      <c r="AI8" s="85" t="str">
        <f>IF(ABS($U$8-$AD$8)&lt;0.01,"OK","ERRO")</f>
        <v>OK</v>
      </c>
      <c r="AJ8" s="85" t="str">
        <f>IF(ABS(($V$8+$W$8)-$AE$8)&lt;0.01,"OK","ERRO")</f>
        <v>OK</v>
      </c>
    </row>
    <row r="9" spans="1:40" ht="11.25" customHeight="1" x14ac:dyDescent="0.2">
      <c r="A9" s="84" t="s">
        <v>21</v>
      </c>
      <c r="B9" s="84" t="s">
        <v>38</v>
      </c>
      <c r="C9" s="84" t="s">
        <v>50</v>
      </c>
      <c r="D9" s="84" t="s">
        <v>48</v>
      </c>
      <c r="E9" s="84" t="s">
        <v>49</v>
      </c>
      <c r="F9" s="84" t="s">
        <v>25</v>
      </c>
      <c r="G9" s="84" t="s">
        <v>25</v>
      </c>
      <c r="H9" s="84" t="s">
        <v>34</v>
      </c>
      <c r="I9" s="90">
        <v>44593</v>
      </c>
      <c r="J9" s="91" t="e">
        <f>EFEITO!$J$9*EFEITO!R0C25</f>
        <v>#NAME?</v>
      </c>
      <c r="K9" s="91" t="e">
        <f>EFEITO!$L$9*EFEITO!R0C26</f>
        <v>#NAME?</v>
      </c>
      <c r="L9" s="91" t="e">
        <f>EFEITO!$N$9*EFEITO!R0C27</f>
        <v>#NAME?</v>
      </c>
      <c r="M9" s="91" t="e">
        <f ca="1">$J$9-EFEITO!$K$9*EFEITO!$Y$9</f>
        <v>#NAME?</v>
      </c>
      <c r="N9" s="91" t="e">
        <f ca="1">$K$9-EFEITO!$M$9*EFEITO!$Z$9</f>
        <v>#NAME?</v>
      </c>
      <c r="O9" s="91" t="e">
        <f>$L$9-EFEITO!$O$9*EFEITO!$AA$9</f>
        <v>#NAME?</v>
      </c>
      <c r="P9" s="19"/>
      <c r="Q9" s="91" t="s">
        <v>22</v>
      </c>
      <c r="R9" s="91">
        <f>SUMIF($B$2:$B$629,$Q$9,$J$2:$J$629)</f>
        <v>0</v>
      </c>
      <c r="S9" s="91">
        <f ca="1">SUMIF($B$2:$B$629,$Q$9,$K$2:$K$629)</f>
        <v>12255676.552128173</v>
      </c>
      <c r="T9" s="91">
        <f>SUMIF($B$2:$B$629,$Q$9,$L$2:$L$629)</f>
        <v>9836686.7714586649</v>
      </c>
      <c r="U9" s="91">
        <f>SUMIF($B$2:$B$629,$Q$9,$M$2:$M$629)</f>
        <v>0</v>
      </c>
      <c r="V9" s="91">
        <f ca="1">SUMIF($B$2:$B$629,$Q$9,$N$2:$N$629)</f>
        <v>92110.810492623525</v>
      </c>
      <c r="W9" s="91">
        <f>SUMIF($B$2:$B$629,$Q$9,$O$2:$O$629)</f>
        <v>109269.29052848952</v>
      </c>
      <c r="X9" s="85">
        <f>$R$9-$U$9</f>
        <v>0</v>
      </c>
      <c r="Y9" s="85">
        <f ca="1">$S$9-$V$9</f>
        <v>12163565.74163555</v>
      </c>
      <c r="Z9" s="85">
        <f>$T$9-$W$9</f>
        <v>9727417.4809301756</v>
      </c>
      <c r="AA9" s="85">
        <f>SUMIF(EFEITO!$B$2:$B$629,$Q$9,EFEITO!$AE$2:$AE$629)</f>
        <v>0</v>
      </c>
      <c r="AB9" s="85">
        <f ca="1">SUMIF(EFEITO!$B$2:$B$629,$Q$9,EFEITO!$AF$2:$AF$629)</f>
        <v>12163565.741635554</v>
      </c>
      <c r="AC9" s="85">
        <f>SUMIF(EFEITO!$B$2:$B$629,$Q$9,EFEITO!$AG$2:$AH$629)</f>
        <v>9727417.4809301887</v>
      </c>
      <c r="AD9" s="85">
        <f>SUMIF(SUBSIDIO!$B$2:$B$629,$Q$9,SUBSIDIO!$AD$2:$AD$629)</f>
        <v>0</v>
      </c>
      <c r="AE9" s="85">
        <f ca="1">SUMIF(SUBSIDIO!$B$2:$B$629,$Q$9,SUBSIDIO!$AE$2:$AE$629)</f>
        <v>201380.10102111314</v>
      </c>
      <c r="AF9" s="85" t="str">
        <f>IF(ABS($X$9-$AA$9)&lt;0.01,"OK","ERRO")</f>
        <v>OK</v>
      </c>
      <c r="AG9" s="85" t="str">
        <f ca="1">IF(ABS($Y$9-$AB$9)&lt;0.01,"OK","ERRO")</f>
        <v>OK</v>
      </c>
      <c r="AH9" s="85" t="str">
        <f>IF(ABS($Z$9-$AC$9)&lt;0.01,"OK","ERRO")</f>
        <v>OK</v>
      </c>
      <c r="AI9" s="85" t="str">
        <f>IF(ABS($U$9-$AD$9)&lt;0.01,"OK","ERRO")</f>
        <v>OK</v>
      </c>
      <c r="AJ9" s="85" t="str">
        <f ca="1">IF(ABS(($V$9+$W$9)-$AE$9)&lt;0.01,"OK","ERRO")</f>
        <v>OK</v>
      </c>
    </row>
    <row r="10" spans="1:40" ht="11.25" customHeight="1" x14ac:dyDescent="0.2">
      <c r="A10" s="84" t="s">
        <v>21</v>
      </c>
      <c r="B10" s="84" t="s">
        <v>38</v>
      </c>
      <c r="C10" s="84" t="s">
        <v>50</v>
      </c>
      <c r="D10" s="84" t="s">
        <v>48</v>
      </c>
      <c r="E10" s="84" t="s">
        <v>49</v>
      </c>
      <c r="F10" s="84" t="s">
        <v>25</v>
      </c>
      <c r="G10" s="84" t="s">
        <v>25</v>
      </c>
      <c r="H10" s="84" t="s">
        <v>34</v>
      </c>
      <c r="I10" s="90">
        <v>44621</v>
      </c>
      <c r="J10" s="91" t="e">
        <f>EFEITO!$J$10*EFEITO!R0C25</f>
        <v>#NAME?</v>
      </c>
      <c r="K10" s="91" t="e">
        <f>EFEITO!$L$10*EFEITO!R0C26</f>
        <v>#NAME?</v>
      </c>
      <c r="L10" s="91" t="e">
        <f>EFEITO!$N$10*EFEITO!R0C27</f>
        <v>#NAME?</v>
      </c>
      <c r="M10" s="91" t="e">
        <f ca="1">$J$10-EFEITO!$K$10*EFEITO!$Y$10</f>
        <v>#NAME?</v>
      </c>
      <c r="N10" s="91" t="e">
        <f ca="1">$K$10-EFEITO!$M$10*EFEITO!$Z$10</f>
        <v>#NAME?</v>
      </c>
      <c r="O10" s="91" t="e">
        <f>$L$10-EFEITO!$O$10*EFEITO!$AA$10</f>
        <v>#NAME?</v>
      </c>
      <c r="P10" s="19"/>
      <c r="Q10" s="91" t="s">
        <v>42</v>
      </c>
      <c r="R10" s="91">
        <f>SUMIF($B$2:$B$629,$Q$10,$J$2:$J$629)</f>
        <v>0</v>
      </c>
      <c r="S10" s="91">
        <f ca="1">SUMIF($B$2:$B$629,$Q$10,$K$2:$K$629)</f>
        <v>532012.74330077996</v>
      </c>
      <c r="T10" s="91">
        <f>SUMIF($B$2:$B$629,$Q$10,$L$2:$L$629)</f>
        <v>421822.70692093059</v>
      </c>
      <c r="U10" s="91">
        <f>SUMIF($B$2:$B$629,$Q$10,$M$2:$M$629)</f>
        <v>0</v>
      </c>
      <c r="V10" s="91">
        <f ca="1">SUMIF($B$2:$B$629,$Q$10,$N$2:$N$629)</f>
        <v>32835.3915700289</v>
      </c>
      <c r="W10" s="91">
        <f>SUMIF($B$2:$B$629,$Q$10,$O$2:$O$629)</f>
        <v>26034.552610420516</v>
      </c>
      <c r="X10" s="85">
        <f>$R$10-$U$10</f>
        <v>0</v>
      </c>
      <c r="Y10" s="85">
        <f ca="1">$S$10-$V$10</f>
        <v>499177.35173075105</v>
      </c>
      <c r="Z10" s="85">
        <f>$T$10-$W$10</f>
        <v>395788.15431051009</v>
      </c>
      <c r="AA10" s="85">
        <f>SUMIF(EFEITO!$B$2:$B$629,$Q$10,EFEITO!$AE$2:$AE$629)</f>
        <v>0</v>
      </c>
      <c r="AB10" s="85">
        <f ca="1">SUMIF(EFEITO!$B$2:$B$629,$Q$10,EFEITO!$AF$2:$AF$629)</f>
        <v>499177.35173075093</v>
      </c>
      <c r="AC10" s="85">
        <f>SUMIF(EFEITO!$B$2:$B$629,$Q$10,EFEITO!$AG$2:$AH$629)</f>
        <v>395788.15431051009</v>
      </c>
      <c r="AD10" s="85">
        <f>SUMIF(SUBSIDIO!$B$2:$B$629,$Q$10,SUBSIDIO!$AD$2:$AD$629)</f>
        <v>0</v>
      </c>
      <c r="AE10" s="85">
        <f ca="1">SUMIF(SUBSIDIO!$B$2:$B$629,$Q$10,SUBSIDIO!$AE$2:$AE$629)</f>
        <v>58869.944180449333</v>
      </c>
      <c r="AF10" s="85" t="str">
        <f>IF(ABS($X$10-$AA$10)&lt;0.01,"OK","ERRO")</f>
        <v>OK</v>
      </c>
      <c r="AG10" s="85" t="str">
        <f ca="1">IF(ABS($Y$10-$AB$10)&lt;0.01,"OK","ERRO")</f>
        <v>OK</v>
      </c>
      <c r="AH10" s="85" t="str">
        <f>IF(ABS($Z$10-$AC$10)&lt;0.01,"OK","ERRO")</f>
        <v>OK</v>
      </c>
      <c r="AI10" s="85" t="str">
        <f>IF(ABS($U$10-$AD$10)&lt;0.01,"OK","ERRO")</f>
        <v>OK</v>
      </c>
      <c r="AJ10" s="85" t="str">
        <f ca="1">IF(ABS(($V$10+$W$10)-$AE$10)&lt;0.01,"OK","ERRO")</f>
        <v>OK</v>
      </c>
    </row>
    <row r="11" spans="1:40" ht="11.25" customHeight="1" x14ac:dyDescent="0.2">
      <c r="A11" s="84" t="s">
        <v>21</v>
      </c>
      <c r="B11" s="84" t="s">
        <v>38</v>
      </c>
      <c r="C11" s="84" t="s">
        <v>50</v>
      </c>
      <c r="D11" s="84" t="s">
        <v>48</v>
      </c>
      <c r="E11" s="84" t="s">
        <v>49</v>
      </c>
      <c r="F11" s="84" t="s">
        <v>25</v>
      </c>
      <c r="G11" s="84" t="s">
        <v>25</v>
      </c>
      <c r="H11" s="84" t="s">
        <v>34</v>
      </c>
      <c r="I11" s="90">
        <v>44652</v>
      </c>
      <c r="J11" s="91" t="e">
        <f>EFEITO!$J$11*EFEITO!R0C25</f>
        <v>#NAME?</v>
      </c>
      <c r="K11" s="91" t="e">
        <f>EFEITO!$L$11*EFEITO!R0C26</f>
        <v>#NAME?</v>
      </c>
      <c r="L11" s="91" t="e">
        <f>EFEITO!$N$11*EFEITO!R0C27</f>
        <v>#NAME?</v>
      </c>
      <c r="M11" s="91" t="e">
        <f ca="1">$J$11-EFEITO!$K$11*EFEITO!$Y$11</f>
        <v>#NAME?</v>
      </c>
      <c r="N11" s="91" t="e">
        <f ca="1">$K$11-EFEITO!$M$11*EFEITO!$Z$11</f>
        <v>#NAME?</v>
      </c>
      <c r="O11" s="91" t="e">
        <f>$L$11-EFEITO!$O$11*EFEITO!$AA$11</f>
        <v>#NAME?</v>
      </c>
      <c r="P11" s="19"/>
      <c r="Q11" s="91" t="s">
        <v>36</v>
      </c>
      <c r="R11" s="91">
        <f>SUMIF($B$2:$B$629,$Q$11,$J$2:$J$629)</f>
        <v>0</v>
      </c>
      <c r="S11" s="91">
        <f ca="1">SUMIF($B$2:$B$629,$Q$11,$K$2:$K$629)</f>
        <v>4286408.2142728455</v>
      </c>
      <c r="T11" s="91">
        <f>SUMIF($B$2:$B$629,$Q$11,$L$2:$L$629)</f>
        <v>3398496.5246060886</v>
      </c>
      <c r="U11" s="91">
        <f>SUMIF($B$2:$B$629,$Q$11,$M$2:$M$629)</f>
        <v>0</v>
      </c>
      <c r="V11" s="91">
        <f ca="1">SUMIF($B$2:$B$629,$Q$11,$N$2:$N$629)</f>
        <v>15104.056665767341</v>
      </c>
      <c r="W11" s="91">
        <f>SUMIF($B$2:$B$629,$Q$11,$O$2:$O$629)</f>
        <v>11975.717026460523</v>
      </c>
      <c r="X11" s="85">
        <f>$R$11-$U$11</f>
        <v>0</v>
      </c>
      <c r="Y11" s="85">
        <f ca="1">$S$11-$V$11</f>
        <v>4271304.1576070786</v>
      </c>
      <c r="Z11" s="85">
        <f>$T$11-$W$11</f>
        <v>3386520.8075796282</v>
      </c>
      <c r="AA11" s="85">
        <f>SUMIF(EFEITO!$B$2:$B$629,$Q$11,EFEITO!$AE$2:$AE$629)</f>
        <v>0</v>
      </c>
      <c r="AB11" s="85">
        <f ca="1">SUMIF(EFEITO!$B$2:$B$629,$Q$11,EFEITO!$AF$2:$AF$629)</f>
        <v>4271304.1576070758</v>
      </c>
      <c r="AC11" s="85">
        <f>SUMIF(EFEITO!$B$2:$B$629,$Q$11,EFEITO!$AG$2:$AH$629)</f>
        <v>3386520.8075796282</v>
      </c>
      <c r="AD11" s="85">
        <f>SUMIF(SUBSIDIO!$B$2:$B$629,$Q$11,SUBSIDIO!$AD$2:$AD$629)</f>
        <v>0</v>
      </c>
      <c r="AE11" s="85">
        <f ca="1">SUMIF(SUBSIDIO!$B$2:$B$629,$Q$11,SUBSIDIO!$AE$2:$AE$629)</f>
        <v>27079.773692227907</v>
      </c>
      <c r="AF11" s="85" t="str">
        <f>IF(ABS($X$11-$AA$11)&lt;0.01,"OK","ERRO")</f>
        <v>OK</v>
      </c>
      <c r="AG11" s="85" t="str">
        <f ca="1">IF(ABS($Y$11-$AB$11)&lt;0.01,"OK","ERRO")</f>
        <v>OK</v>
      </c>
      <c r="AH11" s="85" t="str">
        <f>IF(ABS($Z$11-$AC$11)&lt;0.01,"OK","ERRO")</f>
        <v>OK</v>
      </c>
      <c r="AI11" s="85" t="str">
        <f>IF(ABS($U$11-$AD$11)&lt;0.01,"OK","ERRO")</f>
        <v>OK</v>
      </c>
      <c r="AJ11" s="85" t="str">
        <f ca="1">IF(ABS(($V$11+$W$11)-$AE$11)&lt;0.01,"OK","ERRO")</f>
        <v>OK</v>
      </c>
    </row>
    <row r="12" spans="1:40" ht="11.25" customHeight="1" x14ac:dyDescent="0.2">
      <c r="A12" s="84" t="s">
        <v>21</v>
      </c>
      <c r="B12" s="84" t="s">
        <v>38</v>
      </c>
      <c r="C12" s="84" t="s">
        <v>50</v>
      </c>
      <c r="D12" s="84" t="s">
        <v>48</v>
      </c>
      <c r="E12" s="84" t="s">
        <v>49</v>
      </c>
      <c r="F12" s="84" t="s">
        <v>25</v>
      </c>
      <c r="G12" s="84" t="s">
        <v>25</v>
      </c>
      <c r="H12" s="84" t="s">
        <v>34</v>
      </c>
      <c r="I12" s="90">
        <v>44682</v>
      </c>
      <c r="J12" s="91" t="e">
        <f>EFEITO!$J$12*EFEITO!R0C25</f>
        <v>#NAME?</v>
      </c>
      <c r="K12" s="91" t="e">
        <f>EFEITO!$L$12*EFEITO!R0C26</f>
        <v>#NAME?</v>
      </c>
      <c r="L12" s="91" t="e">
        <f>EFEITO!$N$12*EFEITO!R0C27</f>
        <v>#NAME?</v>
      </c>
      <c r="M12" s="91" t="e">
        <f ca="1">$J$12-EFEITO!$K$12*EFEITO!$Y$12</f>
        <v>#NAME?</v>
      </c>
      <c r="N12" s="91" t="e">
        <f ca="1">$K$12-EFEITO!$M$12*EFEITO!$Z$12</f>
        <v>#NAME?</v>
      </c>
      <c r="O12" s="91" t="e">
        <f>$L$12-EFEITO!$O$12*EFEITO!$AA$12</f>
        <v>#NAME?</v>
      </c>
      <c r="P12" s="19"/>
      <c r="Q12" s="91" t="s">
        <v>45</v>
      </c>
      <c r="R12" s="91">
        <f>SUMIF($B$2:$B$629,$Q$12,$J$2:$J$629)</f>
        <v>0</v>
      </c>
      <c r="S12" s="91">
        <f ca="1">SUMIF($B$2:$B$629,$Q$12,$K$2:$K$629)</f>
        <v>848431.57850158331</v>
      </c>
      <c r="T12" s="91">
        <f>SUMIF($B$2:$B$629,$Q$12,$L$2:$L$629)</f>
        <v>672705.13646023674</v>
      </c>
      <c r="U12" s="91">
        <f>SUMIF($B$2:$B$629,$Q$12,$M$2:$M$629)</f>
        <v>0</v>
      </c>
      <c r="V12" s="91">
        <f ca="1">SUMIF($B$2:$B$629,$Q$12,$N$2:$N$629)</f>
        <v>0</v>
      </c>
      <c r="W12" s="91">
        <f>SUMIF($B$2:$B$629,$Q$12,$O$2:$O$629)</f>
        <v>0</v>
      </c>
      <c r="X12" s="85">
        <f>$R$12-$U$12</f>
        <v>0</v>
      </c>
      <c r="Y12" s="85">
        <f ca="1">$S$12-$V$12</f>
        <v>848431.57850158331</v>
      </c>
      <c r="Z12" s="85">
        <f>$T$12-$W$12</f>
        <v>672705.13646023674</v>
      </c>
      <c r="AA12" s="85">
        <f>SUMIF(EFEITO!$B$2:$B$629,$Q$12,EFEITO!$AE$2:$AE$629)</f>
        <v>0</v>
      </c>
      <c r="AB12" s="85">
        <f ca="1">SUMIF(EFEITO!$B$2:$B$629,$Q$12,EFEITO!$AF$2:$AF$629)</f>
        <v>848431.57850158331</v>
      </c>
      <c r="AC12" s="85">
        <f>SUMIF(EFEITO!$B$2:$B$629,$Q$12,EFEITO!$AG$2:$AH$629)</f>
        <v>672705.13646023674</v>
      </c>
      <c r="AD12" s="85">
        <f>SUMIF(SUBSIDIO!$B$2:$B$629,$Q$12,SUBSIDIO!$AD$2:$AD$629)</f>
        <v>0</v>
      </c>
      <c r="AE12" s="85">
        <f>SUMIF(SUBSIDIO!$B$2:$B$629,$Q$12,SUBSIDIO!$AE$2:$AE$629)</f>
        <v>0</v>
      </c>
      <c r="AF12" s="85" t="str">
        <f>IF(ABS($X$12-$AA$12)&lt;0.01,"OK","ERRO")</f>
        <v>OK</v>
      </c>
      <c r="AG12" s="85" t="str">
        <f ca="1">IF(ABS($Y$12-$AB$12)&lt;0.01,"OK","ERRO")</f>
        <v>OK</v>
      </c>
      <c r="AH12" s="85" t="str">
        <f>IF(ABS($Z$12-$AC$12)&lt;0.01,"OK","ERRO")</f>
        <v>OK</v>
      </c>
      <c r="AI12" s="85" t="str">
        <f>IF(ABS($U$12-$AD$12)&lt;0.01,"OK","ERRO")</f>
        <v>OK</v>
      </c>
      <c r="AJ12" s="85" t="str">
        <f ca="1">IF(ABS(($V$12+$W$12)-$AE$12)&lt;0.01,"OK","ERRO")</f>
        <v>OK</v>
      </c>
    </row>
    <row r="13" spans="1:40" ht="11.25" customHeight="1" x14ac:dyDescent="0.2">
      <c r="A13" s="84" t="s">
        <v>55</v>
      </c>
      <c r="B13" s="84" t="s">
        <v>38</v>
      </c>
      <c r="C13" s="84" t="s">
        <v>50</v>
      </c>
      <c r="D13" s="84" t="s">
        <v>48</v>
      </c>
      <c r="E13" s="84" t="s">
        <v>49</v>
      </c>
      <c r="F13" s="84" t="s">
        <v>25</v>
      </c>
      <c r="G13" s="84" t="s">
        <v>25</v>
      </c>
      <c r="H13" s="84" t="s">
        <v>34</v>
      </c>
      <c r="I13" s="90">
        <v>44713</v>
      </c>
      <c r="J13" s="91" t="e">
        <f>EFEITO!$J$13*EFEITO!R0C25</f>
        <v>#NAME?</v>
      </c>
      <c r="K13" s="91" t="e">
        <f>EFEITO!$L$13*EFEITO!R0C26</f>
        <v>#NAME?</v>
      </c>
      <c r="L13" s="91" t="e">
        <f>EFEITO!$N$13*EFEITO!R0C27</f>
        <v>#NAME?</v>
      </c>
      <c r="M13" s="91" t="e">
        <f ca="1">$J$13-EFEITO!$K$13*EFEITO!$Y$13</f>
        <v>#NAME?</v>
      </c>
      <c r="N13" s="91" t="e">
        <f ca="1">$K$13-EFEITO!$M$13*EFEITO!$Z$13</f>
        <v>#NAME?</v>
      </c>
      <c r="O13" s="91" t="e">
        <f>$L$13-EFEITO!$O$13*EFEITO!$AA$13</f>
        <v>#NAME?</v>
      </c>
      <c r="P13" s="19"/>
      <c r="Q13" s="91" t="s">
        <v>89</v>
      </c>
      <c r="R13" s="91">
        <f>SUMIF($B$2:$B$629,$Q$13,$J$2:$J$629)</f>
        <v>0</v>
      </c>
      <c r="S13" s="91">
        <f>SUMIF($B$2:$B$629,$Q$13,$K$2:$K$629)</f>
        <v>0</v>
      </c>
      <c r="T13" s="91">
        <f>SUMIF($B$2:$B$629,$Q$13,$L$2:$L$629)</f>
        <v>0</v>
      </c>
      <c r="U13" s="91">
        <f>SUMIF($B$2:$B$629,$Q$13,$M$2:$M$629)</f>
        <v>0</v>
      </c>
      <c r="V13" s="91">
        <f>SUMIF($B$2:$B$629,$Q$13,$N$2:$N$629)</f>
        <v>0</v>
      </c>
      <c r="W13" s="91">
        <f>SUMIF($B$2:$B$629,$Q$13,$O$2:$O$629)</f>
        <v>0</v>
      </c>
      <c r="X13" s="85">
        <f>$R$13-$U$13</f>
        <v>0</v>
      </c>
      <c r="Y13" s="85">
        <f>$S$13-$V$13</f>
        <v>0</v>
      </c>
      <c r="Z13" s="85">
        <f>$T$13-$W$13</f>
        <v>0</v>
      </c>
      <c r="AA13" s="85">
        <f>SUMIF(EFEITO!$B$2:$B$629,$Q$13,EFEITO!$AE$2:$AE$629)</f>
        <v>0</v>
      </c>
      <c r="AB13" s="85">
        <f>SUMIF(EFEITO!$B$2:$B$629,$Q$13,EFEITO!$AF$2:$AF$629)</f>
        <v>0</v>
      </c>
      <c r="AC13" s="85">
        <f>SUMIF(EFEITO!$B$2:$B$629,$Q$13,EFEITO!$AG$2:$AH$629)</f>
        <v>0</v>
      </c>
      <c r="AD13" s="85">
        <f>SUMIF(SUBSIDIO!$B$2:$B$629,$Q$13,SUBSIDIO!$AD$2:$AD$629)</f>
        <v>0</v>
      </c>
      <c r="AE13" s="85">
        <f>SUMIF(SUBSIDIO!$B$2:$B$629,$Q$13,SUBSIDIO!$AE$2:$AE$629)</f>
        <v>0</v>
      </c>
      <c r="AF13" s="85" t="str">
        <f>IF(ABS($X$13-$AA$13)&lt;0.01,"OK","ERRO")</f>
        <v>OK</v>
      </c>
      <c r="AG13" s="85" t="str">
        <f>IF(ABS($Y$13-$AB$13)&lt;0.01,"OK","ERRO")</f>
        <v>OK</v>
      </c>
      <c r="AH13" s="85" t="str">
        <f>IF(ABS($Z$13-$AC$13)&lt;0.01,"OK","ERRO")</f>
        <v>OK</v>
      </c>
      <c r="AI13" s="85" t="str">
        <f>IF(ABS($U$13-$AD$13)&lt;0.01,"OK","ERRO")</f>
        <v>OK</v>
      </c>
      <c r="AJ13" s="85" t="str">
        <f>IF(ABS(($V$13+$W$13)-$AE$13)&lt;0.01,"OK","ERRO")</f>
        <v>OK</v>
      </c>
    </row>
    <row r="14" spans="1:40" ht="11.25" customHeight="1" x14ac:dyDescent="0.2">
      <c r="A14" s="84" t="s">
        <v>21</v>
      </c>
      <c r="B14" s="84" t="s">
        <v>38</v>
      </c>
      <c r="C14" s="84" t="s">
        <v>50</v>
      </c>
      <c r="D14" s="84" t="s">
        <v>48</v>
      </c>
      <c r="E14" s="84" t="s">
        <v>49</v>
      </c>
      <c r="F14" s="84" t="s">
        <v>25</v>
      </c>
      <c r="G14" s="84" t="s">
        <v>25</v>
      </c>
      <c r="H14" s="84" t="s">
        <v>33</v>
      </c>
      <c r="I14" s="90">
        <v>44378</v>
      </c>
      <c r="J14" s="91" t="e">
        <f>EFEITO!$J$14*EFEITO!R0C25</f>
        <v>#NAME?</v>
      </c>
      <c r="K14" s="91" t="e">
        <f>EFEITO!$L$14*EFEITO!R0C26</f>
        <v>#NAME?</v>
      </c>
      <c r="L14" s="91" t="e">
        <f>EFEITO!$N$14*EFEITO!R0C27</f>
        <v>#NAME?</v>
      </c>
      <c r="M14" s="91" t="e">
        <f ca="1">$J$14-EFEITO!$K$14*EFEITO!$Y$14</f>
        <v>#NAME?</v>
      </c>
      <c r="N14" s="91" t="e">
        <f ca="1">$K$14-EFEITO!$M$14*EFEITO!$Z$14</f>
        <v>#NAME?</v>
      </c>
      <c r="O14" s="91" t="e">
        <f>$L$14-EFEITO!$O$14*EFEITO!$AA$14</f>
        <v>#NAME?</v>
      </c>
      <c r="P14" s="19"/>
      <c r="Q14" s="19"/>
      <c r="R14" s="19"/>
      <c r="S14" s="19"/>
      <c r="T14" s="19"/>
      <c r="U14" s="19"/>
      <c r="V14" s="19"/>
      <c r="W14" s="19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84" t="s">
        <v>21</v>
      </c>
      <c r="B15" s="84" t="s">
        <v>38</v>
      </c>
      <c r="C15" s="84" t="s">
        <v>50</v>
      </c>
      <c r="D15" s="84" t="s">
        <v>48</v>
      </c>
      <c r="E15" s="84" t="s">
        <v>49</v>
      </c>
      <c r="F15" s="84" t="s">
        <v>25</v>
      </c>
      <c r="G15" s="84" t="s">
        <v>25</v>
      </c>
      <c r="H15" s="84" t="s">
        <v>33</v>
      </c>
      <c r="I15" s="90">
        <v>44409</v>
      </c>
      <c r="J15" s="91" t="e">
        <f>EFEITO!$J$15*EFEITO!R0C25</f>
        <v>#NAME?</v>
      </c>
      <c r="K15" s="91" t="e">
        <f>EFEITO!$L$15*EFEITO!R0C26</f>
        <v>#NAME?</v>
      </c>
      <c r="L15" s="91" t="e">
        <f>EFEITO!$N$15*EFEITO!R0C27</f>
        <v>#NAME?</v>
      </c>
      <c r="M15" s="91" t="e">
        <f ca="1">$J$15-EFEITO!$K$15*EFEITO!$Y$15</f>
        <v>#NAME?</v>
      </c>
      <c r="N15" s="91" t="e">
        <f ca="1">$K$15-EFEITO!$M$15*EFEITO!$Z$15</f>
        <v>#NAME?</v>
      </c>
      <c r="O15" s="91" t="e">
        <f>$L$15-EFEITO!$O$15*EFEITO!$AA$15</f>
        <v>#NAME?</v>
      </c>
      <c r="P15" s="19"/>
      <c r="Q15" s="19"/>
      <c r="R15" s="19"/>
      <c r="S15" s="19"/>
      <c r="T15" s="19"/>
      <c r="U15" s="19"/>
      <c r="V15" s="19"/>
      <c r="W15" s="19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84" t="s">
        <v>21</v>
      </c>
      <c r="B16" s="84" t="s">
        <v>38</v>
      </c>
      <c r="C16" s="84" t="s">
        <v>50</v>
      </c>
      <c r="D16" s="84" t="s">
        <v>48</v>
      </c>
      <c r="E16" s="84" t="s">
        <v>49</v>
      </c>
      <c r="F16" s="84" t="s">
        <v>25</v>
      </c>
      <c r="G16" s="84" t="s">
        <v>25</v>
      </c>
      <c r="H16" s="84" t="s">
        <v>33</v>
      </c>
      <c r="I16" s="90">
        <v>44440</v>
      </c>
      <c r="J16" s="91" t="e">
        <f>EFEITO!$J$16*EFEITO!R0C25</f>
        <v>#NAME?</v>
      </c>
      <c r="K16" s="91" t="e">
        <f>EFEITO!$L$16*EFEITO!R0C26</f>
        <v>#NAME?</v>
      </c>
      <c r="L16" s="91" t="e">
        <f>EFEITO!$N$16*EFEITO!R0C27</f>
        <v>#NAME?</v>
      </c>
      <c r="M16" s="91" t="e">
        <f ca="1">$J$16-EFEITO!$K$16*EFEITO!$Y$16</f>
        <v>#NAME?</v>
      </c>
      <c r="N16" s="91" t="e">
        <f ca="1">$K$16-EFEITO!$M$16*EFEITO!$Z$16</f>
        <v>#NAME?</v>
      </c>
      <c r="O16" s="91" t="e">
        <f>$L$16-EFEITO!$O$16*EFEITO!$AA$16</f>
        <v>#NAME?</v>
      </c>
      <c r="P16" s="19"/>
      <c r="Q16" s="19"/>
      <c r="R16" s="19"/>
      <c r="S16" s="19"/>
      <c r="T16" s="19"/>
      <c r="U16" s="19"/>
      <c r="V16" s="19"/>
      <c r="W16" s="19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84" t="s">
        <v>21</v>
      </c>
      <c r="B17" s="84" t="s">
        <v>38</v>
      </c>
      <c r="C17" s="84" t="s">
        <v>50</v>
      </c>
      <c r="D17" s="84" t="s">
        <v>48</v>
      </c>
      <c r="E17" s="84" t="s">
        <v>49</v>
      </c>
      <c r="F17" s="84" t="s">
        <v>25</v>
      </c>
      <c r="G17" s="84" t="s">
        <v>25</v>
      </c>
      <c r="H17" s="84" t="s">
        <v>33</v>
      </c>
      <c r="I17" s="90">
        <v>44470</v>
      </c>
      <c r="J17" s="91" t="e">
        <f>EFEITO!$J$17*EFEITO!R0C25</f>
        <v>#NAME?</v>
      </c>
      <c r="K17" s="91" t="e">
        <f>EFEITO!$L$17*EFEITO!R0C26</f>
        <v>#NAME?</v>
      </c>
      <c r="L17" s="91" t="e">
        <f>EFEITO!$N$17*EFEITO!R0C27</f>
        <v>#NAME?</v>
      </c>
      <c r="M17" s="91" t="e">
        <f ca="1">$J$17-EFEITO!$K$17*EFEITO!$Y$17</f>
        <v>#NAME?</v>
      </c>
      <c r="N17" s="91" t="e">
        <f ca="1">$K$17-EFEITO!$M$17*EFEITO!$Z$17</f>
        <v>#NAME?</v>
      </c>
      <c r="O17" s="91" t="e">
        <f>$L$17-EFEITO!$O$17*EFEITO!$AA$17</f>
        <v>#NAME?</v>
      </c>
      <c r="P17" s="19"/>
      <c r="Q17" s="19"/>
      <c r="R17" s="19"/>
      <c r="S17" s="19"/>
      <c r="T17" s="19"/>
      <c r="U17" s="19"/>
      <c r="V17" s="19"/>
      <c r="W17" s="19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84" t="s">
        <v>21</v>
      </c>
      <c r="B18" s="84" t="s">
        <v>38</v>
      </c>
      <c r="C18" s="84" t="s">
        <v>50</v>
      </c>
      <c r="D18" s="84" t="s">
        <v>48</v>
      </c>
      <c r="E18" s="84" t="s">
        <v>49</v>
      </c>
      <c r="F18" s="84" t="s">
        <v>25</v>
      </c>
      <c r="G18" s="84" t="s">
        <v>25</v>
      </c>
      <c r="H18" s="84" t="s">
        <v>33</v>
      </c>
      <c r="I18" s="90">
        <v>44501</v>
      </c>
      <c r="J18" s="91" t="e">
        <f>EFEITO!$J$18*EFEITO!R0C25</f>
        <v>#NAME?</v>
      </c>
      <c r="K18" s="91" t="e">
        <f>EFEITO!$L$18*EFEITO!R0C26</f>
        <v>#NAME?</v>
      </c>
      <c r="L18" s="91" t="e">
        <f>EFEITO!$N$18*EFEITO!R0C27</f>
        <v>#NAME?</v>
      </c>
      <c r="M18" s="91" t="e">
        <f ca="1">$J$18-EFEITO!$K$18*EFEITO!$Y$18</f>
        <v>#NAME?</v>
      </c>
      <c r="N18" s="91" t="e">
        <f ca="1">$K$18-EFEITO!$M$18*EFEITO!$Z$18</f>
        <v>#NAME?</v>
      </c>
      <c r="O18" s="91" t="e">
        <f>$L$18-EFEITO!$O$18*EFEITO!$AA$18</f>
        <v>#NAME?</v>
      </c>
      <c r="P18" s="19"/>
      <c r="Q18" s="19"/>
      <c r="R18" s="19"/>
      <c r="S18" s="19"/>
      <c r="T18" s="19"/>
      <c r="U18" s="19"/>
      <c r="V18" s="19"/>
      <c r="W18" s="19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84" t="s">
        <v>21</v>
      </c>
      <c r="B19" s="84" t="s">
        <v>38</v>
      </c>
      <c r="C19" s="84" t="s">
        <v>50</v>
      </c>
      <c r="D19" s="84" t="s">
        <v>48</v>
      </c>
      <c r="E19" s="84" t="s">
        <v>49</v>
      </c>
      <c r="F19" s="84" t="s">
        <v>25</v>
      </c>
      <c r="G19" s="84" t="s">
        <v>25</v>
      </c>
      <c r="H19" s="84" t="s">
        <v>33</v>
      </c>
      <c r="I19" s="90">
        <v>44531</v>
      </c>
      <c r="J19" s="91" t="e">
        <f>EFEITO!$J$19*EFEITO!R0C25</f>
        <v>#NAME?</v>
      </c>
      <c r="K19" s="91" t="e">
        <f>EFEITO!$L$19*EFEITO!R0C26</f>
        <v>#NAME?</v>
      </c>
      <c r="L19" s="91" t="e">
        <f>EFEITO!$N$19*EFEITO!R0C27</f>
        <v>#NAME?</v>
      </c>
      <c r="M19" s="91" t="e">
        <f ca="1">$J$19-EFEITO!$K$19*EFEITO!$Y$19</f>
        <v>#NAME?</v>
      </c>
      <c r="N19" s="91" t="e">
        <f ca="1">$K$19-EFEITO!$M$19*EFEITO!$Z$19</f>
        <v>#NAME?</v>
      </c>
      <c r="O19" s="91" t="e">
        <f>$L$19-EFEITO!$O$19*EFEITO!$AA$19</f>
        <v>#NAME?</v>
      </c>
      <c r="P19" s="19"/>
      <c r="Q19" s="19"/>
      <c r="R19" s="19"/>
      <c r="S19" s="19"/>
      <c r="T19" s="19"/>
      <c r="U19" s="19"/>
      <c r="V19" s="19"/>
      <c r="W19" s="19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84" t="s">
        <v>21</v>
      </c>
      <c r="B20" s="84" t="s">
        <v>38</v>
      </c>
      <c r="C20" s="84" t="s">
        <v>50</v>
      </c>
      <c r="D20" s="84" t="s">
        <v>48</v>
      </c>
      <c r="E20" s="84" t="s">
        <v>49</v>
      </c>
      <c r="F20" s="84" t="s">
        <v>25</v>
      </c>
      <c r="G20" s="84" t="s">
        <v>25</v>
      </c>
      <c r="H20" s="84" t="s">
        <v>33</v>
      </c>
      <c r="I20" s="90">
        <v>44562</v>
      </c>
      <c r="J20" s="91" t="e">
        <f>EFEITO!$J$20*EFEITO!R0C25</f>
        <v>#NAME?</v>
      </c>
      <c r="K20" s="91" t="e">
        <f>EFEITO!$L$20*EFEITO!R0C26</f>
        <v>#NAME?</v>
      </c>
      <c r="L20" s="91" t="e">
        <f>EFEITO!$N$20*EFEITO!R0C27</f>
        <v>#NAME?</v>
      </c>
      <c r="M20" s="91" t="e">
        <f ca="1">$J$20-EFEITO!$K$20*EFEITO!$Y$20</f>
        <v>#NAME?</v>
      </c>
      <c r="N20" s="91" t="e">
        <f ca="1">$K$20-EFEITO!$M$20*EFEITO!$Z$20</f>
        <v>#NAME?</v>
      </c>
      <c r="O20" s="91" t="e">
        <f>$L$20-EFEITO!$O$20*EFEITO!$AA$20</f>
        <v>#NAME?</v>
      </c>
      <c r="P20" s="19"/>
      <c r="Q20" s="19"/>
      <c r="R20" s="19"/>
      <c r="S20" s="19"/>
      <c r="T20" s="19"/>
      <c r="U20" s="19"/>
      <c r="V20" s="19"/>
      <c r="W20" s="19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84" t="s">
        <v>21</v>
      </c>
      <c r="B21" s="84" t="s">
        <v>38</v>
      </c>
      <c r="C21" s="84" t="s">
        <v>50</v>
      </c>
      <c r="D21" s="84" t="s">
        <v>48</v>
      </c>
      <c r="E21" s="84" t="s">
        <v>49</v>
      </c>
      <c r="F21" s="84" t="s">
        <v>25</v>
      </c>
      <c r="G21" s="84" t="s">
        <v>25</v>
      </c>
      <c r="H21" s="84" t="s">
        <v>33</v>
      </c>
      <c r="I21" s="90">
        <v>44593</v>
      </c>
      <c r="J21" s="91" t="e">
        <f>EFEITO!$J$21*EFEITO!R0C25</f>
        <v>#NAME?</v>
      </c>
      <c r="K21" s="91" t="e">
        <f>EFEITO!$L$21*EFEITO!R0C26</f>
        <v>#NAME?</v>
      </c>
      <c r="L21" s="91" t="e">
        <f>EFEITO!$N$21*EFEITO!R0C27</f>
        <v>#NAME?</v>
      </c>
      <c r="M21" s="91" t="e">
        <f ca="1">$J$21-EFEITO!$K$21*EFEITO!$Y$21</f>
        <v>#NAME?</v>
      </c>
      <c r="N21" s="91" t="e">
        <f ca="1">$K$21-EFEITO!$M$21*EFEITO!$Z$21</f>
        <v>#NAME?</v>
      </c>
      <c r="O21" s="91" t="e">
        <f>$L$21-EFEITO!$O$21*EFEITO!$AA$21</f>
        <v>#NAME?</v>
      </c>
      <c r="P21" s="19"/>
      <c r="Q21" s="19"/>
      <c r="R21" s="19"/>
      <c r="S21" s="19"/>
      <c r="T21" s="19"/>
      <c r="U21" s="19"/>
      <c r="V21" s="19"/>
      <c r="W21" s="19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84" t="s">
        <v>21</v>
      </c>
      <c r="B22" s="84" t="s">
        <v>38</v>
      </c>
      <c r="C22" s="84" t="s">
        <v>50</v>
      </c>
      <c r="D22" s="84" t="s">
        <v>48</v>
      </c>
      <c r="E22" s="84" t="s">
        <v>49</v>
      </c>
      <c r="F22" s="84" t="s">
        <v>25</v>
      </c>
      <c r="G22" s="84" t="s">
        <v>25</v>
      </c>
      <c r="H22" s="84" t="s">
        <v>33</v>
      </c>
      <c r="I22" s="90">
        <v>44621</v>
      </c>
      <c r="J22" s="91" t="e">
        <f>EFEITO!$J$22*EFEITO!R0C25</f>
        <v>#NAME?</v>
      </c>
      <c r="K22" s="91" t="e">
        <f>EFEITO!$L$22*EFEITO!R0C26</f>
        <v>#NAME?</v>
      </c>
      <c r="L22" s="91" t="e">
        <f>EFEITO!$N$22*EFEITO!R0C27</f>
        <v>#NAME?</v>
      </c>
      <c r="M22" s="91" t="e">
        <f ca="1">$J$22-EFEITO!$K$22*EFEITO!$Y$22</f>
        <v>#NAME?</v>
      </c>
      <c r="N22" s="91" t="e">
        <f ca="1">$K$22-EFEITO!$M$22*EFEITO!$Z$22</f>
        <v>#NAME?</v>
      </c>
      <c r="O22" s="91" t="e">
        <f>$L$22-EFEITO!$O$22*EFEITO!$AA$22</f>
        <v>#NAME?</v>
      </c>
      <c r="P22" s="19"/>
      <c r="Q22" s="19"/>
      <c r="R22" s="19"/>
      <c r="S22" s="19"/>
      <c r="T22" s="19"/>
      <c r="U22" s="19"/>
      <c r="V22" s="19"/>
      <c r="W22" s="19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84" t="s">
        <v>21</v>
      </c>
      <c r="B23" s="84" t="s">
        <v>38</v>
      </c>
      <c r="C23" s="84" t="s">
        <v>50</v>
      </c>
      <c r="D23" s="84" t="s">
        <v>48</v>
      </c>
      <c r="E23" s="84" t="s">
        <v>49</v>
      </c>
      <c r="F23" s="84" t="s">
        <v>25</v>
      </c>
      <c r="G23" s="84" t="s">
        <v>25</v>
      </c>
      <c r="H23" s="84" t="s">
        <v>33</v>
      </c>
      <c r="I23" s="90">
        <v>44652</v>
      </c>
      <c r="J23" s="91" t="e">
        <f>EFEITO!$J$23*EFEITO!R0C25</f>
        <v>#NAME?</v>
      </c>
      <c r="K23" s="91" t="e">
        <f>EFEITO!$L$23*EFEITO!R0C26</f>
        <v>#NAME?</v>
      </c>
      <c r="L23" s="91" t="e">
        <f>EFEITO!$N$23*EFEITO!R0C27</f>
        <v>#NAME?</v>
      </c>
      <c r="M23" s="91" t="e">
        <f ca="1">$J$23-EFEITO!$K$23*EFEITO!$Y$23</f>
        <v>#NAME?</v>
      </c>
      <c r="N23" s="91" t="e">
        <f ca="1">$K$23-EFEITO!$M$23*EFEITO!$Z$23</f>
        <v>#NAME?</v>
      </c>
      <c r="O23" s="91" t="e">
        <f>$L$23-EFEITO!$O$23*EFEITO!$AA$23</f>
        <v>#NAME?</v>
      </c>
      <c r="P23" s="19"/>
      <c r="Q23" s="19"/>
      <c r="R23" s="19"/>
      <c r="S23" s="19"/>
      <c r="T23" s="19"/>
      <c r="U23" s="19"/>
      <c r="V23" s="19"/>
      <c r="W23" s="19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84" t="s">
        <v>21</v>
      </c>
      <c r="B24" s="84" t="s">
        <v>38</v>
      </c>
      <c r="C24" s="84" t="s">
        <v>50</v>
      </c>
      <c r="D24" s="84" t="s">
        <v>48</v>
      </c>
      <c r="E24" s="84" t="s">
        <v>49</v>
      </c>
      <c r="F24" s="84" t="s">
        <v>25</v>
      </c>
      <c r="G24" s="84" t="s">
        <v>25</v>
      </c>
      <c r="H24" s="84" t="s">
        <v>33</v>
      </c>
      <c r="I24" s="90">
        <v>44682</v>
      </c>
      <c r="J24" s="91" t="e">
        <f>EFEITO!$J$24*EFEITO!R0C25</f>
        <v>#NAME?</v>
      </c>
      <c r="K24" s="91" t="e">
        <f>EFEITO!$L$24*EFEITO!R0C26</f>
        <v>#NAME?</v>
      </c>
      <c r="L24" s="91" t="e">
        <f>EFEITO!$N$24*EFEITO!R0C27</f>
        <v>#NAME?</v>
      </c>
      <c r="M24" s="91" t="e">
        <f ca="1">$J$24-EFEITO!$K$24*EFEITO!$Y$24</f>
        <v>#NAME?</v>
      </c>
      <c r="N24" s="91" t="e">
        <f ca="1">$K$24-EFEITO!$M$24*EFEITO!$Z$24</f>
        <v>#NAME?</v>
      </c>
      <c r="O24" s="91" t="e">
        <f>$L$24-EFEITO!$O$24*EFEITO!$AA$24</f>
        <v>#NAME?</v>
      </c>
      <c r="P24" s="19"/>
      <c r="Q24" s="19"/>
      <c r="R24" s="19"/>
      <c r="S24" s="19"/>
      <c r="T24" s="19"/>
      <c r="U24" s="19"/>
      <c r="V24" s="19"/>
      <c r="W24" s="19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84" t="s">
        <v>55</v>
      </c>
      <c r="B25" s="84" t="s">
        <v>38</v>
      </c>
      <c r="C25" s="84" t="s">
        <v>50</v>
      </c>
      <c r="D25" s="84" t="s">
        <v>48</v>
      </c>
      <c r="E25" s="84" t="s">
        <v>49</v>
      </c>
      <c r="F25" s="84" t="s">
        <v>25</v>
      </c>
      <c r="G25" s="84" t="s">
        <v>25</v>
      </c>
      <c r="H25" s="84" t="s">
        <v>33</v>
      </c>
      <c r="I25" s="90">
        <v>44713</v>
      </c>
      <c r="J25" s="91" t="e">
        <f>EFEITO!$J$25*EFEITO!R0C25</f>
        <v>#NAME?</v>
      </c>
      <c r="K25" s="91" t="e">
        <f>EFEITO!$L$25*EFEITO!R0C26</f>
        <v>#NAME?</v>
      </c>
      <c r="L25" s="91" t="e">
        <f>EFEITO!$N$25*EFEITO!R0C27</f>
        <v>#NAME?</v>
      </c>
      <c r="M25" s="91" t="e">
        <f ca="1">$J$25-EFEITO!$K$25*EFEITO!$Y$25</f>
        <v>#NAME?</v>
      </c>
      <c r="N25" s="91" t="e">
        <f ca="1">$K$25-EFEITO!$M$25*EFEITO!$Z$25</f>
        <v>#NAME?</v>
      </c>
      <c r="O25" s="91" t="e">
        <f>$L$25-EFEITO!$O$25*EFEITO!$AA$25</f>
        <v>#NAME?</v>
      </c>
      <c r="P25" s="19"/>
      <c r="Q25" s="19"/>
      <c r="R25" s="19"/>
      <c r="S25" s="19"/>
      <c r="T25" s="19"/>
      <c r="U25" s="19"/>
      <c r="V25" s="19"/>
      <c r="W25" s="19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84" t="s">
        <v>21</v>
      </c>
      <c r="B26" s="84" t="s">
        <v>38</v>
      </c>
      <c r="C26" s="84" t="s">
        <v>58</v>
      </c>
      <c r="D26" s="84" t="s">
        <v>25</v>
      </c>
      <c r="E26" s="84" t="s">
        <v>25</v>
      </c>
      <c r="F26" s="84" t="s">
        <v>25</v>
      </c>
      <c r="G26" s="84" t="s">
        <v>59</v>
      </c>
      <c r="H26" s="84" t="s">
        <v>25</v>
      </c>
      <c r="I26" s="90">
        <v>44378</v>
      </c>
      <c r="J26" s="91">
        <f ca="1">EFEITO!$J$26*EFEITO!$Y$26</f>
        <v>5020.1253312463214</v>
      </c>
      <c r="K26" s="91">
        <f>EFEITO!$L$26*EFEITO!$Z$26</f>
        <v>0</v>
      </c>
      <c r="L26" s="91">
        <f>EFEITO!$N$26*EFEITO!$AA$26</f>
        <v>0</v>
      </c>
      <c r="M26" s="91">
        <f ca="1">$J$26-EFEITO!$K$26*EFEITO!$Y$26</f>
        <v>2510.0626656231607</v>
      </c>
      <c r="N26" s="91">
        <f>$K$26-EFEITO!$M$26*EFEITO!$Z$26</f>
        <v>0</v>
      </c>
      <c r="O26" s="91">
        <f>$L$26-EFEITO!$O$26*EFEITO!$AA$26</f>
        <v>0</v>
      </c>
      <c r="P26" s="19"/>
      <c r="Q26" s="19"/>
      <c r="R26" s="19"/>
      <c r="S26" s="19"/>
      <c r="T26" s="19"/>
      <c r="U26" s="19"/>
      <c r="V26" s="19"/>
      <c r="W26" s="19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84" t="s">
        <v>21</v>
      </c>
      <c r="B27" s="84" t="s">
        <v>38</v>
      </c>
      <c r="C27" s="84" t="s">
        <v>58</v>
      </c>
      <c r="D27" s="84" t="s">
        <v>25</v>
      </c>
      <c r="E27" s="84" t="s">
        <v>25</v>
      </c>
      <c r="F27" s="84" t="s">
        <v>25</v>
      </c>
      <c r="G27" s="84" t="s">
        <v>61</v>
      </c>
      <c r="H27" s="84" t="s">
        <v>25</v>
      </c>
      <c r="I27" s="90">
        <v>44378</v>
      </c>
      <c r="J27" s="91">
        <f ca="1">EFEITO!$J$27*EFEITO!$Y$27</f>
        <v>4350.7752870801451</v>
      </c>
      <c r="K27" s="91">
        <f>EFEITO!$L$27*EFEITO!$Z$27</f>
        <v>0</v>
      </c>
      <c r="L27" s="91">
        <f>EFEITO!$N$27*EFEITO!$AA$27</f>
        <v>0</v>
      </c>
      <c r="M27" s="91">
        <f ca="1">$J$27-EFEITO!$K$27*EFEITO!$Y$27</f>
        <v>2175.3876435400725</v>
      </c>
      <c r="N27" s="91">
        <f>$K$27-EFEITO!$M$27*EFEITO!$Z$27</f>
        <v>0</v>
      </c>
      <c r="O27" s="91">
        <f>$L$27-EFEITO!$O$27*EFEITO!$AA$27</f>
        <v>0</v>
      </c>
      <c r="P27" s="19"/>
      <c r="Q27" s="19"/>
      <c r="R27" s="19"/>
      <c r="S27" s="19"/>
      <c r="T27" s="19"/>
      <c r="U27" s="19"/>
      <c r="V27" s="19"/>
      <c r="W27" s="19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84" t="s">
        <v>21</v>
      </c>
      <c r="B28" s="84" t="s">
        <v>38</v>
      </c>
      <c r="C28" s="84" t="s">
        <v>58</v>
      </c>
      <c r="D28" s="84" t="s">
        <v>25</v>
      </c>
      <c r="E28" s="84" t="s">
        <v>25</v>
      </c>
      <c r="F28" s="84" t="s">
        <v>25</v>
      </c>
      <c r="G28" s="84" t="s">
        <v>59</v>
      </c>
      <c r="H28" s="84" t="s">
        <v>25</v>
      </c>
      <c r="I28" s="90">
        <v>44409</v>
      </c>
      <c r="J28" s="91">
        <f ca="1">EFEITO!$J$28*EFEITO!$Y$28</f>
        <v>5020.1253312463214</v>
      </c>
      <c r="K28" s="91">
        <f>EFEITO!$L$28*EFEITO!$Z$28</f>
        <v>0</v>
      </c>
      <c r="L28" s="91">
        <f>EFEITO!$N$28*EFEITO!$AA$28</f>
        <v>0</v>
      </c>
      <c r="M28" s="91">
        <f ca="1">$J$28-EFEITO!$K$28*EFEITO!$Y$28</f>
        <v>2510.0626656231607</v>
      </c>
      <c r="N28" s="91">
        <f>$K$28-EFEITO!$M$28*EFEITO!$Z$28</f>
        <v>0</v>
      </c>
      <c r="O28" s="91">
        <f>$L$28-EFEITO!$O$28*EFEITO!$AA$28</f>
        <v>0</v>
      </c>
      <c r="P28" s="19"/>
      <c r="Q28" s="19"/>
      <c r="R28" s="19"/>
      <c r="S28" s="19"/>
      <c r="T28" s="19"/>
      <c r="U28" s="19"/>
      <c r="V28" s="19"/>
      <c r="W28" s="19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84" t="s">
        <v>21</v>
      </c>
      <c r="B29" s="84" t="s">
        <v>38</v>
      </c>
      <c r="C29" s="84" t="s">
        <v>58</v>
      </c>
      <c r="D29" s="84" t="s">
        <v>25</v>
      </c>
      <c r="E29" s="84" t="s">
        <v>25</v>
      </c>
      <c r="F29" s="84" t="s">
        <v>25</v>
      </c>
      <c r="G29" s="84" t="s">
        <v>61</v>
      </c>
      <c r="H29" s="84" t="s">
        <v>25</v>
      </c>
      <c r="I29" s="90">
        <v>44409</v>
      </c>
      <c r="J29" s="91">
        <f ca="1">EFEITO!$J$29*EFEITO!$Y$29</f>
        <v>4350.7752870801451</v>
      </c>
      <c r="K29" s="91">
        <f>EFEITO!$L$29*EFEITO!$Z$29</f>
        <v>0</v>
      </c>
      <c r="L29" s="91">
        <f>EFEITO!$N$29*EFEITO!$AA$29</f>
        <v>0</v>
      </c>
      <c r="M29" s="91">
        <f ca="1">$J$29-EFEITO!$K$29*EFEITO!$Y$29</f>
        <v>2175.3876435400725</v>
      </c>
      <c r="N29" s="91">
        <f>$K$29-EFEITO!$M$29*EFEITO!$Z$29</f>
        <v>0</v>
      </c>
      <c r="O29" s="91">
        <f>$L$29-EFEITO!$O$29*EFEITO!$AA$29</f>
        <v>0</v>
      </c>
      <c r="P29" s="19"/>
      <c r="Q29" s="19"/>
      <c r="R29" s="19"/>
      <c r="S29" s="19"/>
      <c r="T29" s="19"/>
      <c r="U29" s="19"/>
      <c r="V29" s="19"/>
      <c r="W29" s="19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84" t="s">
        <v>21</v>
      </c>
      <c r="B30" s="84" t="s">
        <v>38</v>
      </c>
      <c r="C30" s="84" t="s">
        <v>58</v>
      </c>
      <c r="D30" s="84" t="s">
        <v>25</v>
      </c>
      <c r="E30" s="84" t="s">
        <v>25</v>
      </c>
      <c r="F30" s="84" t="s">
        <v>25</v>
      </c>
      <c r="G30" s="84" t="s">
        <v>59</v>
      </c>
      <c r="H30" s="84" t="s">
        <v>25</v>
      </c>
      <c r="I30" s="90">
        <v>44440</v>
      </c>
      <c r="J30" s="91">
        <f ca="1">EFEITO!$J$30*EFEITO!$Y$30</f>
        <v>5360.3782703641282</v>
      </c>
      <c r="K30" s="91">
        <f>EFEITO!$L$30*EFEITO!$Z$30</f>
        <v>0</v>
      </c>
      <c r="L30" s="91">
        <f>EFEITO!$N$30*EFEITO!$AA$30</f>
        <v>0</v>
      </c>
      <c r="M30" s="91">
        <f ca="1">$J$30-EFEITO!$K$30*EFEITO!$Y$30</f>
        <v>2680.1891351820641</v>
      </c>
      <c r="N30" s="91">
        <f>$K$30-EFEITO!$M$30*EFEITO!$Z$30</f>
        <v>0</v>
      </c>
      <c r="O30" s="91">
        <f>$L$30-EFEITO!$O$30*EFEITO!$AA$30</f>
        <v>0</v>
      </c>
      <c r="P30" s="19"/>
      <c r="Q30" s="19"/>
      <c r="R30" s="19"/>
      <c r="S30" s="19"/>
      <c r="T30" s="19"/>
      <c r="U30" s="19"/>
      <c r="V30" s="19"/>
      <c r="W30" s="19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84" t="s">
        <v>21</v>
      </c>
      <c r="B31" s="84" t="s">
        <v>38</v>
      </c>
      <c r="C31" s="84" t="s">
        <v>58</v>
      </c>
      <c r="D31" s="84" t="s">
        <v>25</v>
      </c>
      <c r="E31" s="84" t="s">
        <v>25</v>
      </c>
      <c r="F31" s="84" t="s">
        <v>25</v>
      </c>
      <c r="G31" s="84" t="s">
        <v>61</v>
      </c>
      <c r="H31" s="84" t="s">
        <v>25</v>
      </c>
      <c r="I31" s="90">
        <v>44440</v>
      </c>
      <c r="J31" s="91">
        <f ca="1">EFEITO!$J$31*EFEITO!$Y$31</f>
        <v>4350.7752870801451</v>
      </c>
      <c r="K31" s="91">
        <f>EFEITO!$L$31*EFEITO!$Z$31</f>
        <v>0</v>
      </c>
      <c r="L31" s="91">
        <f>EFEITO!$N$31*EFEITO!$AA$31</f>
        <v>0</v>
      </c>
      <c r="M31" s="91">
        <f ca="1">$J$31-EFEITO!$K$31*EFEITO!$Y$31</f>
        <v>2175.3876435400725</v>
      </c>
      <c r="N31" s="91">
        <f>$K$31-EFEITO!$M$31*EFEITO!$Z$31</f>
        <v>0</v>
      </c>
      <c r="O31" s="91">
        <f>$L$31-EFEITO!$O$31*EFEITO!$AA$31</f>
        <v>0</v>
      </c>
      <c r="P31" s="19"/>
      <c r="Q31" s="19"/>
      <c r="R31" s="19"/>
      <c r="S31" s="19"/>
      <c r="T31" s="19"/>
      <c r="U31" s="19"/>
      <c r="V31" s="19"/>
      <c r="W31" s="19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84" t="s">
        <v>21</v>
      </c>
      <c r="B32" s="84" t="s">
        <v>38</v>
      </c>
      <c r="C32" s="84" t="s">
        <v>58</v>
      </c>
      <c r="D32" s="84" t="s">
        <v>25</v>
      </c>
      <c r="E32" s="84" t="s">
        <v>25</v>
      </c>
      <c r="F32" s="84" t="s">
        <v>25</v>
      </c>
      <c r="G32" s="84" t="s">
        <v>59</v>
      </c>
      <c r="H32" s="84" t="s">
        <v>25</v>
      </c>
      <c r="I32" s="90">
        <v>44470</v>
      </c>
      <c r="J32" s="91">
        <f ca="1">EFEITO!$J$32*EFEITO!$Y$32</f>
        <v>5371.5341044335646</v>
      </c>
      <c r="K32" s="91">
        <f>EFEITO!$L$32*EFEITO!$Z$32</f>
        <v>0</v>
      </c>
      <c r="L32" s="91">
        <f>EFEITO!$N$32*EFEITO!$AA$32</f>
        <v>0</v>
      </c>
      <c r="M32" s="91">
        <f ca="1">$J$32-EFEITO!$K$32*EFEITO!$Y$32</f>
        <v>2685.7670522167823</v>
      </c>
      <c r="N32" s="91">
        <f>$K$32-EFEITO!$M$32*EFEITO!$Z$32</f>
        <v>0</v>
      </c>
      <c r="O32" s="91">
        <f>$L$32-EFEITO!$O$32*EFEITO!$AA$32</f>
        <v>0</v>
      </c>
      <c r="P32" s="19"/>
      <c r="Q32" s="19"/>
      <c r="R32" s="19"/>
      <c r="S32" s="19"/>
      <c r="T32" s="19"/>
      <c r="U32" s="19"/>
      <c r="V32" s="19"/>
      <c r="W32" s="19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84" t="s">
        <v>21</v>
      </c>
      <c r="B33" s="84" t="s">
        <v>38</v>
      </c>
      <c r="C33" s="84" t="s">
        <v>58</v>
      </c>
      <c r="D33" s="84" t="s">
        <v>25</v>
      </c>
      <c r="E33" s="84" t="s">
        <v>25</v>
      </c>
      <c r="F33" s="84" t="s">
        <v>25</v>
      </c>
      <c r="G33" s="84" t="s">
        <v>61</v>
      </c>
      <c r="H33" s="84" t="s">
        <v>25</v>
      </c>
      <c r="I33" s="90">
        <v>44470</v>
      </c>
      <c r="J33" s="91">
        <f ca="1">EFEITO!$J$33*EFEITO!$Y$33</f>
        <v>4350.7752870801451</v>
      </c>
      <c r="K33" s="91">
        <f>EFEITO!$L$33*EFEITO!$Z$33</f>
        <v>0</v>
      </c>
      <c r="L33" s="91">
        <f>EFEITO!$N$33*EFEITO!$AA$33</f>
        <v>0</v>
      </c>
      <c r="M33" s="91">
        <f ca="1">$J$33-EFEITO!$K$33*EFEITO!$Y$33</f>
        <v>2175.3876435400725</v>
      </c>
      <c r="N33" s="91">
        <f>$K$33-EFEITO!$M$33*EFEITO!$Z$33</f>
        <v>0</v>
      </c>
      <c r="O33" s="91">
        <f>$L$33-EFEITO!$O$33*EFEITO!$AA$33</f>
        <v>0</v>
      </c>
      <c r="P33" s="19"/>
      <c r="Q33" s="19"/>
      <c r="R33" s="19"/>
      <c r="S33" s="19"/>
      <c r="T33" s="19"/>
      <c r="U33" s="19"/>
      <c r="V33" s="19"/>
      <c r="W33" s="19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84" t="s">
        <v>21</v>
      </c>
      <c r="B34" s="84" t="s">
        <v>38</v>
      </c>
      <c r="C34" s="84" t="s">
        <v>58</v>
      </c>
      <c r="D34" s="84" t="s">
        <v>25</v>
      </c>
      <c r="E34" s="84" t="s">
        <v>25</v>
      </c>
      <c r="F34" s="84" t="s">
        <v>25</v>
      </c>
      <c r="G34" s="84" t="s">
        <v>59</v>
      </c>
      <c r="H34" s="84" t="s">
        <v>25</v>
      </c>
      <c r="I34" s="90">
        <v>44501</v>
      </c>
      <c r="J34" s="91">
        <f ca="1">EFEITO!$J$34*EFEITO!$Y$34</f>
        <v>5310.1770170516647</v>
      </c>
      <c r="K34" s="91">
        <f>EFEITO!$L$34*EFEITO!$Z$34</f>
        <v>0</v>
      </c>
      <c r="L34" s="91">
        <f>EFEITO!$N$34*EFEITO!$AA$34</f>
        <v>0</v>
      </c>
      <c r="M34" s="91">
        <f ca="1">$J$34-EFEITO!$K$34*EFEITO!$Y$34</f>
        <v>2655.0885085258324</v>
      </c>
      <c r="N34" s="91">
        <f>$K$34-EFEITO!$M$34*EFEITO!$Z$34</f>
        <v>0</v>
      </c>
      <c r="O34" s="91">
        <f>$L$34-EFEITO!$O$34*EFEITO!$AA$34</f>
        <v>0</v>
      </c>
      <c r="P34" s="19"/>
      <c r="Q34" s="19"/>
      <c r="R34" s="19"/>
      <c r="S34" s="19"/>
      <c r="T34" s="19"/>
      <c r="U34" s="19"/>
      <c r="V34" s="19"/>
      <c r="W34" s="19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84" t="s">
        <v>21</v>
      </c>
      <c r="B35" s="84" t="s">
        <v>38</v>
      </c>
      <c r="C35" s="84" t="s">
        <v>58</v>
      </c>
      <c r="D35" s="84" t="s">
        <v>25</v>
      </c>
      <c r="E35" s="84" t="s">
        <v>25</v>
      </c>
      <c r="F35" s="84" t="s">
        <v>25</v>
      </c>
      <c r="G35" s="84" t="s">
        <v>61</v>
      </c>
      <c r="H35" s="84" t="s">
        <v>25</v>
      </c>
      <c r="I35" s="90">
        <v>44501</v>
      </c>
      <c r="J35" s="91">
        <f ca="1">EFEITO!$J$35*EFEITO!$Y$35</f>
        <v>4350.7752870801451</v>
      </c>
      <c r="K35" s="91">
        <f>EFEITO!$L$35*EFEITO!$Z$35</f>
        <v>0</v>
      </c>
      <c r="L35" s="91">
        <f>EFEITO!$N$35*EFEITO!$AA$35</f>
        <v>0</v>
      </c>
      <c r="M35" s="91">
        <f ca="1">$J$35-EFEITO!$K$35*EFEITO!$Y$35</f>
        <v>2175.3876435400725</v>
      </c>
      <c r="N35" s="91">
        <f>$K$35-EFEITO!$M$35*EFEITO!$Z$35</f>
        <v>0</v>
      </c>
      <c r="O35" s="91">
        <f>$L$35-EFEITO!$O$35*EFEITO!$AA$35</f>
        <v>0</v>
      </c>
      <c r="P35" s="19"/>
      <c r="Q35" s="19"/>
      <c r="R35" s="19"/>
      <c r="S35" s="19"/>
      <c r="T35" s="19"/>
      <c r="U35" s="19"/>
      <c r="V35" s="19"/>
      <c r="W35" s="19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84" t="s">
        <v>21</v>
      </c>
      <c r="B36" s="84" t="s">
        <v>38</v>
      </c>
      <c r="C36" s="84" t="s">
        <v>58</v>
      </c>
      <c r="D36" s="84" t="s">
        <v>25</v>
      </c>
      <c r="E36" s="84" t="s">
        <v>25</v>
      </c>
      <c r="F36" s="84" t="s">
        <v>25</v>
      </c>
      <c r="G36" s="84" t="s">
        <v>59</v>
      </c>
      <c r="H36" s="84" t="s">
        <v>25</v>
      </c>
      <c r="I36" s="90">
        <v>44531</v>
      </c>
      <c r="J36" s="91">
        <f ca="1">EFEITO!$J$36*EFEITO!$Y$36</f>
        <v>5020.1253312463214</v>
      </c>
      <c r="K36" s="91">
        <f>EFEITO!$L$36*EFEITO!$Z$36</f>
        <v>0</v>
      </c>
      <c r="L36" s="91">
        <f>EFEITO!$N$36*EFEITO!$AA$36</f>
        <v>0</v>
      </c>
      <c r="M36" s="91">
        <f ca="1">$J$36-EFEITO!$K$36*EFEITO!$Y$36</f>
        <v>2510.0626656231607</v>
      </c>
      <c r="N36" s="91">
        <f>$K$36-EFEITO!$M$36*EFEITO!$Z$36</f>
        <v>0</v>
      </c>
      <c r="O36" s="91">
        <f>$L$36-EFEITO!$O$36*EFEITO!$AA$36</f>
        <v>0</v>
      </c>
      <c r="P36" s="19"/>
      <c r="Q36" s="19"/>
      <c r="R36" s="19"/>
      <c r="S36" s="19"/>
      <c r="T36" s="19"/>
      <c r="U36" s="19"/>
      <c r="V36" s="19"/>
      <c r="W36" s="19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84" t="s">
        <v>21</v>
      </c>
      <c r="B37" s="84" t="s">
        <v>38</v>
      </c>
      <c r="C37" s="84" t="s">
        <v>58</v>
      </c>
      <c r="D37" s="84" t="s">
        <v>25</v>
      </c>
      <c r="E37" s="84" t="s">
        <v>25</v>
      </c>
      <c r="F37" s="84" t="s">
        <v>25</v>
      </c>
      <c r="G37" s="84" t="s">
        <v>61</v>
      </c>
      <c r="H37" s="84" t="s">
        <v>25</v>
      </c>
      <c r="I37" s="90">
        <v>44531</v>
      </c>
      <c r="J37" s="91">
        <f ca="1">EFEITO!$J$37*EFEITO!$Y$37</f>
        <v>4350.7752870801451</v>
      </c>
      <c r="K37" s="91">
        <f>EFEITO!$L$37*EFEITO!$Z$37</f>
        <v>0</v>
      </c>
      <c r="L37" s="91">
        <f>EFEITO!$N$37*EFEITO!$AA$37</f>
        <v>0</v>
      </c>
      <c r="M37" s="91">
        <f ca="1">$J$37-EFEITO!$K$37*EFEITO!$Y$37</f>
        <v>2175.3876435400725</v>
      </c>
      <c r="N37" s="91">
        <f>$K$37-EFEITO!$M$37*EFEITO!$Z$37</f>
        <v>0</v>
      </c>
      <c r="O37" s="91">
        <f>$L$37-EFEITO!$O$37*EFEITO!$AA$37</f>
        <v>0</v>
      </c>
      <c r="P37" s="19"/>
      <c r="Q37" s="19"/>
      <c r="R37" s="19"/>
      <c r="S37" s="19"/>
      <c r="T37" s="19"/>
      <c r="U37" s="19"/>
      <c r="V37" s="19"/>
      <c r="W37" s="19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84" t="s">
        <v>21</v>
      </c>
      <c r="B38" s="84" t="s">
        <v>38</v>
      </c>
      <c r="C38" s="84" t="s">
        <v>58</v>
      </c>
      <c r="D38" s="84" t="s">
        <v>25</v>
      </c>
      <c r="E38" s="84" t="s">
        <v>25</v>
      </c>
      <c r="F38" s="84" t="s">
        <v>25</v>
      </c>
      <c r="G38" s="84" t="s">
        <v>59</v>
      </c>
      <c r="H38" s="84" t="s">
        <v>25</v>
      </c>
      <c r="I38" s="90">
        <v>44562</v>
      </c>
      <c r="J38" s="91">
        <f ca="1">EFEITO!$J$38*EFEITO!$Y$38</f>
        <v>5020.1253312463214</v>
      </c>
      <c r="K38" s="91">
        <f>EFEITO!$L$38*EFEITO!$Z$38</f>
        <v>0</v>
      </c>
      <c r="L38" s="91">
        <f>EFEITO!$N$38*EFEITO!$AA$38</f>
        <v>0</v>
      </c>
      <c r="M38" s="91">
        <f ca="1">$J$38-EFEITO!$K$38*EFEITO!$Y$38</f>
        <v>2510.0626656231607</v>
      </c>
      <c r="N38" s="91">
        <f>$K$38-EFEITO!$M$38*EFEITO!$Z$38</f>
        <v>0</v>
      </c>
      <c r="O38" s="91">
        <f>$L$38-EFEITO!$O$38*EFEITO!$AA$38</f>
        <v>0</v>
      </c>
      <c r="P38" s="19"/>
      <c r="Q38" s="19"/>
      <c r="R38" s="19"/>
      <c r="S38" s="19"/>
      <c r="T38" s="19"/>
      <c r="U38" s="19"/>
      <c r="V38" s="19"/>
      <c r="W38" s="19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84" t="s">
        <v>21</v>
      </c>
      <c r="B39" s="84" t="s">
        <v>38</v>
      </c>
      <c r="C39" s="84" t="s">
        <v>58</v>
      </c>
      <c r="D39" s="84" t="s">
        <v>25</v>
      </c>
      <c r="E39" s="84" t="s">
        <v>25</v>
      </c>
      <c r="F39" s="84" t="s">
        <v>25</v>
      </c>
      <c r="G39" s="84" t="s">
        <v>61</v>
      </c>
      <c r="H39" s="84" t="s">
        <v>25</v>
      </c>
      <c r="I39" s="90">
        <v>44562</v>
      </c>
      <c r="J39" s="91">
        <f ca="1">EFEITO!$J$39*EFEITO!$Y$39</f>
        <v>4350.7752870801451</v>
      </c>
      <c r="K39" s="91">
        <f>EFEITO!$L$39*EFEITO!$Z$39</f>
        <v>0</v>
      </c>
      <c r="L39" s="91">
        <f>EFEITO!$N$39*EFEITO!$AA$39</f>
        <v>0</v>
      </c>
      <c r="M39" s="91">
        <f ca="1">$J$39-EFEITO!$K$39*EFEITO!$Y$39</f>
        <v>2175.3876435400725</v>
      </c>
      <c r="N39" s="91">
        <f>$K$39-EFEITO!$M$39*EFEITO!$Z$39</f>
        <v>0</v>
      </c>
      <c r="O39" s="91">
        <f>$L$39-EFEITO!$O$39*EFEITO!$AA$39</f>
        <v>0</v>
      </c>
      <c r="P39" s="19"/>
      <c r="Q39" s="19"/>
      <c r="R39" s="19"/>
      <c r="S39" s="19"/>
      <c r="T39" s="19"/>
      <c r="U39" s="19"/>
      <c r="V39" s="19"/>
      <c r="W39" s="19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84" t="s">
        <v>21</v>
      </c>
      <c r="B40" s="84" t="s">
        <v>38</v>
      </c>
      <c r="C40" s="84" t="s">
        <v>58</v>
      </c>
      <c r="D40" s="84" t="s">
        <v>25</v>
      </c>
      <c r="E40" s="84" t="s">
        <v>25</v>
      </c>
      <c r="F40" s="84" t="s">
        <v>25</v>
      </c>
      <c r="G40" s="84" t="s">
        <v>59</v>
      </c>
      <c r="H40" s="84" t="s">
        <v>25</v>
      </c>
      <c r="I40" s="90">
        <v>44593</v>
      </c>
      <c r="J40" s="91">
        <f ca="1">EFEITO!$J$40*EFEITO!$Y$40</f>
        <v>5020.1253312463214</v>
      </c>
      <c r="K40" s="91">
        <f>EFEITO!$L$40*EFEITO!$Z$40</f>
        <v>0</v>
      </c>
      <c r="L40" s="91">
        <f>EFEITO!$N$40*EFEITO!$AA$40</f>
        <v>0</v>
      </c>
      <c r="M40" s="91">
        <f ca="1">$J$40-EFEITO!$K$40*EFEITO!$Y$40</f>
        <v>2510.0626656231607</v>
      </c>
      <c r="N40" s="91">
        <f>$K$40-EFEITO!$M$40*EFEITO!$Z$40</f>
        <v>0</v>
      </c>
      <c r="O40" s="91">
        <f>$L$40-EFEITO!$O$40*EFEITO!$AA$40</f>
        <v>0</v>
      </c>
      <c r="P40" s="19"/>
      <c r="Q40" s="19"/>
      <c r="R40" s="19"/>
      <c r="S40" s="19"/>
      <c r="T40" s="19"/>
      <c r="U40" s="19"/>
      <c r="V40" s="19"/>
      <c r="W40" s="19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84" t="s">
        <v>21</v>
      </c>
      <c r="B41" s="84" t="s">
        <v>38</v>
      </c>
      <c r="C41" s="84" t="s">
        <v>58</v>
      </c>
      <c r="D41" s="84" t="s">
        <v>25</v>
      </c>
      <c r="E41" s="84" t="s">
        <v>25</v>
      </c>
      <c r="F41" s="84" t="s">
        <v>25</v>
      </c>
      <c r="G41" s="84" t="s">
        <v>61</v>
      </c>
      <c r="H41" s="84" t="s">
        <v>25</v>
      </c>
      <c r="I41" s="90">
        <v>44593</v>
      </c>
      <c r="J41" s="91">
        <f ca="1">EFEITO!$J$41*EFEITO!$Y$41</f>
        <v>4350.7752870801451</v>
      </c>
      <c r="K41" s="91">
        <f>EFEITO!$L$41*EFEITO!$Z$41</f>
        <v>0</v>
      </c>
      <c r="L41" s="91">
        <f>EFEITO!$N$41*EFEITO!$AA$41</f>
        <v>0</v>
      </c>
      <c r="M41" s="91">
        <f ca="1">$J$41-EFEITO!$K$41*EFEITO!$Y$41</f>
        <v>2175.3876435400725</v>
      </c>
      <c r="N41" s="91">
        <f>$K$41-EFEITO!$M$41*EFEITO!$Z$41</f>
        <v>0</v>
      </c>
      <c r="O41" s="91">
        <f>$L$41-EFEITO!$O$41*EFEITO!$AA$41</f>
        <v>0</v>
      </c>
      <c r="P41" s="19"/>
      <c r="Q41" s="19"/>
      <c r="R41" s="19"/>
      <c r="S41" s="19"/>
      <c r="T41" s="19"/>
      <c r="U41" s="19"/>
      <c r="V41" s="19"/>
      <c r="W41" s="19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84" t="s">
        <v>21</v>
      </c>
      <c r="B42" s="84" t="s">
        <v>38</v>
      </c>
      <c r="C42" s="84" t="s">
        <v>58</v>
      </c>
      <c r="D42" s="84" t="s">
        <v>25</v>
      </c>
      <c r="E42" s="84" t="s">
        <v>25</v>
      </c>
      <c r="F42" s="84" t="s">
        <v>25</v>
      </c>
      <c r="G42" s="84" t="s">
        <v>59</v>
      </c>
      <c r="H42" s="84" t="s">
        <v>25</v>
      </c>
      <c r="I42" s="90">
        <v>44621</v>
      </c>
      <c r="J42" s="91">
        <f ca="1">EFEITO!$J$42*EFEITO!$Y$42</f>
        <v>5020.1253312463214</v>
      </c>
      <c r="K42" s="91">
        <f>EFEITO!$L$42*EFEITO!$Z$42</f>
        <v>0</v>
      </c>
      <c r="L42" s="91">
        <f>EFEITO!$N$42*EFEITO!$AA$42</f>
        <v>0</v>
      </c>
      <c r="M42" s="91">
        <f ca="1">$J$42-EFEITO!$K$42*EFEITO!$Y$42</f>
        <v>2510.0626656231607</v>
      </c>
      <c r="N42" s="91">
        <f>$K$42-EFEITO!$M$42*EFEITO!$Z$42</f>
        <v>0</v>
      </c>
      <c r="O42" s="91">
        <f>$L$42-EFEITO!$O$42*EFEITO!$AA$42</f>
        <v>0</v>
      </c>
      <c r="P42" s="19"/>
      <c r="Q42" s="19"/>
      <c r="R42" s="19"/>
      <c r="S42" s="19"/>
      <c r="T42" s="19"/>
      <c r="U42" s="19"/>
      <c r="V42" s="19"/>
      <c r="W42" s="19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84" t="s">
        <v>21</v>
      </c>
      <c r="B43" s="84" t="s">
        <v>38</v>
      </c>
      <c r="C43" s="84" t="s">
        <v>58</v>
      </c>
      <c r="D43" s="84" t="s">
        <v>25</v>
      </c>
      <c r="E43" s="84" t="s">
        <v>25</v>
      </c>
      <c r="F43" s="84" t="s">
        <v>25</v>
      </c>
      <c r="G43" s="84" t="s">
        <v>61</v>
      </c>
      <c r="H43" s="84" t="s">
        <v>25</v>
      </c>
      <c r="I43" s="90">
        <v>44621</v>
      </c>
      <c r="J43" s="91">
        <f ca="1">EFEITO!$J$43*EFEITO!$Y$43</f>
        <v>4350.7752870801451</v>
      </c>
      <c r="K43" s="91">
        <f>EFEITO!$L$43*EFEITO!$Z$43</f>
        <v>0</v>
      </c>
      <c r="L43" s="91">
        <f>EFEITO!$N$43*EFEITO!$AA$43</f>
        <v>0</v>
      </c>
      <c r="M43" s="91">
        <f ca="1">$J$43-EFEITO!$K$43*EFEITO!$Y$43</f>
        <v>2175.3876435400725</v>
      </c>
      <c r="N43" s="91">
        <f>$K$43-EFEITO!$M$43*EFEITO!$Z$43</f>
        <v>0</v>
      </c>
      <c r="O43" s="91">
        <f>$L$43-EFEITO!$O$43*EFEITO!$AA$43</f>
        <v>0</v>
      </c>
      <c r="P43" s="19"/>
      <c r="Q43" s="19"/>
      <c r="R43" s="19"/>
      <c r="S43" s="19"/>
      <c r="T43" s="19"/>
      <c r="U43" s="19"/>
      <c r="V43" s="19"/>
      <c r="W43" s="19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84" t="s">
        <v>21</v>
      </c>
      <c r="B44" s="84" t="s">
        <v>38</v>
      </c>
      <c r="C44" s="84" t="s">
        <v>58</v>
      </c>
      <c r="D44" s="84" t="s">
        <v>25</v>
      </c>
      <c r="E44" s="84" t="s">
        <v>25</v>
      </c>
      <c r="F44" s="84" t="s">
        <v>25</v>
      </c>
      <c r="G44" s="84" t="s">
        <v>59</v>
      </c>
      <c r="H44" s="84" t="s">
        <v>25</v>
      </c>
      <c r="I44" s="90">
        <v>44652</v>
      </c>
      <c r="J44" s="91">
        <f ca="1">EFEITO!$J$44*EFEITO!$Y$44</f>
        <v>5271.1315978086377</v>
      </c>
      <c r="K44" s="91">
        <f>EFEITO!$L$44*EFEITO!$Z$44</f>
        <v>0</v>
      </c>
      <c r="L44" s="91">
        <f>EFEITO!$N$44*EFEITO!$AA$44</f>
        <v>0</v>
      </c>
      <c r="M44" s="91">
        <f ca="1">$J$44-EFEITO!$K$44*EFEITO!$Y$44</f>
        <v>2635.5657989043189</v>
      </c>
      <c r="N44" s="91">
        <f>$K$44-EFEITO!$M$44*EFEITO!$Z$44</f>
        <v>0</v>
      </c>
      <c r="O44" s="91">
        <f>$L$44-EFEITO!$O$44*EFEITO!$AA$44</f>
        <v>0</v>
      </c>
      <c r="P44" s="19"/>
      <c r="Q44" s="19"/>
      <c r="R44" s="19"/>
      <c r="S44" s="19"/>
      <c r="T44" s="19"/>
      <c r="U44" s="19"/>
      <c r="V44" s="19"/>
      <c r="W44" s="19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84" t="s">
        <v>21</v>
      </c>
      <c r="B45" s="84" t="s">
        <v>38</v>
      </c>
      <c r="C45" s="84" t="s">
        <v>58</v>
      </c>
      <c r="D45" s="84" t="s">
        <v>25</v>
      </c>
      <c r="E45" s="84" t="s">
        <v>25</v>
      </c>
      <c r="F45" s="84" t="s">
        <v>25</v>
      </c>
      <c r="G45" s="84" t="s">
        <v>61</v>
      </c>
      <c r="H45" s="84" t="s">
        <v>25</v>
      </c>
      <c r="I45" s="90">
        <v>44652</v>
      </c>
      <c r="J45" s="91">
        <f ca="1">EFEITO!$J$45*EFEITO!$Y$45</f>
        <v>4350.7752870801451</v>
      </c>
      <c r="K45" s="91">
        <f>EFEITO!$L$45*EFEITO!$Z$45</f>
        <v>0</v>
      </c>
      <c r="L45" s="91">
        <f>EFEITO!$N$45*EFEITO!$AA$45</f>
        <v>0</v>
      </c>
      <c r="M45" s="91">
        <f ca="1">$J$45-EFEITO!$K$45*EFEITO!$Y$45</f>
        <v>2175.3876435400725</v>
      </c>
      <c r="N45" s="91">
        <f>$K$45-EFEITO!$M$45*EFEITO!$Z$45</f>
        <v>0</v>
      </c>
      <c r="O45" s="91">
        <f>$L$45-EFEITO!$O$45*EFEITO!$AA$45</f>
        <v>0</v>
      </c>
      <c r="P45" s="19"/>
      <c r="Q45" s="19"/>
      <c r="R45" s="19"/>
      <c r="S45" s="19"/>
      <c r="T45" s="19"/>
      <c r="U45" s="19"/>
      <c r="V45" s="19"/>
      <c r="W45" s="19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84" t="s">
        <v>21</v>
      </c>
      <c r="B46" s="84" t="s">
        <v>38</v>
      </c>
      <c r="C46" s="84" t="s">
        <v>58</v>
      </c>
      <c r="D46" s="84" t="s">
        <v>25</v>
      </c>
      <c r="E46" s="84" t="s">
        <v>25</v>
      </c>
      <c r="F46" s="84" t="s">
        <v>25</v>
      </c>
      <c r="G46" s="84" t="s">
        <v>59</v>
      </c>
      <c r="H46" s="84" t="s">
        <v>25</v>
      </c>
      <c r="I46" s="90">
        <v>44682</v>
      </c>
      <c r="J46" s="91">
        <f ca="1">EFEITO!$J$46*EFEITO!$Y$46</f>
        <v>5996.2608123219952</v>
      </c>
      <c r="K46" s="91">
        <f>EFEITO!$L$46*EFEITO!$Z$46</f>
        <v>0</v>
      </c>
      <c r="L46" s="91">
        <f>EFEITO!$N$46*EFEITO!$AA$46</f>
        <v>0</v>
      </c>
      <c r="M46" s="91">
        <f ca="1">$J$46-EFEITO!$K$46*EFEITO!$Y$46</f>
        <v>2998.1304061609976</v>
      </c>
      <c r="N46" s="91">
        <f>$K$46-EFEITO!$M$46*EFEITO!$Z$46</f>
        <v>0</v>
      </c>
      <c r="O46" s="91">
        <f>$L$46-EFEITO!$O$46*EFEITO!$AA$46</f>
        <v>0</v>
      </c>
      <c r="P46" s="19"/>
      <c r="Q46" s="19"/>
      <c r="R46" s="19"/>
      <c r="S46" s="19"/>
      <c r="T46" s="19"/>
      <c r="U46" s="19"/>
      <c r="V46" s="19"/>
      <c r="W46" s="19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84" t="s">
        <v>21</v>
      </c>
      <c r="B47" s="84" t="s">
        <v>38</v>
      </c>
      <c r="C47" s="84" t="s">
        <v>58</v>
      </c>
      <c r="D47" s="84" t="s">
        <v>25</v>
      </c>
      <c r="E47" s="84" t="s">
        <v>25</v>
      </c>
      <c r="F47" s="84" t="s">
        <v>25</v>
      </c>
      <c r="G47" s="84" t="s">
        <v>61</v>
      </c>
      <c r="H47" s="84" t="s">
        <v>25</v>
      </c>
      <c r="I47" s="90">
        <v>44682</v>
      </c>
      <c r="J47" s="91">
        <f ca="1">EFEITO!$J$47*EFEITO!$Y$47</f>
        <v>4350.7752870801451</v>
      </c>
      <c r="K47" s="91">
        <f>EFEITO!$L$47*EFEITO!$Z$47</f>
        <v>0</v>
      </c>
      <c r="L47" s="91">
        <f>EFEITO!$N$47*EFEITO!$AA$47</f>
        <v>0</v>
      </c>
      <c r="M47" s="91">
        <f ca="1">$J$47-EFEITO!$K$47*EFEITO!$Y$47</f>
        <v>2175.3876435400725</v>
      </c>
      <c r="N47" s="91">
        <f>$K$47-EFEITO!$M$47*EFEITO!$Z$47</f>
        <v>0</v>
      </c>
      <c r="O47" s="91">
        <f>$L$47-EFEITO!$O$47*EFEITO!$AA$47</f>
        <v>0</v>
      </c>
      <c r="P47" s="19"/>
      <c r="Q47" s="19"/>
      <c r="R47" s="19"/>
      <c r="S47" s="19"/>
      <c r="T47" s="19"/>
      <c r="U47" s="19"/>
      <c r="V47" s="19"/>
      <c r="W47" s="19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84" t="s">
        <v>55</v>
      </c>
      <c r="B48" s="84" t="s">
        <v>38</v>
      </c>
      <c r="C48" s="84" t="s">
        <v>58</v>
      </c>
      <c r="D48" s="84" t="s">
        <v>25</v>
      </c>
      <c r="E48" s="84" t="s">
        <v>25</v>
      </c>
      <c r="F48" s="84" t="s">
        <v>25</v>
      </c>
      <c r="G48" s="84" t="s">
        <v>59</v>
      </c>
      <c r="H48" s="84" t="s">
        <v>25</v>
      </c>
      <c r="I48" s="90">
        <v>44713</v>
      </c>
      <c r="J48" s="91">
        <f ca="1">EFEITO!$J$48*EFEITO!$Y$48</f>
        <v>5996.2608123219952</v>
      </c>
      <c r="K48" s="91">
        <f>EFEITO!$L$48*EFEITO!$Z$48</f>
        <v>0</v>
      </c>
      <c r="L48" s="91">
        <f>EFEITO!$N$48*EFEITO!$AA$48</f>
        <v>0</v>
      </c>
      <c r="M48" s="91">
        <f ca="1">$J$48-EFEITO!$K$48*EFEITO!$Y$48</f>
        <v>2998.1304061609976</v>
      </c>
      <c r="N48" s="91">
        <f>$K$48-EFEITO!$M$48*EFEITO!$Z$48</f>
        <v>0</v>
      </c>
      <c r="O48" s="91">
        <f>$L$48-EFEITO!$O$48*EFEITO!$AA$48</f>
        <v>0</v>
      </c>
      <c r="P48" s="19"/>
      <c r="Q48" s="19"/>
      <c r="R48" s="19"/>
      <c r="S48" s="19"/>
      <c r="T48" s="19"/>
      <c r="U48" s="19"/>
      <c r="V48" s="19"/>
      <c r="W48" s="19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84" t="s">
        <v>55</v>
      </c>
      <c r="B49" s="84" t="s">
        <v>38</v>
      </c>
      <c r="C49" s="84" t="s">
        <v>58</v>
      </c>
      <c r="D49" s="84" t="s">
        <v>25</v>
      </c>
      <c r="E49" s="84" t="s">
        <v>25</v>
      </c>
      <c r="F49" s="84" t="s">
        <v>25</v>
      </c>
      <c r="G49" s="84" t="s">
        <v>61</v>
      </c>
      <c r="H49" s="84" t="s">
        <v>25</v>
      </c>
      <c r="I49" s="90">
        <v>44713</v>
      </c>
      <c r="J49" s="91">
        <f ca="1">EFEITO!$J$49*EFEITO!$Y$49</f>
        <v>4350.7752870801451</v>
      </c>
      <c r="K49" s="91">
        <f>EFEITO!$L$49*EFEITO!$Z$49</f>
        <v>0</v>
      </c>
      <c r="L49" s="91">
        <f>EFEITO!$N$49*EFEITO!$AA$49</f>
        <v>0</v>
      </c>
      <c r="M49" s="91">
        <f ca="1">$J$49-EFEITO!$K$49*EFEITO!$Y$49</f>
        <v>2175.3876435400725</v>
      </c>
      <c r="N49" s="91">
        <f>$K$49-EFEITO!$M$49*EFEITO!$Z$49</f>
        <v>0</v>
      </c>
      <c r="O49" s="91">
        <f>$L$49-EFEITO!$O$49*EFEITO!$AA$49</f>
        <v>0</v>
      </c>
      <c r="P49" s="19"/>
      <c r="Q49" s="19"/>
      <c r="R49" s="19"/>
      <c r="S49" s="19"/>
      <c r="T49" s="19"/>
      <c r="U49" s="19"/>
      <c r="V49" s="19"/>
      <c r="W49" s="19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84" t="s">
        <v>21</v>
      </c>
      <c r="B50" s="84" t="s">
        <v>38</v>
      </c>
      <c r="C50" s="84" t="s">
        <v>39</v>
      </c>
      <c r="D50" s="84" t="s">
        <v>40</v>
      </c>
      <c r="E50" s="84" t="s">
        <v>25</v>
      </c>
      <c r="F50" s="84" t="s">
        <v>25</v>
      </c>
      <c r="G50" s="84" t="s">
        <v>25</v>
      </c>
      <c r="H50" s="84" t="s">
        <v>34</v>
      </c>
      <c r="I50" s="90">
        <v>44378</v>
      </c>
      <c r="J50" s="91">
        <f>EFEITO!$J$50*EFEITO!$Y$50</f>
        <v>0</v>
      </c>
      <c r="K50" s="91">
        <f ca="1">EFEITO!$L$50*EFEITO!$Z$50</f>
        <v>9522.2350478856279</v>
      </c>
      <c r="L50" s="91">
        <f>EFEITO!$N$50*EFEITO!$AA$50</f>
        <v>23388.313724850726</v>
      </c>
      <c r="M50" s="91">
        <f>$J$50-EFEITO!$K$50*EFEITO!$Y$50</f>
        <v>0</v>
      </c>
      <c r="N50" s="91">
        <f ca="1">$K$50-EFEITO!$M$50*EFEITO!$Z$50</f>
        <v>0</v>
      </c>
      <c r="O50" s="91">
        <f>$L$50-EFEITO!$O$50*EFEITO!$AA$50</f>
        <v>0</v>
      </c>
      <c r="P50" s="19"/>
      <c r="Q50" s="19"/>
      <c r="R50" s="19"/>
      <c r="S50" s="19"/>
      <c r="T50" s="19"/>
      <c r="U50" s="19"/>
      <c r="V50" s="19"/>
      <c r="W50" s="19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84" t="s">
        <v>27</v>
      </c>
      <c r="B51" s="84" t="s">
        <v>38</v>
      </c>
      <c r="C51" s="84" t="s">
        <v>39</v>
      </c>
      <c r="D51" s="84" t="s">
        <v>40</v>
      </c>
      <c r="E51" s="84" t="s">
        <v>25</v>
      </c>
      <c r="F51" s="84" t="s">
        <v>25</v>
      </c>
      <c r="G51" s="84" t="s">
        <v>25</v>
      </c>
      <c r="H51" s="84" t="s">
        <v>34</v>
      </c>
      <c r="I51" s="90">
        <v>44378</v>
      </c>
      <c r="J51" s="91">
        <f>EFEITO!$J$51*EFEITO!$Y$51</f>
        <v>0</v>
      </c>
      <c r="K51" s="91">
        <f ca="1">EFEITO!$L$51*EFEITO!$Z$51</f>
        <v>10108.050697584995</v>
      </c>
      <c r="L51" s="91">
        <f>EFEITO!$N$51*EFEITO!$AA$51</f>
        <v>24827.181819493941</v>
      </c>
      <c r="M51" s="91">
        <f>$J$51-EFEITO!$K$51*EFEITO!$Y$51</f>
        <v>0</v>
      </c>
      <c r="N51" s="91">
        <f ca="1">$K$51-EFEITO!$M$51*EFEITO!$Z$51</f>
        <v>0</v>
      </c>
      <c r="O51" s="91">
        <f>$L$51-EFEITO!$O$51*EFEITO!$AA$51</f>
        <v>0</v>
      </c>
      <c r="P51" s="19"/>
      <c r="Q51" s="19"/>
      <c r="R51" s="19"/>
      <c r="S51" s="19"/>
      <c r="T51" s="19"/>
      <c r="U51" s="19"/>
      <c r="V51" s="19"/>
      <c r="W51" s="19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84" t="s">
        <v>21</v>
      </c>
      <c r="B52" s="84" t="s">
        <v>38</v>
      </c>
      <c r="C52" s="84" t="s">
        <v>39</v>
      </c>
      <c r="D52" s="84" t="s">
        <v>40</v>
      </c>
      <c r="E52" s="84" t="s">
        <v>25</v>
      </c>
      <c r="F52" s="84" t="s">
        <v>25</v>
      </c>
      <c r="G52" s="84" t="s">
        <v>25</v>
      </c>
      <c r="H52" s="84" t="s">
        <v>34</v>
      </c>
      <c r="I52" s="90">
        <v>44409</v>
      </c>
      <c r="J52" s="91">
        <f>EFEITO!$J$52*EFEITO!$Y$52</f>
        <v>0</v>
      </c>
      <c r="K52" s="91">
        <f ca="1">EFEITO!$L$52*EFEITO!$Z$52</f>
        <v>15230.248737702499</v>
      </c>
      <c r="L52" s="91">
        <f>EFEITO!$N$52*EFEITO!$AA$52</f>
        <v>37408.21706181184</v>
      </c>
      <c r="M52" s="91">
        <f>$J$52-EFEITO!$K$52*EFEITO!$Y$52</f>
        <v>0</v>
      </c>
      <c r="N52" s="91">
        <f ca="1">$K$52-EFEITO!$M$52*EFEITO!$Z$52</f>
        <v>0</v>
      </c>
      <c r="O52" s="91">
        <f>$L$52-EFEITO!$O$52*EFEITO!$AA$52</f>
        <v>0</v>
      </c>
      <c r="P52" s="19"/>
      <c r="Q52" s="19"/>
      <c r="R52" s="19"/>
      <c r="S52" s="19"/>
      <c r="T52" s="19"/>
      <c r="U52" s="19"/>
      <c r="V52" s="19"/>
      <c r="W52" s="19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84" t="s">
        <v>27</v>
      </c>
      <c r="B53" s="84" t="s">
        <v>38</v>
      </c>
      <c r="C53" s="84" t="s">
        <v>39</v>
      </c>
      <c r="D53" s="84" t="s">
        <v>40</v>
      </c>
      <c r="E53" s="84" t="s">
        <v>25</v>
      </c>
      <c r="F53" s="84" t="s">
        <v>25</v>
      </c>
      <c r="G53" s="84" t="s">
        <v>25</v>
      </c>
      <c r="H53" s="84" t="s">
        <v>34</v>
      </c>
      <c r="I53" s="90">
        <v>44409</v>
      </c>
      <c r="J53" s="91">
        <f>EFEITO!$J$53*EFEITO!$Y$53</f>
        <v>0</v>
      </c>
      <c r="K53" s="91">
        <f ca="1">EFEITO!$L$53*EFEITO!$Z$53</f>
        <v>9680.905429943552</v>
      </c>
      <c r="L53" s="91">
        <f>EFEITO!$N$53*EFEITO!$AA$53</f>
        <v>23778.036584636327</v>
      </c>
      <c r="M53" s="91">
        <f>$J$53-EFEITO!$K$53*EFEITO!$Y$53</f>
        <v>0</v>
      </c>
      <c r="N53" s="91">
        <f ca="1">$K$53-EFEITO!$M$53*EFEITO!$Z$53</f>
        <v>0</v>
      </c>
      <c r="O53" s="91">
        <f>$L$53-EFEITO!$O$53*EFEITO!$AA$53</f>
        <v>0</v>
      </c>
      <c r="P53" s="19"/>
      <c r="Q53" s="19"/>
      <c r="R53" s="19"/>
      <c r="S53" s="19"/>
      <c r="T53" s="19"/>
      <c r="U53" s="19"/>
      <c r="V53" s="19"/>
      <c r="W53" s="19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84" t="s">
        <v>21</v>
      </c>
      <c r="B54" s="84" t="s">
        <v>38</v>
      </c>
      <c r="C54" s="84" t="s">
        <v>39</v>
      </c>
      <c r="D54" s="84" t="s">
        <v>40</v>
      </c>
      <c r="E54" s="84" t="s">
        <v>25</v>
      </c>
      <c r="F54" s="84" t="s">
        <v>25</v>
      </c>
      <c r="G54" s="84" t="s">
        <v>25</v>
      </c>
      <c r="H54" s="84" t="s">
        <v>34</v>
      </c>
      <c r="I54" s="90">
        <v>44440</v>
      </c>
      <c r="J54" s="91">
        <f>EFEITO!$J$54*EFEITO!$Y$54</f>
        <v>0</v>
      </c>
      <c r="K54" s="91">
        <f ca="1">EFEITO!$L$54*EFEITO!$Z$54</f>
        <v>10361.77000416071</v>
      </c>
      <c r="L54" s="91">
        <f>EFEITO!$N$54*EFEITO!$AA$54</f>
        <v>25450.361851325022</v>
      </c>
      <c r="M54" s="91">
        <f>$J$54-EFEITO!$K$54*EFEITO!$Y$54</f>
        <v>0</v>
      </c>
      <c r="N54" s="91">
        <f ca="1">$K$54-EFEITO!$M$54*EFEITO!$Z$54</f>
        <v>0</v>
      </c>
      <c r="O54" s="91">
        <f>$L$54-EFEITO!$O$54*EFEITO!$AA$54</f>
        <v>0</v>
      </c>
      <c r="P54" s="19"/>
      <c r="Q54" s="19"/>
      <c r="R54" s="19"/>
      <c r="S54" s="19"/>
      <c r="T54" s="19"/>
      <c r="U54" s="19"/>
      <c r="V54" s="19"/>
      <c r="W54" s="19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84" t="s">
        <v>27</v>
      </c>
      <c r="B55" s="84" t="s">
        <v>38</v>
      </c>
      <c r="C55" s="84" t="s">
        <v>39</v>
      </c>
      <c r="D55" s="84" t="s">
        <v>40</v>
      </c>
      <c r="E55" s="84" t="s">
        <v>25</v>
      </c>
      <c r="F55" s="84" t="s">
        <v>25</v>
      </c>
      <c r="G55" s="84" t="s">
        <v>25</v>
      </c>
      <c r="H55" s="84" t="s">
        <v>34</v>
      </c>
      <c r="I55" s="90">
        <v>44440</v>
      </c>
      <c r="J55" s="91">
        <f>EFEITO!$J$55*EFEITO!$Y$55</f>
        <v>0</v>
      </c>
      <c r="K55" s="91">
        <f ca="1">EFEITO!$L$55*EFEITO!$Z$55</f>
        <v>6357.2591661601673</v>
      </c>
      <c r="L55" s="91">
        <f>EFEITO!$N$55*EFEITO!$AA$55</f>
        <v>15614.566439562099</v>
      </c>
      <c r="M55" s="91">
        <f>$J$55-EFEITO!$K$55*EFEITO!$Y$55</f>
        <v>0</v>
      </c>
      <c r="N55" s="91">
        <f ca="1">$K$55-EFEITO!$M$55*EFEITO!$Z$55</f>
        <v>0</v>
      </c>
      <c r="O55" s="91">
        <f>$L$55-EFEITO!$O$55*EFEITO!$AA$55</f>
        <v>0</v>
      </c>
      <c r="P55" s="19"/>
      <c r="Q55" s="19"/>
      <c r="R55" s="19"/>
      <c r="S55" s="19"/>
      <c r="T55" s="19"/>
      <c r="U55" s="19"/>
      <c r="V55" s="19"/>
      <c r="W55" s="19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84" t="s">
        <v>21</v>
      </c>
      <c r="B56" s="84" t="s">
        <v>38</v>
      </c>
      <c r="C56" s="84" t="s">
        <v>39</v>
      </c>
      <c r="D56" s="84" t="s">
        <v>40</v>
      </c>
      <c r="E56" s="84" t="s">
        <v>25</v>
      </c>
      <c r="F56" s="84" t="s">
        <v>25</v>
      </c>
      <c r="G56" s="84" t="s">
        <v>25</v>
      </c>
      <c r="H56" s="84" t="s">
        <v>34</v>
      </c>
      <c r="I56" s="90">
        <v>44470</v>
      </c>
      <c r="J56" s="91">
        <f>EFEITO!$J$56*EFEITO!$Y$56</f>
        <v>0</v>
      </c>
      <c r="K56" s="91">
        <f ca="1">EFEITO!$L$56*EFEITO!$Z$56</f>
        <v>9102.9466469885992</v>
      </c>
      <c r="L56" s="91">
        <f>EFEITO!$N$56*EFEITO!$AA$56</f>
        <v>22358.466361069452</v>
      </c>
      <c r="M56" s="91">
        <f>$J$56-EFEITO!$K$56*EFEITO!$Y$56</f>
        <v>0</v>
      </c>
      <c r="N56" s="91">
        <f ca="1">$K$56-EFEITO!$M$56*EFEITO!$Z$56</f>
        <v>0</v>
      </c>
      <c r="O56" s="91">
        <f>$L$56-EFEITO!$O$56*EFEITO!$AA$56</f>
        <v>0</v>
      </c>
      <c r="P56" s="19"/>
      <c r="Q56" s="19"/>
      <c r="R56" s="19"/>
      <c r="S56" s="19"/>
      <c r="T56" s="19"/>
      <c r="U56" s="19"/>
      <c r="V56" s="19"/>
      <c r="W56" s="19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84" t="s">
        <v>27</v>
      </c>
      <c r="B57" s="84" t="s">
        <v>38</v>
      </c>
      <c r="C57" s="84" t="s">
        <v>39</v>
      </c>
      <c r="D57" s="84" t="s">
        <v>40</v>
      </c>
      <c r="E57" s="84" t="s">
        <v>25</v>
      </c>
      <c r="F57" s="84" t="s">
        <v>25</v>
      </c>
      <c r="G57" s="84" t="s">
        <v>25</v>
      </c>
      <c r="H57" s="84" t="s">
        <v>34</v>
      </c>
      <c r="I57" s="90">
        <v>44470</v>
      </c>
      <c r="J57" s="91">
        <f>EFEITO!$J$57*EFEITO!$Y$57</f>
        <v>0</v>
      </c>
      <c r="K57" s="91">
        <f ca="1">EFEITO!$L$57*EFEITO!$Z$57</f>
        <v>6849.1756767189736</v>
      </c>
      <c r="L57" s="91">
        <f>EFEITO!$N$57*EFEITO!$AA$57</f>
        <v>16822.801440853931</v>
      </c>
      <c r="M57" s="91">
        <f>$J$57-EFEITO!$K$57*EFEITO!$Y$57</f>
        <v>0</v>
      </c>
      <c r="N57" s="91">
        <f ca="1">$K$57-EFEITO!$M$57*EFEITO!$Z$57</f>
        <v>0</v>
      </c>
      <c r="O57" s="91">
        <f>$L$57-EFEITO!$O$57*EFEITO!$AA$57</f>
        <v>0</v>
      </c>
      <c r="P57" s="19"/>
      <c r="Q57" s="19"/>
      <c r="R57" s="19"/>
      <c r="S57" s="19"/>
      <c r="T57" s="19"/>
      <c r="U57" s="19"/>
      <c r="V57" s="19"/>
      <c r="W57" s="19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84" t="s">
        <v>21</v>
      </c>
      <c r="B58" s="84" t="s">
        <v>38</v>
      </c>
      <c r="C58" s="84" t="s">
        <v>39</v>
      </c>
      <c r="D58" s="84" t="s">
        <v>40</v>
      </c>
      <c r="E58" s="84" t="s">
        <v>25</v>
      </c>
      <c r="F58" s="84" t="s">
        <v>25</v>
      </c>
      <c r="G58" s="84" t="s">
        <v>25</v>
      </c>
      <c r="H58" s="84" t="s">
        <v>34</v>
      </c>
      <c r="I58" s="90">
        <v>44501</v>
      </c>
      <c r="J58" s="91">
        <f>EFEITO!$J$58*EFEITO!$Y$58</f>
        <v>0</v>
      </c>
      <c r="K58" s="91">
        <f ca="1">EFEITO!$L$58*EFEITO!$Z$58</f>
        <v>30002.78707981882</v>
      </c>
      <c r="L58" s="91">
        <f>EFEITO!$N$58*EFEITO!$AA$58</f>
        <v>73692.215463481276</v>
      </c>
      <c r="M58" s="91">
        <f>$J$58-EFEITO!$K$58*EFEITO!$Y$58</f>
        <v>0</v>
      </c>
      <c r="N58" s="91">
        <f ca="1">$K$58-EFEITO!$M$58*EFEITO!$Z$58</f>
        <v>0</v>
      </c>
      <c r="O58" s="91">
        <f>$L$58-EFEITO!$O$58*EFEITO!$AA$58</f>
        <v>0</v>
      </c>
      <c r="P58" s="19"/>
      <c r="Q58" s="19"/>
      <c r="R58" s="19"/>
      <c r="S58" s="19"/>
      <c r="T58" s="19"/>
      <c r="U58" s="19"/>
      <c r="V58" s="19"/>
      <c r="W58" s="19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84" t="s">
        <v>27</v>
      </c>
      <c r="B59" s="84" t="s">
        <v>38</v>
      </c>
      <c r="C59" s="84" t="s">
        <v>39</v>
      </c>
      <c r="D59" s="84" t="s">
        <v>40</v>
      </c>
      <c r="E59" s="84" t="s">
        <v>25</v>
      </c>
      <c r="F59" s="84" t="s">
        <v>25</v>
      </c>
      <c r="G59" s="84" t="s">
        <v>25</v>
      </c>
      <c r="H59" s="84" t="s">
        <v>34</v>
      </c>
      <c r="I59" s="90">
        <v>44501</v>
      </c>
      <c r="J59" s="91">
        <f>EFEITO!$J$59*EFEITO!$Y$59</f>
        <v>0</v>
      </c>
      <c r="K59" s="91">
        <f ca="1">EFEITO!$L$59*EFEITO!$Z$59</f>
        <v>5454.5818295854642</v>
      </c>
      <c r="L59" s="91">
        <f>EFEITO!$N$59*EFEITO!$AA$59</f>
        <v>13397.429324803556</v>
      </c>
      <c r="M59" s="91">
        <f>$J$59-EFEITO!$K$59*EFEITO!$Y$59</f>
        <v>0</v>
      </c>
      <c r="N59" s="91">
        <f ca="1">$K$59-EFEITO!$M$59*EFEITO!$Z$59</f>
        <v>0</v>
      </c>
      <c r="O59" s="91">
        <f>$L$59-EFEITO!$O$59*EFEITO!$AA$59</f>
        <v>0</v>
      </c>
      <c r="P59" s="19"/>
      <c r="Q59" s="19"/>
      <c r="R59" s="19"/>
      <c r="S59" s="19"/>
      <c r="T59" s="19"/>
      <c r="U59" s="19"/>
      <c r="V59" s="19"/>
      <c r="W59" s="19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84" t="s">
        <v>21</v>
      </c>
      <c r="B60" s="84" t="s">
        <v>38</v>
      </c>
      <c r="C60" s="84" t="s">
        <v>39</v>
      </c>
      <c r="D60" s="84" t="s">
        <v>40</v>
      </c>
      <c r="E60" s="84" t="s">
        <v>25</v>
      </c>
      <c r="F60" s="84" t="s">
        <v>25</v>
      </c>
      <c r="G60" s="84" t="s">
        <v>25</v>
      </c>
      <c r="H60" s="84" t="s">
        <v>34</v>
      </c>
      <c r="I60" s="90">
        <v>44531</v>
      </c>
      <c r="J60" s="91">
        <f>EFEITO!$J$60*EFEITO!$Y$60</f>
        <v>0</v>
      </c>
      <c r="K60" s="91">
        <f ca="1">EFEITO!$L$60*EFEITO!$Z$60</f>
        <v>30461.26399898982</v>
      </c>
      <c r="L60" s="91">
        <f>EFEITO!$N$60*EFEITO!$AA$60</f>
        <v>74818.316842753076</v>
      </c>
      <c r="M60" s="91">
        <f>$J$60-EFEITO!$K$60*EFEITO!$Y$60</f>
        <v>0</v>
      </c>
      <c r="N60" s="91">
        <f ca="1">$K$60-EFEITO!$M$60*EFEITO!$Z$60</f>
        <v>0</v>
      </c>
      <c r="O60" s="91">
        <f>$L$60-EFEITO!$O$60*EFEITO!$AA$60</f>
        <v>0</v>
      </c>
      <c r="P60" s="19"/>
      <c r="Q60" s="19"/>
      <c r="R60" s="19"/>
      <c r="S60" s="19"/>
      <c r="T60" s="19"/>
      <c r="U60" s="19"/>
      <c r="V60" s="19"/>
      <c r="W60" s="19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84" t="s">
        <v>27</v>
      </c>
      <c r="B61" s="84" t="s">
        <v>38</v>
      </c>
      <c r="C61" s="84" t="s">
        <v>39</v>
      </c>
      <c r="D61" s="84" t="s">
        <v>40</v>
      </c>
      <c r="E61" s="84" t="s">
        <v>25</v>
      </c>
      <c r="F61" s="84" t="s">
        <v>25</v>
      </c>
      <c r="G61" s="84" t="s">
        <v>25</v>
      </c>
      <c r="H61" s="84" t="s">
        <v>34</v>
      </c>
      <c r="I61" s="90">
        <v>44531</v>
      </c>
      <c r="J61" s="91">
        <f>EFEITO!$J$61*EFEITO!$Y$61</f>
        <v>0</v>
      </c>
      <c r="K61" s="91">
        <f ca="1">EFEITO!$L$61*EFEITO!$Z$61</f>
        <v>10113.512178126843</v>
      </c>
      <c r="L61" s="91">
        <f>EFEITO!$N$61*EFEITO!$AA$61</f>
        <v>24840.596193290912</v>
      </c>
      <c r="M61" s="91">
        <f>$J$61-EFEITO!$K$61*EFEITO!$Y$61</f>
        <v>0</v>
      </c>
      <c r="N61" s="91">
        <f ca="1">$K$61-EFEITO!$M$61*EFEITO!$Z$61</f>
        <v>0</v>
      </c>
      <c r="O61" s="91">
        <f>$L$61-EFEITO!$O$61*EFEITO!$AA$61</f>
        <v>0</v>
      </c>
      <c r="P61" s="19"/>
      <c r="Q61" s="19"/>
      <c r="R61" s="19"/>
      <c r="S61" s="19"/>
      <c r="T61" s="19"/>
      <c r="U61" s="19"/>
      <c r="V61" s="19"/>
      <c r="W61" s="19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84" t="s">
        <v>21</v>
      </c>
      <c r="B62" s="84" t="s">
        <v>38</v>
      </c>
      <c r="C62" s="84" t="s">
        <v>39</v>
      </c>
      <c r="D62" s="84" t="s">
        <v>40</v>
      </c>
      <c r="E62" s="84" t="s">
        <v>25</v>
      </c>
      <c r="F62" s="84" t="s">
        <v>25</v>
      </c>
      <c r="G62" s="84" t="s">
        <v>25</v>
      </c>
      <c r="H62" s="84" t="s">
        <v>34</v>
      </c>
      <c r="I62" s="90">
        <v>44562</v>
      </c>
      <c r="J62" s="91">
        <f>EFEITO!$J$62*EFEITO!$Y$62</f>
        <v>0</v>
      </c>
      <c r="K62" s="91">
        <f ca="1">EFEITO!$L$62*EFEITO!$Z$62</f>
        <v>42767.99178418544</v>
      </c>
      <c r="L62" s="91">
        <f>EFEITO!$N$62*EFEITO!$AA$62</f>
        <v>105045.84314503698</v>
      </c>
      <c r="M62" s="91">
        <f>$J$62-EFEITO!$K$62*EFEITO!$Y$62</f>
        <v>0</v>
      </c>
      <c r="N62" s="91">
        <f ca="1">$K$62-EFEITO!$M$62*EFEITO!$Z$62</f>
        <v>0</v>
      </c>
      <c r="O62" s="91">
        <f>$L$62-EFEITO!$O$62*EFEITO!$AA$62</f>
        <v>0</v>
      </c>
      <c r="P62" s="19"/>
      <c r="Q62" s="19"/>
      <c r="R62" s="19"/>
      <c r="S62" s="19"/>
      <c r="T62" s="19"/>
      <c r="U62" s="19"/>
      <c r="V62" s="19"/>
      <c r="W62" s="19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84" t="s">
        <v>27</v>
      </c>
      <c r="B63" s="84" t="s">
        <v>38</v>
      </c>
      <c r="C63" s="84" t="s">
        <v>39</v>
      </c>
      <c r="D63" s="84" t="s">
        <v>40</v>
      </c>
      <c r="E63" s="84" t="s">
        <v>25</v>
      </c>
      <c r="F63" s="84" t="s">
        <v>25</v>
      </c>
      <c r="G63" s="84" t="s">
        <v>25</v>
      </c>
      <c r="H63" s="84" t="s">
        <v>34</v>
      </c>
      <c r="I63" s="90">
        <v>44562</v>
      </c>
      <c r="J63" s="91">
        <f>EFEITO!$J$63*EFEITO!$Y$63</f>
        <v>0</v>
      </c>
      <c r="K63" s="91">
        <f ca="1">EFEITO!$L$63*EFEITO!$Z$63</f>
        <v>12857.954058129942</v>
      </c>
      <c r="L63" s="91">
        <f>EFEITO!$N$63*EFEITO!$AA$63</f>
        <v>31581.43669621299</v>
      </c>
      <c r="M63" s="91">
        <f>$J$63-EFEITO!$K$63*EFEITO!$Y$63</f>
        <v>0</v>
      </c>
      <c r="N63" s="91">
        <f ca="1">$K$63-EFEITO!$M$63*EFEITO!$Z$63</f>
        <v>0</v>
      </c>
      <c r="O63" s="91">
        <f>$L$63-EFEITO!$O$63*EFEITO!$AA$63</f>
        <v>0</v>
      </c>
      <c r="P63" s="19"/>
      <c r="Q63" s="19"/>
      <c r="R63" s="19"/>
      <c r="S63" s="19"/>
      <c r="T63" s="19"/>
      <c r="U63" s="19"/>
      <c r="V63" s="19"/>
      <c r="W63" s="19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84" t="s">
        <v>21</v>
      </c>
      <c r="B64" s="84" t="s">
        <v>38</v>
      </c>
      <c r="C64" s="84" t="s">
        <v>39</v>
      </c>
      <c r="D64" s="84" t="s">
        <v>40</v>
      </c>
      <c r="E64" s="84" t="s">
        <v>25</v>
      </c>
      <c r="F64" s="84" t="s">
        <v>25</v>
      </c>
      <c r="G64" s="84" t="s">
        <v>25</v>
      </c>
      <c r="H64" s="84" t="s">
        <v>34</v>
      </c>
      <c r="I64" s="90">
        <v>44593</v>
      </c>
      <c r="J64" s="91">
        <f>EFEITO!$J$64*EFEITO!$Y$64</f>
        <v>0</v>
      </c>
      <c r="K64" s="91">
        <f ca="1">EFEITO!$L$64*EFEITO!$Z$64</f>
        <v>32009.066747639405</v>
      </c>
      <c r="L64" s="91">
        <f>EFEITO!$N$64*EFEITO!$AA$64</f>
        <v>78619.997444792083</v>
      </c>
      <c r="M64" s="91">
        <f>$J$64-EFEITO!$K$64*EFEITO!$Y$64</f>
        <v>0</v>
      </c>
      <c r="N64" s="91">
        <f ca="1">$K$64-EFEITO!$M$64*EFEITO!$Z$64</f>
        <v>0</v>
      </c>
      <c r="O64" s="91">
        <f>$L$64-EFEITO!$O$64*EFEITO!$AA$64</f>
        <v>0</v>
      </c>
      <c r="P64" s="19"/>
      <c r="Q64" s="19"/>
      <c r="R64" s="19"/>
      <c r="S64" s="19"/>
      <c r="T64" s="19"/>
      <c r="U64" s="19"/>
      <c r="V64" s="19"/>
      <c r="W64" s="19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84" t="s">
        <v>27</v>
      </c>
      <c r="B65" s="84" t="s">
        <v>38</v>
      </c>
      <c r="C65" s="84" t="s">
        <v>39</v>
      </c>
      <c r="D65" s="84" t="s">
        <v>40</v>
      </c>
      <c r="E65" s="84" t="s">
        <v>25</v>
      </c>
      <c r="F65" s="84" t="s">
        <v>25</v>
      </c>
      <c r="G65" s="84" t="s">
        <v>25</v>
      </c>
      <c r="H65" s="84" t="s">
        <v>34</v>
      </c>
      <c r="I65" s="90">
        <v>44593</v>
      </c>
      <c r="J65" s="91">
        <f>EFEITO!$J$65*EFEITO!$Y$65</f>
        <v>0</v>
      </c>
      <c r="K65" s="91">
        <f ca="1">EFEITO!$L$65*EFEITO!$Z$65</f>
        <v>12898.19654633304</v>
      </c>
      <c r="L65" s="91">
        <f>EFEITO!$N$65*EFEITO!$AA$65</f>
        <v>31680.279450506441</v>
      </c>
      <c r="M65" s="91">
        <f>$J$65-EFEITO!$K$65*EFEITO!$Y$65</f>
        <v>0</v>
      </c>
      <c r="N65" s="91">
        <f ca="1">$K$65-EFEITO!$M$65*EFEITO!$Z$65</f>
        <v>0</v>
      </c>
      <c r="O65" s="91">
        <f>$L$65-EFEITO!$O$65*EFEITO!$AA$65</f>
        <v>0</v>
      </c>
      <c r="P65" s="19"/>
      <c r="Q65" s="19"/>
      <c r="R65" s="19"/>
      <c r="S65" s="19"/>
      <c r="T65" s="19"/>
      <c r="U65" s="19"/>
      <c r="V65" s="19"/>
      <c r="W65" s="19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84" t="s">
        <v>21</v>
      </c>
      <c r="B66" s="84" t="s">
        <v>38</v>
      </c>
      <c r="C66" s="84" t="s">
        <v>39</v>
      </c>
      <c r="D66" s="84" t="s">
        <v>40</v>
      </c>
      <c r="E66" s="84" t="s">
        <v>25</v>
      </c>
      <c r="F66" s="84" t="s">
        <v>25</v>
      </c>
      <c r="G66" s="84" t="s">
        <v>25</v>
      </c>
      <c r="H66" s="84" t="s">
        <v>34</v>
      </c>
      <c r="I66" s="90">
        <v>44621</v>
      </c>
      <c r="J66" s="91">
        <f>EFEITO!$J$66*EFEITO!$Y$66</f>
        <v>0</v>
      </c>
      <c r="K66" s="91">
        <f ca="1">EFEITO!$L$66*EFEITO!$Z$66</f>
        <v>38140.776348966021</v>
      </c>
      <c r="L66" s="91">
        <f>EFEITO!$N$66*EFEITO!$AA$66</f>
        <v>93680.573780528517</v>
      </c>
      <c r="M66" s="91">
        <f>$J$66-EFEITO!$K$66*EFEITO!$Y$66</f>
        <v>0</v>
      </c>
      <c r="N66" s="91">
        <f ca="1">$K$66-EFEITO!$M$66*EFEITO!$Z$66</f>
        <v>0</v>
      </c>
      <c r="O66" s="91">
        <f>$L$66-EFEITO!$O$66*EFEITO!$AA$66</f>
        <v>0</v>
      </c>
      <c r="P66" s="19"/>
      <c r="Q66" s="19"/>
      <c r="R66" s="19"/>
      <c r="S66" s="19"/>
      <c r="T66" s="19"/>
      <c r="U66" s="19"/>
      <c r="V66" s="19"/>
      <c r="W66" s="19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84" t="s">
        <v>27</v>
      </c>
      <c r="B67" s="84" t="s">
        <v>38</v>
      </c>
      <c r="C67" s="84" t="s">
        <v>39</v>
      </c>
      <c r="D67" s="84" t="s">
        <v>40</v>
      </c>
      <c r="E67" s="84" t="s">
        <v>25</v>
      </c>
      <c r="F67" s="84" t="s">
        <v>25</v>
      </c>
      <c r="G67" s="84" t="s">
        <v>25</v>
      </c>
      <c r="H67" s="84" t="s">
        <v>34</v>
      </c>
      <c r="I67" s="90">
        <v>44621</v>
      </c>
      <c r="J67" s="91">
        <f>EFEITO!$J$67*EFEITO!$Y$67</f>
        <v>0</v>
      </c>
      <c r="K67" s="91">
        <f ca="1">EFEITO!$L$67*EFEITO!$Z$67</f>
        <v>5984.9203348334186</v>
      </c>
      <c r="L67" s="91">
        <f>EFEITO!$N$67*EFEITO!$AA$67</f>
        <v>14700.035622456515</v>
      </c>
      <c r="M67" s="91">
        <f>$J$67-EFEITO!$K$67*EFEITO!$Y$67</f>
        <v>0</v>
      </c>
      <c r="N67" s="91">
        <f ca="1">$K$67-EFEITO!$M$67*EFEITO!$Z$67</f>
        <v>0</v>
      </c>
      <c r="O67" s="91">
        <f>$L$67-EFEITO!$O$67*EFEITO!$AA$67</f>
        <v>0</v>
      </c>
      <c r="P67" s="19"/>
      <c r="Q67" s="19"/>
      <c r="R67" s="19"/>
      <c r="S67" s="19"/>
      <c r="T67" s="19"/>
      <c r="U67" s="19"/>
      <c r="V67" s="19"/>
      <c r="W67" s="19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84" t="s">
        <v>21</v>
      </c>
      <c r="B68" s="84" t="s">
        <v>38</v>
      </c>
      <c r="C68" s="84" t="s">
        <v>39</v>
      </c>
      <c r="D68" s="84" t="s">
        <v>40</v>
      </c>
      <c r="E68" s="84" t="s">
        <v>25</v>
      </c>
      <c r="F68" s="84" t="s">
        <v>25</v>
      </c>
      <c r="G68" s="84" t="s">
        <v>25</v>
      </c>
      <c r="H68" s="84" t="s">
        <v>34</v>
      </c>
      <c r="I68" s="90">
        <v>44652</v>
      </c>
      <c r="J68" s="91">
        <f>EFEITO!$J$68*EFEITO!$Y$68</f>
        <v>0</v>
      </c>
      <c r="K68" s="91">
        <f ca="1">EFEITO!$L$68*EFEITO!$Z$68</f>
        <v>9081.771432957923</v>
      </c>
      <c r="L68" s="91">
        <f>EFEITO!$N$68*EFEITO!$AA$68</f>
        <v>22306.456245119803</v>
      </c>
      <c r="M68" s="91">
        <f>$J$68-EFEITO!$K$68*EFEITO!$Y$68</f>
        <v>0</v>
      </c>
      <c r="N68" s="91">
        <f ca="1">$K$68-EFEITO!$M$68*EFEITO!$Z$68</f>
        <v>0</v>
      </c>
      <c r="O68" s="91">
        <f>$L$68-EFEITO!$O$68*EFEITO!$AA$68</f>
        <v>0</v>
      </c>
      <c r="P68" s="19"/>
      <c r="Q68" s="19"/>
      <c r="R68" s="19"/>
      <c r="S68" s="19"/>
      <c r="T68" s="19"/>
      <c r="U68" s="19"/>
      <c r="V68" s="19"/>
      <c r="W68" s="19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84" t="s">
        <v>27</v>
      </c>
      <c r="B69" s="84" t="s">
        <v>38</v>
      </c>
      <c r="C69" s="84" t="s">
        <v>39</v>
      </c>
      <c r="D69" s="84" t="s">
        <v>40</v>
      </c>
      <c r="E69" s="84" t="s">
        <v>25</v>
      </c>
      <c r="F69" s="84" t="s">
        <v>25</v>
      </c>
      <c r="G69" s="84" t="s">
        <v>25</v>
      </c>
      <c r="H69" s="84" t="s">
        <v>34</v>
      </c>
      <c r="I69" s="90">
        <v>44652</v>
      </c>
      <c r="J69" s="91">
        <f>EFEITO!$J$69*EFEITO!$Y$69</f>
        <v>0</v>
      </c>
      <c r="K69" s="91">
        <f ca="1">EFEITO!$L$69*EFEITO!$Z$69</f>
        <v>12077.153971541762</v>
      </c>
      <c r="L69" s="91">
        <f>EFEITO!$N$69*EFEITO!$AA$69</f>
        <v>29663.651923028898</v>
      </c>
      <c r="M69" s="91">
        <f>$J$69-EFEITO!$K$69*EFEITO!$Y$69</f>
        <v>0</v>
      </c>
      <c r="N69" s="91">
        <f ca="1">$K$69-EFEITO!$M$69*EFEITO!$Z$69</f>
        <v>0</v>
      </c>
      <c r="O69" s="91">
        <f>$L$69-EFEITO!$O$69*EFEITO!$AA$69</f>
        <v>0</v>
      </c>
      <c r="P69" s="19"/>
      <c r="Q69" s="19"/>
      <c r="R69" s="19"/>
      <c r="S69" s="19"/>
      <c r="T69" s="19"/>
      <c r="U69" s="19"/>
      <c r="V69" s="19"/>
      <c r="W69" s="19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84" t="s">
        <v>21</v>
      </c>
      <c r="B70" s="84" t="s">
        <v>38</v>
      </c>
      <c r="C70" s="84" t="s">
        <v>39</v>
      </c>
      <c r="D70" s="84" t="s">
        <v>40</v>
      </c>
      <c r="E70" s="84" t="s">
        <v>25</v>
      </c>
      <c r="F70" s="84" t="s">
        <v>25</v>
      </c>
      <c r="G70" s="84" t="s">
        <v>25</v>
      </c>
      <c r="H70" s="84" t="s">
        <v>34</v>
      </c>
      <c r="I70" s="90">
        <v>44682</v>
      </c>
      <c r="J70" s="91">
        <f>EFEITO!$J$70*EFEITO!$Y$70</f>
        <v>0</v>
      </c>
      <c r="K70" s="91">
        <f ca="1">EFEITO!$L$70*EFEITO!$Z$70</f>
        <v>10476.940172780049</v>
      </c>
      <c r="L70" s="91">
        <f>EFEITO!$N$70*EFEITO!$AA$70</f>
        <v>25733.240400517228</v>
      </c>
      <c r="M70" s="91">
        <f>$J$70-EFEITO!$K$70*EFEITO!$Y$70</f>
        <v>0</v>
      </c>
      <c r="N70" s="91">
        <f ca="1">$K$70-EFEITO!$M$70*EFEITO!$Z$70</f>
        <v>0</v>
      </c>
      <c r="O70" s="91">
        <f>$L$70-EFEITO!$O$70*EFEITO!$AA$70</f>
        <v>0</v>
      </c>
      <c r="P70" s="19"/>
      <c r="Q70" s="19"/>
      <c r="R70" s="19"/>
      <c r="S70" s="19"/>
      <c r="T70" s="19"/>
      <c r="U70" s="19"/>
      <c r="V70" s="19"/>
      <c r="W70" s="19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84" t="s">
        <v>27</v>
      </c>
      <c r="B71" s="84" t="s">
        <v>38</v>
      </c>
      <c r="C71" s="84" t="s">
        <v>39</v>
      </c>
      <c r="D71" s="84" t="s">
        <v>40</v>
      </c>
      <c r="E71" s="84" t="s">
        <v>25</v>
      </c>
      <c r="F71" s="84" t="s">
        <v>25</v>
      </c>
      <c r="G71" s="84" t="s">
        <v>25</v>
      </c>
      <c r="H71" s="84" t="s">
        <v>34</v>
      </c>
      <c r="I71" s="90">
        <v>44682</v>
      </c>
      <c r="J71" s="91">
        <f>EFEITO!$J$71*EFEITO!$Y$71</f>
        <v>0</v>
      </c>
      <c r="K71" s="91">
        <f ca="1">EFEITO!$L$71*EFEITO!$Z$71</f>
        <v>7959.5809047801376</v>
      </c>
      <c r="L71" s="91">
        <f>EFEITO!$N$71*EFEITO!$AA$71</f>
        <v>19550.155439679613</v>
      </c>
      <c r="M71" s="91">
        <f>$J$71-EFEITO!$K$71*EFEITO!$Y$71</f>
        <v>0</v>
      </c>
      <c r="N71" s="91">
        <f ca="1">$K$71-EFEITO!$M$71*EFEITO!$Z$71</f>
        <v>0</v>
      </c>
      <c r="O71" s="91">
        <f>$L$71-EFEITO!$O$71*EFEITO!$AA$71</f>
        <v>0</v>
      </c>
      <c r="P71" s="19"/>
      <c r="Q71" s="19"/>
      <c r="R71" s="19"/>
      <c r="S71" s="19"/>
      <c r="T71" s="19"/>
      <c r="U71" s="19"/>
      <c r="V71" s="19"/>
      <c r="W71" s="19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84" t="s">
        <v>55</v>
      </c>
      <c r="B72" s="84" t="s">
        <v>38</v>
      </c>
      <c r="C72" s="84" t="s">
        <v>39</v>
      </c>
      <c r="D72" s="84" t="s">
        <v>40</v>
      </c>
      <c r="E72" s="84" t="s">
        <v>25</v>
      </c>
      <c r="F72" s="84" t="s">
        <v>25</v>
      </c>
      <c r="G72" s="84" t="s">
        <v>25</v>
      </c>
      <c r="H72" s="84" t="s">
        <v>34</v>
      </c>
      <c r="I72" s="90">
        <v>44713</v>
      </c>
      <c r="J72" s="91">
        <f>EFEITO!$J$72*EFEITO!$Y$72</f>
        <v>0</v>
      </c>
      <c r="K72" s="91">
        <f ca="1">EFEITO!$L$72*EFEITO!$Z$72</f>
        <v>10476.940172780049</v>
      </c>
      <c r="L72" s="91">
        <f>EFEITO!$N$72*EFEITO!$AA$72</f>
        <v>25733.240400517228</v>
      </c>
      <c r="M72" s="91">
        <f>$J$72-EFEITO!$K$72*EFEITO!$Y$72</f>
        <v>0</v>
      </c>
      <c r="N72" s="91">
        <f ca="1">$K$72-EFEITO!$M$72*EFEITO!$Z$72</f>
        <v>0</v>
      </c>
      <c r="O72" s="91">
        <f>$L$72-EFEITO!$O$72*EFEITO!$AA$72</f>
        <v>0</v>
      </c>
      <c r="P72" s="19"/>
      <c r="Q72" s="19"/>
      <c r="R72" s="19"/>
      <c r="S72" s="19"/>
      <c r="T72" s="19"/>
      <c r="U72" s="19"/>
      <c r="V72" s="19"/>
      <c r="W72" s="19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84" t="s">
        <v>55</v>
      </c>
      <c r="B73" s="84" t="s">
        <v>38</v>
      </c>
      <c r="C73" s="84" t="s">
        <v>39</v>
      </c>
      <c r="D73" s="84" t="s">
        <v>40</v>
      </c>
      <c r="E73" s="84" t="s">
        <v>25</v>
      </c>
      <c r="F73" s="84" t="s">
        <v>25</v>
      </c>
      <c r="G73" s="84" t="s">
        <v>25</v>
      </c>
      <c r="H73" s="84" t="s">
        <v>34</v>
      </c>
      <c r="I73" s="90">
        <v>44713</v>
      </c>
      <c r="J73" s="91">
        <f>EFEITO!$J$73*EFEITO!$Y$73</f>
        <v>0</v>
      </c>
      <c r="K73" s="91">
        <f ca="1">EFEITO!$L$73*EFEITO!$Z$73</f>
        <v>7959.5809047801376</v>
      </c>
      <c r="L73" s="91">
        <f>EFEITO!$N$73*EFEITO!$AA$73</f>
        <v>19550.155439679613</v>
      </c>
      <c r="M73" s="91">
        <f>$J$73-EFEITO!$K$73*EFEITO!$Y$73</f>
        <v>0</v>
      </c>
      <c r="N73" s="91">
        <f ca="1">$K$73-EFEITO!$M$73*EFEITO!$Z$73</f>
        <v>0</v>
      </c>
      <c r="O73" s="91">
        <f>$L$73-EFEITO!$O$73*EFEITO!$AA$73</f>
        <v>0</v>
      </c>
      <c r="P73" s="19"/>
      <c r="Q73" s="19"/>
      <c r="R73" s="19"/>
      <c r="S73" s="19"/>
      <c r="T73" s="19"/>
      <c r="U73" s="19"/>
      <c r="V73" s="19"/>
      <c r="W73" s="19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84" t="s">
        <v>21</v>
      </c>
      <c r="B74" s="84" t="s">
        <v>38</v>
      </c>
      <c r="C74" s="84" t="s">
        <v>39</v>
      </c>
      <c r="D74" s="84" t="s">
        <v>40</v>
      </c>
      <c r="E74" s="84" t="s">
        <v>25</v>
      </c>
      <c r="F74" s="84" t="s">
        <v>25</v>
      </c>
      <c r="G74" s="84" t="s">
        <v>25</v>
      </c>
      <c r="H74" s="84" t="s">
        <v>25</v>
      </c>
      <c r="I74" s="90">
        <v>44378</v>
      </c>
      <c r="J74" s="91">
        <f ca="1">EFEITO!$J$74*EFEITO!$Y$74</f>
        <v>21731.481584294681</v>
      </c>
      <c r="K74" s="91">
        <f>EFEITO!$L$74*EFEITO!$Z$74</f>
        <v>0</v>
      </c>
      <c r="L74" s="91">
        <f>EFEITO!$N$74*EFEITO!$AA$74</f>
        <v>0</v>
      </c>
      <c r="M74" s="91">
        <f ca="1">$J$74-EFEITO!$K$74*EFEITO!$Y$74</f>
        <v>0</v>
      </c>
      <c r="N74" s="91">
        <f>$K$74-EFEITO!$M$74*EFEITO!$Z$74</f>
        <v>0</v>
      </c>
      <c r="O74" s="91">
        <f>$L$74-EFEITO!$O$74*EFEITO!$AA$74</f>
        <v>0</v>
      </c>
      <c r="P74" s="19"/>
      <c r="Q74" s="19"/>
      <c r="R74" s="19"/>
      <c r="S74" s="19"/>
      <c r="T74" s="19"/>
      <c r="U74" s="19"/>
      <c r="V74" s="19"/>
      <c r="W74" s="19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84" t="s">
        <v>27</v>
      </c>
      <c r="B75" s="84" t="s">
        <v>38</v>
      </c>
      <c r="C75" s="84" t="s">
        <v>39</v>
      </c>
      <c r="D75" s="84" t="s">
        <v>40</v>
      </c>
      <c r="E75" s="84" t="s">
        <v>25</v>
      </c>
      <c r="F75" s="84" t="s">
        <v>25</v>
      </c>
      <c r="G75" s="84" t="s">
        <v>25</v>
      </c>
      <c r="H75" s="84" t="s">
        <v>25</v>
      </c>
      <c r="I75" s="90">
        <v>44378</v>
      </c>
      <c r="J75" s="91">
        <f ca="1">EFEITO!$J$75*EFEITO!$Y$75</f>
        <v>41708.378565966348</v>
      </c>
      <c r="K75" s="91">
        <f>EFEITO!$L$75*EFEITO!$Z$75</f>
        <v>0</v>
      </c>
      <c r="L75" s="91">
        <f>EFEITO!$N$75*EFEITO!$AA$75</f>
        <v>0</v>
      </c>
      <c r="M75" s="91">
        <f ca="1">$J$75-EFEITO!$K$75*EFEITO!$Y$75</f>
        <v>0</v>
      </c>
      <c r="N75" s="91">
        <f>$K$75-EFEITO!$M$75*EFEITO!$Z$75</f>
        <v>0</v>
      </c>
      <c r="O75" s="91">
        <f>$L$75-EFEITO!$O$75*EFEITO!$AA$75</f>
        <v>0</v>
      </c>
      <c r="P75" s="19"/>
      <c r="Q75" s="19"/>
      <c r="R75" s="19"/>
      <c r="S75" s="19"/>
      <c r="T75" s="19"/>
      <c r="U75" s="19"/>
      <c r="V75" s="19"/>
      <c r="W75" s="19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84" t="s">
        <v>21</v>
      </c>
      <c r="B76" s="84" t="s">
        <v>38</v>
      </c>
      <c r="C76" s="84" t="s">
        <v>39</v>
      </c>
      <c r="D76" s="84" t="s">
        <v>40</v>
      </c>
      <c r="E76" s="84" t="s">
        <v>25</v>
      </c>
      <c r="F76" s="84" t="s">
        <v>25</v>
      </c>
      <c r="G76" s="84" t="s">
        <v>25</v>
      </c>
      <c r="H76" s="84" t="s">
        <v>25</v>
      </c>
      <c r="I76" s="90">
        <v>44409</v>
      </c>
      <c r="J76" s="91">
        <f ca="1">EFEITO!$J$76*EFEITO!$Y$76</f>
        <v>41729.518139491927</v>
      </c>
      <c r="K76" s="91">
        <f>EFEITO!$L$76*EFEITO!$Z$76</f>
        <v>0</v>
      </c>
      <c r="L76" s="91">
        <f>EFEITO!$N$76*EFEITO!$AA$76</f>
        <v>0</v>
      </c>
      <c r="M76" s="91">
        <f ca="1">$J$76-EFEITO!$K$76*EFEITO!$Y$76</f>
        <v>0</v>
      </c>
      <c r="N76" s="91">
        <f>$K$76-EFEITO!$M$76*EFEITO!$Z$76</f>
        <v>0</v>
      </c>
      <c r="O76" s="91">
        <f>$L$76-EFEITO!$O$76*EFEITO!$AA$76</f>
        <v>0</v>
      </c>
      <c r="P76" s="19"/>
      <c r="Q76" s="19"/>
      <c r="R76" s="19"/>
      <c r="S76" s="19"/>
      <c r="T76" s="19"/>
      <c r="U76" s="19"/>
      <c r="V76" s="19"/>
      <c r="W76" s="19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84" t="s">
        <v>27</v>
      </c>
      <c r="B77" s="84" t="s">
        <v>38</v>
      </c>
      <c r="C77" s="84" t="s">
        <v>39</v>
      </c>
      <c r="D77" s="84" t="s">
        <v>40</v>
      </c>
      <c r="E77" s="84" t="s">
        <v>25</v>
      </c>
      <c r="F77" s="84" t="s">
        <v>25</v>
      </c>
      <c r="G77" s="84" t="s">
        <v>25</v>
      </c>
      <c r="H77" s="84" t="s">
        <v>25</v>
      </c>
      <c r="I77" s="90">
        <v>44409</v>
      </c>
      <c r="J77" s="91">
        <f ca="1">EFEITO!$J$77*EFEITO!$Y$77</f>
        <v>21139.573525578486</v>
      </c>
      <c r="K77" s="91">
        <f>EFEITO!$L$77*EFEITO!$Z$77</f>
        <v>0</v>
      </c>
      <c r="L77" s="91">
        <f>EFEITO!$N$77*EFEITO!$AA$77</f>
        <v>0</v>
      </c>
      <c r="M77" s="91">
        <f ca="1">$J$77-EFEITO!$K$77*EFEITO!$Y$77</f>
        <v>0</v>
      </c>
      <c r="N77" s="91">
        <f>$K$77-EFEITO!$M$77*EFEITO!$Z$77</f>
        <v>0</v>
      </c>
      <c r="O77" s="91">
        <f>$L$77-EFEITO!$O$77*EFEITO!$AA$77</f>
        <v>0</v>
      </c>
      <c r="P77" s="19"/>
      <c r="Q77" s="19"/>
      <c r="R77" s="19"/>
      <c r="S77" s="19"/>
      <c r="T77" s="19"/>
      <c r="U77" s="19"/>
      <c r="V77" s="19"/>
      <c r="W77" s="19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84" t="s">
        <v>21</v>
      </c>
      <c r="B78" s="84" t="s">
        <v>38</v>
      </c>
      <c r="C78" s="84" t="s">
        <v>39</v>
      </c>
      <c r="D78" s="84" t="s">
        <v>40</v>
      </c>
      <c r="E78" s="84" t="s">
        <v>25</v>
      </c>
      <c r="F78" s="84" t="s">
        <v>25</v>
      </c>
      <c r="G78" s="84" t="s">
        <v>25</v>
      </c>
      <c r="H78" s="84" t="s">
        <v>25</v>
      </c>
      <c r="I78" s="90">
        <v>44440</v>
      </c>
      <c r="J78" s="91">
        <f ca="1">EFEITO!$J$78*EFEITO!$Y$78</f>
        <v>30927.196067921323</v>
      </c>
      <c r="K78" s="91">
        <f>EFEITO!$L$78*EFEITO!$Z$78</f>
        <v>0</v>
      </c>
      <c r="L78" s="91">
        <f>EFEITO!$N$78*EFEITO!$AA$78</f>
        <v>0</v>
      </c>
      <c r="M78" s="91">
        <f ca="1">$J$78-EFEITO!$K$78*EFEITO!$Y$78</f>
        <v>0</v>
      </c>
      <c r="N78" s="91">
        <f>$K$78-EFEITO!$M$78*EFEITO!$Z$78</f>
        <v>0</v>
      </c>
      <c r="O78" s="91">
        <f>$L$78-EFEITO!$O$78*EFEITO!$AA$78</f>
        <v>0</v>
      </c>
      <c r="P78" s="19"/>
      <c r="Q78" s="19"/>
      <c r="R78" s="19"/>
      <c r="S78" s="19"/>
      <c r="T78" s="19"/>
      <c r="U78" s="19"/>
      <c r="V78" s="19"/>
      <c r="W78" s="19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84" t="s">
        <v>27</v>
      </c>
      <c r="B79" s="84" t="s">
        <v>38</v>
      </c>
      <c r="C79" s="84" t="s">
        <v>39</v>
      </c>
      <c r="D79" s="84" t="s">
        <v>40</v>
      </c>
      <c r="E79" s="84" t="s">
        <v>25</v>
      </c>
      <c r="F79" s="84" t="s">
        <v>25</v>
      </c>
      <c r="G79" s="84" t="s">
        <v>25</v>
      </c>
      <c r="H79" s="84" t="s">
        <v>25</v>
      </c>
      <c r="I79" s="90">
        <v>44440</v>
      </c>
      <c r="J79" s="91">
        <f ca="1">EFEITO!$J$79*EFEITO!$Y$79</f>
        <v>31202.010523753841</v>
      </c>
      <c r="K79" s="91">
        <f>EFEITO!$L$79*EFEITO!$Z$79</f>
        <v>0</v>
      </c>
      <c r="L79" s="91">
        <f>EFEITO!$N$79*EFEITO!$AA$79</f>
        <v>0</v>
      </c>
      <c r="M79" s="91">
        <f ca="1">$J$79-EFEITO!$K$79*EFEITO!$Y$79</f>
        <v>0</v>
      </c>
      <c r="N79" s="91">
        <f>$K$79-EFEITO!$M$79*EFEITO!$Z$79</f>
        <v>0</v>
      </c>
      <c r="O79" s="91">
        <f>$L$79-EFEITO!$O$79*EFEITO!$AA$79</f>
        <v>0</v>
      </c>
      <c r="P79" s="19"/>
      <c r="Q79" s="19"/>
      <c r="R79" s="19"/>
      <c r="S79" s="19"/>
      <c r="T79" s="19"/>
      <c r="U79" s="19"/>
      <c r="V79" s="19"/>
      <c r="W79" s="19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84" t="s">
        <v>21</v>
      </c>
      <c r="B80" s="84" t="s">
        <v>38</v>
      </c>
      <c r="C80" s="84" t="s">
        <v>39</v>
      </c>
      <c r="D80" s="84" t="s">
        <v>40</v>
      </c>
      <c r="E80" s="84" t="s">
        <v>25</v>
      </c>
      <c r="F80" s="84" t="s">
        <v>25</v>
      </c>
      <c r="G80" s="84" t="s">
        <v>25</v>
      </c>
      <c r="H80" s="84" t="s">
        <v>25</v>
      </c>
      <c r="I80" s="90">
        <v>44470</v>
      </c>
      <c r="J80" s="91">
        <f ca="1">EFEITO!$J$80*EFEITO!$Y$80</f>
        <v>21076.154805001748</v>
      </c>
      <c r="K80" s="91">
        <f>EFEITO!$L$80*EFEITO!$Z$80</f>
        <v>0</v>
      </c>
      <c r="L80" s="91">
        <f>EFEITO!$N$80*EFEITO!$AA$80</f>
        <v>0</v>
      </c>
      <c r="M80" s="91">
        <f ca="1">$J$80-EFEITO!$K$80*EFEITO!$Y$80</f>
        <v>0</v>
      </c>
      <c r="N80" s="91">
        <f>$K$80-EFEITO!$M$80*EFEITO!$Z$80</f>
        <v>0</v>
      </c>
      <c r="O80" s="91">
        <f>$L$80-EFEITO!$O$80*EFEITO!$AA$80</f>
        <v>0</v>
      </c>
      <c r="P80" s="19"/>
      <c r="Q80" s="19"/>
      <c r="R80" s="19"/>
      <c r="S80" s="19"/>
      <c r="T80" s="19"/>
      <c r="U80" s="19"/>
      <c r="V80" s="19"/>
      <c r="W80" s="19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84" t="s">
        <v>27</v>
      </c>
      <c r="B81" s="84" t="s">
        <v>38</v>
      </c>
      <c r="C81" s="84" t="s">
        <v>39</v>
      </c>
      <c r="D81" s="84" t="s">
        <v>40</v>
      </c>
      <c r="E81" s="84" t="s">
        <v>25</v>
      </c>
      <c r="F81" s="84" t="s">
        <v>25</v>
      </c>
      <c r="G81" s="84" t="s">
        <v>25</v>
      </c>
      <c r="H81" s="84" t="s">
        <v>25</v>
      </c>
      <c r="I81" s="90">
        <v>44470</v>
      </c>
      <c r="J81" s="91">
        <f ca="1">EFEITO!$J$81*EFEITO!$Y$81</f>
        <v>47838.854888384107</v>
      </c>
      <c r="K81" s="91">
        <f>EFEITO!$L$81*EFEITO!$Z$81</f>
        <v>0</v>
      </c>
      <c r="L81" s="91">
        <f>EFEITO!$N$81*EFEITO!$AA$81</f>
        <v>0</v>
      </c>
      <c r="M81" s="91">
        <f ca="1">$J$81-EFEITO!$K$81*EFEITO!$Y$81</f>
        <v>0</v>
      </c>
      <c r="N81" s="91">
        <f>$K$81-EFEITO!$M$81*EFEITO!$Z$81</f>
        <v>0</v>
      </c>
      <c r="O81" s="91">
        <f>$L$81-EFEITO!$O$81*EFEITO!$AA$81</f>
        <v>0</v>
      </c>
      <c r="P81" s="19"/>
      <c r="Q81" s="19"/>
      <c r="R81" s="19"/>
      <c r="S81" s="19"/>
      <c r="T81" s="19"/>
      <c r="U81" s="19"/>
      <c r="V81" s="19"/>
      <c r="W81" s="19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84" t="s">
        <v>21</v>
      </c>
      <c r="B82" s="84" t="s">
        <v>38</v>
      </c>
      <c r="C82" s="84" t="s">
        <v>39</v>
      </c>
      <c r="D82" s="84" t="s">
        <v>40</v>
      </c>
      <c r="E82" s="84" t="s">
        <v>25</v>
      </c>
      <c r="F82" s="84" t="s">
        <v>25</v>
      </c>
      <c r="G82" s="84" t="s">
        <v>25</v>
      </c>
      <c r="H82" s="84" t="s">
        <v>25</v>
      </c>
      <c r="I82" s="90">
        <v>44501</v>
      </c>
      <c r="J82" s="91">
        <f ca="1">EFEITO!$J$82*EFEITO!$Y$82</f>
        <v>41792.936860068665</v>
      </c>
      <c r="K82" s="91">
        <f>EFEITO!$L$82*EFEITO!$Z$82</f>
        <v>0</v>
      </c>
      <c r="L82" s="91">
        <f>EFEITO!$N$82*EFEITO!$AA$82</f>
        <v>0</v>
      </c>
      <c r="M82" s="91">
        <f ca="1">$J$82-EFEITO!$K$82*EFEITO!$Y$82</f>
        <v>0</v>
      </c>
      <c r="N82" s="91">
        <f>$K$82-EFEITO!$M$82*EFEITO!$Z$82</f>
        <v>0</v>
      </c>
      <c r="O82" s="91">
        <f>$L$82-EFEITO!$O$82*EFEITO!$AA$82</f>
        <v>0</v>
      </c>
      <c r="P82" s="19"/>
      <c r="Q82" s="19"/>
      <c r="R82" s="19"/>
      <c r="S82" s="19"/>
      <c r="T82" s="19"/>
      <c r="U82" s="19"/>
      <c r="V82" s="19"/>
      <c r="W82" s="19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84" t="s">
        <v>27</v>
      </c>
      <c r="B83" s="84" t="s">
        <v>38</v>
      </c>
      <c r="C83" s="84" t="s">
        <v>39</v>
      </c>
      <c r="D83" s="84" t="s">
        <v>40</v>
      </c>
      <c r="E83" s="84" t="s">
        <v>25</v>
      </c>
      <c r="F83" s="84" t="s">
        <v>25</v>
      </c>
      <c r="G83" s="84" t="s">
        <v>25</v>
      </c>
      <c r="H83" s="84" t="s">
        <v>25</v>
      </c>
      <c r="I83" s="90">
        <v>44501</v>
      </c>
      <c r="J83" s="91">
        <f ca="1">EFEITO!$J$83*EFEITO!$Y$83</f>
        <v>24225.951260312944</v>
      </c>
      <c r="K83" s="91">
        <f>EFEITO!$L$83*EFEITO!$Z$83</f>
        <v>0</v>
      </c>
      <c r="L83" s="91">
        <f>EFEITO!$N$83*EFEITO!$AA$83</f>
        <v>0</v>
      </c>
      <c r="M83" s="91">
        <f ca="1">$J$83-EFEITO!$K$83*EFEITO!$Y$83</f>
        <v>0</v>
      </c>
      <c r="N83" s="91">
        <f>$K$83-EFEITO!$M$83*EFEITO!$Z$83</f>
        <v>0</v>
      </c>
      <c r="O83" s="91">
        <f>$L$83-EFEITO!$O$83*EFEITO!$AA$83</f>
        <v>0</v>
      </c>
      <c r="P83" s="19"/>
      <c r="Q83" s="19"/>
      <c r="R83" s="19"/>
      <c r="S83" s="19"/>
      <c r="T83" s="19"/>
      <c r="U83" s="19"/>
      <c r="V83" s="19"/>
      <c r="W83" s="19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84" t="s">
        <v>21</v>
      </c>
      <c r="B84" s="84" t="s">
        <v>38</v>
      </c>
      <c r="C84" s="84" t="s">
        <v>39</v>
      </c>
      <c r="D84" s="84" t="s">
        <v>40</v>
      </c>
      <c r="E84" s="84" t="s">
        <v>25</v>
      </c>
      <c r="F84" s="84" t="s">
        <v>25</v>
      </c>
      <c r="G84" s="84" t="s">
        <v>25</v>
      </c>
      <c r="H84" s="84" t="s">
        <v>25</v>
      </c>
      <c r="I84" s="90">
        <v>44531</v>
      </c>
      <c r="J84" s="91">
        <f ca="1">EFEITO!$J$84*EFEITO!$Y$84</f>
        <v>44160.569094933453</v>
      </c>
      <c r="K84" s="91">
        <f>EFEITO!$L$84*EFEITO!$Z$84</f>
        <v>0</v>
      </c>
      <c r="L84" s="91">
        <f>EFEITO!$N$84*EFEITO!$AA$84</f>
        <v>0</v>
      </c>
      <c r="M84" s="91">
        <f ca="1">$J$84-EFEITO!$K$84*EFEITO!$Y$84</f>
        <v>0</v>
      </c>
      <c r="N84" s="91">
        <f>$K$84-EFEITO!$M$84*EFEITO!$Z$84</f>
        <v>0</v>
      </c>
      <c r="O84" s="91">
        <f>$L$84-EFEITO!$O$84*EFEITO!$AA$84</f>
        <v>0</v>
      </c>
      <c r="P84" s="19"/>
      <c r="Q84" s="19"/>
      <c r="R84" s="19"/>
      <c r="S84" s="19"/>
      <c r="T84" s="19"/>
      <c r="U84" s="19"/>
      <c r="V84" s="19"/>
      <c r="W84" s="19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84" t="s">
        <v>27</v>
      </c>
      <c r="B85" s="84" t="s">
        <v>38</v>
      </c>
      <c r="C85" s="84" t="s">
        <v>39</v>
      </c>
      <c r="D85" s="84" t="s">
        <v>40</v>
      </c>
      <c r="E85" s="84" t="s">
        <v>25</v>
      </c>
      <c r="F85" s="84" t="s">
        <v>25</v>
      </c>
      <c r="G85" s="84" t="s">
        <v>25</v>
      </c>
      <c r="H85" s="84" t="s">
        <v>25</v>
      </c>
      <c r="I85" s="90">
        <v>44531</v>
      </c>
      <c r="J85" s="91">
        <f ca="1">EFEITO!$J$85*EFEITO!$Y$85</f>
        <v>16742.542232258158</v>
      </c>
      <c r="K85" s="91">
        <f>EFEITO!$L$85*EFEITO!$Z$85</f>
        <v>0</v>
      </c>
      <c r="L85" s="91">
        <f>EFEITO!$N$85*EFEITO!$AA$85</f>
        <v>0</v>
      </c>
      <c r="M85" s="91">
        <f ca="1">$J$85-EFEITO!$K$85*EFEITO!$Y$85</f>
        <v>0</v>
      </c>
      <c r="N85" s="91">
        <f>$K$85-EFEITO!$M$85*EFEITO!$Z$85</f>
        <v>0</v>
      </c>
      <c r="O85" s="91">
        <f>$L$85-EFEITO!$O$85*EFEITO!$AA$85</f>
        <v>0</v>
      </c>
      <c r="P85" s="19"/>
      <c r="Q85" s="19"/>
      <c r="R85" s="19"/>
      <c r="S85" s="19"/>
      <c r="T85" s="19"/>
      <c r="U85" s="19"/>
      <c r="V85" s="19"/>
      <c r="W85" s="19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84" t="s">
        <v>21</v>
      </c>
      <c r="B86" s="84" t="s">
        <v>38</v>
      </c>
      <c r="C86" s="84" t="s">
        <v>39</v>
      </c>
      <c r="D86" s="84" t="s">
        <v>40</v>
      </c>
      <c r="E86" s="84" t="s">
        <v>25</v>
      </c>
      <c r="F86" s="84" t="s">
        <v>25</v>
      </c>
      <c r="G86" s="84" t="s">
        <v>25</v>
      </c>
      <c r="H86" s="84" t="s">
        <v>25</v>
      </c>
      <c r="I86" s="90">
        <v>44562</v>
      </c>
      <c r="J86" s="91">
        <f ca="1">EFEITO!$J$86*EFEITO!$Y$86</f>
        <v>54201.866519583236</v>
      </c>
      <c r="K86" s="91">
        <f>EFEITO!$L$86*EFEITO!$Z$86</f>
        <v>0</v>
      </c>
      <c r="L86" s="91">
        <f>EFEITO!$N$86*EFEITO!$AA$86</f>
        <v>0</v>
      </c>
      <c r="M86" s="91">
        <f ca="1">$J$86-EFEITO!$K$86*EFEITO!$Y$86</f>
        <v>0</v>
      </c>
      <c r="N86" s="91">
        <f>$K$86-EFEITO!$M$86*EFEITO!$Z$86</f>
        <v>0</v>
      </c>
      <c r="O86" s="91">
        <f>$L$86-EFEITO!$O$86*EFEITO!$AA$86</f>
        <v>0</v>
      </c>
      <c r="P86" s="19"/>
      <c r="Q86" s="19"/>
      <c r="R86" s="19"/>
      <c r="S86" s="19"/>
      <c r="T86" s="19"/>
      <c r="U86" s="19"/>
      <c r="V86" s="19"/>
      <c r="W86" s="19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84" t="s">
        <v>27</v>
      </c>
      <c r="B87" s="84" t="s">
        <v>38</v>
      </c>
      <c r="C87" s="84" t="s">
        <v>39</v>
      </c>
      <c r="D87" s="84" t="s">
        <v>40</v>
      </c>
      <c r="E87" s="84" t="s">
        <v>25</v>
      </c>
      <c r="F87" s="84" t="s">
        <v>25</v>
      </c>
      <c r="G87" s="84" t="s">
        <v>25</v>
      </c>
      <c r="H87" s="84" t="s">
        <v>25</v>
      </c>
      <c r="I87" s="90">
        <v>44562</v>
      </c>
      <c r="J87" s="91">
        <f ca="1">EFEITO!$J$87*EFEITO!$Y$87</f>
        <v>12895.139850602875</v>
      </c>
      <c r="K87" s="91">
        <f>EFEITO!$L$87*EFEITO!$Z$87</f>
        <v>0</v>
      </c>
      <c r="L87" s="91">
        <f>EFEITO!$N$87*EFEITO!$AA$87</f>
        <v>0</v>
      </c>
      <c r="M87" s="91">
        <f ca="1">$J$87-EFEITO!$K$87*EFEITO!$Y$87</f>
        <v>0</v>
      </c>
      <c r="N87" s="91">
        <f>$K$87-EFEITO!$M$87*EFEITO!$Z$87</f>
        <v>0</v>
      </c>
      <c r="O87" s="91">
        <f>$L$87-EFEITO!$O$87*EFEITO!$AA$87</f>
        <v>0</v>
      </c>
      <c r="P87" s="19"/>
      <c r="Q87" s="19"/>
      <c r="R87" s="19"/>
      <c r="S87" s="19"/>
      <c r="T87" s="19"/>
      <c r="U87" s="19"/>
      <c r="V87" s="19"/>
      <c r="W87" s="19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84" t="s">
        <v>21</v>
      </c>
      <c r="B88" s="84" t="s">
        <v>38</v>
      </c>
      <c r="C88" s="84" t="s">
        <v>39</v>
      </c>
      <c r="D88" s="84" t="s">
        <v>40</v>
      </c>
      <c r="E88" s="84" t="s">
        <v>25</v>
      </c>
      <c r="F88" s="84" t="s">
        <v>25</v>
      </c>
      <c r="G88" s="84" t="s">
        <v>25</v>
      </c>
      <c r="H88" s="84" t="s">
        <v>25</v>
      </c>
      <c r="I88" s="90">
        <v>44593</v>
      </c>
      <c r="J88" s="91">
        <f ca="1">EFEITO!$J$88*EFEITO!$Y$88</f>
        <v>49931.67266741638</v>
      </c>
      <c r="K88" s="91">
        <f>EFEITO!$L$88*EFEITO!$Z$88</f>
        <v>0</v>
      </c>
      <c r="L88" s="91">
        <f>EFEITO!$N$88*EFEITO!$AA$88</f>
        <v>0</v>
      </c>
      <c r="M88" s="91">
        <f ca="1">$J$88-EFEITO!$K$88*EFEITO!$Y$88</f>
        <v>0</v>
      </c>
      <c r="N88" s="91">
        <f>$K$88-EFEITO!$M$88*EFEITO!$Z$88</f>
        <v>0</v>
      </c>
      <c r="O88" s="91">
        <f>$L$88-EFEITO!$O$88*EFEITO!$AA$88</f>
        <v>0</v>
      </c>
      <c r="P88" s="19"/>
      <c r="Q88" s="19"/>
      <c r="R88" s="19"/>
      <c r="S88" s="19"/>
      <c r="T88" s="19"/>
      <c r="U88" s="19"/>
      <c r="V88" s="19"/>
      <c r="W88" s="19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84" t="s">
        <v>27</v>
      </c>
      <c r="B89" s="84" t="s">
        <v>38</v>
      </c>
      <c r="C89" s="84" t="s">
        <v>39</v>
      </c>
      <c r="D89" s="84" t="s">
        <v>40</v>
      </c>
      <c r="E89" s="84" t="s">
        <v>25</v>
      </c>
      <c r="F89" s="84" t="s">
        <v>25</v>
      </c>
      <c r="G89" s="84" t="s">
        <v>25</v>
      </c>
      <c r="H89" s="84" t="s">
        <v>25</v>
      </c>
      <c r="I89" s="90">
        <v>44593</v>
      </c>
      <c r="J89" s="91">
        <f ca="1">EFEITO!$J$89*EFEITO!$Y$89</f>
        <v>12218.673497784364</v>
      </c>
      <c r="K89" s="91">
        <f>EFEITO!$L$89*EFEITO!$Z$89</f>
        <v>0</v>
      </c>
      <c r="L89" s="91">
        <f>EFEITO!$N$89*EFEITO!$AA$89</f>
        <v>0</v>
      </c>
      <c r="M89" s="91">
        <f ca="1">$J$89-EFEITO!$K$89*EFEITO!$Y$89</f>
        <v>0</v>
      </c>
      <c r="N89" s="91">
        <f>$K$89-EFEITO!$M$89*EFEITO!$Z$89</f>
        <v>0</v>
      </c>
      <c r="O89" s="91">
        <f>$L$89-EFEITO!$O$89*EFEITO!$AA$89</f>
        <v>0</v>
      </c>
      <c r="P89" s="19"/>
      <c r="Q89" s="19"/>
      <c r="R89" s="19"/>
      <c r="S89" s="19"/>
      <c r="T89" s="19"/>
      <c r="U89" s="19"/>
      <c r="V89" s="19"/>
      <c r="W89" s="19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84" t="s">
        <v>21</v>
      </c>
      <c r="B90" s="84" t="s">
        <v>38</v>
      </c>
      <c r="C90" s="84" t="s">
        <v>39</v>
      </c>
      <c r="D90" s="84" t="s">
        <v>40</v>
      </c>
      <c r="E90" s="84" t="s">
        <v>25</v>
      </c>
      <c r="F90" s="84" t="s">
        <v>25</v>
      </c>
      <c r="G90" s="84" t="s">
        <v>25</v>
      </c>
      <c r="H90" s="84" t="s">
        <v>25</v>
      </c>
      <c r="I90" s="90">
        <v>44621</v>
      </c>
      <c r="J90" s="91">
        <f ca="1">EFEITO!$J$90*EFEITO!$Y$90</f>
        <v>50291.045417351212</v>
      </c>
      <c r="K90" s="91">
        <f>EFEITO!$L$90*EFEITO!$Z$90</f>
        <v>0</v>
      </c>
      <c r="L90" s="91">
        <f>EFEITO!$N$90*EFEITO!$AA$90</f>
        <v>0</v>
      </c>
      <c r="M90" s="91">
        <f ca="1">$J$90-EFEITO!$K$90*EFEITO!$Y$90</f>
        <v>0</v>
      </c>
      <c r="N90" s="91">
        <f>$K$90-EFEITO!$M$90*EFEITO!$Z$90</f>
        <v>0</v>
      </c>
      <c r="O90" s="91">
        <f>$L$90-EFEITO!$O$90*EFEITO!$AA$90</f>
        <v>0</v>
      </c>
      <c r="P90" s="19"/>
      <c r="Q90" s="19"/>
      <c r="R90" s="19"/>
      <c r="S90" s="19"/>
      <c r="T90" s="19"/>
      <c r="U90" s="19"/>
      <c r="V90" s="19"/>
      <c r="W90" s="19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84" t="s">
        <v>27</v>
      </c>
      <c r="B91" s="84" t="s">
        <v>38</v>
      </c>
      <c r="C91" s="84" t="s">
        <v>39</v>
      </c>
      <c r="D91" s="84" t="s">
        <v>40</v>
      </c>
      <c r="E91" s="84" t="s">
        <v>25</v>
      </c>
      <c r="F91" s="84" t="s">
        <v>25</v>
      </c>
      <c r="G91" s="84" t="s">
        <v>25</v>
      </c>
      <c r="H91" s="84" t="s">
        <v>25</v>
      </c>
      <c r="I91" s="90">
        <v>44621</v>
      </c>
      <c r="J91" s="91">
        <f ca="1">EFEITO!$J$91*EFEITO!$Y$91</f>
        <v>13148.814732909817</v>
      </c>
      <c r="K91" s="91">
        <f>EFEITO!$L$91*EFEITO!$Z$91</f>
        <v>0</v>
      </c>
      <c r="L91" s="91">
        <f>EFEITO!$N$91*EFEITO!$AA$91</f>
        <v>0</v>
      </c>
      <c r="M91" s="91">
        <f ca="1">$J$91-EFEITO!$K$91*EFEITO!$Y$91</f>
        <v>0</v>
      </c>
      <c r="N91" s="91">
        <f>$K$91-EFEITO!$M$91*EFEITO!$Z$91</f>
        <v>0</v>
      </c>
      <c r="O91" s="91">
        <f>$L$91-EFEITO!$O$91*EFEITO!$AA$91</f>
        <v>0</v>
      </c>
      <c r="P91" s="19"/>
      <c r="Q91" s="19"/>
      <c r="R91" s="19"/>
      <c r="S91" s="19"/>
      <c r="T91" s="19"/>
      <c r="U91" s="19"/>
      <c r="V91" s="19"/>
      <c r="W91" s="19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84" t="s">
        <v>21</v>
      </c>
      <c r="B92" s="84" t="s">
        <v>38</v>
      </c>
      <c r="C92" s="84" t="s">
        <v>39</v>
      </c>
      <c r="D92" s="84" t="s">
        <v>40</v>
      </c>
      <c r="E92" s="84" t="s">
        <v>25</v>
      </c>
      <c r="F92" s="84" t="s">
        <v>25</v>
      </c>
      <c r="G92" s="84" t="s">
        <v>25</v>
      </c>
      <c r="H92" s="84" t="s">
        <v>25</v>
      </c>
      <c r="I92" s="90">
        <v>44652</v>
      </c>
      <c r="J92" s="91">
        <f ca="1">EFEITO!$J$92*EFEITO!$Y$92</f>
        <v>18898.778731867165</v>
      </c>
      <c r="K92" s="91">
        <f>EFEITO!$L$92*EFEITO!$Z$92</f>
        <v>0</v>
      </c>
      <c r="L92" s="91">
        <f>EFEITO!$N$92*EFEITO!$AA$92</f>
        <v>0</v>
      </c>
      <c r="M92" s="91">
        <f ca="1">$J$92-EFEITO!$K$92*EFEITO!$Y$92</f>
        <v>0</v>
      </c>
      <c r="N92" s="91">
        <f>$K$92-EFEITO!$M$92*EFEITO!$Z$92</f>
        <v>0</v>
      </c>
      <c r="O92" s="91">
        <f>$L$92-EFEITO!$O$92*EFEITO!$AA$92</f>
        <v>0</v>
      </c>
      <c r="P92" s="19"/>
      <c r="Q92" s="19"/>
      <c r="R92" s="19"/>
      <c r="S92" s="19"/>
      <c r="T92" s="19"/>
      <c r="U92" s="19"/>
      <c r="V92" s="19"/>
      <c r="W92" s="19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84" t="s">
        <v>27</v>
      </c>
      <c r="B93" s="84" t="s">
        <v>38</v>
      </c>
      <c r="C93" s="84" t="s">
        <v>39</v>
      </c>
      <c r="D93" s="84" t="s">
        <v>40</v>
      </c>
      <c r="E93" s="84" t="s">
        <v>25</v>
      </c>
      <c r="F93" s="84" t="s">
        <v>25</v>
      </c>
      <c r="G93" s="84" t="s">
        <v>25</v>
      </c>
      <c r="H93" s="84" t="s">
        <v>25</v>
      </c>
      <c r="I93" s="90">
        <v>44652</v>
      </c>
      <c r="J93" s="91">
        <f ca="1">EFEITO!$J$93*EFEITO!$Y$93</f>
        <v>49614.5790645327</v>
      </c>
      <c r="K93" s="91">
        <f>EFEITO!$L$93*EFEITO!$Z$93</f>
        <v>0</v>
      </c>
      <c r="L93" s="91">
        <f>EFEITO!$N$93*EFEITO!$AA$93</f>
        <v>0</v>
      </c>
      <c r="M93" s="91">
        <f ca="1">$J$93-EFEITO!$K$93*EFEITO!$Y$93</f>
        <v>0</v>
      </c>
      <c r="N93" s="91">
        <f>$K$93-EFEITO!$M$93*EFEITO!$Z$93</f>
        <v>0</v>
      </c>
      <c r="O93" s="91">
        <f>$L$93-EFEITO!$O$93*EFEITO!$AA$93</f>
        <v>0</v>
      </c>
      <c r="P93" s="19"/>
      <c r="Q93" s="19"/>
      <c r="R93" s="19"/>
      <c r="S93" s="19"/>
      <c r="T93" s="19"/>
      <c r="U93" s="19"/>
      <c r="V93" s="19"/>
      <c r="W93" s="19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84" t="s">
        <v>21</v>
      </c>
      <c r="B94" s="84" t="s">
        <v>38</v>
      </c>
      <c r="C94" s="84" t="s">
        <v>39</v>
      </c>
      <c r="D94" s="84" t="s">
        <v>40</v>
      </c>
      <c r="E94" s="84" t="s">
        <v>25</v>
      </c>
      <c r="F94" s="84" t="s">
        <v>25</v>
      </c>
      <c r="G94" s="84" t="s">
        <v>25</v>
      </c>
      <c r="H94" s="84" t="s">
        <v>25</v>
      </c>
      <c r="I94" s="90">
        <v>44682</v>
      </c>
      <c r="J94" s="91">
        <f ca="1">EFEITO!$J$94*EFEITO!$Y$94</f>
        <v>18729.662143662536</v>
      </c>
      <c r="K94" s="91">
        <f>EFEITO!$L$94*EFEITO!$Z$94</f>
        <v>0</v>
      </c>
      <c r="L94" s="91">
        <f>EFEITO!$N$94*EFEITO!$AA$94</f>
        <v>0</v>
      </c>
      <c r="M94" s="91">
        <f ca="1">$J$94-EFEITO!$K$94*EFEITO!$Y$94</f>
        <v>0</v>
      </c>
      <c r="N94" s="91">
        <f>$K$94-EFEITO!$M$94*EFEITO!$Z$94</f>
        <v>0</v>
      </c>
      <c r="O94" s="91">
        <f>$L$94-EFEITO!$O$94*EFEITO!$AA$94</f>
        <v>0</v>
      </c>
      <c r="P94" s="19"/>
      <c r="Q94" s="19"/>
      <c r="R94" s="19"/>
      <c r="S94" s="19"/>
      <c r="T94" s="19"/>
      <c r="U94" s="19"/>
      <c r="V94" s="19"/>
      <c r="W94" s="19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84" t="s">
        <v>27</v>
      </c>
      <c r="B95" s="84" t="s">
        <v>38</v>
      </c>
      <c r="C95" s="84" t="s">
        <v>39</v>
      </c>
      <c r="D95" s="84" t="s">
        <v>40</v>
      </c>
      <c r="E95" s="84" t="s">
        <v>25</v>
      </c>
      <c r="F95" s="84" t="s">
        <v>25</v>
      </c>
      <c r="G95" s="84" t="s">
        <v>25</v>
      </c>
      <c r="H95" s="84" t="s">
        <v>25</v>
      </c>
      <c r="I95" s="90">
        <v>44682</v>
      </c>
      <c r="J95" s="91">
        <f ca="1">EFEITO!$J$95*EFEITO!$Y$95</f>
        <v>46718.457491528447</v>
      </c>
      <c r="K95" s="91">
        <f>EFEITO!$L$95*EFEITO!$Z$95</f>
        <v>0</v>
      </c>
      <c r="L95" s="91">
        <f>EFEITO!$N$95*EFEITO!$AA$95</f>
        <v>0</v>
      </c>
      <c r="M95" s="91">
        <f ca="1">$J$95-EFEITO!$K$95*EFEITO!$Y$95</f>
        <v>0</v>
      </c>
      <c r="N95" s="91">
        <f>$K$95-EFEITO!$M$95*EFEITO!$Z$95</f>
        <v>0</v>
      </c>
      <c r="O95" s="91">
        <f>$L$95-EFEITO!$O$95*EFEITO!$AA$95</f>
        <v>0</v>
      </c>
      <c r="P95" s="19"/>
      <c r="Q95" s="19"/>
      <c r="R95" s="19"/>
      <c r="S95" s="19"/>
      <c r="T95" s="19"/>
      <c r="U95" s="19"/>
      <c r="V95" s="19"/>
      <c r="W95" s="19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84" t="s">
        <v>55</v>
      </c>
      <c r="B96" s="84" t="s">
        <v>38</v>
      </c>
      <c r="C96" s="84" t="s">
        <v>39</v>
      </c>
      <c r="D96" s="84" t="s">
        <v>40</v>
      </c>
      <c r="E96" s="84" t="s">
        <v>25</v>
      </c>
      <c r="F96" s="84" t="s">
        <v>25</v>
      </c>
      <c r="G96" s="84" t="s">
        <v>25</v>
      </c>
      <c r="H96" s="84" t="s">
        <v>25</v>
      </c>
      <c r="I96" s="90">
        <v>44713</v>
      </c>
      <c r="J96" s="91">
        <f ca="1">EFEITO!$J$96*EFEITO!$Y$96</f>
        <v>18729.662143662536</v>
      </c>
      <c r="K96" s="91">
        <f>EFEITO!$L$96*EFEITO!$Z$96</f>
        <v>0</v>
      </c>
      <c r="L96" s="91">
        <f>EFEITO!$N$96*EFEITO!$AA$96</f>
        <v>0</v>
      </c>
      <c r="M96" s="91">
        <f ca="1">$J$96-EFEITO!$K$96*EFEITO!$Y$96</f>
        <v>0</v>
      </c>
      <c r="N96" s="91">
        <f>$K$96-EFEITO!$M$96*EFEITO!$Z$96</f>
        <v>0</v>
      </c>
      <c r="O96" s="91">
        <f>$L$96-EFEITO!$O$96*EFEITO!$AA$96</f>
        <v>0</v>
      </c>
      <c r="P96" s="19"/>
      <c r="Q96" s="19"/>
      <c r="R96" s="19"/>
      <c r="S96" s="19"/>
      <c r="T96" s="19"/>
      <c r="U96" s="19"/>
      <c r="V96" s="19"/>
      <c r="W96" s="19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84" t="s">
        <v>55</v>
      </c>
      <c r="B97" s="84" t="s">
        <v>38</v>
      </c>
      <c r="C97" s="84" t="s">
        <v>39</v>
      </c>
      <c r="D97" s="84" t="s">
        <v>40</v>
      </c>
      <c r="E97" s="84" t="s">
        <v>25</v>
      </c>
      <c r="F97" s="84" t="s">
        <v>25</v>
      </c>
      <c r="G97" s="84" t="s">
        <v>25</v>
      </c>
      <c r="H97" s="84" t="s">
        <v>25</v>
      </c>
      <c r="I97" s="90">
        <v>44713</v>
      </c>
      <c r="J97" s="91">
        <f ca="1">EFEITO!$J$97*EFEITO!$Y$97</f>
        <v>46718.457491528447</v>
      </c>
      <c r="K97" s="91">
        <f>EFEITO!$L$97*EFEITO!$Z$97</f>
        <v>0</v>
      </c>
      <c r="L97" s="91">
        <f>EFEITO!$N$97*EFEITO!$AA$97</f>
        <v>0</v>
      </c>
      <c r="M97" s="91">
        <f ca="1">$J$97-EFEITO!$K$97*EFEITO!$Y$97</f>
        <v>0</v>
      </c>
      <c r="N97" s="91">
        <f>$K$97-EFEITO!$M$97*EFEITO!$Z$97</f>
        <v>0</v>
      </c>
      <c r="O97" s="91">
        <f>$L$97-EFEITO!$O$97*EFEITO!$AA$97</f>
        <v>0</v>
      </c>
      <c r="P97" s="19"/>
      <c r="Q97" s="19"/>
      <c r="R97" s="19"/>
      <c r="S97" s="19"/>
      <c r="T97" s="19"/>
      <c r="U97" s="19"/>
      <c r="V97" s="19"/>
      <c r="W97" s="19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84" t="s">
        <v>21</v>
      </c>
      <c r="B98" s="84" t="s">
        <v>38</v>
      </c>
      <c r="C98" s="84" t="s">
        <v>39</v>
      </c>
      <c r="D98" s="84" t="s">
        <v>40</v>
      </c>
      <c r="E98" s="84" t="s">
        <v>25</v>
      </c>
      <c r="F98" s="84" t="s">
        <v>25</v>
      </c>
      <c r="G98" s="84" t="s">
        <v>25</v>
      </c>
      <c r="H98" s="84" t="s">
        <v>33</v>
      </c>
      <c r="I98" s="90">
        <v>44378</v>
      </c>
      <c r="J98" s="91">
        <f>EFEITO!$J$98*EFEITO!$Y$98</f>
        <v>0</v>
      </c>
      <c r="K98" s="91">
        <f ca="1">EFEITO!$L$98*EFEITO!$Z$98</f>
        <v>6660.8864339380643</v>
      </c>
      <c r="L98" s="91">
        <f>EFEITO!$N$98*EFEITO!$AA$98</f>
        <v>4237.285154346464</v>
      </c>
      <c r="M98" s="91">
        <f>$J$98-EFEITO!$K$98*EFEITO!$Y$98</f>
        <v>0</v>
      </c>
      <c r="N98" s="91">
        <f ca="1">$K$98-EFEITO!$M$98*EFEITO!$Z$98</f>
        <v>0</v>
      </c>
      <c r="O98" s="91">
        <f>$L$98-EFEITO!$O$98*EFEITO!$AA$98</f>
        <v>0</v>
      </c>
      <c r="P98" s="19"/>
      <c r="Q98" s="19"/>
      <c r="R98" s="19"/>
      <c r="S98" s="19"/>
      <c r="T98" s="19"/>
      <c r="U98" s="19"/>
      <c r="V98" s="19"/>
      <c r="W98" s="19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84" t="s">
        <v>27</v>
      </c>
      <c r="B99" s="84" t="s">
        <v>38</v>
      </c>
      <c r="C99" s="84" t="s">
        <v>39</v>
      </c>
      <c r="D99" s="84" t="s">
        <v>40</v>
      </c>
      <c r="E99" s="84" t="s">
        <v>25</v>
      </c>
      <c r="F99" s="84" t="s">
        <v>25</v>
      </c>
      <c r="G99" s="84" t="s">
        <v>25</v>
      </c>
      <c r="H99" s="84" t="s">
        <v>33</v>
      </c>
      <c r="I99" s="90">
        <v>44378</v>
      </c>
      <c r="J99" s="91">
        <f>EFEITO!$J$99*EFEITO!$Y$99</f>
        <v>0</v>
      </c>
      <c r="K99" s="91">
        <f ca="1">EFEITO!$L$99*EFEITO!$Z$99</f>
        <v>3874.7764123030647</v>
      </c>
      <c r="L99" s="91">
        <f>EFEITO!$N$99*EFEITO!$AA$99</f>
        <v>2464.917054374192</v>
      </c>
      <c r="M99" s="91">
        <f>$J$99-EFEITO!$K$99*EFEITO!$Y$99</f>
        <v>0</v>
      </c>
      <c r="N99" s="91">
        <f ca="1">$K$99-EFEITO!$M$99*EFEITO!$Z$99</f>
        <v>0</v>
      </c>
      <c r="O99" s="91">
        <f>$L$99-EFEITO!$O$99*EFEITO!$AA$99</f>
        <v>0</v>
      </c>
      <c r="P99" s="19"/>
      <c r="Q99" s="19"/>
      <c r="R99" s="19"/>
      <c r="S99" s="19"/>
      <c r="T99" s="19"/>
      <c r="U99" s="19"/>
      <c r="V99" s="19"/>
      <c r="W99" s="19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84" t="s">
        <v>21</v>
      </c>
      <c r="B100" s="84" t="s">
        <v>38</v>
      </c>
      <c r="C100" s="84" t="s">
        <v>39</v>
      </c>
      <c r="D100" s="84" t="s">
        <v>40</v>
      </c>
      <c r="E100" s="84" t="s">
        <v>25</v>
      </c>
      <c r="F100" s="84" t="s">
        <v>25</v>
      </c>
      <c r="G100" s="84" t="s">
        <v>25</v>
      </c>
      <c r="H100" s="84" t="s">
        <v>33</v>
      </c>
      <c r="I100" s="90">
        <v>44409</v>
      </c>
      <c r="J100" s="91">
        <f>EFEITO!$J$100*EFEITO!$Y$100</f>
        <v>0</v>
      </c>
      <c r="K100" s="91">
        <f ca="1">EFEITO!$L$100*EFEITO!$Z$100</f>
        <v>8385.8595598414304</v>
      </c>
      <c r="L100" s="91">
        <f>EFEITO!$N$100*EFEITO!$AA$100</f>
        <v>5334.6170320970932</v>
      </c>
      <c r="M100" s="91">
        <f>$J$100-EFEITO!$K$100*EFEITO!$Y$100</f>
        <v>0</v>
      </c>
      <c r="N100" s="91">
        <f ca="1">$K$100-EFEITO!$M$100*EFEITO!$Z$100</f>
        <v>0</v>
      </c>
      <c r="O100" s="91">
        <f>$L$100-EFEITO!$O$100*EFEITO!$AA$100</f>
        <v>0</v>
      </c>
      <c r="P100" s="19"/>
      <c r="Q100" s="19"/>
      <c r="R100" s="19"/>
      <c r="S100" s="19"/>
      <c r="T100" s="19"/>
      <c r="U100" s="19"/>
      <c r="V100" s="19"/>
      <c r="W100" s="19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84" t="s">
        <v>27</v>
      </c>
      <c r="B101" s="84" t="s">
        <v>38</v>
      </c>
      <c r="C101" s="84" t="s">
        <v>39</v>
      </c>
      <c r="D101" s="84" t="s">
        <v>40</v>
      </c>
      <c r="E101" s="84" t="s">
        <v>25</v>
      </c>
      <c r="F101" s="84" t="s">
        <v>25</v>
      </c>
      <c r="G101" s="84" t="s">
        <v>25</v>
      </c>
      <c r="H101" s="84" t="s">
        <v>33</v>
      </c>
      <c r="I101" s="90">
        <v>44409</v>
      </c>
      <c r="J101" s="91">
        <f>EFEITO!$J$101*EFEITO!$Y$101</f>
        <v>0</v>
      </c>
      <c r="K101" s="91">
        <f ca="1">EFEITO!$L$101*EFEITO!$Z$101</f>
        <v>4833.303372362534</v>
      </c>
      <c r="L101" s="91">
        <f>EFEITO!$N$101*EFEITO!$AA$101</f>
        <v>3074.678547560251</v>
      </c>
      <c r="M101" s="91">
        <f>$J$101-EFEITO!$K$101*EFEITO!$Y$101</f>
        <v>0</v>
      </c>
      <c r="N101" s="91">
        <f ca="1">$K$101-EFEITO!$M$101*EFEITO!$Z$101</f>
        <v>0</v>
      </c>
      <c r="O101" s="91">
        <f>$L$101-EFEITO!$O$101*EFEITO!$AA$101</f>
        <v>0</v>
      </c>
      <c r="P101" s="19"/>
      <c r="Q101" s="19"/>
      <c r="R101" s="19"/>
      <c r="S101" s="19"/>
      <c r="T101" s="19"/>
      <c r="U101" s="19"/>
      <c r="V101" s="19"/>
      <c r="W101" s="19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84" t="s">
        <v>21</v>
      </c>
      <c r="B102" s="84" t="s">
        <v>38</v>
      </c>
      <c r="C102" s="84" t="s">
        <v>39</v>
      </c>
      <c r="D102" s="84" t="s">
        <v>40</v>
      </c>
      <c r="E102" s="84" t="s">
        <v>25</v>
      </c>
      <c r="F102" s="84" t="s">
        <v>25</v>
      </c>
      <c r="G102" s="84" t="s">
        <v>25</v>
      </c>
      <c r="H102" s="84" t="s">
        <v>33</v>
      </c>
      <c r="I102" s="90">
        <v>44440</v>
      </c>
      <c r="J102" s="91">
        <f>EFEITO!$J$102*EFEITO!$Y$102</f>
        <v>0</v>
      </c>
      <c r="K102" s="91">
        <f ca="1">EFEITO!$L$102*EFEITO!$Z$102</f>
        <v>7110.7434080129715</v>
      </c>
      <c r="L102" s="91">
        <f>EFEITO!$N$102*EFEITO!$AA$102</f>
        <v>4523.4591188378326</v>
      </c>
      <c r="M102" s="91">
        <f>$J$102-EFEITO!$K$102*EFEITO!$Y$102</f>
        <v>0</v>
      </c>
      <c r="N102" s="91">
        <f ca="1">$K$102-EFEITO!$M$102*EFEITO!$Z$102</f>
        <v>0</v>
      </c>
      <c r="O102" s="91">
        <f>$L$102-EFEITO!$O$102*EFEITO!$AA$102</f>
        <v>0</v>
      </c>
      <c r="P102" s="19"/>
      <c r="Q102" s="19"/>
      <c r="R102" s="19"/>
      <c r="S102" s="19"/>
      <c r="T102" s="19"/>
      <c r="U102" s="19"/>
      <c r="V102" s="19"/>
      <c r="W102" s="19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84" t="s">
        <v>27</v>
      </c>
      <c r="B103" s="84" t="s">
        <v>38</v>
      </c>
      <c r="C103" s="84" t="s">
        <v>39</v>
      </c>
      <c r="D103" s="84" t="s">
        <v>40</v>
      </c>
      <c r="E103" s="84" t="s">
        <v>25</v>
      </c>
      <c r="F103" s="84" t="s">
        <v>25</v>
      </c>
      <c r="G103" s="84" t="s">
        <v>25</v>
      </c>
      <c r="H103" s="84" t="s">
        <v>33</v>
      </c>
      <c r="I103" s="90">
        <v>44440</v>
      </c>
      <c r="J103" s="91">
        <f>EFEITO!$J$103*EFEITO!$Y$103</f>
        <v>0</v>
      </c>
      <c r="K103" s="91">
        <f ca="1">EFEITO!$L$103*EFEITO!$Z$103</f>
        <v>742.04502260478523</v>
      </c>
      <c r="L103" s="91">
        <f>EFEITO!$N$103*EFEITO!$AA$103</f>
        <v>472.04773558659645</v>
      </c>
      <c r="M103" s="91">
        <f>$J$103-EFEITO!$K$103*EFEITO!$Y$103</f>
        <v>0</v>
      </c>
      <c r="N103" s="91">
        <f ca="1">$K$103-EFEITO!$M$103*EFEITO!$Z$103</f>
        <v>0</v>
      </c>
      <c r="O103" s="91">
        <f>$L$103-EFEITO!$O$103*EFEITO!$AA$103</f>
        <v>0</v>
      </c>
      <c r="P103" s="19"/>
      <c r="Q103" s="19"/>
      <c r="R103" s="19"/>
      <c r="S103" s="19"/>
      <c r="T103" s="19"/>
      <c r="U103" s="19"/>
      <c r="V103" s="19"/>
      <c r="W103" s="19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84" t="s">
        <v>21</v>
      </c>
      <c r="B104" s="84" t="s">
        <v>38</v>
      </c>
      <c r="C104" s="84" t="s">
        <v>39</v>
      </c>
      <c r="D104" s="84" t="s">
        <v>40</v>
      </c>
      <c r="E104" s="84" t="s">
        <v>25</v>
      </c>
      <c r="F104" s="84" t="s">
        <v>25</v>
      </c>
      <c r="G104" s="84" t="s">
        <v>25</v>
      </c>
      <c r="H104" s="84" t="s">
        <v>33</v>
      </c>
      <c r="I104" s="90">
        <v>44470</v>
      </c>
      <c r="J104" s="91">
        <f>EFEITO!$J$104*EFEITO!$Y$104</f>
        <v>0</v>
      </c>
      <c r="K104" s="91">
        <f ca="1">EFEITO!$L$104*EFEITO!$Z$104</f>
        <v>6682.7848958193172</v>
      </c>
      <c r="L104" s="91">
        <f>EFEITO!$N$104*EFEITO!$AA$104</f>
        <v>4251.2157367625941</v>
      </c>
      <c r="M104" s="91">
        <f>$J$104-EFEITO!$K$104*EFEITO!$Y$104</f>
        <v>0</v>
      </c>
      <c r="N104" s="91">
        <f ca="1">$K$104-EFEITO!$M$104*EFEITO!$Z$104</f>
        <v>0</v>
      </c>
      <c r="O104" s="91">
        <f>$L$104-EFEITO!$O$104*EFEITO!$AA$104</f>
        <v>0</v>
      </c>
      <c r="P104" s="19"/>
      <c r="Q104" s="19"/>
      <c r="R104" s="19"/>
      <c r="S104" s="19"/>
      <c r="T104" s="19"/>
      <c r="U104" s="19"/>
      <c r="V104" s="19"/>
      <c r="W104" s="19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84" t="s">
        <v>27</v>
      </c>
      <c r="B105" s="84" t="s">
        <v>38</v>
      </c>
      <c r="C105" s="84" t="s">
        <v>39</v>
      </c>
      <c r="D105" s="84" t="s">
        <v>40</v>
      </c>
      <c r="E105" s="84" t="s">
        <v>25</v>
      </c>
      <c r="F105" s="84" t="s">
        <v>25</v>
      </c>
      <c r="G105" s="84" t="s">
        <v>25</v>
      </c>
      <c r="H105" s="84" t="s">
        <v>33</v>
      </c>
      <c r="I105" s="90">
        <v>44470</v>
      </c>
      <c r="J105" s="91">
        <f>EFEITO!$J$105*EFEITO!$Y$105</f>
        <v>0</v>
      </c>
      <c r="K105" s="91">
        <f ca="1">EFEITO!$L$105*EFEITO!$Z$105</f>
        <v>4068.7342175370304</v>
      </c>
      <c r="L105" s="91">
        <f>EFEITO!$N$105*EFEITO!$AA$105</f>
        <v>2588.3022129170631</v>
      </c>
      <c r="M105" s="91">
        <f>$J$105-EFEITO!$K$105*EFEITO!$Y$105</f>
        <v>0</v>
      </c>
      <c r="N105" s="91">
        <f ca="1">$K$105-EFEITO!$M$105*EFEITO!$Z$105</f>
        <v>0</v>
      </c>
      <c r="O105" s="91">
        <f>$L$105-EFEITO!$O$105*EFEITO!$AA$105</f>
        <v>0</v>
      </c>
      <c r="P105" s="19"/>
      <c r="Q105" s="19"/>
      <c r="R105" s="19"/>
      <c r="S105" s="19"/>
      <c r="T105" s="19"/>
      <c r="U105" s="19"/>
      <c r="V105" s="19"/>
      <c r="W105" s="19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84" t="s">
        <v>21</v>
      </c>
      <c r="B106" s="84" t="s">
        <v>38</v>
      </c>
      <c r="C106" s="84" t="s">
        <v>39</v>
      </c>
      <c r="D106" s="84" t="s">
        <v>40</v>
      </c>
      <c r="E106" s="84" t="s">
        <v>25</v>
      </c>
      <c r="F106" s="84" t="s">
        <v>25</v>
      </c>
      <c r="G106" s="84" t="s">
        <v>25</v>
      </c>
      <c r="H106" s="84" t="s">
        <v>33</v>
      </c>
      <c r="I106" s="90">
        <v>44501</v>
      </c>
      <c r="J106" s="91">
        <f>EFEITO!$J$106*EFEITO!$Y$106</f>
        <v>0</v>
      </c>
      <c r="K106" s="91">
        <f ca="1">EFEITO!$L$106*EFEITO!$Z$106</f>
        <v>23199.856187340163</v>
      </c>
      <c r="L106" s="91">
        <f>EFEITO!$N$106*EFEITO!$AA$106</f>
        <v>14758.457028289205</v>
      </c>
      <c r="M106" s="91">
        <f>$J$106-EFEITO!$K$106*EFEITO!$Y$106</f>
        <v>0</v>
      </c>
      <c r="N106" s="91">
        <f ca="1">$K$106-EFEITO!$M$106*EFEITO!$Z$106</f>
        <v>0</v>
      </c>
      <c r="O106" s="91">
        <f>$L$106-EFEITO!$O$106*EFEITO!$AA$106</f>
        <v>0</v>
      </c>
      <c r="P106" s="19"/>
      <c r="Q106" s="19"/>
      <c r="R106" s="19"/>
      <c r="S106" s="19"/>
      <c r="T106" s="19"/>
      <c r="U106" s="19"/>
      <c r="V106" s="19"/>
      <c r="W106" s="19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84" t="s">
        <v>27</v>
      </c>
      <c r="B107" s="84" t="s">
        <v>38</v>
      </c>
      <c r="C107" s="84" t="s">
        <v>39</v>
      </c>
      <c r="D107" s="84" t="s">
        <v>40</v>
      </c>
      <c r="E107" s="84" t="s">
        <v>25</v>
      </c>
      <c r="F107" s="84" t="s">
        <v>25</v>
      </c>
      <c r="G107" s="84" t="s">
        <v>25</v>
      </c>
      <c r="H107" s="84" t="s">
        <v>33</v>
      </c>
      <c r="I107" s="90">
        <v>44501</v>
      </c>
      <c r="J107" s="91">
        <f>EFEITO!$J$107*EFEITO!$Y$107</f>
        <v>0</v>
      </c>
      <c r="K107" s="91">
        <f ca="1">EFEITO!$L$107*EFEITO!$Z$107</f>
        <v>3060.7793006598731</v>
      </c>
      <c r="L107" s="91">
        <f>EFEITO!$N$107*EFEITO!$AA$107</f>
        <v>1947.0974051345954</v>
      </c>
      <c r="M107" s="91">
        <f>$J$107-EFEITO!$K$107*EFEITO!$Y$107</f>
        <v>0</v>
      </c>
      <c r="N107" s="91">
        <f ca="1">$K$107-EFEITO!$M$107*EFEITO!$Z$107</f>
        <v>0</v>
      </c>
      <c r="O107" s="91">
        <f>$L$107-EFEITO!$O$107*EFEITO!$AA$107</f>
        <v>0</v>
      </c>
      <c r="P107" s="19"/>
      <c r="Q107" s="19"/>
      <c r="R107" s="19"/>
      <c r="S107" s="19"/>
      <c r="T107" s="19"/>
      <c r="U107" s="19"/>
      <c r="V107" s="19"/>
      <c r="W107" s="19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84" t="s">
        <v>21</v>
      </c>
      <c r="B108" s="84" t="s">
        <v>38</v>
      </c>
      <c r="C108" s="84" t="s">
        <v>39</v>
      </c>
      <c r="D108" s="84" t="s">
        <v>40</v>
      </c>
      <c r="E108" s="84" t="s">
        <v>25</v>
      </c>
      <c r="F108" s="84" t="s">
        <v>25</v>
      </c>
      <c r="G108" s="84" t="s">
        <v>25</v>
      </c>
      <c r="H108" s="84" t="s">
        <v>33</v>
      </c>
      <c r="I108" s="90">
        <v>44531</v>
      </c>
      <c r="J108" s="91">
        <f>EFEITO!$J$108*EFEITO!$Y$108</f>
        <v>0</v>
      </c>
      <c r="K108" s="91">
        <f ca="1">EFEITO!$L$108*EFEITO!$Z$108</f>
        <v>19318.197401302994</v>
      </c>
      <c r="L108" s="91">
        <f>EFEITO!$N$108*EFEITO!$AA$108</f>
        <v>12289.161790869945</v>
      </c>
      <c r="M108" s="91">
        <f>$J$108-EFEITO!$K$108*EFEITO!$Y$108</f>
        <v>0</v>
      </c>
      <c r="N108" s="91">
        <f ca="1">$K$108-EFEITO!$M$108*EFEITO!$Z$108</f>
        <v>0</v>
      </c>
      <c r="O108" s="91">
        <f>$L$108-EFEITO!$O$108*EFEITO!$AA$108</f>
        <v>0</v>
      </c>
      <c r="P108" s="19"/>
      <c r="Q108" s="19"/>
      <c r="R108" s="19"/>
      <c r="S108" s="19"/>
      <c r="T108" s="19"/>
      <c r="U108" s="19"/>
      <c r="V108" s="19"/>
      <c r="W108" s="19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84" t="s">
        <v>27</v>
      </c>
      <c r="B109" s="84" t="s">
        <v>38</v>
      </c>
      <c r="C109" s="84" t="s">
        <v>39</v>
      </c>
      <c r="D109" s="84" t="s">
        <v>40</v>
      </c>
      <c r="E109" s="84" t="s">
        <v>25</v>
      </c>
      <c r="F109" s="84" t="s">
        <v>25</v>
      </c>
      <c r="G109" s="84" t="s">
        <v>25</v>
      </c>
      <c r="H109" s="84" t="s">
        <v>33</v>
      </c>
      <c r="I109" s="90">
        <v>44531</v>
      </c>
      <c r="J109" s="91">
        <f>EFEITO!$J$109*EFEITO!$Y$109</f>
        <v>0</v>
      </c>
      <c r="K109" s="91">
        <f ca="1">EFEITO!$L$109*EFEITO!$Z$109</f>
        <v>4882.7313291802229</v>
      </c>
      <c r="L109" s="91">
        <f>EFEITO!$N$109*EFEITO!$AA$109</f>
        <v>3106.1218621566604</v>
      </c>
      <c r="M109" s="91">
        <f>$J$109-EFEITO!$K$109*EFEITO!$Y$109</f>
        <v>0</v>
      </c>
      <c r="N109" s="91">
        <f ca="1">$K$109-EFEITO!$M$109*EFEITO!$Z$109</f>
        <v>0</v>
      </c>
      <c r="O109" s="91">
        <f>$L$109-EFEITO!$O$109*EFEITO!$AA$109</f>
        <v>0</v>
      </c>
      <c r="P109" s="19"/>
      <c r="Q109" s="19"/>
      <c r="R109" s="19"/>
      <c r="S109" s="19"/>
      <c r="T109" s="19"/>
      <c r="U109" s="19"/>
      <c r="V109" s="19"/>
      <c r="W109" s="19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84" t="s">
        <v>21</v>
      </c>
      <c r="B110" s="84" t="s">
        <v>38</v>
      </c>
      <c r="C110" s="84" t="s">
        <v>39</v>
      </c>
      <c r="D110" s="84" t="s">
        <v>40</v>
      </c>
      <c r="E110" s="84" t="s">
        <v>25</v>
      </c>
      <c r="F110" s="84" t="s">
        <v>25</v>
      </c>
      <c r="G110" s="84" t="s">
        <v>25</v>
      </c>
      <c r="H110" s="84" t="s">
        <v>33</v>
      </c>
      <c r="I110" s="90">
        <v>44562</v>
      </c>
      <c r="J110" s="91">
        <f>EFEITO!$J$110*EFEITO!$Y$110</f>
        <v>0</v>
      </c>
      <c r="K110" s="91">
        <f ca="1">EFEITO!$L$110*EFEITO!$Z$110</f>
        <v>21881.56878208866</v>
      </c>
      <c r="L110" s="91">
        <f>EFEITO!$N$110*EFEITO!$AA$110</f>
        <v>13919.835966838144</v>
      </c>
      <c r="M110" s="91">
        <f>$J$110-EFEITO!$K$110*EFEITO!$Y$110</f>
        <v>0</v>
      </c>
      <c r="N110" s="91">
        <f ca="1">$K$110-EFEITO!$M$110*EFEITO!$Z$110</f>
        <v>0</v>
      </c>
      <c r="O110" s="91">
        <f>$L$110-EFEITO!$O$110*EFEITO!$AA$110</f>
        <v>0</v>
      </c>
      <c r="P110" s="19"/>
      <c r="Q110" s="19"/>
      <c r="R110" s="19"/>
      <c r="S110" s="19"/>
      <c r="T110" s="19"/>
      <c r="U110" s="19"/>
      <c r="V110" s="19"/>
      <c r="W110" s="19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84" t="s">
        <v>27</v>
      </c>
      <c r="B111" s="84" t="s">
        <v>38</v>
      </c>
      <c r="C111" s="84" t="s">
        <v>39</v>
      </c>
      <c r="D111" s="84" t="s">
        <v>40</v>
      </c>
      <c r="E111" s="84" t="s">
        <v>25</v>
      </c>
      <c r="F111" s="84" t="s">
        <v>25</v>
      </c>
      <c r="G111" s="84" t="s">
        <v>25</v>
      </c>
      <c r="H111" s="84" t="s">
        <v>33</v>
      </c>
      <c r="I111" s="90">
        <v>44562</v>
      </c>
      <c r="J111" s="91">
        <f>EFEITO!$J$111*EFEITO!$Y$111</f>
        <v>0</v>
      </c>
      <c r="K111" s="91">
        <f ca="1">EFEITO!$L$111*EFEITO!$Z$111</f>
        <v>8741.8659829966764</v>
      </c>
      <c r="L111" s="91">
        <f>EFEITO!$N$111*EFEITO!$AA$111</f>
        <v>5561.0885005193304</v>
      </c>
      <c r="M111" s="91">
        <f>$J$111-EFEITO!$K$111*EFEITO!$Y$111</f>
        <v>0</v>
      </c>
      <c r="N111" s="91">
        <f ca="1">$K$111-EFEITO!$M$111*EFEITO!$Z$111</f>
        <v>0</v>
      </c>
      <c r="O111" s="91">
        <f>$L$111-EFEITO!$O$111*EFEITO!$AA$111</f>
        <v>0</v>
      </c>
      <c r="P111" s="19"/>
      <c r="Q111" s="19"/>
      <c r="R111" s="19"/>
      <c r="S111" s="19"/>
      <c r="T111" s="19"/>
      <c r="U111" s="19"/>
      <c r="V111" s="19"/>
      <c r="W111" s="19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84" t="s">
        <v>21</v>
      </c>
      <c r="B112" s="84" t="s">
        <v>38</v>
      </c>
      <c r="C112" s="84" t="s">
        <v>39</v>
      </c>
      <c r="D112" s="84" t="s">
        <v>40</v>
      </c>
      <c r="E112" s="84" t="s">
        <v>25</v>
      </c>
      <c r="F112" s="84" t="s">
        <v>25</v>
      </c>
      <c r="G112" s="84" t="s">
        <v>25</v>
      </c>
      <c r="H112" s="84" t="s">
        <v>33</v>
      </c>
      <c r="I112" s="90">
        <v>44593</v>
      </c>
      <c r="J112" s="91">
        <f>EFEITO!$J$112*EFEITO!$Y$112</f>
        <v>0</v>
      </c>
      <c r="K112" s="91">
        <f ca="1">EFEITO!$L$112*EFEITO!$Z$112</f>
        <v>16896.85318757574</v>
      </c>
      <c r="L112" s="91">
        <f>EFEITO!$N$112*EFEITO!$AA$112</f>
        <v>10748.837392286361</v>
      </c>
      <c r="M112" s="91">
        <f>$J$112-EFEITO!$K$112*EFEITO!$Y$112</f>
        <v>0</v>
      </c>
      <c r="N112" s="91">
        <f ca="1">$K$112-EFEITO!$M$112*EFEITO!$Z$112</f>
        <v>0</v>
      </c>
      <c r="O112" s="91">
        <f>$L$112-EFEITO!$O$112*EFEITO!$AA$112</f>
        <v>0</v>
      </c>
      <c r="P112" s="19"/>
      <c r="Q112" s="19"/>
      <c r="R112" s="19"/>
      <c r="S112" s="19"/>
      <c r="T112" s="19"/>
      <c r="U112" s="19"/>
      <c r="V112" s="19"/>
      <c r="W112" s="19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84" t="s">
        <v>27</v>
      </c>
      <c r="B113" s="84" t="s">
        <v>38</v>
      </c>
      <c r="C113" s="84" t="s">
        <v>39</v>
      </c>
      <c r="D113" s="84" t="s">
        <v>40</v>
      </c>
      <c r="E113" s="84" t="s">
        <v>25</v>
      </c>
      <c r="F113" s="84" t="s">
        <v>25</v>
      </c>
      <c r="G113" s="84" t="s">
        <v>25</v>
      </c>
      <c r="H113" s="84" t="s">
        <v>33</v>
      </c>
      <c r="I113" s="90">
        <v>44593</v>
      </c>
      <c r="J113" s="91">
        <f>EFEITO!$J$113*EFEITO!$Y$113</f>
        <v>0</v>
      </c>
      <c r="K113" s="91">
        <f ca="1">EFEITO!$L$113*EFEITO!$Z$113</f>
        <v>8437.7901980169754</v>
      </c>
      <c r="L113" s="91">
        <f>EFEITO!$N$113*EFEITO!$AA$113</f>
        <v>5367.6524132553459</v>
      </c>
      <c r="M113" s="91">
        <f>$J$113-EFEITO!$K$113*EFEITO!$Y$113</f>
        <v>0</v>
      </c>
      <c r="N113" s="91">
        <f ca="1">$K$113-EFEITO!$M$113*EFEITO!$Z$113</f>
        <v>0</v>
      </c>
      <c r="O113" s="91">
        <f>$L$113-EFEITO!$O$113*EFEITO!$AA$113</f>
        <v>0</v>
      </c>
      <c r="P113" s="19"/>
      <c r="Q113" s="19"/>
      <c r="R113" s="19"/>
      <c r="S113" s="19"/>
      <c r="T113" s="19"/>
      <c r="U113" s="19"/>
      <c r="V113" s="19"/>
      <c r="W113" s="19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84" t="s">
        <v>21</v>
      </c>
      <c r="B114" s="84" t="s">
        <v>38</v>
      </c>
      <c r="C114" s="84" t="s">
        <v>39</v>
      </c>
      <c r="D114" s="84" t="s">
        <v>40</v>
      </c>
      <c r="E114" s="84" t="s">
        <v>25</v>
      </c>
      <c r="F114" s="84" t="s">
        <v>25</v>
      </c>
      <c r="G114" s="84" t="s">
        <v>25</v>
      </c>
      <c r="H114" s="84" t="s">
        <v>33</v>
      </c>
      <c r="I114" s="90">
        <v>44621</v>
      </c>
      <c r="J114" s="91">
        <f>EFEITO!$J$114*EFEITO!$Y$114</f>
        <v>0</v>
      </c>
      <c r="K114" s="91">
        <f ca="1">EFEITO!$L$114*EFEITO!$Z$114</f>
        <v>26226.223619329496</v>
      </c>
      <c r="L114" s="91">
        <f>EFEITO!$N$114*EFEITO!$AA$114</f>
        <v>16683.663518198453</v>
      </c>
      <c r="M114" s="91">
        <f>$J$114-EFEITO!$K$114*EFEITO!$Y$114</f>
        <v>0</v>
      </c>
      <c r="N114" s="91">
        <f ca="1">$K$114-EFEITO!$M$114*EFEITO!$Z$114</f>
        <v>0</v>
      </c>
      <c r="O114" s="91">
        <f>$L$114-EFEITO!$O$114*EFEITO!$AA$114</f>
        <v>0</v>
      </c>
      <c r="P114" s="19"/>
      <c r="Q114" s="19"/>
      <c r="R114" s="19"/>
      <c r="S114" s="19"/>
      <c r="T114" s="19"/>
      <c r="U114" s="19"/>
      <c r="V114" s="19"/>
      <c r="W114" s="19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84" t="s">
        <v>27</v>
      </c>
      <c r="B115" s="84" t="s">
        <v>38</v>
      </c>
      <c r="C115" s="84" t="s">
        <v>39</v>
      </c>
      <c r="D115" s="84" t="s">
        <v>40</v>
      </c>
      <c r="E115" s="84" t="s">
        <v>25</v>
      </c>
      <c r="F115" s="84" t="s">
        <v>25</v>
      </c>
      <c r="G115" s="84" t="s">
        <v>25</v>
      </c>
      <c r="H115" s="84" t="s">
        <v>33</v>
      </c>
      <c r="I115" s="90">
        <v>44621</v>
      </c>
      <c r="J115" s="91">
        <f>EFEITO!$J$115*EFEITO!$Y$115</f>
        <v>0</v>
      </c>
      <c r="K115" s="91">
        <f ca="1">EFEITO!$L$115*EFEITO!$Z$115</f>
        <v>4061.2261734634576</v>
      </c>
      <c r="L115" s="91">
        <f>EFEITO!$N$115*EFEITO!$AA$115</f>
        <v>2583.5260132315325</v>
      </c>
      <c r="M115" s="91">
        <f>$J$115-EFEITO!$K$115*EFEITO!$Y$115</f>
        <v>0</v>
      </c>
      <c r="N115" s="91">
        <f ca="1">$K$115-EFEITO!$M$115*EFEITO!$Z$115</f>
        <v>0</v>
      </c>
      <c r="O115" s="91">
        <f>$L$115-EFEITO!$O$115*EFEITO!$AA$115</f>
        <v>0</v>
      </c>
      <c r="P115" s="19"/>
      <c r="Q115" s="19"/>
      <c r="R115" s="19"/>
      <c r="S115" s="19"/>
      <c r="T115" s="19"/>
      <c r="U115" s="19"/>
      <c r="V115" s="19"/>
      <c r="W115" s="19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84" t="s">
        <v>21</v>
      </c>
      <c r="B116" s="84" t="s">
        <v>38</v>
      </c>
      <c r="C116" s="84" t="s">
        <v>39</v>
      </c>
      <c r="D116" s="84" t="s">
        <v>40</v>
      </c>
      <c r="E116" s="84" t="s">
        <v>25</v>
      </c>
      <c r="F116" s="84" t="s">
        <v>25</v>
      </c>
      <c r="G116" s="84" t="s">
        <v>25</v>
      </c>
      <c r="H116" s="84" t="s">
        <v>33</v>
      </c>
      <c r="I116" s="90">
        <v>44652</v>
      </c>
      <c r="J116" s="91">
        <f>EFEITO!$J$116*EFEITO!$Y$116</f>
        <v>0</v>
      </c>
      <c r="K116" s="91">
        <f ca="1">EFEITO!$L$116*EFEITO!$Z$116</f>
        <v>7143.2782656651207</v>
      </c>
      <c r="L116" s="91">
        <f>EFEITO!$N$116*EFEITO!$AA$116</f>
        <v>4544.1559841417975</v>
      </c>
      <c r="M116" s="91">
        <f>$J$116-EFEITO!$K$116*EFEITO!$Y$116</f>
        <v>0</v>
      </c>
      <c r="N116" s="91">
        <f ca="1">$K$116-EFEITO!$M$116*EFEITO!$Z$116</f>
        <v>0</v>
      </c>
      <c r="O116" s="91">
        <f>$L$116-EFEITO!$O$116*EFEITO!$AA$116</f>
        <v>0</v>
      </c>
      <c r="P116" s="19"/>
      <c r="Q116" s="19"/>
      <c r="R116" s="19"/>
      <c r="S116" s="19"/>
      <c r="T116" s="19"/>
      <c r="U116" s="19"/>
      <c r="V116" s="19"/>
      <c r="W116" s="19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84" t="s">
        <v>27</v>
      </c>
      <c r="B117" s="84" t="s">
        <v>38</v>
      </c>
      <c r="C117" s="84" t="s">
        <v>39</v>
      </c>
      <c r="D117" s="84" t="s">
        <v>40</v>
      </c>
      <c r="E117" s="84" t="s">
        <v>25</v>
      </c>
      <c r="F117" s="84" t="s">
        <v>25</v>
      </c>
      <c r="G117" s="84" t="s">
        <v>25</v>
      </c>
      <c r="H117" s="84" t="s">
        <v>33</v>
      </c>
      <c r="I117" s="90">
        <v>44652</v>
      </c>
      <c r="J117" s="91">
        <f>EFEITO!$J$117*EFEITO!$Y$117</f>
        <v>0</v>
      </c>
      <c r="K117" s="91">
        <f ca="1">EFEITO!$L$117*EFEITO!$Z$117</f>
        <v>6133.4463377695702</v>
      </c>
      <c r="L117" s="91">
        <f>EFEITO!$N$117*EFEITO!$AA$117</f>
        <v>3901.7571264379476</v>
      </c>
      <c r="M117" s="91">
        <f>$J$117-EFEITO!$K$117*EFEITO!$Y$117</f>
        <v>0</v>
      </c>
      <c r="N117" s="91">
        <f ca="1">$K$117-EFEITO!$M$117*EFEITO!$Z$117</f>
        <v>0</v>
      </c>
      <c r="O117" s="91">
        <f>$L$117-EFEITO!$O$117*EFEITO!$AA$117</f>
        <v>0</v>
      </c>
      <c r="P117" s="19"/>
      <c r="Q117" s="19"/>
      <c r="R117" s="19"/>
      <c r="S117" s="19"/>
      <c r="T117" s="19"/>
      <c r="U117" s="19"/>
      <c r="V117" s="19"/>
      <c r="W117" s="19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84" t="s">
        <v>21</v>
      </c>
      <c r="B118" s="84" t="s">
        <v>38</v>
      </c>
      <c r="C118" s="84" t="s">
        <v>39</v>
      </c>
      <c r="D118" s="84" t="s">
        <v>40</v>
      </c>
      <c r="E118" s="84" t="s">
        <v>25</v>
      </c>
      <c r="F118" s="84" t="s">
        <v>25</v>
      </c>
      <c r="G118" s="84" t="s">
        <v>25</v>
      </c>
      <c r="H118" s="84" t="s">
        <v>33</v>
      </c>
      <c r="I118" s="90">
        <v>44682</v>
      </c>
      <c r="J118" s="91">
        <f>EFEITO!$J$118*EFEITO!$Y$118</f>
        <v>0</v>
      </c>
      <c r="K118" s="91">
        <f ca="1">EFEITO!$L$118*EFEITO!$Z$118</f>
        <v>8550.4108591205695</v>
      </c>
      <c r="L118" s="91">
        <f>EFEITO!$N$118*EFEITO!$AA$118</f>
        <v>5439.2954085383035</v>
      </c>
      <c r="M118" s="91">
        <f>$J$118-EFEITO!$K$118*EFEITO!$Y$118</f>
        <v>0</v>
      </c>
      <c r="N118" s="91">
        <f ca="1">$K$118-EFEITO!$M$118*EFEITO!$Z$118</f>
        <v>0</v>
      </c>
      <c r="O118" s="91">
        <f>$L$118-EFEITO!$O$118*EFEITO!$AA$118</f>
        <v>0</v>
      </c>
      <c r="P118" s="19"/>
      <c r="Q118" s="19"/>
      <c r="R118" s="19"/>
      <c r="S118" s="19"/>
      <c r="T118" s="19"/>
      <c r="U118" s="19"/>
      <c r="V118" s="19"/>
      <c r="W118" s="19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84" t="s">
        <v>27</v>
      </c>
      <c r="B119" s="84" t="s">
        <v>38</v>
      </c>
      <c r="C119" s="84" t="s">
        <v>39</v>
      </c>
      <c r="D119" s="84" t="s">
        <v>40</v>
      </c>
      <c r="E119" s="84" t="s">
        <v>25</v>
      </c>
      <c r="F119" s="84" t="s">
        <v>25</v>
      </c>
      <c r="G119" s="84" t="s">
        <v>25</v>
      </c>
      <c r="H119" s="84" t="s">
        <v>33</v>
      </c>
      <c r="I119" s="90">
        <v>44682</v>
      </c>
      <c r="J119" s="91">
        <f>EFEITO!$J$119*EFEITO!$Y$119</f>
        <v>0</v>
      </c>
      <c r="K119" s="91">
        <f ca="1">EFEITO!$L$119*EFEITO!$Z$119</f>
        <v>3581.9626934337225</v>
      </c>
      <c r="L119" s="91">
        <f>EFEITO!$N$119*EFEITO!$AA$119</f>
        <v>2278.645266638503</v>
      </c>
      <c r="M119" s="91">
        <f>$J$119-EFEITO!$K$119*EFEITO!$Y$119</f>
        <v>0</v>
      </c>
      <c r="N119" s="91">
        <f ca="1">$K$119-EFEITO!$M$119*EFEITO!$Z$119</f>
        <v>0</v>
      </c>
      <c r="O119" s="91">
        <f>$L$119-EFEITO!$O$119*EFEITO!$AA$119</f>
        <v>0</v>
      </c>
      <c r="P119" s="19"/>
      <c r="Q119" s="19"/>
      <c r="R119" s="19"/>
      <c r="S119" s="19"/>
      <c r="T119" s="19"/>
      <c r="U119" s="19"/>
      <c r="V119" s="19"/>
      <c r="W119" s="19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84" t="s">
        <v>55</v>
      </c>
      <c r="B120" s="84" t="s">
        <v>38</v>
      </c>
      <c r="C120" s="84" t="s">
        <v>39</v>
      </c>
      <c r="D120" s="84" t="s">
        <v>40</v>
      </c>
      <c r="E120" s="84" t="s">
        <v>25</v>
      </c>
      <c r="F120" s="84" t="s">
        <v>25</v>
      </c>
      <c r="G120" s="84" t="s">
        <v>25</v>
      </c>
      <c r="H120" s="84" t="s">
        <v>33</v>
      </c>
      <c r="I120" s="90">
        <v>44713</v>
      </c>
      <c r="J120" s="91">
        <f>EFEITO!$J$120*EFEITO!$Y$120</f>
        <v>0</v>
      </c>
      <c r="K120" s="91">
        <f ca="1">EFEITO!$L$120*EFEITO!$Z$120</f>
        <v>8550.4108591205695</v>
      </c>
      <c r="L120" s="91">
        <f>EFEITO!$N$120*EFEITO!$AA$120</f>
        <v>5439.2954085383035</v>
      </c>
      <c r="M120" s="91">
        <f>$J$120-EFEITO!$K$120*EFEITO!$Y$120</f>
        <v>0</v>
      </c>
      <c r="N120" s="91">
        <f ca="1">$K$120-EFEITO!$M$120*EFEITO!$Z$120</f>
        <v>0</v>
      </c>
      <c r="O120" s="91">
        <f>$L$120-EFEITO!$O$120*EFEITO!$AA$120</f>
        <v>0</v>
      </c>
      <c r="P120" s="19"/>
      <c r="Q120" s="19"/>
      <c r="R120" s="19"/>
      <c r="S120" s="19"/>
      <c r="T120" s="19"/>
      <c r="U120" s="19"/>
      <c r="V120" s="19"/>
      <c r="W120" s="19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84" t="s">
        <v>55</v>
      </c>
      <c r="B121" s="84" t="s">
        <v>38</v>
      </c>
      <c r="C121" s="84" t="s">
        <v>39</v>
      </c>
      <c r="D121" s="84" t="s">
        <v>40</v>
      </c>
      <c r="E121" s="84" t="s">
        <v>25</v>
      </c>
      <c r="F121" s="84" t="s">
        <v>25</v>
      </c>
      <c r="G121" s="84" t="s">
        <v>25</v>
      </c>
      <c r="H121" s="84" t="s">
        <v>33</v>
      </c>
      <c r="I121" s="90">
        <v>44713</v>
      </c>
      <c r="J121" s="91">
        <f>EFEITO!$J$121*EFEITO!$Y$121</f>
        <v>0</v>
      </c>
      <c r="K121" s="91">
        <f ca="1">EFEITO!$L$121*EFEITO!$Z$121</f>
        <v>3581.9626934337225</v>
      </c>
      <c r="L121" s="91">
        <f>EFEITO!$N$121*EFEITO!$AA$121</f>
        <v>2278.645266638503</v>
      </c>
      <c r="M121" s="91">
        <f>$J$121-EFEITO!$K$121*EFEITO!$Y$121</f>
        <v>0</v>
      </c>
      <c r="N121" s="91">
        <f ca="1">$K$121-EFEITO!$M$121*EFEITO!$Z$121</f>
        <v>0</v>
      </c>
      <c r="O121" s="91">
        <f>$L$121-EFEITO!$O$121*EFEITO!$AA$121</f>
        <v>0</v>
      </c>
      <c r="P121" s="19"/>
      <c r="Q121" s="19"/>
      <c r="R121" s="19"/>
      <c r="S121" s="19"/>
      <c r="T121" s="19"/>
      <c r="U121" s="19"/>
      <c r="V121" s="19"/>
      <c r="W121" s="19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84" t="s">
        <v>21</v>
      </c>
      <c r="B122" s="84" t="s">
        <v>38</v>
      </c>
      <c r="C122" s="84" t="s">
        <v>39</v>
      </c>
      <c r="D122" s="84" t="s">
        <v>37</v>
      </c>
      <c r="E122" s="84" t="s">
        <v>25</v>
      </c>
      <c r="F122" s="84" t="s">
        <v>56</v>
      </c>
      <c r="G122" s="84" t="s">
        <v>25</v>
      </c>
      <c r="H122" s="84" t="s">
        <v>34</v>
      </c>
      <c r="I122" s="90">
        <v>44378</v>
      </c>
      <c r="J122" s="91">
        <f>EFEITO!$J$122*EFEITO!$Y$122</f>
        <v>0</v>
      </c>
      <c r="K122" s="91">
        <f ca="1">EFEITO!$L$122*EFEITO!$Z$122</f>
        <v>343346.32233172318</v>
      </c>
      <c r="L122" s="91">
        <f>EFEITO!$N$122*EFEITO!$AA$122</f>
        <v>0</v>
      </c>
      <c r="M122" s="91">
        <f>$J$122-EFEITO!$K$122*EFEITO!$Y$122</f>
        <v>0</v>
      </c>
      <c r="N122" s="91">
        <f ca="1">$K$122-EFEITO!$M$122*EFEITO!$Z$122</f>
        <v>0</v>
      </c>
      <c r="O122" s="91">
        <f>$L$122-EFEITO!$O$122*EFEITO!$AA$122</f>
        <v>0</v>
      </c>
      <c r="P122" s="19"/>
      <c r="Q122" s="19"/>
      <c r="R122" s="19"/>
      <c r="S122" s="19"/>
      <c r="T122" s="19"/>
      <c r="U122" s="19"/>
      <c r="V122" s="19"/>
      <c r="W122" s="19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84" t="s">
        <v>21</v>
      </c>
      <c r="B123" s="84" t="s">
        <v>38</v>
      </c>
      <c r="C123" s="84" t="s">
        <v>39</v>
      </c>
      <c r="D123" s="84" t="s">
        <v>37</v>
      </c>
      <c r="E123" s="84" t="s">
        <v>25</v>
      </c>
      <c r="F123" s="84" t="s">
        <v>56</v>
      </c>
      <c r="G123" s="84" t="s">
        <v>25</v>
      </c>
      <c r="H123" s="84" t="s">
        <v>34</v>
      </c>
      <c r="I123" s="90">
        <v>44409</v>
      </c>
      <c r="J123" s="91">
        <f>EFEITO!$J$123*EFEITO!$Y$123</f>
        <v>0</v>
      </c>
      <c r="K123" s="91">
        <f ca="1">EFEITO!$L$123*EFEITO!$Z$123</f>
        <v>364667.36747441249</v>
      </c>
      <c r="L123" s="91">
        <f>EFEITO!$N$123*EFEITO!$AA$123</f>
        <v>0</v>
      </c>
      <c r="M123" s="91">
        <f>$J$123-EFEITO!$K$123*EFEITO!$Y$123</f>
        <v>0</v>
      </c>
      <c r="N123" s="91">
        <f ca="1">$K$123-EFEITO!$M$123*EFEITO!$Z$123</f>
        <v>0</v>
      </c>
      <c r="O123" s="91">
        <f>$L$123-EFEITO!$O$123*EFEITO!$AA$123</f>
        <v>0</v>
      </c>
      <c r="P123" s="19"/>
      <c r="Q123" s="19"/>
      <c r="R123" s="19"/>
      <c r="S123" s="19"/>
      <c r="T123" s="19"/>
      <c r="U123" s="19"/>
      <c r="V123" s="19"/>
      <c r="W123" s="19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84" t="s">
        <v>21</v>
      </c>
      <c r="B124" s="84" t="s">
        <v>38</v>
      </c>
      <c r="C124" s="84" t="s">
        <v>39</v>
      </c>
      <c r="D124" s="84" t="s">
        <v>37</v>
      </c>
      <c r="E124" s="84" t="s">
        <v>25</v>
      </c>
      <c r="F124" s="84" t="s">
        <v>56</v>
      </c>
      <c r="G124" s="84" t="s">
        <v>25</v>
      </c>
      <c r="H124" s="84" t="s">
        <v>34</v>
      </c>
      <c r="I124" s="90">
        <v>44440</v>
      </c>
      <c r="J124" s="91">
        <f>EFEITO!$J$124*EFEITO!$Y$124</f>
        <v>0</v>
      </c>
      <c r="K124" s="91">
        <f ca="1">EFEITO!$L$124*EFEITO!$Z$124</f>
        <v>337388.61358415091</v>
      </c>
      <c r="L124" s="91">
        <f>EFEITO!$N$124*EFEITO!$AA$124</f>
        <v>0</v>
      </c>
      <c r="M124" s="91">
        <f>$J$124-EFEITO!$K$124*EFEITO!$Y$124</f>
        <v>0</v>
      </c>
      <c r="N124" s="91">
        <f ca="1">$K$124-EFEITO!$M$124*EFEITO!$Z$124</f>
        <v>0</v>
      </c>
      <c r="O124" s="91">
        <f>$L$124-EFEITO!$O$124*EFEITO!$AA$124</f>
        <v>0</v>
      </c>
      <c r="P124" s="19"/>
      <c r="Q124" s="19"/>
      <c r="R124" s="19"/>
      <c r="S124" s="19"/>
      <c r="T124" s="19"/>
      <c r="U124" s="19"/>
      <c r="V124" s="19"/>
      <c r="W124" s="19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84" t="s">
        <v>21</v>
      </c>
      <c r="B125" s="84" t="s">
        <v>38</v>
      </c>
      <c r="C125" s="84" t="s">
        <v>39</v>
      </c>
      <c r="D125" s="84" t="s">
        <v>37</v>
      </c>
      <c r="E125" s="84" t="s">
        <v>25</v>
      </c>
      <c r="F125" s="84" t="s">
        <v>56</v>
      </c>
      <c r="G125" s="84" t="s">
        <v>25</v>
      </c>
      <c r="H125" s="84" t="s">
        <v>34</v>
      </c>
      <c r="I125" s="90">
        <v>44470</v>
      </c>
      <c r="J125" s="91">
        <f>EFEITO!$J$125*EFEITO!$Y$125</f>
        <v>0</v>
      </c>
      <c r="K125" s="91">
        <f ca="1">EFEITO!$L$125*EFEITO!$Z$125</f>
        <v>334248.35808803589</v>
      </c>
      <c r="L125" s="91">
        <f>EFEITO!$N$125*EFEITO!$AA$125</f>
        <v>0</v>
      </c>
      <c r="M125" s="91">
        <f>$J$125-EFEITO!$K$125*EFEITO!$Y$125</f>
        <v>0</v>
      </c>
      <c r="N125" s="91">
        <f ca="1">$K$125-EFEITO!$M$125*EFEITO!$Z$125</f>
        <v>0</v>
      </c>
      <c r="O125" s="91">
        <f>$L$125-EFEITO!$O$125*EFEITO!$AA$125</f>
        <v>0</v>
      </c>
      <c r="P125" s="19"/>
      <c r="Q125" s="19"/>
      <c r="R125" s="19"/>
      <c r="S125" s="19"/>
      <c r="T125" s="19"/>
      <c r="U125" s="19"/>
      <c r="V125" s="19"/>
      <c r="W125" s="19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84" t="s">
        <v>21</v>
      </c>
      <c r="B126" s="84" t="s">
        <v>38</v>
      </c>
      <c r="C126" s="84" t="s">
        <v>39</v>
      </c>
      <c r="D126" s="84" t="s">
        <v>37</v>
      </c>
      <c r="E126" s="84" t="s">
        <v>25</v>
      </c>
      <c r="F126" s="84" t="s">
        <v>56</v>
      </c>
      <c r="G126" s="84" t="s">
        <v>25</v>
      </c>
      <c r="H126" s="84" t="s">
        <v>34</v>
      </c>
      <c r="I126" s="90">
        <v>44501</v>
      </c>
      <c r="J126" s="91">
        <f>EFEITO!$J$126*EFEITO!$Y$126</f>
        <v>0</v>
      </c>
      <c r="K126" s="91">
        <f ca="1">EFEITO!$L$126*EFEITO!$Z$126</f>
        <v>360179.37188528612</v>
      </c>
      <c r="L126" s="91">
        <f>EFEITO!$N$126*EFEITO!$AA$126</f>
        <v>0</v>
      </c>
      <c r="M126" s="91">
        <f>$J$126-EFEITO!$K$126*EFEITO!$Y$126</f>
        <v>0</v>
      </c>
      <c r="N126" s="91">
        <f ca="1">$K$126-EFEITO!$M$126*EFEITO!$Z$126</f>
        <v>0</v>
      </c>
      <c r="O126" s="91">
        <f>$L$126-EFEITO!$O$126*EFEITO!$AA$126</f>
        <v>0</v>
      </c>
      <c r="P126" s="19"/>
      <c r="Q126" s="19"/>
      <c r="R126" s="19"/>
      <c r="S126" s="19"/>
      <c r="T126" s="19"/>
      <c r="U126" s="19"/>
      <c r="V126" s="19"/>
      <c r="W126" s="19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84" t="s">
        <v>21</v>
      </c>
      <c r="B127" s="84" t="s">
        <v>38</v>
      </c>
      <c r="C127" s="84" t="s">
        <v>39</v>
      </c>
      <c r="D127" s="84" t="s">
        <v>37</v>
      </c>
      <c r="E127" s="84" t="s">
        <v>25</v>
      </c>
      <c r="F127" s="84" t="s">
        <v>56</v>
      </c>
      <c r="G127" s="84" t="s">
        <v>25</v>
      </c>
      <c r="H127" s="84" t="s">
        <v>34</v>
      </c>
      <c r="I127" s="90">
        <v>44531</v>
      </c>
      <c r="J127" s="91">
        <f>EFEITO!$J$127*EFEITO!$Y$127</f>
        <v>0</v>
      </c>
      <c r="K127" s="91">
        <f ca="1">EFEITO!$L$127*EFEITO!$Z$127</f>
        <v>335484.18573766341</v>
      </c>
      <c r="L127" s="91">
        <f>EFEITO!$N$127*EFEITO!$AA$127</f>
        <v>0</v>
      </c>
      <c r="M127" s="91">
        <f>$J$127-EFEITO!$K$127*EFEITO!$Y$127</f>
        <v>0</v>
      </c>
      <c r="N127" s="91">
        <f ca="1">$K$127-EFEITO!$M$127*EFEITO!$Z$127</f>
        <v>0</v>
      </c>
      <c r="O127" s="91">
        <f>$L$127-EFEITO!$O$127*EFEITO!$AA$127</f>
        <v>0</v>
      </c>
      <c r="P127" s="19"/>
      <c r="Q127" s="19"/>
      <c r="R127" s="19"/>
      <c r="S127" s="19"/>
      <c r="T127" s="19"/>
      <c r="U127" s="19"/>
      <c r="V127" s="19"/>
      <c r="W127" s="19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84" t="s">
        <v>21</v>
      </c>
      <c r="B128" s="84" t="s">
        <v>38</v>
      </c>
      <c r="C128" s="84" t="s">
        <v>39</v>
      </c>
      <c r="D128" s="84" t="s">
        <v>37</v>
      </c>
      <c r="E128" s="84" t="s">
        <v>25</v>
      </c>
      <c r="F128" s="84" t="s">
        <v>56</v>
      </c>
      <c r="G128" s="84" t="s">
        <v>25</v>
      </c>
      <c r="H128" s="84" t="s">
        <v>34</v>
      </c>
      <c r="I128" s="90">
        <v>44562</v>
      </c>
      <c r="J128" s="91">
        <f>EFEITO!$J$128*EFEITO!$Y$128</f>
        <v>0</v>
      </c>
      <c r="K128" s="91">
        <f ca="1">EFEITO!$L$128*EFEITO!$Z$128</f>
        <v>364935.45909820357</v>
      </c>
      <c r="L128" s="91">
        <f>EFEITO!$N$128*EFEITO!$AA$128</f>
        <v>0</v>
      </c>
      <c r="M128" s="91">
        <f>$J$128-EFEITO!$K$128*EFEITO!$Y$128</f>
        <v>0</v>
      </c>
      <c r="N128" s="91">
        <f ca="1">$K$128-EFEITO!$M$128*EFEITO!$Z$128</f>
        <v>0</v>
      </c>
      <c r="O128" s="91">
        <f>$L$128-EFEITO!$O$128*EFEITO!$AA$128</f>
        <v>0</v>
      </c>
      <c r="P128" s="19"/>
      <c r="Q128" s="19"/>
      <c r="R128" s="19"/>
      <c r="S128" s="19"/>
      <c r="T128" s="19"/>
      <c r="U128" s="19"/>
      <c r="V128" s="19"/>
      <c r="W128" s="19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84" t="s">
        <v>21</v>
      </c>
      <c r="B129" s="84" t="s">
        <v>38</v>
      </c>
      <c r="C129" s="84" t="s">
        <v>39</v>
      </c>
      <c r="D129" s="84" t="s">
        <v>37</v>
      </c>
      <c r="E129" s="84" t="s">
        <v>25</v>
      </c>
      <c r="F129" s="84" t="s">
        <v>56</v>
      </c>
      <c r="G129" s="84" t="s">
        <v>25</v>
      </c>
      <c r="H129" s="84" t="s">
        <v>34</v>
      </c>
      <c r="I129" s="90">
        <v>44593</v>
      </c>
      <c r="J129" s="91">
        <f>EFEITO!$J$129*EFEITO!$Y$129</f>
        <v>0</v>
      </c>
      <c r="K129" s="91">
        <f ca="1">EFEITO!$L$129*EFEITO!$Z$129</f>
        <v>372527.87520585454</v>
      </c>
      <c r="L129" s="91">
        <f>EFEITO!$N$129*EFEITO!$AA$129</f>
        <v>0</v>
      </c>
      <c r="M129" s="91">
        <f>$J$129-EFEITO!$K$129*EFEITO!$Y$129</f>
        <v>0</v>
      </c>
      <c r="N129" s="91">
        <f ca="1">$K$129-EFEITO!$M$129*EFEITO!$Z$129</f>
        <v>0</v>
      </c>
      <c r="O129" s="91">
        <f>$L$129-EFEITO!$O$129*EFEITO!$AA$129</f>
        <v>0</v>
      </c>
      <c r="P129" s="19"/>
      <c r="Q129" s="19"/>
      <c r="R129" s="19"/>
      <c r="S129" s="19"/>
      <c r="T129" s="19"/>
      <c r="U129" s="19"/>
      <c r="V129" s="19"/>
      <c r="W129" s="19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84" t="s">
        <v>21</v>
      </c>
      <c r="B130" s="84" t="s">
        <v>38</v>
      </c>
      <c r="C130" s="84" t="s">
        <v>39</v>
      </c>
      <c r="D130" s="84" t="s">
        <v>37</v>
      </c>
      <c r="E130" s="84" t="s">
        <v>25</v>
      </c>
      <c r="F130" s="84" t="s">
        <v>56</v>
      </c>
      <c r="G130" s="84" t="s">
        <v>25</v>
      </c>
      <c r="H130" s="84" t="s">
        <v>34</v>
      </c>
      <c r="I130" s="90">
        <v>44621</v>
      </c>
      <c r="J130" s="91">
        <f>EFEITO!$J$130*EFEITO!$Y$130</f>
        <v>0</v>
      </c>
      <c r="K130" s="91">
        <f ca="1">EFEITO!$L$130*EFEITO!$Z$130</f>
        <v>431363.06366691878</v>
      </c>
      <c r="L130" s="91">
        <f>EFEITO!$N$130*EFEITO!$AA$130</f>
        <v>0</v>
      </c>
      <c r="M130" s="91">
        <f>$J$130-EFEITO!$K$130*EFEITO!$Y$130</f>
        <v>0</v>
      </c>
      <c r="N130" s="91">
        <f ca="1">$K$130-EFEITO!$M$130*EFEITO!$Z$130</f>
        <v>0</v>
      </c>
      <c r="O130" s="91">
        <f>$L$130-EFEITO!$O$130*EFEITO!$AA$130</f>
        <v>0</v>
      </c>
      <c r="P130" s="19"/>
      <c r="Q130" s="19"/>
      <c r="R130" s="19"/>
      <c r="S130" s="19"/>
      <c r="T130" s="19"/>
      <c r="U130" s="19"/>
      <c r="V130" s="19"/>
      <c r="W130" s="19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84" t="s">
        <v>21</v>
      </c>
      <c r="B131" s="84" t="s">
        <v>38</v>
      </c>
      <c r="C131" s="84" t="s">
        <v>39</v>
      </c>
      <c r="D131" s="84" t="s">
        <v>37</v>
      </c>
      <c r="E131" s="84" t="s">
        <v>25</v>
      </c>
      <c r="F131" s="84" t="s">
        <v>56</v>
      </c>
      <c r="G131" s="84" t="s">
        <v>25</v>
      </c>
      <c r="H131" s="84" t="s">
        <v>34</v>
      </c>
      <c r="I131" s="90">
        <v>44652</v>
      </c>
      <c r="J131" s="91">
        <f>EFEITO!$J$131*EFEITO!$Y$131</f>
        <v>0</v>
      </c>
      <c r="K131" s="91">
        <f ca="1">EFEITO!$L$131*EFEITO!$Z$131</f>
        <v>387019.57846958208</v>
      </c>
      <c r="L131" s="91">
        <f>EFEITO!$N$131*EFEITO!$AA$131</f>
        <v>0</v>
      </c>
      <c r="M131" s="91">
        <f>$J$131-EFEITO!$K$131*EFEITO!$Y$131</f>
        <v>0</v>
      </c>
      <c r="N131" s="91">
        <f ca="1">$K$131-EFEITO!$M$131*EFEITO!$Z$131</f>
        <v>0</v>
      </c>
      <c r="O131" s="91">
        <f>$L$131-EFEITO!$O$131*EFEITO!$AA$131</f>
        <v>0</v>
      </c>
      <c r="P131" s="19"/>
      <c r="Q131" s="19"/>
      <c r="R131" s="19"/>
      <c r="S131" s="19"/>
      <c r="T131" s="19"/>
      <c r="U131" s="19"/>
      <c r="V131" s="19"/>
      <c r="W131" s="19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84" t="s">
        <v>21</v>
      </c>
      <c r="B132" s="84" t="s">
        <v>38</v>
      </c>
      <c r="C132" s="84" t="s">
        <v>39</v>
      </c>
      <c r="D132" s="84" t="s">
        <v>37</v>
      </c>
      <c r="E132" s="84" t="s">
        <v>25</v>
      </c>
      <c r="F132" s="84" t="s">
        <v>56</v>
      </c>
      <c r="G132" s="84" t="s">
        <v>25</v>
      </c>
      <c r="H132" s="84" t="s">
        <v>34</v>
      </c>
      <c r="I132" s="90">
        <v>44682</v>
      </c>
      <c r="J132" s="91">
        <f>EFEITO!$J$132*EFEITO!$Y$132</f>
        <v>0</v>
      </c>
      <c r="K132" s="91">
        <f ca="1">EFEITO!$L$132*EFEITO!$Z$132</f>
        <v>419745.53639992519</v>
      </c>
      <c r="L132" s="91">
        <f>EFEITO!$N$132*EFEITO!$AA$132</f>
        <v>0</v>
      </c>
      <c r="M132" s="91">
        <f>$J$132-EFEITO!$K$132*EFEITO!$Y$132</f>
        <v>0</v>
      </c>
      <c r="N132" s="91">
        <f ca="1">$K$132-EFEITO!$M$132*EFEITO!$Z$132</f>
        <v>0</v>
      </c>
      <c r="O132" s="91">
        <f>$L$132-EFEITO!$O$132*EFEITO!$AA$132</f>
        <v>0</v>
      </c>
      <c r="P132" s="19"/>
      <c r="Q132" s="19"/>
      <c r="R132" s="19"/>
      <c r="S132" s="19"/>
      <c r="T132" s="19"/>
      <c r="U132" s="19"/>
      <c r="V132" s="19"/>
      <c r="W132" s="19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84" t="s">
        <v>55</v>
      </c>
      <c r="B133" s="84" t="s">
        <v>38</v>
      </c>
      <c r="C133" s="84" t="s">
        <v>39</v>
      </c>
      <c r="D133" s="84" t="s">
        <v>37</v>
      </c>
      <c r="E133" s="84" t="s">
        <v>25</v>
      </c>
      <c r="F133" s="84" t="s">
        <v>56</v>
      </c>
      <c r="G133" s="84" t="s">
        <v>25</v>
      </c>
      <c r="H133" s="84" t="s">
        <v>34</v>
      </c>
      <c r="I133" s="90">
        <v>44713</v>
      </c>
      <c r="J133" s="91">
        <f>EFEITO!$J$133*EFEITO!$Y$133</f>
        <v>0</v>
      </c>
      <c r="K133" s="91">
        <f ca="1">EFEITO!$L$133*EFEITO!$Z$133</f>
        <v>419745.53639992519</v>
      </c>
      <c r="L133" s="91">
        <f>EFEITO!$N$133*EFEITO!$AA$133</f>
        <v>0</v>
      </c>
      <c r="M133" s="91">
        <f>$J$133-EFEITO!$K$133*EFEITO!$Y$133</f>
        <v>0</v>
      </c>
      <c r="N133" s="91">
        <f ca="1">$K$133-EFEITO!$M$133*EFEITO!$Z$133</f>
        <v>0</v>
      </c>
      <c r="O133" s="91">
        <f>$L$133-EFEITO!$O$133*EFEITO!$AA$133</f>
        <v>0</v>
      </c>
      <c r="P133" s="19"/>
      <c r="Q133" s="19"/>
      <c r="R133" s="19"/>
      <c r="S133" s="19"/>
      <c r="T133" s="19"/>
      <c r="U133" s="19"/>
      <c r="V133" s="19"/>
      <c r="W133" s="19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84" t="s">
        <v>21</v>
      </c>
      <c r="B134" s="84" t="s">
        <v>38</v>
      </c>
      <c r="C134" s="84" t="s">
        <v>39</v>
      </c>
      <c r="D134" s="84" t="s">
        <v>37</v>
      </c>
      <c r="E134" s="84" t="s">
        <v>25</v>
      </c>
      <c r="F134" s="84" t="s">
        <v>56</v>
      </c>
      <c r="G134" s="84" t="s">
        <v>25</v>
      </c>
      <c r="H134" s="84" t="s">
        <v>25</v>
      </c>
      <c r="I134" s="90">
        <v>44378</v>
      </c>
      <c r="J134" s="91">
        <f ca="1">EFEITO!$J$134*EFEITO!$Y$134</f>
        <v>220210.93741595108</v>
      </c>
      <c r="K134" s="91">
        <f>EFEITO!$L$134*EFEITO!$Z$134</f>
        <v>0</v>
      </c>
      <c r="L134" s="91">
        <f>EFEITO!$N$134*EFEITO!$AA$134</f>
        <v>0</v>
      </c>
      <c r="M134" s="91">
        <f ca="1">$J$134-EFEITO!$K$134*EFEITO!$Y$134</f>
        <v>110105.46870797554</v>
      </c>
      <c r="N134" s="91">
        <f>$K$134-EFEITO!$M$134*EFEITO!$Z$134</f>
        <v>0</v>
      </c>
      <c r="O134" s="91">
        <f>$L$134-EFEITO!$O$134*EFEITO!$AA$134</f>
        <v>0</v>
      </c>
      <c r="P134" s="19"/>
      <c r="Q134" s="19"/>
      <c r="R134" s="19"/>
      <c r="S134" s="19"/>
      <c r="T134" s="19"/>
      <c r="U134" s="19"/>
      <c r="V134" s="19"/>
      <c r="W134" s="19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84" t="s">
        <v>21</v>
      </c>
      <c r="B135" s="84" t="s">
        <v>38</v>
      </c>
      <c r="C135" s="84" t="s">
        <v>39</v>
      </c>
      <c r="D135" s="84" t="s">
        <v>37</v>
      </c>
      <c r="E135" s="84" t="s">
        <v>25</v>
      </c>
      <c r="F135" s="84" t="s">
        <v>56</v>
      </c>
      <c r="G135" s="84" t="s">
        <v>25</v>
      </c>
      <c r="H135" s="84" t="s">
        <v>25</v>
      </c>
      <c r="I135" s="90">
        <v>44409</v>
      </c>
      <c r="J135" s="91">
        <f ca="1">EFEITO!$J$135*EFEITO!$Y$135</f>
        <v>230315.65356117758</v>
      </c>
      <c r="K135" s="91">
        <f>EFEITO!$L$135*EFEITO!$Z$135</f>
        <v>0</v>
      </c>
      <c r="L135" s="91">
        <f>EFEITO!$N$135*EFEITO!$AA$135</f>
        <v>0</v>
      </c>
      <c r="M135" s="91">
        <f ca="1">$J$135-EFEITO!$K$135*EFEITO!$Y$135</f>
        <v>115157.82678058879</v>
      </c>
      <c r="N135" s="91">
        <f>$K$135-EFEITO!$M$135*EFEITO!$Z$135</f>
        <v>0</v>
      </c>
      <c r="O135" s="91">
        <f>$L$135-EFEITO!$O$135*EFEITO!$AA$135</f>
        <v>0</v>
      </c>
      <c r="P135" s="19"/>
      <c r="Q135" s="19"/>
      <c r="R135" s="19"/>
      <c r="S135" s="19"/>
      <c r="T135" s="19"/>
      <c r="U135" s="19"/>
      <c r="V135" s="19"/>
      <c r="W135" s="19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84" t="s">
        <v>21</v>
      </c>
      <c r="B136" s="84" t="s">
        <v>38</v>
      </c>
      <c r="C136" s="84" t="s">
        <v>39</v>
      </c>
      <c r="D136" s="84" t="s">
        <v>37</v>
      </c>
      <c r="E136" s="84" t="s">
        <v>25</v>
      </c>
      <c r="F136" s="84" t="s">
        <v>56</v>
      </c>
      <c r="G136" s="84" t="s">
        <v>25</v>
      </c>
      <c r="H136" s="84" t="s">
        <v>25</v>
      </c>
      <c r="I136" s="90">
        <v>44440</v>
      </c>
      <c r="J136" s="91">
        <f ca="1">EFEITO!$J$136*EFEITO!$Y$136</f>
        <v>230949.84076694495</v>
      </c>
      <c r="K136" s="91">
        <f>EFEITO!$L$136*EFEITO!$Z$136</f>
        <v>0</v>
      </c>
      <c r="L136" s="91">
        <f>EFEITO!$N$136*EFEITO!$AA$136</f>
        <v>0</v>
      </c>
      <c r="M136" s="91">
        <f ca="1">$J$136-EFEITO!$K$136*EFEITO!$Y$136</f>
        <v>115474.92038347248</v>
      </c>
      <c r="N136" s="91">
        <f>$K$136-EFEITO!$M$136*EFEITO!$Z$136</f>
        <v>0</v>
      </c>
      <c r="O136" s="91">
        <f>$L$136-EFEITO!$O$136*EFEITO!$AA$136</f>
        <v>0</v>
      </c>
      <c r="P136" s="19"/>
      <c r="Q136" s="19"/>
      <c r="R136" s="19"/>
      <c r="S136" s="19"/>
      <c r="T136" s="19"/>
      <c r="U136" s="19"/>
      <c r="V136" s="19"/>
      <c r="W136" s="19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84" t="s">
        <v>21</v>
      </c>
      <c r="B137" s="84" t="s">
        <v>38</v>
      </c>
      <c r="C137" s="84" t="s">
        <v>39</v>
      </c>
      <c r="D137" s="84" t="s">
        <v>37</v>
      </c>
      <c r="E137" s="84" t="s">
        <v>25</v>
      </c>
      <c r="F137" s="84" t="s">
        <v>56</v>
      </c>
      <c r="G137" s="84" t="s">
        <v>25</v>
      </c>
      <c r="H137" s="84" t="s">
        <v>25</v>
      </c>
      <c r="I137" s="90">
        <v>44470</v>
      </c>
      <c r="J137" s="91">
        <f ca="1">EFEITO!$J$137*EFEITO!$Y$137</f>
        <v>230315.65356117758</v>
      </c>
      <c r="K137" s="91">
        <f>EFEITO!$L$137*EFEITO!$Z$137</f>
        <v>0</v>
      </c>
      <c r="L137" s="91">
        <f>EFEITO!$N$137*EFEITO!$AA$137</f>
        <v>0</v>
      </c>
      <c r="M137" s="91">
        <f ca="1">$J$137-EFEITO!$K$137*EFEITO!$Y$137</f>
        <v>115157.82678058879</v>
      </c>
      <c r="N137" s="91">
        <f>$K$137-EFEITO!$M$137*EFEITO!$Z$137</f>
        <v>0</v>
      </c>
      <c r="O137" s="91">
        <f>$L$137-EFEITO!$O$137*EFEITO!$AA$137</f>
        <v>0</v>
      </c>
      <c r="P137" s="19"/>
      <c r="Q137" s="19"/>
      <c r="R137" s="19"/>
      <c r="S137" s="19"/>
      <c r="T137" s="19"/>
      <c r="U137" s="19"/>
      <c r="V137" s="19"/>
      <c r="W137" s="19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84" t="s">
        <v>21</v>
      </c>
      <c r="B138" s="84" t="s">
        <v>38</v>
      </c>
      <c r="C138" s="84" t="s">
        <v>39</v>
      </c>
      <c r="D138" s="84" t="s">
        <v>37</v>
      </c>
      <c r="E138" s="84" t="s">
        <v>25</v>
      </c>
      <c r="F138" s="84" t="s">
        <v>56</v>
      </c>
      <c r="G138" s="84" t="s">
        <v>25</v>
      </c>
      <c r="H138" s="84" t="s">
        <v>25</v>
      </c>
      <c r="I138" s="90">
        <v>44501</v>
      </c>
      <c r="J138" s="91">
        <f ca="1">EFEITO!$J$138*EFEITO!$Y$138</f>
        <v>241096.83605922261</v>
      </c>
      <c r="K138" s="91">
        <f>EFEITO!$L$138*EFEITO!$Z$138</f>
        <v>0</v>
      </c>
      <c r="L138" s="91">
        <f>EFEITO!$N$138*EFEITO!$AA$138</f>
        <v>0</v>
      </c>
      <c r="M138" s="91">
        <f ca="1">$J$138-EFEITO!$K$138*EFEITO!$Y$138</f>
        <v>120548.4180296113</v>
      </c>
      <c r="N138" s="91">
        <f>$K$138-EFEITO!$M$138*EFEITO!$Z$138</f>
        <v>0</v>
      </c>
      <c r="O138" s="91">
        <f>$L$138-EFEITO!$O$138*EFEITO!$AA$138</f>
        <v>0</v>
      </c>
      <c r="P138" s="19"/>
      <c r="Q138" s="19"/>
      <c r="R138" s="19"/>
      <c r="S138" s="19"/>
      <c r="T138" s="19"/>
      <c r="U138" s="19"/>
      <c r="V138" s="19"/>
      <c r="W138" s="19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84" t="s">
        <v>21</v>
      </c>
      <c r="B139" s="84" t="s">
        <v>38</v>
      </c>
      <c r="C139" s="84" t="s">
        <v>39</v>
      </c>
      <c r="D139" s="84" t="s">
        <v>37</v>
      </c>
      <c r="E139" s="84" t="s">
        <v>25</v>
      </c>
      <c r="F139" s="84" t="s">
        <v>56</v>
      </c>
      <c r="G139" s="84" t="s">
        <v>25</v>
      </c>
      <c r="H139" s="84" t="s">
        <v>25</v>
      </c>
      <c r="I139" s="90">
        <v>44531</v>
      </c>
      <c r="J139" s="91">
        <f ca="1">EFEITO!$J$139*EFEITO!$Y$139</f>
        <v>240885.44032396682</v>
      </c>
      <c r="K139" s="91">
        <f>EFEITO!$L$139*EFEITO!$Z$139</f>
        <v>0</v>
      </c>
      <c r="L139" s="91">
        <f>EFEITO!$N$139*EFEITO!$AA$139</f>
        <v>0</v>
      </c>
      <c r="M139" s="91">
        <f ca="1">$J$139-EFEITO!$K$139*EFEITO!$Y$139</f>
        <v>120442.72016198341</v>
      </c>
      <c r="N139" s="91">
        <f>$K$139-EFEITO!$M$139*EFEITO!$Z$139</f>
        <v>0</v>
      </c>
      <c r="O139" s="91">
        <f>$L$139-EFEITO!$O$139*EFEITO!$AA$139</f>
        <v>0</v>
      </c>
      <c r="P139" s="19"/>
      <c r="Q139" s="19"/>
      <c r="R139" s="19"/>
      <c r="S139" s="19"/>
      <c r="T139" s="19"/>
      <c r="U139" s="19"/>
      <c r="V139" s="19"/>
      <c r="W139" s="19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84" t="s">
        <v>21</v>
      </c>
      <c r="B140" s="84" t="s">
        <v>38</v>
      </c>
      <c r="C140" s="84" t="s">
        <v>39</v>
      </c>
      <c r="D140" s="84" t="s">
        <v>37</v>
      </c>
      <c r="E140" s="84" t="s">
        <v>25</v>
      </c>
      <c r="F140" s="84" t="s">
        <v>56</v>
      </c>
      <c r="G140" s="84" t="s">
        <v>25</v>
      </c>
      <c r="H140" s="84" t="s">
        <v>25</v>
      </c>
      <c r="I140" s="90">
        <v>44562</v>
      </c>
      <c r="J140" s="91">
        <f ca="1">EFEITO!$J$140*EFEITO!$Y$140</f>
        <v>242005.83772082248</v>
      </c>
      <c r="K140" s="91">
        <f>EFEITO!$L$140*EFEITO!$Z$140</f>
        <v>0</v>
      </c>
      <c r="L140" s="91">
        <f>EFEITO!$N$140*EFEITO!$AA$140</f>
        <v>0</v>
      </c>
      <c r="M140" s="91">
        <f ca="1">$J$140-EFEITO!$K$140*EFEITO!$Y$140</f>
        <v>121002.91886041124</v>
      </c>
      <c r="N140" s="91">
        <f>$K$140-EFEITO!$M$140*EFEITO!$Z$140</f>
        <v>0</v>
      </c>
      <c r="O140" s="91">
        <f>$L$140-EFEITO!$O$140*EFEITO!$AA$140</f>
        <v>0</v>
      </c>
      <c r="P140" s="19"/>
      <c r="Q140" s="19"/>
      <c r="R140" s="19"/>
      <c r="S140" s="19"/>
      <c r="T140" s="19"/>
      <c r="U140" s="19"/>
      <c r="V140" s="19"/>
      <c r="W140" s="19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84" t="s">
        <v>21</v>
      </c>
      <c r="B141" s="84" t="s">
        <v>38</v>
      </c>
      <c r="C141" s="84" t="s">
        <v>39</v>
      </c>
      <c r="D141" s="84" t="s">
        <v>37</v>
      </c>
      <c r="E141" s="84" t="s">
        <v>25</v>
      </c>
      <c r="F141" s="84" t="s">
        <v>56</v>
      </c>
      <c r="G141" s="84" t="s">
        <v>25</v>
      </c>
      <c r="H141" s="84" t="s">
        <v>25</v>
      </c>
      <c r="I141" s="90">
        <v>44593</v>
      </c>
      <c r="J141" s="91">
        <f ca="1">EFEITO!$J$141*EFEITO!$Y$141</f>
        <v>260143.59180576884</v>
      </c>
      <c r="K141" s="91">
        <f>EFEITO!$L$141*EFEITO!$Z$141</f>
        <v>0</v>
      </c>
      <c r="L141" s="91">
        <f>EFEITO!$N$141*EFEITO!$AA$141</f>
        <v>0</v>
      </c>
      <c r="M141" s="91">
        <f ca="1">$J$141-EFEITO!$K$141*EFEITO!$Y$141</f>
        <v>130071.79590288442</v>
      </c>
      <c r="N141" s="91">
        <f>$K$141-EFEITO!$M$141*EFEITO!$Z$141</f>
        <v>0</v>
      </c>
      <c r="O141" s="91">
        <f>$L$141-EFEITO!$O$141*EFEITO!$AA$141</f>
        <v>0</v>
      </c>
      <c r="P141" s="19"/>
      <c r="Q141" s="19"/>
      <c r="R141" s="19"/>
      <c r="S141" s="19"/>
      <c r="T141" s="19"/>
      <c r="U141" s="19"/>
      <c r="V141" s="19"/>
      <c r="W141" s="19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84" t="s">
        <v>21</v>
      </c>
      <c r="B142" s="84" t="s">
        <v>38</v>
      </c>
      <c r="C142" s="84" t="s">
        <v>39</v>
      </c>
      <c r="D142" s="84" t="s">
        <v>37</v>
      </c>
      <c r="E142" s="84" t="s">
        <v>25</v>
      </c>
      <c r="F142" s="84" t="s">
        <v>56</v>
      </c>
      <c r="G142" s="84" t="s">
        <v>25</v>
      </c>
      <c r="H142" s="84" t="s">
        <v>25</v>
      </c>
      <c r="I142" s="90">
        <v>44621</v>
      </c>
      <c r="J142" s="91">
        <f ca="1">EFEITO!$J$142*EFEITO!$Y$142</f>
        <v>261729.05982018722</v>
      </c>
      <c r="K142" s="91">
        <f>EFEITO!$L$142*EFEITO!$Z$142</f>
        <v>0</v>
      </c>
      <c r="L142" s="91">
        <f>EFEITO!$N$142*EFEITO!$AA$142</f>
        <v>0</v>
      </c>
      <c r="M142" s="91">
        <f ca="1">$J$142-EFEITO!$K$142*EFEITO!$Y$142</f>
        <v>130864.52991009361</v>
      </c>
      <c r="N142" s="91">
        <f>$K$142-EFEITO!$M$142*EFEITO!$Z$142</f>
        <v>0</v>
      </c>
      <c r="O142" s="91">
        <f>$L$142-EFEITO!$O$142*EFEITO!$AA$142</f>
        <v>0</v>
      </c>
      <c r="P142" s="19"/>
      <c r="Q142" s="19"/>
      <c r="R142" s="19"/>
      <c r="S142" s="19"/>
      <c r="T142" s="19"/>
      <c r="U142" s="19"/>
      <c r="V142" s="19"/>
      <c r="W142" s="19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84" t="s">
        <v>21</v>
      </c>
      <c r="B143" s="84" t="s">
        <v>38</v>
      </c>
      <c r="C143" s="84" t="s">
        <v>39</v>
      </c>
      <c r="D143" s="84" t="s">
        <v>37</v>
      </c>
      <c r="E143" s="84" t="s">
        <v>25</v>
      </c>
      <c r="F143" s="84" t="s">
        <v>56</v>
      </c>
      <c r="G143" s="84" t="s">
        <v>25</v>
      </c>
      <c r="H143" s="84" t="s">
        <v>25</v>
      </c>
      <c r="I143" s="90">
        <v>44652</v>
      </c>
      <c r="J143" s="91">
        <f ca="1">EFEITO!$J$143*EFEITO!$Y$143</f>
        <v>261454.24536435469</v>
      </c>
      <c r="K143" s="91">
        <f>EFEITO!$L$143*EFEITO!$Z$143</f>
        <v>0</v>
      </c>
      <c r="L143" s="91">
        <f>EFEITO!$N$143*EFEITO!$AA$143</f>
        <v>0</v>
      </c>
      <c r="M143" s="91">
        <f ca="1">$J$143-EFEITO!$K$143*EFEITO!$Y$143</f>
        <v>130727.12268217735</v>
      </c>
      <c r="N143" s="91">
        <f>$K$143-EFEITO!$M$143*EFEITO!$Z$143</f>
        <v>0</v>
      </c>
      <c r="O143" s="91">
        <f>$L$143-EFEITO!$O$143*EFEITO!$AA$143</f>
        <v>0</v>
      </c>
      <c r="P143" s="19"/>
      <c r="Q143" s="19"/>
      <c r="R143" s="19"/>
      <c r="S143" s="19"/>
      <c r="T143" s="19"/>
      <c r="U143" s="19"/>
      <c r="V143" s="19"/>
      <c r="W143" s="19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84" t="s">
        <v>21</v>
      </c>
      <c r="B144" s="84" t="s">
        <v>38</v>
      </c>
      <c r="C144" s="84" t="s">
        <v>39</v>
      </c>
      <c r="D144" s="84" t="s">
        <v>37</v>
      </c>
      <c r="E144" s="84" t="s">
        <v>25</v>
      </c>
      <c r="F144" s="84" t="s">
        <v>56</v>
      </c>
      <c r="G144" s="84" t="s">
        <v>25</v>
      </c>
      <c r="H144" s="84" t="s">
        <v>25</v>
      </c>
      <c r="I144" s="90">
        <v>44682</v>
      </c>
      <c r="J144" s="91">
        <f ca="1">EFEITO!$J$144*EFEITO!$Y$144</f>
        <v>260841.19773211292</v>
      </c>
      <c r="K144" s="91">
        <f>EFEITO!$L$144*EFEITO!$Z$144</f>
        <v>0</v>
      </c>
      <c r="L144" s="91">
        <f>EFEITO!$N$144*EFEITO!$AA$144</f>
        <v>0</v>
      </c>
      <c r="M144" s="91">
        <f ca="1">$J$144-EFEITO!$K$144*EFEITO!$Y$144</f>
        <v>130420.59886605646</v>
      </c>
      <c r="N144" s="91">
        <f>$K$144-EFEITO!$M$144*EFEITO!$Z$144</f>
        <v>0</v>
      </c>
      <c r="O144" s="91">
        <f>$L$144-EFEITO!$O$144*EFEITO!$AA$144</f>
        <v>0</v>
      </c>
      <c r="P144" s="19"/>
      <c r="Q144" s="19"/>
      <c r="R144" s="19"/>
      <c r="S144" s="19"/>
      <c r="T144" s="19"/>
      <c r="U144" s="19"/>
      <c r="V144" s="19"/>
      <c r="W144" s="19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84" t="s">
        <v>55</v>
      </c>
      <c r="B145" s="84" t="s">
        <v>38</v>
      </c>
      <c r="C145" s="84" t="s">
        <v>39</v>
      </c>
      <c r="D145" s="84" t="s">
        <v>37</v>
      </c>
      <c r="E145" s="84" t="s">
        <v>25</v>
      </c>
      <c r="F145" s="84" t="s">
        <v>56</v>
      </c>
      <c r="G145" s="84" t="s">
        <v>25</v>
      </c>
      <c r="H145" s="84" t="s">
        <v>25</v>
      </c>
      <c r="I145" s="90">
        <v>44713</v>
      </c>
      <c r="J145" s="91">
        <f ca="1">EFEITO!$J$145*EFEITO!$Y$145</f>
        <v>260841.19773211292</v>
      </c>
      <c r="K145" s="91">
        <f>EFEITO!$L$145*EFEITO!$Z$145</f>
        <v>0</v>
      </c>
      <c r="L145" s="91">
        <f>EFEITO!$N$145*EFEITO!$AA$145</f>
        <v>0</v>
      </c>
      <c r="M145" s="91">
        <f ca="1">$J$145-EFEITO!$K$145*EFEITO!$Y$145</f>
        <v>130420.59886605646</v>
      </c>
      <c r="N145" s="91">
        <f>$K$145-EFEITO!$M$145*EFEITO!$Z$145</f>
        <v>0</v>
      </c>
      <c r="O145" s="91">
        <f>$L$145-EFEITO!$O$145*EFEITO!$AA$145</f>
        <v>0</v>
      </c>
      <c r="P145" s="19"/>
      <c r="Q145" s="19"/>
      <c r="R145" s="19"/>
      <c r="S145" s="19"/>
      <c r="T145" s="19"/>
      <c r="U145" s="19"/>
      <c r="V145" s="19"/>
      <c r="W145" s="19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84" t="s">
        <v>21</v>
      </c>
      <c r="B146" s="84" t="s">
        <v>38</v>
      </c>
      <c r="C146" s="84" t="s">
        <v>39</v>
      </c>
      <c r="D146" s="84" t="s">
        <v>37</v>
      </c>
      <c r="E146" s="84" t="s">
        <v>25</v>
      </c>
      <c r="F146" s="84" t="s">
        <v>56</v>
      </c>
      <c r="G146" s="84" t="s">
        <v>25</v>
      </c>
      <c r="H146" s="84" t="s">
        <v>33</v>
      </c>
      <c r="I146" s="90">
        <v>44378</v>
      </c>
      <c r="J146" s="91">
        <f>EFEITO!$J$146*EFEITO!$Y$146</f>
        <v>0</v>
      </c>
      <c r="K146" s="91">
        <f ca="1">EFEITO!$L$146*EFEITO!$Z$146</f>
        <v>250802.45825566488</v>
      </c>
      <c r="L146" s="91">
        <f>EFEITO!$N$146*EFEITO!$AA$146</f>
        <v>0</v>
      </c>
      <c r="M146" s="91">
        <f>$J$146-EFEITO!$K$146*EFEITO!$Y$146</f>
        <v>0</v>
      </c>
      <c r="N146" s="91">
        <f ca="1">$K$146-EFEITO!$M$146*EFEITO!$Z$146</f>
        <v>111281.05072803851</v>
      </c>
      <c r="O146" s="91">
        <f>$L$146-EFEITO!$O$146*EFEITO!$AA$146</f>
        <v>0</v>
      </c>
      <c r="P146" s="19"/>
      <c r="Q146" s="19"/>
      <c r="R146" s="19"/>
      <c r="S146" s="19"/>
      <c r="T146" s="19"/>
      <c r="U146" s="19"/>
      <c r="V146" s="19"/>
      <c r="W146" s="19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84" t="s">
        <v>21</v>
      </c>
      <c r="B147" s="84" t="s">
        <v>38</v>
      </c>
      <c r="C147" s="84" t="s">
        <v>39</v>
      </c>
      <c r="D147" s="84" t="s">
        <v>37</v>
      </c>
      <c r="E147" s="84" t="s">
        <v>25</v>
      </c>
      <c r="F147" s="84" t="s">
        <v>56</v>
      </c>
      <c r="G147" s="84" t="s">
        <v>25</v>
      </c>
      <c r="H147" s="84" t="s">
        <v>33</v>
      </c>
      <c r="I147" s="90">
        <v>44409</v>
      </c>
      <c r="J147" s="91">
        <f>EFEITO!$J$147*EFEITO!$Y$147</f>
        <v>0</v>
      </c>
      <c r="K147" s="91">
        <f ca="1">EFEITO!$L$147*EFEITO!$Z$147</f>
        <v>261378.16400363174</v>
      </c>
      <c r="L147" s="91">
        <f>EFEITO!$N$147*EFEITO!$AA$147</f>
        <v>0</v>
      </c>
      <c r="M147" s="91">
        <f>$J$147-EFEITO!$K$147*EFEITO!$Y$147</f>
        <v>0</v>
      </c>
      <c r="N147" s="91">
        <f ca="1">$K$147-EFEITO!$M$147*EFEITO!$Z$147</f>
        <v>115084.80561079906</v>
      </c>
      <c r="O147" s="91">
        <f>$L$147-EFEITO!$O$147*EFEITO!$AA$147</f>
        <v>0</v>
      </c>
      <c r="P147" s="19"/>
      <c r="Q147" s="19"/>
      <c r="R147" s="19"/>
      <c r="S147" s="19"/>
      <c r="T147" s="19"/>
      <c r="U147" s="19"/>
      <c r="V147" s="19"/>
      <c r="W147" s="19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84" t="s">
        <v>21</v>
      </c>
      <c r="B148" s="84" t="s">
        <v>38</v>
      </c>
      <c r="C148" s="84" t="s">
        <v>39</v>
      </c>
      <c r="D148" s="84" t="s">
        <v>37</v>
      </c>
      <c r="E148" s="84" t="s">
        <v>25</v>
      </c>
      <c r="F148" s="84" t="s">
        <v>56</v>
      </c>
      <c r="G148" s="84" t="s">
        <v>25</v>
      </c>
      <c r="H148" s="84" t="s">
        <v>33</v>
      </c>
      <c r="I148" s="90">
        <v>44440</v>
      </c>
      <c r="J148" s="91">
        <f>EFEITO!$J$148*EFEITO!$Y$148</f>
        <v>0</v>
      </c>
      <c r="K148" s="91">
        <f ca="1">EFEITO!$L$148*EFEITO!$Z$148</f>
        <v>238377.89665458072</v>
      </c>
      <c r="L148" s="91">
        <f>EFEITO!$N$148*EFEITO!$AA$148</f>
        <v>0</v>
      </c>
      <c r="M148" s="91">
        <f>$J$148-EFEITO!$K$148*EFEITO!$Y$148</f>
        <v>0</v>
      </c>
      <c r="N148" s="91">
        <f ca="1">$K$148-EFEITO!$M$148*EFEITO!$Z$148</f>
        <v>104957.78789701188</v>
      </c>
      <c r="O148" s="91">
        <f>$L$148-EFEITO!$O$148*EFEITO!$AA$148</f>
        <v>0</v>
      </c>
      <c r="P148" s="19"/>
      <c r="Q148" s="19"/>
      <c r="R148" s="19"/>
      <c r="S148" s="19"/>
      <c r="T148" s="19"/>
      <c r="U148" s="19"/>
      <c r="V148" s="19"/>
      <c r="W148" s="19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84" t="s">
        <v>21</v>
      </c>
      <c r="B149" s="84" t="s">
        <v>38</v>
      </c>
      <c r="C149" s="84" t="s">
        <v>39</v>
      </c>
      <c r="D149" s="84" t="s">
        <v>37</v>
      </c>
      <c r="E149" s="84" t="s">
        <v>25</v>
      </c>
      <c r="F149" s="84" t="s">
        <v>56</v>
      </c>
      <c r="G149" s="84" t="s">
        <v>25</v>
      </c>
      <c r="H149" s="84" t="s">
        <v>33</v>
      </c>
      <c r="I149" s="90">
        <v>44470</v>
      </c>
      <c r="J149" s="91">
        <f>EFEITO!$J$149*EFEITO!$Y$149</f>
        <v>0</v>
      </c>
      <c r="K149" s="91">
        <f ca="1">EFEITO!$L$149*EFEITO!$Z$149</f>
        <v>220533.15290271642</v>
      </c>
      <c r="L149" s="91">
        <f>EFEITO!$N$149*EFEITO!$AA$149</f>
        <v>0</v>
      </c>
      <c r="M149" s="91">
        <f>$J$149-EFEITO!$K$149*EFEITO!$Y$149</f>
        <v>0</v>
      </c>
      <c r="N149" s="91">
        <f ca="1">$K$149-EFEITO!$M$149*EFEITO!$Z$149</f>
        <v>97100.747223066035</v>
      </c>
      <c r="O149" s="91">
        <f>$L$149-EFEITO!$O$149*EFEITO!$AA$149</f>
        <v>0</v>
      </c>
      <c r="P149" s="19"/>
      <c r="Q149" s="19"/>
      <c r="R149" s="19"/>
      <c r="S149" s="19"/>
      <c r="T149" s="19"/>
      <c r="U149" s="19"/>
      <c r="V149" s="19"/>
      <c r="W149" s="19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84" t="s">
        <v>21</v>
      </c>
      <c r="B150" s="84" t="s">
        <v>38</v>
      </c>
      <c r="C150" s="84" t="s">
        <v>39</v>
      </c>
      <c r="D150" s="84" t="s">
        <v>37</v>
      </c>
      <c r="E150" s="84" t="s">
        <v>25</v>
      </c>
      <c r="F150" s="84" t="s">
        <v>56</v>
      </c>
      <c r="G150" s="84" t="s">
        <v>25</v>
      </c>
      <c r="H150" s="84" t="s">
        <v>33</v>
      </c>
      <c r="I150" s="90">
        <v>44501</v>
      </c>
      <c r="J150" s="91">
        <f>EFEITO!$J$150*EFEITO!$Y$150</f>
        <v>0</v>
      </c>
      <c r="K150" s="91">
        <f ca="1">EFEITO!$L$150*EFEITO!$Z$150</f>
        <v>247298.07868432475</v>
      </c>
      <c r="L150" s="91">
        <f>EFEITO!$N$150*EFEITO!$AA$150</f>
        <v>0</v>
      </c>
      <c r="M150" s="91">
        <f>$J$150-EFEITO!$K$150*EFEITO!$Y$150</f>
        <v>0</v>
      </c>
      <c r="N150" s="91">
        <f ca="1">$K$150-EFEITO!$M$150*EFEITO!$Z$150</f>
        <v>108885.34404470818</v>
      </c>
      <c r="O150" s="91">
        <f>$L$150-EFEITO!$O$150*EFEITO!$AA$150</f>
        <v>0</v>
      </c>
      <c r="P150" s="19"/>
      <c r="Q150" s="19"/>
      <c r="R150" s="19"/>
      <c r="S150" s="19"/>
      <c r="T150" s="19"/>
      <c r="U150" s="19"/>
      <c r="V150" s="19"/>
      <c r="W150" s="19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84" t="s">
        <v>21</v>
      </c>
      <c r="B151" s="84" t="s">
        <v>38</v>
      </c>
      <c r="C151" s="84" t="s">
        <v>39</v>
      </c>
      <c r="D151" s="84" t="s">
        <v>37</v>
      </c>
      <c r="E151" s="84" t="s">
        <v>25</v>
      </c>
      <c r="F151" s="84" t="s">
        <v>56</v>
      </c>
      <c r="G151" s="84" t="s">
        <v>25</v>
      </c>
      <c r="H151" s="84" t="s">
        <v>33</v>
      </c>
      <c r="I151" s="90">
        <v>44531</v>
      </c>
      <c r="J151" s="91">
        <f>EFEITO!$J$151*EFEITO!$Y$151</f>
        <v>0</v>
      </c>
      <c r="K151" s="91">
        <f ca="1">EFEITO!$L$151*EFEITO!$Z$151</f>
        <v>239684.29632338241</v>
      </c>
      <c r="L151" s="91">
        <f>EFEITO!$N$151*EFEITO!$AA$151</f>
        <v>0</v>
      </c>
      <c r="M151" s="91">
        <f>$J$151-EFEITO!$K$151*EFEITO!$Y$151</f>
        <v>0</v>
      </c>
      <c r="N151" s="91">
        <f ca="1">$K$151-EFEITO!$M$151*EFEITO!$Z$151</f>
        <v>105532.99567118526</v>
      </c>
      <c r="O151" s="91">
        <f>$L$151-EFEITO!$O$151*EFEITO!$AA$151</f>
        <v>0</v>
      </c>
      <c r="P151" s="19"/>
      <c r="Q151" s="19"/>
      <c r="R151" s="19"/>
      <c r="S151" s="19"/>
      <c r="T151" s="19"/>
      <c r="U151" s="19"/>
      <c r="V151" s="19"/>
      <c r="W151" s="19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84" t="s">
        <v>21</v>
      </c>
      <c r="B152" s="84" t="s">
        <v>38</v>
      </c>
      <c r="C152" s="84" t="s">
        <v>39</v>
      </c>
      <c r="D152" s="84" t="s">
        <v>37</v>
      </c>
      <c r="E152" s="84" t="s">
        <v>25</v>
      </c>
      <c r="F152" s="84" t="s">
        <v>56</v>
      </c>
      <c r="G152" s="84" t="s">
        <v>25</v>
      </c>
      <c r="H152" s="84" t="s">
        <v>33</v>
      </c>
      <c r="I152" s="90">
        <v>44562</v>
      </c>
      <c r="J152" s="91">
        <f>EFEITO!$J$152*EFEITO!$Y$152</f>
        <v>0</v>
      </c>
      <c r="K152" s="91">
        <f ca="1">EFEITO!$L$152*EFEITO!$Z$152</f>
        <v>256529.84454312205</v>
      </c>
      <c r="L152" s="91">
        <f>EFEITO!$N$152*EFEITO!$AA$152</f>
        <v>0</v>
      </c>
      <c r="M152" s="91">
        <f>$J$152-EFEITO!$K$152*EFEITO!$Y$152</f>
        <v>0</v>
      </c>
      <c r="N152" s="91">
        <f ca="1">$K$152-EFEITO!$M$152*EFEITO!$Z$152</f>
        <v>112950.09055233662</v>
      </c>
      <c r="O152" s="91">
        <f>$L$152-EFEITO!$O$152*EFEITO!$AA$152</f>
        <v>0</v>
      </c>
      <c r="P152" s="19"/>
      <c r="Q152" s="19"/>
      <c r="R152" s="19"/>
      <c r="S152" s="19"/>
      <c r="T152" s="19"/>
      <c r="U152" s="19"/>
      <c r="V152" s="19"/>
      <c r="W152" s="19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84" t="s">
        <v>21</v>
      </c>
      <c r="B153" s="84" t="s">
        <v>38</v>
      </c>
      <c r="C153" s="84" t="s">
        <v>39</v>
      </c>
      <c r="D153" s="84" t="s">
        <v>37</v>
      </c>
      <c r="E153" s="84" t="s">
        <v>25</v>
      </c>
      <c r="F153" s="84" t="s">
        <v>56</v>
      </c>
      <c r="G153" s="84" t="s">
        <v>25</v>
      </c>
      <c r="H153" s="84" t="s">
        <v>33</v>
      </c>
      <c r="I153" s="90">
        <v>44593</v>
      </c>
      <c r="J153" s="91">
        <f>EFEITO!$J$153*EFEITO!$Y$153</f>
        <v>0</v>
      </c>
      <c r="K153" s="91">
        <f ca="1">EFEITO!$L$153*EFEITO!$Z$153</f>
        <v>268044.68147062499</v>
      </c>
      <c r="L153" s="91">
        <f>EFEITO!$N$153*EFEITO!$AA$153</f>
        <v>0</v>
      </c>
      <c r="M153" s="91">
        <f>$J$153-EFEITO!$K$153*EFEITO!$Y$153</f>
        <v>0</v>
      </c>
      <c r="N153" s="91">
        <f ca="1">$K$153-EFEITO!$M$153*EFEITO!$Z$153</f>
        <v>118020.07325151618</v>
      </c>
      <c r="O153" s="91">
        <f>$L$153-EFEITO!$O$153*EFEITO!$AA$153</f>
        <v>0</v>
      </c>
      <c r="P153" s="19"/>
      <c r="Q153" s="19"/>
      <c r="R153" s="19"/>
      <c r="S153" s="19"/>
      <c r="T153" s="19"/>
      <c r="U153" s="19"/>
      <c r="V153" s="19"/>
      <c r="W153" s="19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84" t="s">
        <v>21</v>
      </c>
      <c r="B154" s="84" t="s">
        <v>38</v>
      </c>
      <c r="C154" s="84" t="s">
        <v>39</v>
      </c>
      <c r="D154" s="84" t="s">
        <v>37</v>
      </c>
      <c r="E154" s="84" t="s">
        <v>25</v>
      </c>
      <c r="F154" s="84" t="s">
        <v>56</v>
      </c>
      <c r="G154" s="84" t="s">
        <v>25</v>
      </c>
      <c r="H154" s="84" t="s">
        <v>33</v>
      </c>
      <c r="I154" s="90">
        <v>44621</v>
      </c>
      <c r="J154" s="91">
        <f>EFEITO!$J$154*EFEITO!$Y$154</f>
        <v>0</v>
      </c>
      <c r="K154" s="91">
        <f ca="1">EFEITO!$L$154*EFEITO!$Z$154</f>
        <v>308291.55172701238</v>
      </c>
      <c r="L154" s="91">
        <f>EFEITO!$N$154*EFEITO!$AA$154</f>
        <v>0</v>
      </c>
      <c r="M154" s="91">
        <f>$J$154-EFEITO!$K$154*EFEITO!$Y$154</f>
        <v>0</v>
      </c>
      <c r="N154" s="91">
        <f ca="1">$K$154-EFEITO!$M$154*EFEITO!$Z$154</f>
        <v>135740.77022540354</v>
      </c>
      <c r="O154" s="91">
        <f>$L$154-EFEITO!$O$154*EFEITO!$AA$154</f>
        <v>0</v>
      </c>
      <c r="P154" s="19"/>
      <c r="Q154" s="19"/>
      <c r="R154" s="19"/>
      <c r="S154" s="19"/>
      <c r="T154" s="19"/>
      <c r="U154" s="19"/>
      <c r="V154" s="19"/>
      <c r="W154" s="19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84" t="s">
        <v>21</v>
      </c>
      <c r="B155" s="84" t="s">
        <v>38</v>
      </c>
      <c r="C155" s="84" t="s">
        <v>39</v>
      </c>
      <c r="D155" s="84" t="s">
        <v>37</v>
      </c>
      <c r="E155" s="84" t="s">
        <v>25</v>
      </c>
      <c r="F155" s="84" t="s">
        <v>56</v>
      </c>
      <c r="G155" s="84" t="s">
        <v>25</v>
      </c>
      <c r="H155" s="84" t="s">
        <v>33</v>
      </c>
      <c r="I155" s="90">
        <v>44652</v>
      </c>
      <c r="J155" s="91">
        <f>EFEITO!$J$155*EFEITO!$Y$155</f>
        <v>0</v>
      </c>
      <c r="K155" s="91">
        <f ca="1">EFEITO!$L$155*EFEITO!$Z$155</f>
        <v>264969.51175215747</v>
      </c>
      <c r="L155" s="91">
        <f>EFEITO!$N$155*EFEITO!$AA$155</f>
        <v>0</v>
      </c>
      <c r="M155" s="91">
        <f>$J$155-EFEITO!$K$155*EFEITO!$Y$155</f>
        <v>0</v>
      </c>
      <c r="N155" s="91">
        <f ca="1">$K$155-EFEITO!$M$155*EFEITO!$Z$155</f>
        <v>116666.07602447495</v>
      </c>
      <c r="O155" s="91">
        <f>$L$155-EFEITO!$O$155*EFEITO!$AA$155</f>
        <v>0</v>
      </c>
      <c r="P155" s="19"/>
      <c r="Q155" s="19"/>
      <c r="R155" s="19"/>
      <c r="S155" s="19"/>
      <c r="T155" s="19"/>
      <c r="U155" s="19"/>
      <c r="V155" s="19"/>
      <c r="W155" s="19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84" t="s">
        <v>21</v>
      </c>
      <c r="B156" s="84" t="s">
        <v>38</v>
      </c>
      <c r="C156" s="84" t="s">
        <v>39</v>
      </c>
      <c r="D156" s="84" t="s">
        <v>37</v>
      </c>
      <c r="E156" s="84" t="s">
        <v>25</v>
      </c>
      <c r="F156" s="84" t="s">
        <v>56</v>
      </c>
      <c r="G156" s="84" t="s">
        <v>25</v>
      </c>
      <c r="H156" s="84" t="s">
        <v>33</v>
      </c>
      <c r="I156" s="90">
        <v>44682</v>
      </c>
      <c r="J156" s="91">
        <f>EFEITO!$J$156*EFEITO!$Y$156</f>
        <v>0</v>
      </c>
      <c r="K156" s="91">
        <f ca="1">EFEITO!$L$156*EFEITO!$Z$156</f>
        <v>310268.66999971989</v>
      </c>
      <c r="L156" s="91">
        <f>EFEITO!$N$156*EFEITO!$AA$156</f>
        <v>0</v>
      </c>
      <c r="M156" s="91">
        <f>$J$156-EFEITO!$K$156*EFEITO!$Y$156</f>
        <v>0</v>
      </c>
      <c r="N156" s="91">
        <f ca="1">$K$156-EFEITO!$M$156*EFEITO!$Z$156</f>
        <v>136611.29540087667</v>
      </c>
      <c r="O156" s="91">
        <f>$L$156-EFEITO!$O$156*EFEITO!$AA$156</f>
        <v>0</v>
      </c>
      <c r="P156" s="19"/>
      <c r="Q156" s="19"/>
      <c r="R156" s="19"/>
      <c r="S156" s="19"/>
      <c r="T156" s="19"/>
      <c r="U156" s="19"/>
      <c r="V156" s="19"/>
      <c r="W156" s="19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84" t="s">
        <v>55</v>
      </c>
      <c r="B157" s="84" t="s">
        <v>38</v>
      </c>
      <c r="C157" s="84" t="s">
        <v>39</v>
      </c>
      <c r="D157" s="84" t="s">
        <v>37</v>
      </c>
      <c r="E157" s="84" t="s">
        <v>25</v>
      </c>
      <c r="F157" s="84" t="s">
        <v>56</v>
      </c>
      <c r="G157" s="84" t="s">
        <v>25</v>
      </c>
      <c r="H157" s="84" t="s">
        <v>33</v>
      </c>
      <c r="I157" s="90">
        <v>44713</v>
      </c>
      <c r="J157" s="91">
        <f>EFEITO!$J$157*EFEITO!$Y$157</f>
        <v>0</v>
      </c>
      <c r="K157" s="91">
        <f ca="1">EFEITO!$L$157*EFEITO!$Z$157</f>
        <v>310268.66999971989</v>
      </c>
      <c r="L157" s="91">
        <f>EFEITO!$N$157*EFEITO!$AA$157</f>
        <v>0</v>
      </c>
      <c r="M157" s="91">
        <f>$J$157-EFEITO!$K$157*EFEITO!$Y$157</f>
        <v>0</v>
      </c>
      <c r="N157" s="91">
        <f ca="1">$K$157-EFEITO!$M$157*EFEITO!$Z$157</f>
        <v>136611.29540087667</v>
      </c>
      <c r="O157" s="91">
        <f>$L$157-EFEITO!$O$157*EFEITO!$AA$157</f>
        <v>0</v>
      </c>
      <c r="P157" s="19"/>
      <c r="Q157" s="19"/>
      <c r="R157" s="19"/>
      <c r="S157" s="19"/>
      <c r="T157" s="19"/>
      <c r="U157" s="19"/>
      <c r="V157" s="19"/>
      <c r="W157" s="19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84" t="s">
        <v>21</v>
      </c>
      <c r="B158" s="84" t="s">
        <v>38</v>
      </c>
      <c r="C158" s="84" t="s">
        <v>39</v>
      </c>
      <c r="D158" s="84" t="s">
        <v>37</v>
      </c>
      <c r="E158" s="84" t="s">
        <v>25</v>
      </c>
      <c r="F158" s="84" t="s">
        <v>25</v>
      </c>
      <c r="G158" s="84" t="s">
        <v>25</v>
      </c>
      <c r="H158" s="84" t="s">
        <v>34</v>
      </c>
      <c r="I158" s="90">
        <v>44378</v>
      </c>
      <c r="J158" s="91">
        <f>EFEITO!$J$158*EFEITO!$Y$158</f>
        <v>0</v>
      </c>
      <c r="K158" s="91">
        <f ca="1">EFEITO!$L$158*EFEITO!$Z$158</f>
        <v>91334.542856644723</v>
      </c>
      <c r="L158" s="91">
        <f>EFEITO!$N$158*EFEITO!$AA$158</f>
        <v>224333.98582419535</v>
      </c>
      <c r="M158" s="91">
        <f>$J$158-EFEITO!$K$158*EFEITO!$Y$158</f>
        <v>0</v>
      </c>
      <c r="N158" s="91">
        <f ca="1">$K$158-EFEITO!$M$158*EFEITO!$Z$158</f>
        <v>0</v>
      </c>
      <c r="O158" s="91">
        <f>$L$158-EFEITO!$O$158*EFEITO!$AA$158</f>
        <v>0</v>
      </c>
      <c r="P158" s="19"/>
      <c r="Q158" s="19"/>
      <c r="R158" s="19"/>
      <c r="S158" s="19"/>
      <c r="T158" s="19"/>
      <c r="U158" s="19"/>
      <c r="V158" s="19"/>
      <c r="W158" s="19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84" t="s">
        <v>27</v>
      </c>
      <c r="B159" s="84" t="s">
        <v>38</v>
      </c>
      <c r="C159" s="84" t="s">
        <v>39</v>
      </c>
      <c r="D159" s="84" t="s">
        <v>37</v>
      </c>
      <c r="E159" s="84" t="s">
        <v>25</v>
      </c>
      <c r="F159" s="84" t="s">
        <v>25</v>
      </c>
      <c r="G159" s="84" t="s">
        <v>25</v>
      </c>
      <c r="H159" s="84" t="s">
        <v>34</v>
      </c>
      <c r="I159" s="90">
        <v>44378</v>
      </c>
      <c r="J159" s="91">
        <f>EFEITO!$J$159*EFEITO!$Y$159</f>
        <v>0</v>
      </c>
      <c r="K159" s="91">
        <f ca="1">EFEITO!$L$159*EFEITO!$Z$159</f>
        <v>8325.3084701878051</v>
      </c>
      <c r="L159" s="91">
        <f>EFEITO!$N$159*EFEITO!$AA$159</f>
        <v>20448.447804294126</v>
      </c>
      <c r="M159" s="91">
        <f>$J$159-EFEITO!$K$159*EFEITO!$Y$159</f>
        <v>0</v>
      </c>
      <c r="N159" s="91">
        <f ca="1">$K$159-EFEITO!$M$159*EFEITO!$Z$159</f>
        <v>0</v>
      </c>
      <c r="O159" s="91">
        <f>$L$159-EFEITO!$O$159*EFEITO!$AA$159</f>
        <v>0</v>
      </c>
      <c r="P159" s="19"/>
      <c r="Q159" s="19"/>
      <c r="R159" s="19"/>
      <c r="S159" s="19"/>
      <c r="T159" s="19"/>
      <c r="U159" s="19"/>
      <c r="V159" s="19"/>
      <c r="W159" s="19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84" t="s">
        <v>21</v>
      </c>
      <c r="B160" s="84" t="s">
        <v>38</v>
      </c>
      <c r="C160" s="84" t="s">
        <v>39</v>
      </c>
      <c r="D160" s="84" t="s">
        <v>37</v>
      </c>
      <c r="E160" s="84" t="s">
        <v>25</v>
      </c>
      <c r="F160" s="84" t="s">
        <v>25</v>
      </c>
      <c r="G160" s="84" t="s">
        <v>25</v>
      </c>
      <c r="H160" s="84" t="s">
        <v>34</v>
      </c>
      <c r="I160" s="90">
        <v>44409</v>
      </c>
      <c r="J160" s="91">
        <f>EFEITO!$J$160*EFEITO!$Y$160</f>
        <v>0</v>
      </c>
      <c r="K160" s="91">
        <f ca="1">EFEITO!$L$160*EFEITO!$Z$160</f>
        <v>77288.477242042398</v>
      </c>
      <c r="L160" s="91">
        <f>EFEITO!$N$160*EFEITO!$AA$160</f>
        <v>189834.33447741385</v>
      </c>
      <c r="M160" s="91">
        <f>$J$160-EFEITO!$K$160*EFEITO!$Y$160</f>
        <v>0</v>
      </c>
      <c r="N160" s="91">
        <f ca="1">$K$160-EFEITO!$M$160*EFEITO!$Z$160</f>
        <v>0</v>
      </c>
      <c r="O160" s="91">
        <f>$L$160-EFEITO!$O$160*EFEITO!$AA$160</f>
        <v>0</v>
      </c>
      <c r="P160" s="19"/>
      <c r="Q160" s="19"/>
      <c r="R160" s="19"/>
      <c r="S160" s="19"/>
      <c r="T160" s="19"/>
      <c r="U160" s="19"/>
      <c r="V160" s="19"/>
      <c r="W160" s="19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84" t="s">
        <v>27</v>
      </c>
      <c r="B161" s="84" t="s">
        <v>38</v>
      </c>
      <c r="C161" s="84" t="s">
        <v>39</v>
      </c>
      <c r="D161" s="84" t="s">
        <v>37</v>
      </c>
      <c r="E161" s="84" t="s">
        <v>25</v>
      </c>
      <c r="F161" s="84" t="s">
        <v>25</v>
      </c>
      <c r="G161" s="84" t="s">
        <v>25</v>
      </c>
      <c r="H161" s="84" t="s">
        <v>34</v>
      </c>
      <c r="I161" s="90">
        <v>44409</v>
      </c>
      <c r="J161" s="91">
        <f>EFEITO!$J$161*EFEITO!$Y$161</f>
        <v>0</v>
      </c>
      <c r="K161" s="91">
        <f ca="1">EFEITO!$L$161*EFEITO!$Z$161</f>
        <v>7533.2979761716197</v>
      </c>
      <c r="L161" s="91">
        <f>EFEITO!$N$161*EFEITO!$AA$161</f>
        <v>18503.128263842573</v>
      </c>
      <c r="M161" s="91">
        <f>$J$161-EFEITO!$K$161*EFEITO!$Y$161</f>
        <v>0</v>
      </c>
      <c r="N161" s="91">
        <f ca="1">$K$161-EFEITO!$M$161*EFEITO!$Z$161</f>
        <v>0</v>
      </c>
      <c r="O161" s="91">
        <f>$L$161-EFEITO!$O$161*EFEITO!$AA$161</f>
        <v>0</v>
      </c>
      <c r="P161" s="19"/>
      <c r="Q161" s="19"/>
      <c r="R161" s="19"/>
      <c r="S161" s="19"/>
      <c r="T161" s="19"/>
      <c r="U161" s="19"/>
      <c r="V161" s="19"/>
      <c r="W161" s="19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84" t="s">
        <v>21</v>
      </c>
      <c r="B162" s="84" t="s">
        <v>38</v>
      </c>
      <c r="C162" s="84" t="s">
        <v>39</v>
      </c>
      <c r="D162" s="84" t="s">
        <v>37</v>
      </c>
      <c r="E162" s="84" t="s">
        <v>25</v>
      </c>
      <c r="F162" s="84" t="s">
        <v>25</v>
      </c>
      <c r="G162" s="84" t="s">
        <v>25</v>
      </c>
      <c r="H162" s="84" t="s">
        <v>34</v>
      </c>
      <c r="I162" s="90">
        <v>44440</v>
      </c>
      <c r="J162" s="91">
        <f>EFEITO!$J$162*EFEITO!$Y$162</f>
        <v>0</v>
      </c>
      <c r="K162" s="91">
        <f ca="1">EFEITO!$L$162*EFEITO!$Z$162</f>
        <v>74650.19887853699</v>
      </c>
      <c r="L162" s="91">
        <f>EFEITO!$N$162*EFEITO!$AA$162</f>
        <v>183354.25057391354</v>
      </c>
      <c r="M162" s="91">
        <f>$J$162-EFEITO!$K$162*EFEITO!$Y$162</f>
        <v>0</v>
      </c>
      <c r="N162" s="91">
        <f ca="1">$K$162-EFEITO!$M$162*EFEITO!$Z$162</f>
        <v>0</v>
      </c>
      <c r="O162" s="91">
        <f>$L$162-EFEITO!$O$162*EFEITO!$AA$162</f>
        <v>0</v>
      </c>
      <c r="P162" s="19"/>
      <c r="Q162" s="19"/>
      <c r="R162" s="19"/>
      <c r="S162" s="19"/>
      <c r="T162" s="19"/>
      <c r="U162" s="19"/>
      <c r="V162" s="19"/>
      <c r="W162" s="19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84" t="s">
        <v>27</v>
      </c>
      <c r="B163" s="84" t="s">
        <v>38</v>
      </c>
      <c r="C163" s="84" t="s">
        <v>39</v>
      </c>
      <c r="D163" s="84" t="s">
        <v>37</v>
      </c>
      <c r="E163" s="84" t="s">
        <v>25</v>
      </c>
      <c r="F163" s="84" t="s">
        <v>25</v>
      </c>
      <c r="G163" s="84" t="s">
        <v>25</v>
      </c>
      <c r="H163" s="84" t="s">
        <v>34</v>
      </c>
      <c r="I163" s="90">
        <v>44440</v>
      </c>
      <c r="J163" s="91">
        <f>EFEITO!$J$163*EFEITO!$Y$163</f>
        <v>0</v>
      </c>
      <c r="K163" s="91">
        <f ca="1">EFEITO!$L$163*EFEITO!$Z$163</f>
        <v>6492.5505788810533</v>
      </c>
      <c r="L163" s="91">
        <f>EFEITO!$N$163*EFEITO!$AA$163</f>
        <v>15946.866365901027</v>
      </c>
      <c r="M163" s="91">
        <f>$J$163-EFEITO!$K$163*EFEITO!$Y$163</f>
        <v>0</v>
      </c>
      <c r="N163" s="91">
        <f ca="1">$K$163-EFEITO!$M$163*EFEITO!$Z$163</f>
        <v>0</v>
      </c>
      <c r="O163" s="91">
        <f>$L$163-EFEITO!$O$163*EFEITO!$AA$163</f>
        <v>0</v>
      </c>
      <c r="P163" s="19"/>
      <c r="Q163" s="19"/>
      <c r="R163" s="19"/>
      <c r="S163" s="19"/>
      <c r="T163" s="19"/>
      <c r="U163" s="19"/>
      <c r="V163" s="19"/>
      <c r="W163" s="19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84" t="s">
        <v>21</v>
      </c>
      <c r="B164" s="84" t="s">
        <v>38</v>
      </c>
      <c r="C164" s="84" t="s">
        <v>39</v>
      </c>
      <c r="D164" s="84" t="s">
        <v>37</v>
      </c>
      <c r="E164" s="84" t="s">
        <v>25</v>
      </c>
      <c r="F164" s="84" t="s">
        <v>25</v>
      </c>
      <c r="G164" s="84" t="s">
        <v>25</v>
      </c>
      <c r="H164" s="84" t="s">
        <v>34</v>
      </c>
      <c r="I164" s="90">
        <v>44470</v>
      </c>
      <c r="J164" s="91">
        <f>EFEITO!$J$164*EFEITO!$Y$164</f>
        <v>0</v>
      </c>
      <c r="K164" s="91">
        <f ca="1">EFEITO!$L$164*EFEITO!$Z$164</f>
        <v>76440.22307998997</v>
      </c>
      <c r="L164" s="91">
        <f>EFEITO!$N$164*EFEITO!$AA$164</f>
        <v>187750.87042084261</v>
      </c>
      <c r="M164" s="91">
        <f>$J$164-EFEITO!$K$164*EFEITO!$Y$164</f>
        <v>0</v>
      </c>
      <c r="N164" s="91">
        <f ca="1">$K$164-EFEITO!$M$164*EFEITO!$Z$164</f>
        <v>0</v>
      </c>
      <c r="O164" s="91">
        <f>$L$164-EFEITO!$O$164*EFEITO!$AA$164</f>
        <v>0</v>
      </c>
      <c r="P164" s="19"/>
      <c r="Q164" s="19"/>
      <c r="R164" s="19"/>
      <c r="S164" s="19"/>
      <c r="T164" s="19"/>
      <c r="U164" s="19"/>
      <c r="V164" s="19"/>
      <c r="W164" s="19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84" t="s">
        <v>27</v>
      </c>
      <c r="B165" s="84" t="s">
        <v>38</v>
      </c>
      <c r="C165" s="84" t="s">
        <v>39</v>
      </c>
      <c r="D165" s="84" t="s">
        <v>37</v>
      </c>
      <c r="E165" s="84" t="s">
        <v>25</v>
      </c>
      <c r="F165" s="84" t="s">
        <v>25</v>
      </c>
      <c r="G165" s="84" t="s">
        <v>25</v>
      </c>
      <c r="H165" s="84" t="s">
        <v>34</v>
      </c>
      <c r="I165" s="90">
        <v>44470</v>
      </c>
      <c r="J165" s="91">
        <f>EFEITO!$J$165*EFEITO!$Y$165</f>
        <v>0</v>
      </c>
      <c r="K165" s="91">
        <f ca="1">EFEITO!$L$165*EFEITO!$Z$165</f>
        <v>3283.6912219245969</v>
      </c>
      <c r="L165" s="91">
        <f>EFEITO!$N$165*EFEITO!$AA$165</f>
        <v>8065.3334104543046</v>
      </c>
      <c r="M165" s="91">
        <f>$J$165-EFEITO!$K$165*EFEITO!$Y$165</f>
        <v>0</v>
      </c>
      <c r="N165" s="91">
        <f ca="1">$K$165-EFEITO!$M$165*EFEITO!$Z$165</f>
        <v>0</v>
      </c>
      <c r="O165" s="91">
        <f>$L$165-EFEITO!$O$165*EFEITO!$AA$165</f>
        <v>0</v>
      </c>
      <c r="P165" s="19"/>
      <c r="Q165" s="19"/>
      <c r="R165" s="19"/>
      <c r="S165" s="19"/>
      <c r="T165" s="19"/>
      <c r="U165" s="19"/>
      <c r="V165" s="19"/>
      <c r="W165" s="19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84" t="s">
        <v>21</v>
      </c>
      <c r="B166" s="84" t="s">
        <v>38</v>
      </c>
      <c r="C166" s="84" t="s">
        <v>39</v>
      </c>
      <c r="D166" s="84" t="s">
        <v>37</v>
      </c>
      <c r="E166" s="84" t="s">
        <v>25</v>
      </c>
      <c r="F166" s="84" t="s">
        <v>25</v>
      </c>
      <c r="G166" s="84" t="s">
        <v>25</v>
      </c>
      <c r="H166" s="84" t="s">
        <v>34</v>
      </c>
      <c r="I166" s="90">
        <v>44501</v>
      </c>
      <c r="J166" s="91">
        <f>EFEITO!$J$166*EFEITO!$Y$166</f>
        <v>0</v>
      </c>
      <c r="K166" s="91">
        <f ca="1">EFEITO!$L$166*EFEITO!$Z$166</f>
        <v>63901.909356730343</v>
      </c>
      <c r="L166" s="91">
        <f>EFEITO!$N$166*EFEITO!$AA$166</f>
        <v>156954.52760158904</v>
      </c>
      <c r="M166" s="91">
        <f>$J$166-EFEITO!$K$166*EFEITO!$Y$166</f>
        <v>0</v>
      </c>
      <c r="N166" s="91">
        <f ca="1">$K$166-EFEITO!$M$166*EFEITO!$Z$166</f>
        <v>0</v>
      </c>
      <c r="O166" s="91">
        <f>$L$166-EFEITO!$O$166*EFEITO!$AA$166</f>
        <v>0</v>
      </c>
      <c r="P166" s="19"/>
      <c r="Q166" s="19"/>
      <c r="R166" s="19"/>
      <c r="S166" s="19"/>
      <c r="T166" s="19"/>
      <c r="U166" s="19"/>
      <c r="V166" s="19"/>
      <c r="W166" s="19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84" t="s">
        <v>27</v>
      </c>
      <c r="B167" s="84" t="s">
        <v>38</v>
      </c>
      <c r="C167" s="84" t="s">
        <v>39</v>
      </c>
      <c r="D167" s="84" t="s">
        <v>37</v>
      </c>
      <c r="E167" s="84" t="s">
        <v>25</v>
      </c>
      <c r="F167" s="84" t="s">
        <v>25</v>
      </c>
      <c r="G167" s="84" t="s">
        <v>25</v>
      </c>
      <c r="H167" s="84" t="s">
        <v>34</v>
      </c>
      <c r="I167" s="90">
        <v>44501</v>
      </c>
      <c r="J167" s="91">
        <f>EFEITO!$J$167*EFEITO!$Y$167</f>
        <v>0</v>
      </c>
      <c r="K167" s="91">
        <f ca="1">EFEITO!$L$167*EFEITO!$Z$167</f>
        <v>4600.1954788544781</v>
      </c>
      <c r="L167" s="91">
        <f>EFEITO!$N$167*EFEITO!$AA$167</f>
        <v>11298.903515197153</v>
      </c>
      <c r="M167" s="91">
        <f>$J$167-EFEITO!$K$167*EFEITO!$Y$167</f>
        <v>0</v>
      </c>
      <c r="N167" s="91">
        <f ca="1">$K$167-EFEITO!$M$167*EFEITO!$Z$167</f>
        <v>0</v>
      </c>
      <c r="O167" s="91">
        <f>$L$167-EFEITO!$O$167*EFEITO!$AA$167</f>
        <v>0</v>
      </c>
      <c r="P167" s="19"/>
      <c r="Q167" s="19"/>
      <c r="R167" s="19"/>
      <c r="S167" s="19"/>
      <c r="T167" s="19"/>
      <c r="U167" s="19"/>
      <c r="V167" s="19"/>
      <c r="W167" s="19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84" t="s">
        <v>21</v>
      </c>
      <c r="B168" s="84" t="s">
        <v>38</v>
      </c>
      <c r="C168" s="84" t="s">
        <v>39</v>
      </c>
      <c r="D168" s="84" t="s">
        <v>37</v>
      </c>
      <c r="E168" s="84" t="s">
        <v>25</v>
      </c>
      <c r="F168" s="84" t="s">
        <v>25</v>
      </c>
      <c r="G168" s="84" t="s">
        <v>25</v>
      </c>
      <c r="H168" s="84" t="s">
        <v>34</v>
      </c>
      <c r="I168" s="90">
        <v>44531</v>
      </c>
      <c r="J168" s="91">
        <f>EFEITO!$J$168*EFEITO!$Y$168</f>
        <v>0</v>
      </c>
      <c r="K168" s="91">
        <f ca="1">EFEITO!$L$168*EFEITO!$Z$168</f>
        <v>62259.249314459172</v>
      </c>
      <c r="L168" s="91">
        <f>EFEITO!$N$168*EFEITO!$AA$168</f>
        <v>152919.86050728691</v>
      </c>
      <c r="M168" s="91">
        <f>$J$168-EFEITO!$K$168*EFEITO!$Y$168</f>
        <v>0</v>
      </c>
      <c r="N168" s="91">
        <f ca="1">$K$168-EFEITO!$M$168*EFEITO!$Z$168</f>
        <v>0</v>
      </c>
      <c r="O168" s="91">
        <f>$L$168-EFEITO!$O$168*EFEITO!$AA$168</f>
        <v>0</v>
      </c>
      <c r="P168" s="19"/>
      <c r="Q168" s="19"/>
      <c r="R168" s="19"/>
      <c r="S168" s="19"/>
      <c r="T168" s="19"/>
      <c r="U168" s="19"/>
      <c r="V168" s="19"/>
      <c r="W168" s="19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84" t="s">
        <v>27</v>
      </c>
      <c r="B169" s="84" t="s">
        <v>38</v>
      </c>
      <c r="C169" s="84" t="s">
        <v>39</v>
      </c>
      <c r="D169" s="84" t="s">
        <v>37</v>
      </c>
      <c r="E169" s="84" t="s">
        <v>25</v>
      </c>
      <c r="F169" s="84" t="s">
        <v>25</v>
      </c>
      <c r="G169" s="84" t="s">
        <v>25</v>
      </c>
      <c r="H169" s="84" t="s">
        <v>34</v>
      </c>
      <c r="I169" s="90">
        <v>44531</v>
      </c>
      <c r="J169" s="91">
        <f>EFEITO!$J$169*EFEITO!$Y$169</f>
        <v>0</v>
      </c>
      <c r="K169" s="91">
        <f ca="1">EFEITO!$L$169*EFEITO!$Z$169</f>
        <v>4231.1143727632189</v>
      </c>
      <c r="L169" s="91">
        <f>EFEITO!$N$169*EFEITO!$AA$169</f>
        <v>10392.374254391516</v>
      </c>
      <c r="M169" s="91">
        <f>$J$169-EFEITO!$K$169*EFEITO!$Y$169</f>
        <v>0</v>
      </c>
      <c r="N169" s="91">
        <f ca="1">$K$169-EFEITO!$M$169*EFEITO!$Z$169</f>
        <v>0</v>
      </c>
      <c r="O169" s="91">
        <f>$L$169-EFEITO!$O$169*EFEITO!$AA$169</f>
        <v>0</v>
      </c>
      <c r="P169" s="19"/>
      <c r="Q169" s="19"/>
      <c r="R169" s="19"/>
      <c r="S169" s="19"/>
      <c r="T169" s="19"/>
      <c r="U169" s="19"/>
      <c r="V169" s="19"/>
      <c r="W169" s="19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84" t="s">
        <v>21</v>
      </c>
      <c r="B170" s="84" t="s">
        <v>38</v>
      </c>
      <c r="C170" s="84" t="s">
        <v>39</v>
      </c>
      <c r="D170" s="84" t="s">
        <v>37</v>
      </c>
      <c r="E170" s="84" t="s">
        <v>25</v>
      </c>
      <c r="F170" s="84" t="s">
        <v>25</v>
      </c>
      <c r="G170" s="84" t="s">
        <v>25</v>
      </c>
      <c r="H170" s="84" t="s">
        <v>34</v>
      </c>
      <c r="I170" s="90">
        <v>44562</v>
      </c>
      <c r="J170" s="91">
        <f>EFEITO!$J$170*EFEITO!$Y$170</f>
        <v>0</v>
      </c>
      <c r="K170" s="91">
        <f ca="1">EFEITO!$L$170*EFEITO!$Z$170</f>
        <v>54960.124293450339</v>
      </c>
      <c r="L170" s="91">
        <f>EFEITO!$N$170*EFEITO!$AA$170</f>
        <v>134991.90293747574</v>
      </c>
      <c r="M170" s="91">
        <f>$J$170-EFEITO!$K$170*EFEITO!$Y$170</f>
        <v>0</v>
      </c>
      <c r="N170" s="91">
        <f ca="1">$K$170-EFEITO!$M$170*EFEITO!$Z$170</f>
        <v>0</v>
      </c>
      <c r="O170" s="91">
        <f>$L$170-EFEITO!$O$170*EFEITO!$AA$170</f>
        <v>0</v>
      </c>
      <c r="P170" s="19"/>
      <c r="Q170" s="19"/>
      <c r="R170" s="19"/>
      <c r="S170" s="19"/>
      <c r="T170" s="19"/>
      <c r="U170" s="19"/>
      <c r="V170" s="19"/>
      <c r="W170" s="19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84" t="s">
        <v>27</v>
      </c>
      <c r="B171" s="84" t="s">
        <v>38</v>
      </c>
      <c r="C171" s="84" t="s">
        <v>39</v>
      </c>
      <c r="D171" s="84" t="s">
        <v>37</v>
      </c>
      <c r="E171" s="84" t="s">
        <v>25</v>
      </c>
      <c r="F171" s="84" t="s">
        <v>25</v>
      </c>
      <c r="G171" s="84" t="s">
        <v>25</v>
      </c>
      <c r="H171" s="84" t="s">
        <v>34</v>
      </c>
      <c r="I171" s="90">
        <v>44562</v>
      </c>
      <c r="J171" s="91">
        <f>EFEITO!$J$171*EFEITO!$Y$171</f>
        <v>0</v>
      </c>
      <c r="K171" s="91">
        <f ca="1">EFEITO!$L$171*EFEITO!$Z$171</f>
        <v>4988.535490014362</v>
      </c>
      <c r="L171" s="91">
        <f>EFEITO!$N$171*EFEITO!$AA$171</f>
        <v>12252.736094128941</v>
      </c>
      <c r="M171" s="91">
        <f>$J$171-EFEITO!$K$171*EFEITO!$Y$171</f>
        <v>0</v>
      </c>
      <c r="N171" s="91">
        <f ca="1">$K$171-EFEITO!$M$171*EFEITO!$Z$171</f>
        <v>0</v>
      </c>
      <c r="O171" s="91">
        <f>$L$171-EFEITO!$O$171*EFEITO!$AA$171</f>
        <v>0</v>
      </c>
      <c r="P171" s="19"/>
      <c r="Q171" s="19"/>
      <c r="R171" s="19"/>
      <c r="S171" s="19"/>
      <c r="T171" s="19"/>
      <c r="U171" s="19"/>
      <c r="V171" s="19"/>
      <c r="W171" s="19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84" t="s">
        <v>21</v>
      </c>
      <c r="B172" s="84" t="s">
        <v>38</v>
      </c>
      <c r="C172" s="84" t="s">
        <v>39</v>
      </c>
      <c r="D172" s="84" t="s">
        <v>37</v>
      </c>
      <c r="E172" s="84" t="s">
        <v>25</v>
      </c>
      <c r="F172" s="84" t="s">
        <v>25</v>
      </c>
      <c r="G172" s="84" t="s">
        <v>25</v>
      </c>
      <c r="H172" s="84" t="s">
        <v>34</v>
      </c>
      <c r="I172" s="90">
        <v>44593</v>
      </c>
      <c r="J172" s="91">
        <f>EFEITO!$J$172*EFEITO!$Y$172</f>
        <v>0</v>
      </c>
      <c r="K172" s="91">
        <f ca="1">EFEITO!$L$172*EFEITO!$Z$172</f>
        <v>32016.540352591412</v>
      </c>
      <c r="L172" s="91">
        <f>EFEITO!$N$172*EFEITO!$AA$172</f>
        <v>78638.353956303734</v>
      </c>
      <c r="M172" s="91">
        <f>$J$172-EFEITO!$K$172*EFEITO!$Y$172</f>
        <v>0</v>
      </c>
      <c r="N172" s="91">
        <f ca="1">$K$172-EFEITO!$M$172*EFEITO!$Z$172</f>
        <v>0</v>
      </c>
      <c r="O172" s="91">
        <f>$L$172-EFEITO!$O$172*EFEITO!$AA$172</f>
        <v>0</v>
      </c>
      <c r="P172" s="19"/>
      <c r="Q172" s="19"/>
      <c r="R172" s="19"/>
      <c r="S172" s="19"/>
      <c r="T172" s="19"/>
      <c r="U172" s="19"/>
      <c r="V172" s="19"/>
      <c r="W172" s="19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84" t="s">
        <v>27</v>
      </c>
      <c r="B173" s="84" t="s">
        <v>38</v>
      </c>
      <c r="C173" s="84" t="s">
        <v>39</v>
      </c>
      <c r="D173" s="84" t="s">
        <v>37</v>
      </c>
      <c r="E173" s="84" t="s">
        <v>25</v>
      </c>
      <c r="F173" s="84" t="s">
        <v>25</v>
      </c>
      <c r="G173" s="84" t="s">
        <v>25</v>
      </c>
      <c r="H173" s="84" t="s">
        <v>34</v>
      </c>
      <c r="I173" s="90">
        <v>44593</v>
      </c>
      <c r="J173" s="91">
        <f>EFEITO!$J$173*EFEITO!$Y$173</f>
        <v>0</v>
      </c>
      <c r="K173" s="91">
        <f ca="1">EFEITO!$L$173*EFEITO!$Z$173</f>
        <v>8083.2786482806086</v>
      </c>
      <c r="L173" s="91">
        <f>EFEITO!$N$173*EFEITO!$AA$173</f>
        <v>19853.979239186381</v>
      </c>
      <c r="M173" s="91">
        <f>$J$173-EFEITO!$K$173*EFEITO!$Y$173</f>
        <v>0</v>
      </c>
      <c r="N173" s="91">
        <f ca="1">$K$173-EFEITO!$M$173*EFEITO!$Z$173</f>
        <v>0</v>
      </c>
      <c r="O173" s="91">
        <f>$L$173-EFEITO!$O$173*EFEITO!$AA$173</f>
        <v>0</v>
      </c>
      <c r="P173" s="19"/>
      <c r="Q173" s="19"/>
      <c r="R173" s="19"/>
      <c r="S173" s="19"/>
      <c r="T173" s="19"/>
      <c r="U173" s="19"/>
      <c r="V173" s="19"/>
      <c r="W173" s="19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84" t="s">
        <v>21</v>
      </c>
      <c r="B174" s="84" t="s">
        <v>38</v>
      </c>
      <c r="C174" s="84" t="s">
        <v>39</v>
      </c>
      <c r="D174" s="84" t="s">
        <v>37</v>
      </c>
      <c r="E174" s="84" t="s">
        <v>25</v>
      </c>
      <c r="F174" s="84" t="s">
        <v>25</v>
      </c>
      <c r="G174" s="84" t="s">
        <v>25</v>
      </c>
      <c r="H174" s="84" t="s">
        <v>34</v>
      </c>
      <c r="I174" s="90">
        <v>44621</v>
      </c>
      <c r="J174" s="91">
        <f>EFEITO!$J$174*EFEITO!$Y$174</f>
        <v>0</v>
      </c>
      <c r="K174" s="91">
        <f ca="1">EFEITO!$L$174*EFEITO!$Z$174</f>
        <v>36077.007412283878</v>
      </c>
      <c r="L174" s="91">
        <f>EFEITO!$N$174*EFEITO!$AA$174</f>
        <v>88611.587864512781</v>
      </c>
      <c r="M174" s="91">
        <f>$J$174-EFEITO!$K$174*EFEITO!$Y$174</f>
        <v>0</v>
      </c>
      <c r="N174" s="91">
        <f ca="1">$K$174-EFEITO!$M$174*EFEITO!$Z$174</f>
        <v>0</v>
      </c>
      <c r="O174" s="91">
        <f>$L$174-EFEITO!$O$174*EFEITO!$AA$174</f>
        <v>0</v>
      </c>
      <c r="P174" s="19"/>
      <c r="Q174" s="19"/>
      <c r="R174" s="19"/>
      <c r="S174" s="19"/>
      <c r="T174" s="19"/>
      <c r="U174" s="19"/>
      <c r="V174" s="19"/>
      <c r="W174" s="19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84" t="s">
        <v>27</v>
      </c>
      <c r="B175" s="84" t="s">
        <v>38</v>
      </c>
      <c r="C175" s="84" t="s">
        <v>39</v>
      </c>
      <c r="D175" s="84" t="s">
        <v>37</v>
      </c>
      <c r="E175" s="84" t="s">
        <v>25</v>
      </c>
      <c r="F175" s="84" t="s">
        <v>25</v>
      </c>
      <c r="G175" s="84" t="s">
        <v>25</v>
      </c>
      <c r="H175" s="84" t="s">
        <v>34</v>
      </c>
      <c r="I175" s="90">
        <v>44621</v>
      </c>
      <c r="J175" s="91">
        <f>EFEITO!$J$175*EFEITO!$Y$175</f>
        <v>0</v>
      </c>
      <c r="K175" s="91">
        <f ca="1">EFEITO!$L$175*EFEITO!$Z$175</f>
        <v>13120.680016827304</v>
      </c>
      <c r="L175" s="91">
        <f>EFEITO!$N$175*EFEITO!$AA$175</f>
        <v>32226.738677814512</v>
      </c>
      <c r="M175" s="91">
        <f>$J$175-EFEITO!$K$175*EFEITO!$Y$175</f>
        <v>0</v>
      </c>
      <c r="N175" s="91">
        <f ca="1">$K$175-EFEITO!$M$175*EFEITO!$Z$175</f>
        <v>0</v>
      </c>
      <c r="O175" s="91">
        <f>$L$175-EFEITO!$O$175*EFEITO!$AA$175</f>
        <v>0</v>
      </c>
      <c r="P175" s="19"/>
      <c r="Q175" s="19"/>
      <c r="R175" s="19"/>
      <c r="S175" s="19"/>
      <c r="T175" s="19"/>
      <c r="U175" s="19"/>
      <c r="V175" s="19"/>
      <c r="W175" s="19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84" t="s">
        <v>21</v>
      </c>
      <c r="B176" s="84" t="s">
        <v>38</v>
      </c>
      <c r="C176" s="84" t="s">
        <v>39</v>
      </c>
      <c r="D176" s="84" t="s">
        <v>37</v>
      </c>
      <c r="E176" s="84" t="s">
        <v>25</v>
      </c>
      <c r="F176" s="84" t="s">
        <v>25</v>
      </c>
      <c r="G176" s="84" t="s">
        <v>25</v>
      </c>
      <c r="H176" s="84" t="s">
        <v>34</v>
      </c>
      <c r="I176" s="90">
        <v>44652</v>
      </c>
      <c r="J176" s="91">
        <f>EFEITO!$J$176*EFEITO!$Y$176</f>
        <v>0</v>
      </c>
      <c r="K176" s="91">
        <f ca="1">EFEITO!$L$176*EFEITO!$Z$176</f>
        <v>29891.736975467895</v>
      </c>
      <c r="L176" s="91">
        <f>EFEITO!$N$176*EFEITO!$AA$176</f>
        <v>73419.456529609583</v>
      </c>
      <c r="M176" s="91">
        <f>$J$176-EFEITO!$K$176*EFEITO!$Y$176</f>
        <v>0</v>
      </c>
      <c r="N176" s="91">
        <f ca="1">$K$176-EFEITO!$M$176*EFEITO!$Z$176</f>
        <v>0</v>
      </c>
      <c r="O176" s="91">
        <f>$L$176-EFEITO!$O$176*EFEITO!$AA$176</f>
        <v>0</v>
      </c>
      <c r="P176" s="19"/>
      <c r="Q176" s="19"/>
      <c r="R176" s="19"/>
      <c r="S176" s="19"/>
      <c r="T176" s="19"/>
      <c r="U176" s="19"/>
      <c r="V176" s="19"/>
      <c r="W176" s="19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84" t="s">
        <v>27</v>
      </c>
      <c r="B177" s="84" t="s">
        <v>38</v>
      </c>
      <c r="C177" s="84" t="s">
        <v>39</v>
      </c>
      <c r="D177" s="84" t="s">
        <v>37</v>
      </c>
      <c r="E177" s="84" t="s">
        <v>25</v>
      </c>
      <c r="F177" s="84" t="s">
        <v>25</v>
      </c>
      <c r="G177" s="84" t="s">
        <v>25</v>
      </c>
      <c r="H177" s="84" t="s">
        <v>34</v>
      </c>
      <c r="I177" s="90">
        <v>44652</v>
      </c>
      <c r="J177" s="91">
        <f>EFEITO!$J$177*EFEITO!$Y$177</f>
        <v>0</v>
      </c>
      <c r="K177" s="91">
        <f ca="1">EFEITO!$L$177*EFEITO!$Z$177</f>
        <v>8296.4680203089192</v>
      </c>
      <c r="L177" s="91">
        <f>EFEITO!$N$177*EFEITO!$AA$177</f>
        <v>20377.610497050489</v>
      </c>
      <c r="M177" s="91">
        <f>$J$177-EFEITO!$K$177*EFEITO!$Y$177</f>
        <v>0</v>
      </c>
      <c r="N177" s="91">
        <f ca="1">$K$177-EFEITO!$M$177*EFEITO!$Z$177</f>
        <v>0</v>
      </c>
      <c r="O177" s="91">
        <f>$L$177-EFEITO!$O$177*EFEITO!$AA$177</f>
        <v>0</v>
      </c>
      <c r="P177" s="19"/>
      <c r="Q177" s="19"/>
      <c r="R177" s="19"/>
      <c r="S177" s="19"/>
      <c r="T177" s="19"/>
      <c r="U177" s="19"/>
      <c r="V177" s="19"/>
      <c r="W177" s="19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84" t="s">
        <v>21</v>
      </c>
      <c r="B178" s="84" t="s">
        <v>38</v>
      </c>
      <c r="C178" s="84" t="s">
        <v>39</v>
      </c>
      <c r="D178" s="84" t="s">
        <v>37</v>
      </c>
      <c r="E178" s="84" t="s">
        <v>25</v>
      </c>
      <c r="F178" s="84" t="s">
        <v>25</v>
      </c>
      <c r="G178" s="84" t="s">
        <v>25</v>
      </c>
      <c r="H178" s="84" t="s">
        <v>34</v>
      </c>
      <c r="I178" s="90">
        <v>44682</v>
      </c>
      <c r="J178" s="91">
        <f>EFEITO!$J$178*EFEITO!$Y$178</f>
        <v>0</v>
      </c>
      <c r="K178" s="91">
        <f ca="1">EFEITO!$L$178*EFEITO!$Z$178</f>
        <v>33052.880239269252</v>
      </c>
      <c r="L178" s="91">
        <f>EFEITO!$N$178*EFEITO!$AA$178</f>
        <v>81183.790219251227</v>
      </c>
      <c r="M178" s="91">
        <f>$J$178-EFEITO!$K$178*EFEITO!$Y$178</f>
        <v>0</v>
      </c>
      <c r="N178" s="91">
        <f ca="1">$K$178-EFEITO!$M$178*EFEITO!$Z$178</f>
        <v>0</v>
      </c>
      <c r="O178" s="91">
        <f>$L$178-EFEITO!$O$178*EFEITO!$AA$178</f>
        <v>0</v>
      </c>
      <c r="P178" s="19"/>
      <c r="Q178" s="19"/>
      <c r="R178" s="19"/>
      <c r="S178" s="19"/>
      <c r="T178" s="19"/>
      <c r="U178" s="19"/>
      <c r="V178" s="19"/>
      <c r="W178" s="19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84" t="s">
        <v>27</v>
      </c>
      <c r="B179" s="84" t="s">
        <v>38</v>
      </c>
      <c r="C179" s="84" t="s">
        <v>39</v>
      </c>
      <c r="D179" s="84" t="s">
        <v>37</v>
      </c>
      <c r="E179" s="84" t="s">
        <v>25</v>
      </c>
      <c r="F179" s="84" t="s">
        <v>25</v>
      </c>
      <c r="G179" s="84" t="s">
        <v>25</v>
      </c>
      <c r="H179" s="84" t="s">
        <v>34</v>
      </c>
      <c r="I179" s="90">
        <v>44682</v>
      </c>
      <c r="J179" s="91">
        <f>EFEITO!$J$179*EFEITO!$Y$179</f>
        <v>0</v>
      </c>
      <c r="K179" s="91">
        <f ca="1">EFEITO!$L$179*EFEITO!$Z$179</f>
        <v>11648.475656730678</v>
      </c>
      <c r="L179" s="91">
        <f>EFEITO!$N$179*EFEITO!$AA$179</f>
        <v>28610.741249912484</v>
      </c>
      <c r="M179" s="91">
        <f>$J$179-EFEITO!$K$179*EFEITO!$Y$179</f>
        <v>0</v>
      </c>
      <c r="N179" s="91">
        <f ca="1">$K$179-EFEITO!$M$179*EFEITO!$Z$179</f>
        <v>0</v>
      </c>
      <c r="O179" s="91">
        <f>$L$179-EFEITO!$O$179*EFEITO!$AA$179</f>
        <v>0</v>
      </c>
      <c r="P179" s="19"/>
      <c r="Q179" s="19"/>
      <c r="R179" s="19"/>
      <c r="S179" s="19"/>
      <c r="T179" s="19"/>
      <c r="U179" s="19"/>
      <c r="V179" s="19"/>
      <c r="W179" s="19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84" t="s">
        <v>55</v>
      </c>
      <c r="B180" s="84" t="s">
        <v>38</v>
      </c>
      <c r="C180" s="84" t="s">
        <v>39</v>
      </c>
      <c r="D180" s="84" t="s">
        <v>37</v>
      </c>
      <c r="E180" s="84" t="s">
        <v>25</v>
      </c>
      <c r="F180" s="84" t="s">
        <v>25</v>
      </c>
      <c r="G180" s="84" t="s">
        <v>25</v>
      </c>
      <c r="H180" s="84" t="s">
        <v>34</v>
      </c>
      <c r="I180" s="90">
        <v>44713</v>
      </c>
      <c r="J180" s="91">
        <f>EFEITO!$J$180*EFEITO!$Y$180</f>
        <v>0</v>
      </c>
      <c r="K180" s="91">
        <f ca="1">EFEITO!$L$180*EFEITO!$Z$180</f>
        <v>33052.880239269252</v>
      </c>
      <c r="L180" s="91">
        <f>EFEITO!$N$180*EFEITO!$AA$180</f>
        <v>81183.790219251227</v>
      </c>
      <c r="M180" s="91">
        <f>$J$180-EFEITO!$K$180*EFEITO!$Y$180</f>
        <v>0</v>
      </c>
      <c r="N180" s="91">
        <f ca="1">$K$180-EFEITO!$M$180*EFEITO!$Z$180</f>
        <v>0</v>
      </c>
      <c r="O180" s="91">
        <f>$L$180-EFEITO!$O$180*EFEITO!$AA$180</f>
        <v>0</v>
      </c>
      <c r="P180" s="19"/>
      <c r="Q180" s="19"/>
      <c r="R180" s="19"/>
      <c r="S180" s="19"/>
      <c r="T180" s="19"/>
      <c r="U180" s="19"/>
      <c r="V180" s="19"/>
      <c r="W180" s="19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84" t="s">
        <v>55</v>
      </c>
      <c r="B181" s="84" t="s">
        <v>38</v>
      </c>
      <c r="C181" s="84" t="s">
        <v>39</v>
      </c>
      <c r="D181" s="84" t="s">
        <v>37</v>
      </c>
      <c r="E181" s="84" t="s">
        <v>25</v>
      </c>
      <c r="F181" s="84" t="s">
        <v>25</v>
      </c>
      <c r="G181" s="84" t="s">
        <v>25</v>
      </c>
      <c r="H181" s="84" t="s">
        <v>34</v>
      </c>
      <c r="I181" s="90">
        <v>44713</v>
      </c>
      <c r="J181" s="91">
        <f>EFEITO!$J$181*EFEITO!$Y$181</f>
        <v>0</v>
      </c>
      <c r="K181" s="91">
        <f ca="1">EFEITO!$L$181*EFEITO!$Z$181</f>
        <v>11648.475656730678</v>
      </c>
      <c r="L181" s="91">
        <f>EFEITO!$N$181*EFEITO!$AA$181</f>
        <v>28610.741249912484</v>
      </c>
      <c r="M181" s="91">
        <f>$J$181-EFEITO!$K$181*EFEITO!$Y$181</f>
        <v>0</v>
      </c>
      <c r="N181" s="91">
        <f ca="1">$K$181-EFEITO!$M$181*EFEITO!$Z$181</f>
        <v>0</v>
      </c>
      <c r="O181" s="91">
        <f>$L$181-EFEITO!$O$181*EFEITO!$AA$181</f>
        <v>0</v>
      </c>
      <c r="P181" s="19"/>
      <c r="Q181" s="19"/>
      <c r="R181" s="19"/>
      <c r="S181" s="19"/>
      <c r="T181" s="19"/>
      <c r="U181" s="19"/>
      <c r="V181" s="19"/>
      <c r="W181" s="19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84" t="s">
        <v>21</v>
      </c>
      <c r="B182" s="84" t="s">
        <v>38</v>
      </c>
      <c r="C182" s="84" t="s">
        <v>39</v>
      </c>
      <c r="D182" s="84" t="s">
        <v>37</v>
      </c>
      <c r="E182" s="84" t="s">
        <v>25</v>
      </c>
      <c r="F182" s="84" t="s">
        <v>25</v>
      </c>
      <c r="G182" s="84" t="s">
        <v>25</v>
      </c>
      <c r="H182" s="84" t="s">
        <v>25</v>
      </c>
      <c r="I182" s="90">
        <v>44378</v>
      </c>
      <c r="J182" s="91">
        <f ca="1">EFEITO!$J$182*EFEITO!$Y$182</f>
        <v>100666.64912880474</v>
      </c>
      <c r="K182" s="91">
        <f>EFEITO!$L$182*EFEITO!$Z$182</f>
        <v>0</v>
      </c>
      <c r="L182" s="91">
        <f>EFEITO!$N$182*EFEITO!$AA$182</f>
        <v>0</v>
      </c>
      <c r="M182" s="91">
        <f ca="1">$J$182-EFEITO!$K$182*EFEITO!$Y$182</f>
        <v>0</v>
      </c>
      <c r="N182" s="91">
        <f>$K$182-EFEITO!$M$182*EFEITO!$Z$182</f>
        <v>0</v>
      </c>
      <c r="O182" s="91">
        <f>$L$182-EFEITO!$O$182*EFEITO!$AA$182</f>
        <v>0</v>
      </c>
      <c r="P182" s="19"/>
      <c r="Q182" s="19"/>
      <c r="R182" s="19"/>
      <c r="S182" s="19"/>
      <c r="T182" s="19"/>
      <c r="U182" s="19"/>
      <c r="V182" s="19"/>
      <c r="W182" s="19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84" t="s">
        <v>27</v>
      </c>
      <c r="B183" s="84" t="s">
        <v>38</v>
      </c>
      <c r="C183" s="84" t="s">
        <v>39</v>
      </c>
      <c r="D183" s="84" t="s">
        <v>37</v>
      </c>
      <c r="E183" s="84" t="s">
        <v>25</v>
      </c>
      <c r="F183" s="84" t="s">
        <v>25</v>
      </c>
      <c r="G183" s="84" t="s">
        <v>25</v>
      </c>
      <c r="H183" s="84" t="s">
        <v>25</v>
      </c>
      <c r="I183" s="90">
        <v>44378</v>
      </c>
      <c r="J183" s="91">
        <f ca="1">EFEITO!$J$183*EFEITO!$Y$183</f>
        <v>17905.218776164977</v>
      </c>
      <c r="K183" s="91">
        <f>EFEITO!$L$183*EFEITO!$Z$183</f>
        <v>0</v>
      </c>
      <c r="L183" s="91">
        <f>EFEITO!$N$183*EFEITO!$AA$183</f>
        <v>0</v>
      </c>
      <c r="M183" s="91">
        <f ca="1">$J$183-EFEITO!$K$183*EFEITO!$Y$183</f>
        <v>0</v>
      </c>
      <c r="N183" s="91">
        <f>$K$183-EFEITO!$M$183*EFEITO!$Z$183</f>
        <v>0</v>
      </c>
      <c r="O183" s="91">
        <f>$L$183-EFEITO!$O$183*EFEITO!$AA$183</f>
        <v>0</v>
      </c>
      <c r="P183" s="19"/>
      <c r="Q183" s="19"/>
      <c r="R183" s="19"/>
      <c r="S183" s="19"/>
      <c r="T183" s="19"/>
      <c r="U183" s="19"/>
      <c r="V183" s="19"/>
      <c r="W183" s="19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84" t="s">
        <v>21</v>
      </c>
      <c r="B184" s="84" t="s">
        <v>38</v>
      </c>
      <c r="C184" s="84" t="s">
        <v>39</v>
      </c>
      <c r="D184" s="84" t="s">
        <v>37</v>
      </c>
      <c r="E184" s="84" t="s">
        <v>25</v>
      </c>
      <c r="F184" s="84" t="s">
        <v>25</v>
      </c>
      <c r="G184" s="84" t="s">
        <v>25</v>
      </c>
      <c r="H184" s="84" t="s">
        <v>25</v>
      </c>
      <c r="I184" s="90">
        <v>44409</v>
      </c>
      <c r="J184" s="91">
        <f ca="1">EFEITO!$J$184*EFEITO!$Y$184</f>
        <v>91745.749101010617</v>
      </c>
      <c r="K184" s="91">
        <f>EFEITO!$L$184*EFEITO!$Z$184</f>
        <v>0</v>
      </c>
      <c r="L184" s="91">
        <f>EFEITO!$N$184*EFEITO!$AA$184</f>
        <v>0</v>
      </c>
      <c r="M184" s="91">
        <f ca="1">$J$184-EFEITO!$K$184*EFEITO!$Y$184</f>
        <v>0</v>
      </c>
      <c r="N184" s="91">
        <f>$K$184-EFEITO!$M$184*EFEITO!$Z$184</f>
        <v>0</v>
      </c>
      <c r="O184" s="91">
        <f>$L$184-EFEITO!$O$184*EFEITO!$AA$184</f>
        <v>0</v>
      </c>
      <c r="P184" s="19"/>
      <c r="Q184" s="19"/>
      <c r="R184" s="19"/>
      <c r="S184" s="19"/>
      <c r="T184" s="19"/>
      <c r="U184" s="19"/>
      <c r="V184" s="19"/>
      <c r="W184" s="19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84" t="s">
        <v>27</v>
      </c>
      <c r="B185" s="84" t="s">
        <v>38</v>
      </c>
      <c r="C185" s="84" t="s">
        <v>39</v>
      </c>
      <c r="D185" s="84" t="s">
        <v>37</v>
      </c>
      <c r="E185" s="84" t="s">
        <v>25</v>
      </c>
      <c r="F185" s="84" t="s">
        <v>25</v>
      </c>
      <c r="G185" s="84" t="s">
        <v>25</v>
      </c>
      <c r="H185" s="84" t="s">
        <v>25</v>
      </c>
      <c r="I185" s="90">
        <v>44409</v>
      </c>
      <c r="J185" s="91">
        <f ca="1">EFEITO!$J$185*EFEITO!$Y$185</f>
        <v>17419.00858507667</v>
      </c>
      <c r="K185" s="91">
        <f>EFEITO!$L$185*EFEITO!$Z$185</f>
        <v>0</v>
      </c>
      <c r="L185" s="91">
        <f>EFEITO!$N$185*EFEITO!$AA$185</f>
        <v>0</v>
      </c>
      <c r="M185" s="91">
        <f ca="1">$J$185-EFEITO!$K$185*EFEITO!$Y$185</f>
        <v>0</v>
      </c>
      <c r="N185" s="91">
        <f>$K$185-EFEITO!$M$185*EFEITO!$Z$185</f>
        <v>0</v>
      </c>
      <c r="O185" s="91">
        <f>$L$185-EFEITO!$O$185*EFEITO!$AA$185</f>
        <v>0</v>
      </c>
      <c r="P185" s="19"/>
      <c r="Q185" s="19"/>
      <c r="R185" s="19"/>
      <c r="S185" s="19"/>
      <c r="T185" s="19"/>
      <c r="U185" s="19"/>
      <c r="V185" s="19"/>
      <c r="W185" s="19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84" t="s">
        <v>21</v>
      </c>
      <c r="B186" s="84" t="s">
        <v>38</v>
      </c>
      <c r="C186" s="84" t="s">
        <v>39</v>
      </c>
      <c r="D186" s="84" t="s">
        <v>37</v>
      </c>
      <c r="E186" s="84" t="s">
        <v>25</v>
      </c>
      <c r="F186" s="84" t="s">
        <v>25</v>
      </c>
      <c r="G186" s="84" t="s">
        <v>25</v>
      </c>
      <c r="H186" s="84" t="s">
        <v>25</v>
      </c>
      <c r="I186" s="90">
        <v>44440</v>
      </c>
      <c r="J186" s="91">
        <f ca="1">EFEITO!$J$186*EFEITO!$Y$186</f>
        <v>91428.655498126944</v>
      </c>
      <c r="K186" s="91">
        <f>EFEITO!$L$186*EFEITO!$Z$186</f>
        <v>0</v>
      </c>
      <c r="L186" s="91">
        <f>EFEITO!$N$186*EFEITO!$AA$186</f>
        <v>0</v>
      </c>
      <c r="M186" s="91">
        <f ca="1">$J$186-EFEITO!$K$186*EFEITO!$Y$186</f>
        <v>0</v>
      </c>
      <c r="N186" s="91">
        <f>$K$186-EFEITO!$M$186*EFEITO!$Z$186</f>
        <v>0</v>
      </c>
      <c r="O186" s="91">
        <f>$L$186-EFEITO!$O$186*EFEITO!$AA$186</f>
        <v>0</v>
      </c>
      <c r="P186" s="19"/>
      <c r="Q186" s="19"/>
      <c r="R186" s="19"/>
      <c r="S186" s="19"/>
      <c r="T186" s="19"/>
      <c r="U186" s="19"/>
      <c r="V186" s="19"/>
      <c r="W186" s="19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84" t="s">
        <v>27</v>
      </c>
      <c r="B187" s="84" t="s">
        <v>38</v>
      </c>
      <c r="C187" s="84" t="s">
        <v>39</v>
      </c>
      <c r="D187" s="84" t="s">
        <v>37</v>
      </c>
      <c r="E187" s="84" t="s">
        <v>25</v>
      </c>
      <c r="F187" s="84" t="s">
        <v>25</v>
      </c>
      <c r="G187" s="84" t="s">
        <v>25</v>
      </c>
      <c r="H187" s="84" t="s">
        <v>25</v>
      </c>
      <c r="I187" s="90">
        <v>44440</v>
      </c>
      <c r="J187" s="91">
        <f ca="1">EFEITO!$J$187*EFEITO!$Y$187</f>
        <v>17841.800055588239</v>
      </c>
      <c r="K187" s="91">
        <f>EFEITO!$L$187*EFEITO!$Z$187</f>
        <v>0</v>
      </c>
      <c r="L187" s="91">
        <f>EFEITO!$N$187*EFEITO!$AA$187</f>
        <v>0</v>
      </c>
      <c r="M187" s="91">
        <f ca="1">$J$187-EFEITO!$K$187*EFEITO!$Y$187</f>
        <v>0</v>
      </c>
      <c r="N187" s="91">
        <f>$K$187-EFEITO!$M$187*EFEITO!$Z$187</f>
        <v>0</v>
      </c>
      <c r="O187" s="91">
        <f>$L$187-EFEITO!$O$187*EFEITO!$AA$187</f>
        <v>0</v>
      </c>
      <c r="P187" s="19"/>
      <c r="Q187" s="19"/>
      <c r="R187" s="19"/>
      <c r="S187" s="19"/>
      <c r="T187" s="19"/>
      <c r="U187" s="19"/>
      <c r="V187" s="19"/>
      <c r="W187" s="19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84" t="s">
        <v>21</v>
      </c>
      <c r="B188" s="84" t="s">
        <v>38</v>
      </c>
      <c r="C188" s="84" t="s">
        <v>39</v>
      </c>
      <c r="D188" s="84" t="s">
        <v>37</v>
      </c>
      <c r="E188" s="84" t="s">
        <v>25</v>
      </c>
      <c r="F188" s="84" t="s">
        <v>25</v>
      </c>
      <c r="G188" s="84" t="s">
        <v>25</v>
      </c>
      <c r="H188" s="84" t="s">
        <v>25</v>
      </c>
      <c r="I188" s="90">
        <v>44470</v>
      </c>
      <c r="J188" s="91">
        <f ca="1">EFEITO!$J$188*EFEITO!$Y$188</f>
        <v>91640.051233382736</v>
      </c>
      <c r="K188" s="91">
        <f>EFEITO!$L$188*EFEITO!$Z$188</f>
        <v>0</v>
      </c>
      <c r="L188" s="91">
        <f>EFEITO!$N$188*EFEITO!$AA$188</f>
        <v>0</v>
      </c>
      <c r="M188" s="91">
        <f ca="1">$J$188-EFEITO!$K$188*EFEITO!$Y$188</f>
        <v>0</v>
      </c>
      <c r="N188" s="91">
        <f>$K$188-EFEITO!$M$188*EFEITO!$Z$188</f>
        <v>0</v>
      </c>
      <c r="O188" s="91">
        <f>$L$188-EFEITO!$O$188*EFEITO!$AA$188</f>
        <v>0</v>
      </c>
      <c r="P188" s="19"/>
      <c r="Q188" s="19"/>
      <c r="R188" s="19"/>
      <c r="S188" s="19"/>
      <c r="T188" s="19"/>
      <c r="U188" s="19"/>
      <c r="V188" s="19"/>
      <c r="W188" s="19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84" t="s">
        <v>27</v>
      </c>
      <c r="B189" s="84" t="s">
        <v>38</v>
      </c>
      <c r="C189" s="84" t="s">
        <v>39</v>
      </c>
      <c r="D189" s="84" t="s">
        <v>37</v>
      </c>
      <c r="E189" s="84" t="s">
        <v>25</v>
      </c>
      <c r="F189" s="84" t="s">
        <v>25</v>
      </c>
      <c r="G189" s="84" t="s">
        <v>25</v>
      </c>
      <c r="H189" s="84" t="s">
        <v>25</v>
      </c>
      <c r="I189" s="90">
        <v>44470</v>
      </c>
      <c r="J189" s="91">
        <f ca="1">EFEITO!$J$189*EFEITO!$Y$189</f>
        <v>17376.729438025515</v>
      </c>
      <c r="K189" s="91">
        <f>EFEITO!$L$189*EFEITO!$Z$189</f>
        <v>0</v>
      </c>
      <c r="L189" s="91">
        <f>EFEITO!$N$189*EFEITO!$AA$189</f>
        <v>0</v>
      </c>
      <c r="M189" s="91">
        <f ca="1">$J$189-EFEITO!$K$189*EFEITO!$Y$189</f>
        <v>0</v>
      </c>
      <c r="N189" s="91">
        <f>$K$189-EFEITO!$M$189*EFEITO!$Z$189</f>
        <v>0</v>
      </c>
      <c r="O189" s="91">
        <f>$L$189-EFEITO!$O$189*EFEITO!$AA$189</f>
        <v>0</v>
      </c>
      <c r="P189" s="19"/>
      <c r="Q189" s="19"/>
      <c r="R189" s="19"/>
      <c r="S189" s="19"/>
      <c r="T189" s="19"/>
      <c r="U189" s="19"/>
      <c r="V189" s="19"/>
      <c r="W189" s="19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84" t="s">
        <v>21</v>
      </c>
      <c r="B190" s="84" t="s">
        <v>38</v>
      </c>
      <c r="C190" s="84" t="s">
        <v>39</v>
      </c>
      <c r="D190" s="84" t="s">
        <v>37</v>
      </c>
      <c r="E190" s="84" t="s">
        <v>25</v>
      </c>
      <c r="F190" s="84" t="s">
        <v>25</v>
      </c>
      <c r="G190" s="84" t="s">
        <v>25</v>
      </c>
      <c r="H190" s="84" t="s">
        <v>25</v>
      </c>
      <c r="I190" s="90">
        <v>44501</v>
      </c>
      <c r="J190" s="91">
        <f ca="1">EFEITO!$J$190*EFEITO!$Y$190</f>
        <v>81493.055941105064</v>
      </c>
      <c r="K190" s="91">
        <f>EFEITO!$L$190*EFEITO!$Z$190</f>
        <v>0</v>
      </c>
      <c r="L190" s="91">
        <f>EFEITO!$N$190*EFEITO!$AA$190</f>
        <v>0</v>
      </c>
      <c r="M190" s="91">
        <f ca="1">$J$190-EFEITO!$K$190*EFEITO!$Y$190</f>
        <v>0</v>
      </c>
      <c r="N190" s="91">
        <f>$K$190-EFEITO!$M$190*EFEITO!$Z$190</f>
        <v>0</v>
      </c>
      <c r="O190" s="91">
        <f>$L$190-EFEITO!$O$190*EFEITO!$AA$190</f>
        <v>0</v>
      </c>
      <c r="P190" s="19"/>
      <c r="Q190" s="19"/>
      <c r="R190" s="19"/>
      <c r="S190" s="19"/>
      <c r="T190" s="19"/>
      <c r="U190" s="19"/>
      <c r="V190" s="19"/>
      <c r="W190" s="19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84" t="s">
        <v>27</v>
      </c>
      <c r="B191" s="84" t="s">
        <v>38</v>
      </c>
      <c r="C191" s="84" t="s">
        <v>39</v>
      </c>
      <c r="D191" s="84" t="s">
        <v>37</v>
      </c>
      <c r="E191" s="84" t="s">
        <v>25</v>
      </c>
      <c r="F191" s="84" t="s">
        <v>25</v>
      </c>
      <c r="G191" s="84" t="s">
        <v>25</v>
      </c>
      <c r="H191" s="84" t="s">
        <v>25</v>
      </c>
      <c r="I191" s="90">
        <v>44501</v>
      </c>
      <c r="J191" s="91">
        <f ca="1">EFEITO!$J$191*EFEITO!$Y$191</f>
        <v>22703.901966471291</v>
      </c>
      <c r="K191" s="91">
        <f>EFEITO!$L$191*EFEITO!$Z$191</f>
        <v>0</v>
      </c>
      <c r="L191" s="91">
        <f>EFEITO!$N$191*EFEITO!$AA$191</f>
        <v>0</v>
      </c>
      <c r="M191" s="91">
        <f ca="1">$J$191-EFEITO!$K$191*EFEITO!$Y$191</f>
        <v>0</v>
      </c>
      <c r="N191" s="91">
        <f>$K$191-EFEITO!$M$191*EFEITO!$Z$191</f>
        <v>0</v>
      </c>
      <c r="O191" s="91">
        <f>$L$191-EFEITO!$O$191*EFEITO!$AA$191</f>
        <v>0</v>
      </c>
      <c r="P191" s="19"/>
      <c r="Q191" s="19"/>
      <c r="R191" s="19"/>
      <c r="S191" s="19"/>
      <c r="T191" s="19"/>
      <c r="U191" s="19"/>
      <c r="V191" s="19"/>
      <c r="W191" s="19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84" t="s">
        <v>21</v>
      </c>
      <c r="B192" s="84" t="s">
        <v>38</v>
      </c>
      <c r="C192" s="84" t="s">
        <v>39</v>
      </c>
      <c r="D192" s="84" t="s">
        <v>37</v>
      </c>
      <c r="E192" s="84" t="s">
        <v>25</v>
      </c>
      <c r="F192" s="84" t="s">
        <v>25</v>
      </c>
      <c r="G192" s="84" t="s">
        <v>25</v>
      </c>
      <c r="H192" s="84" t="s">
        <v>25</v>
      </c>
      <c r="I192" s="90">
        <v>44531</v>
      </c>
      <c r="J192" s="91">
        <f ca="1">EFEITO!$J$192*EFEITO!$Y$192</f>
        <v>80647.473000081911</v>
      </c>
      <c r="K192" s="91">
        <f>EFEITO!$L$192*EFEITO!$Z$192</f>
        <v>0</v>
      </c>
      <c r="L192" s="91">
        <f>EFEITO!$N$192*EFEITO!$AA$192</f>
        <v>0</v>
      </c>
      <c r="M192" s="91">
        <f ca="1">$J$192-EFEITO!$K$192*EFEITO!$Y$192</f>
        <v>0</v>
      </c>
      <c r="N192" s="91">
        <f>$K$192-EFEITO!$M$192*EFEITO!$Z$192</f>
        <v>0</v>
      </c>
      <c r="O192" s="91">
        <f>$L$192-EFEITO!$O$192*EFEITO!$AA$192</f>
        <v>0</v>
      </c>
      <c r="P192" s="19"/>
      <c r="Q192" s="19"/>
      <c r="R192" s="19"/>
      <c r="S192" s="19"/>
      <c r="T192" s="19"/>
      <c r="U192" s="19"/>
      <c r="V192" s="19"/>
      <c r="W192" s="19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84" t="s">
        <v>27</v>
      </c>
      <c r="B193" s="84" t="s">
        <v>38</v>
      </c>
      <c r="C193" s="84" t="s">
        <v>39</v>
      </c>
      <c r="D193" s="84" t="s">
        <v>37</v>
      </c>
      <c r="E193" s="84" t="s">
        <v>25</v>
      </c>
      <c r="F193" s="84" t="s">
        <v>25</v>
      </c>
      <c r="G193" s="84" t="s">
        <v>25</v>
      </c>
      <c r="H193" s="84" t="s">
        <v>25</v>
      </c>
      <c r="I193" s="90">
        <v>44531</v>
      </c>
      <c r="J193" s="91">
        <f ca="1">EFEITO!$J$193*EFEITO!$Y$193</f>
        <v>25346.348657168604</v>
      </c>
      <c r="K193" s="91">
        <f>EFEITO!$L$193*EFEITO!$Z$193</f>
        <v>0</v>
      </c>
      <c r="L193" s="91">
        <f>EFEITO!$N$193*EFEITO!$AA$193</f>
        <v>0</v>
      </c>
      <c r="M193" s="91">
        <f ca="1">$J$193-EFEITO!$K$193*EFEITO!$Y$193</f>
        <v>0</v>
      </c>
      <c r="N193" s="91">
        <f>$K$193-EFEITO!$M$193*EFEITO!$Z$193</f>
        <v>0</v>
      </c>
      <c r="O193" s="91">
        <f>$L$193-EFEITO!$O$193*EFEITO!$AA$193</f>
        <v>0</v>
      </c>
      <c r="P193" s="19"/>
      <c r="Q193" s="19"/>
      <c r="R193" s="19"/>
      <c r="S193" s="19"/>
      <c r="T193" s="19"/>
      <c r="U193" s="19"/>
      <c r="V193" s="19"/>
      <c r="W193" s="19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84" t="s">
        <v>21</v>
      </c>
      <c r="B194" s="84" t="s">
        <v>38</v>
      </c>
      <c r="C194" s="84" t="s">
        <v>39</v>
      </c>
      <c r="D194" s="84" t="s">
        <v>37</v>
      </c>
      <c r="E194" s="84" t="s">
        <v>25</v>
      </c>
      <c r="F194" s="84" t="s">
        <v>25</v>
      </c>
      <c r="G194" s="84" t="s">
        <v>25</v>
      </c>
      <c r="H194" s="84" t="s">
        <v>25</v>
      </c>
      <c r="I194" s="90">
        <v>44562</v>
      </c>
      <c r="J194" s="91">
        <f ca="1">EFEITO!$J$194*EFEITO!$Y$194</f>
        <v>78005.026309384601</v>
      </c>
      <c r="K194" s="91">
        <f>EFEITO!$L$194*EFEITO!$Z$194</f>
        <v>0</v>
      </c>
      <c r="L194" s="91">
        <f>EFEITO!$N$194*EFEITO!$AA$194</f>
        <v>0</v>
      </c>
      <c r="M194" s="91">
        <f ca="1">$J$194-EFEITO!$K$194*EFEITO!$Y$194</f>
        <v>0</v>
      </c>
      <c r="N194" s="91">
        <f>$K$194-EFEITO!$M$194*EFEITO!$Z$194</f>
        <v>0</v>
      </c>
      <c r="O194" s="91">
        <f>$L$194-EFEITO!$O$194*EFEITO!$AA$194</f>
        <v>0</v>
      </c>
      <c r="P194" s="19"/>
      <c r="Q194" s="19"/>
      <c r="R194" s="19"/>
      <c r="S194" s="19"/>
      <c r="T194" s="19"/>
      <c r="U194" s="19"/>
      <c r="V194" s="19"/>
      <c r="W194" s="19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84" t="s">
        <v>27</v>
      </c>
      <c r="B195" s="84" t="s">
        <v>38</v>
      </c>
      <c r="C195" s="84" t="s">
        <v>39</v>
      </c>
      <c r="D195" s="84" t="s">
        <v>37</v>
      </c>
      <c r="E195" s="84" t="s">
        <v>25</v>
      </c>
      <c r="F195" s="84" t="s">
        <v>25</v>
      </c>
      <c r="G195" s="84" t="s">
        <v>25</v>
      </c>
      <c r="H195" s="84" t="s">
        <v>25</v>
      </c>
      <c r="I195" s="90">
        <v>44562</v>
      </c>
      <c r="J195" s="91">
        <f ca="1">EFEITO!$J$195*EFEITO!$Y$195</f>
        <v>24077.974245633894</v>
      </c>
      <c r="K195" s="91">
        <f>EFEITO!$L$195*EFEITO!$Z$195</f>
        <v>0</v>
      </c>
      <c r="L195" s="91">
        <f>EFEITO!$N$195*EFEITO!$AA$195</f>
        <v>0</v>
      </c>
      <c r="M195" s="91">
        <f ca="1">$J$195-EFEITO!$K$195*EFEITO!$Y$195</f>
        <v>0</v>
      </c>
      <c r="N195" s="91">
        <f>$K$195-EFEITO!$M$195*EFEITO!$Z$195</f>
        <v>0</v>
      </c>
      <c r="O195" s="91">
        <f>$L$195-EFEITO!$O$195*EFEITO!$AA$195</f>
        <v>0</v>
      </c>
      <c r="P195" s="19"/>
      <c r="Q195" s="19"/>
      <c r="R195" s="19"/>
      <c r="S195" s="19"/>
      <c r="T195" s="19"/>
      <c r="U195" s="19"/>
      <c r="V195" s="19"/>
      <c r="W195" s="19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84" t="s">
        <v>21</v>
      </c>
      <c r="B196" s="84" t="s">
        <v>38</v>
      </c>
      <c r="C196" s="84" t="s">
        <v>39</v>
      </c>
      <c r="D196" s="84" t="s">
        <v>37</v>
      </c>
      <c r="E196" s="84" t="s">
        <v>25</v>
      </c>
      <c r="F196" s="84" t="s">
        <v>25</v>
      </c>
      <c r="G196" s="84" t="s">
        <v>25</v>
      </c>
      <c r="H196" s="84" t="s">
        <v>25</v>
      </c>
      <c r="I196" s="90">
        <v>44593</v>
      </c>
      <c r="J196" s="91">
        <f ca="1">EFEITO!$J$196*EFEITO!$Y$196</f>
        <v>61621.856827061281</v>
      </c>
      <c r="K196" s="91">
        <f>EFEITO!$L$196*EFEITO!$Z$196</f>
        <v>0</v>
      </c>
      <c r="L196" s="91">
        <f>EFEITO!$N$196*EFEITO!$AA$196</f>
        <v>0</v>
      </c>
      <c r="M196" s="91">
        <f ca="1">$J$196-EFEITO!$K$196*EFEITO!$Y$196</f>
        <v>0</v>
      </c>
      <c r="N196" s="91">
        <f>$K$196-EFEITO!$M$196*EFEITO!$Z$196</f>
        <v>0</v>
      </c>
      <c r="O196" s="91">
        <f>$L$196-EFEITO!$O$196*EFEITO!$AA$196</f>
        <v>0</v>
      </c>
      <c r="P196" s="19"/>
      <c r="Q196" s="19"/>
      <c r="R196" s="19"/>
      <c r="S196" s="19"/>
      <c r="T196" s="19"/>
      <c r="U196" s="19"/>
      <c r="V196" s="19"/>
      <c r="W196" s="19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84" t="s">
        <v>27</v>
      </c>
      <c r="B197" s="84" t="s">
        <v>38</v>
      </c>
      <c r="C197" s="84" t="s">
        <v>39</v>
      </c>
      <c r="D197" s="84" t="s">
        <v>37</v>
      </c>
      <c r="E197" s="84" t="s">
        <v>25</v>
      </c>
      <c r="F197" s="84" t="s">
        <v>25</v>
      </c>
      <c r="G197" s="84" t="s">
        <v>25</v>
      </c>
      <c r="H197" s="84" t="s">
        <v>25</v>
      </c>
      <c r="I197" s="90">
        <v>44593</v>
      </c>
      <c r="J197" s="91">
        <f ca="1">EFEITO!$J$197*EFEITO!$Y$197</f>
        <v>24712.161451401247</v>
      </c>
      <c r="K197" s="91">
        <f>EFEITO!$L$197*EFEITO!$Z$197</f>
        <v>0</v>
      </c>
      <c r="L197" s="91">
        <f>EFEITO!$N$197*EFEITO!$AA$197</f>
        <v>0</v>
      </c>
      <c r="M197" s="91">
        <f ca="1">$J$197-EFEITO!$K$197*EFEITO!$Y$197</f>
        <v>0</v>
      </c>
      <c r="N197" s="91">
        <f>$K$197-EFEITO!$M$197*EFEITO!$Z$197</f>
        <v>0</v>
      </c>
      <c r="O197" s="91">
        <f>$L$197-EFEITO!$O$197*EFEITO!$AA$197</f>
        <v>0</v>
      </c>
      <c r="P197" s="19"/>
      <c r="Q197" s="19"/>
      <c r="R197" s="19"/>
      <c r="S197" s="19"/>
      <c r="T197" s="19"/>
      <c r="U197" s="19"/>
      <c r="V197" s="19"/>
      <c r="W197" s="19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84" t="s">
        <v>21</v>
      </c>
      <c r="B198" s="84" t="s">
        <v>38</v>
      </c>
      <c r="C198" s="84" t="s">
        <v>39</v>
      </c>
      <c r="D198" s="84" t="s">
        <v>37</v>
      </c>
      <c r="E198" s="84" t="s">
        <v>25</v>
      </c>
      <c r="F198" s="84" t="s">
        <v>25</v>
      </c>
      <c r="G198" s="84" t="s">
        <v>25</v>
      </c>
      <c r="H198" s="84" t="s">
        <v>25</v>
      </c>
      <c r="I198" s="90">
        <v>44621</v>
      </c>
      <c r="J198" s="91">
        <f ca="1">EFEITO!$J$198*EFEITO!$Y$198</f>
        <v>59634.736915656904</v>
      </c>
      <c r="K198" s="91">
        <f>EFEITO!$L$198*EFEITO!$Z$198</f>
        <v>0</v>
      </c>
      <c r="L198" s="91">
        <f>EFEITO!$N$198*EFEITO!$AA$198</f>
        <v>0</v>
      </c>
      <c r="M198" s="91">
        <f ca="1">$J$198-EFEITO!$K$198*EFEITO!$Y$198</f>
        <v>0</v>
      </c>
      <c r="N198" s="91">
        <f>$K$198-EFEITO!$M$198*EFEITO!$Z$198</f>
        <v>0</v>
      </c>
      <c r="O198" s="91">
        <f>$L$198-EFEITO!$O$198*EFEITO!$AA$198</f>
        <v>0</v>
      </c>
      <c r="P198" s="19"/>
      <c r="Q198" s="19"/>
      <c r="R198" s="19"/>
      <c r="S198" s="19"/>
      <c r="T198" s="19"/>
      <c r="U198" s="19"/>
      <c r="V198" s="19"/>
      <c r="W198" s="19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84" t="s">
        <v>27</v>
      </c>
      <c r="B199" s="84" t="s">
        <v>38</v>
      </c>
      <c r="C199" s="84" t="s">
        <v>39</v>
      </c>
      <c r="D199" s="84" t="s">
        <v>37</v>
      </c>
      <c r="E199" s="84" t="s">
        <v>25</v>
      </c>
      <c r="F199" s="84" t="s">
        <v>25</v>
      </c>
      <c r="G199" s="84" t="s">
        <v>25</v>
      </c>
      <c r="H199" s="84" t="s">
        <v>25</v>
      </c>
      <c r="I199" s="90">
        <v>44621</v>
      </c>
      <c r="J199" s="91">
        <f ca="1">EFEITO!$J$199*EFEITO!$Y$199</f>
        <v>27122.072833317194</v>
      </c>
      <c r="K199" s="91">
        <f>EFEITO!$L$199*EFEITO!$Z$199</f>
        <v>0</v>
      </c>
      <c r="L199" s="91">
        <f>EFEITO!$N$199*EFEITO!$AA$199</f>
        <v>0</v>
      </c>
      <c r="M199" s="91">
        <f ca="1">$J$199-EFEITO!$K$199*EFEITO!$Y$199</f>
        <v>0</v>
      </c>
      <c r="N199" s="91">
        <f>$K$199-EFEITO!$M$199*EFEITO!$Z$199</f>
        <v>0</v>
      </c>
      <c r="O199" s="91">
        <f>$L$199-EFEITO!$O$199*EFEITO!$AA$199</f>
        <v>0</v>
      </c>
      <c r="P199" s="19"/>
      <c r="Q199" s="19"/>
      <c r="R199" s="19"/>
      <c r="S199" s="19"/>
      <c r="T199" s="19"/>
      <c r="U199" s="19"/>
      <c r="V199" s="19"/>
      <c r="W199" s="19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84" t="s">
        <v>21</v>
      </c>
      <c r="B200" s="84" t="s">
        <v>38</v>
      </c>
      <c r="C200" s="84" t="s">
        <v>39</v>
      </c>
      <c r="D200" s="84" t="s">
        <v>37</v>
      </c>
      <c r="E200" s="84" t="s">
        <v>25</v>
      </c>
      <c r="F200" s="84" t="s">
        <v>25</v>
      </c>
      <c r="G200" s="84" t="s">
        <v>25</v>
      </c>
      <c r="H200" s="84" t="s">
        <v>25</v>
      </c>
      <c r="I200" s="90">
        <v>44652</v>
      </c>
      <c r="J200" s="91">
        <f ca="1">EFEITO!$J$200*EFEITO!$Y$200</f>
        <v>66209.144282111811</v>
      </c>
      <c r="K200" s="91">
        <f>EFEITO!$L$200*EFEITO!$Z$200</f>
        <v>0</v>
      </c>
      <c r="L200" s="91">
        <f>EFEITO!$N$200*EFEITO!$AA$200</f>
        <v>0</v>
      </c>
      <c r="M200" s="91">
        <f ca="1">$J$200-EFEITO!$K$200*EFEITO!$Y$200</f>
        <v>0</v>
      </c>
      <c r="N200" s="91">
        <f>$K$200-EFEITO!$M$200*EFEITO!$Z$200</f>
        <v>0</v>
      </c>
      <c r="O200" s="91">
        <f>$L$200-EFEITO!$O$200*EFEITO!$AA$200</f>
        <v>0</v>
      </c>
      <c r="P200" s="19"/>
      <c r="Q200" s="19"/>
      <c r="R200" s="19"/>
      <c r="S200" s="19"/>
      <c r="T200" s="19"/>
      <c r="U200" s="19"/>
      <c r="V200" s="19"/>
      <c r="W200" s="19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84" t="s">
        <v>27</v>
      </c>
      <c r="B201" s="84" t="s">
        <v>38</v>
      </c>
      <c r="C201" s="84" t="s">
        <v>39</v>
      </c>
      <c r="D201" s="84" t="s">
        <v>37</v>
      </c>
      <c r="E201" s="84" t="s">
        <v>25</v>
      </c>
      <c r="F201" s="84" t="s">
        <v>25</v>
      </c>
      <c r="G201" s="84" t="s">
        <v>25</v>
      </c>
      <c r="H201" s="84" t="s">
        <v>25</v>
      </c>
      <c r="I201" s="90">
        <v>44652</v>
      </c>
      <c r="J201" s="91">
        <f ca="1">EFEITO!$J$201*EFEITO!$Y$201</f>
        <v>27861.957906712443</v>
      </c>
      <c r="K201" s="91">
        <f>EFEITO!$L$201*EFEITO!$Z$201</f>
        <v>0</v>
      </c>
      <c r="L201" s="91">
        <f>EFEITO!$N$201*EFEITO!$AA$201</f>
        <v>0</v>
      </c>
      <c r="M201" s="91">
        <f ca="1">$J$201-EFEITO!$K$201*EFEITO!$Y$201</f>
        <v>0</v>
      </c>
      <c r="N201" s="91">
        <f>$K$201-EFEITO!$M$201*EFEITO!$Z$201</f>
        <v>0</v>
      </c>
      <c r="O201" s="91">
        <f>$L$201-EFEITO!$O$201*EFEITO!$AA$201</f>
        <v>0</v>
      </c>
      <c r="P201" s="19"/>
      <c r="Q201" s="19"/>
      <c r="R201" s="19"/>
      <c r="S201" s="19"/>
      <c r="T201" s="19"/>
      <c r="U201" s="19"/>
      <c r="V201" s="19"/>
      <c r="W201" s="19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84" t="s">
        <v>21</v>
      </c>
      <c r="B202" s="84" t="s">
        <v>38</v>
      </c>
      <c r="C202" s="84" t="s">
        <v>39</v>
      </c>
      <c r="D202" s="84" t="s">
        <v>37</v>
      </c>
      <c r="E202" s="84" t="s">
        <v>25</v>
      </c>
      <c r="F202" s="84" t="s">
        <v>25</v>
      </c>
      <c r="G202" s="84" t="s">
        <v>25</v>
      </c>
      <c r="H202" s="84" t="s">
        <v>25</v>
      </c>
      <c r="I202" s="90">
        <v>44682</v>
      </c>
      <c r="J202" s="91">
        <f ca="1">EFEITO!$J$202*EFEITO!$Y$202</f>
        <v>64327.722238335329</v>
      </c>
      <c r="K202" s="91">
        <f>EFEITO!$L$202*EFEITO!$Z$202</f>
        <v>0</v>
      </c>
      <c r="L202" s="91">
        <f>EFEITO!$N$202*EFEITO!$AA$202</f>
        <v>0</v>
      </c>
      <c r="M202" s="91">
        <f ca="1">$J$202-EFEITO!$K$202*EFEITO!$Y$202</f>
        <v>0</v>
      </c>
      <c r="N202" s="91">
        <f>$K$202-EFEITO!$M$202*EFEITO!$Z$202</f>
        <v>0</v>
      </c>
      <c r="O202" s="91">
        <f>$L$202-EFEITO!$O$202*EFEITO!$AA$202</f>
        <v>0</v>
      </c>
      <c r="P202" s="19"/>
      <c r="Q202" s="19"/>
      <c r="R202" s="19"/>
      <c r="S202" s="19"/>
      <c r="T202" s="19"/>
      <c r="U202" s="19"/>
      <c r="V202" s="19"/>
      <c r="W202" s="19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84" t="s">
        <v>27</v>
      </c>
      <c r="B203" s="84" t="s">
        <v>38</v>
      </c>
      <c r="C203" s="84" t="s">
        <v>39</v>
      </c>
      <c r="D203" s="84" t="s">
        <v>37</v>
      </c>
      <c r="E203" s="84" t="s">
        <v>25</v>
      </c>
      <c r="F203" s="84" t="s">
        <v>25</v>
      </c>
      <c r="G203" s="84" t="s">
        <v>25</v>
      </c>
      <c r="H203" s="84" t="s">
        <v>25</v>
      </c>
      <c r="I203" s="90">
        <v>44682</v>
      </c>
      <c r="J203" s="91">
        <f ca="1">EFEITO!$J$203*EFEITO!$Y$203</f>
        <v>29003.494877093679</v>
      </c>
      <c r="K203" s="91">
        <f>EFEITO!$L$203*EFEITO!$Z$203</f>
        <v>0</v>
      </c>
      <c r="L203" s="91">
        <f>EFEITO!$N$203*EFEITO!$AA$203</f>
        <v>0</v>
      </c>
      <c r="M203" s="91">
        <f ca="1">$J$203-EFEITO!$K$203*EFEITO!$Y$203</f>
        <v>0</v>
      </c>
      <c r="N203" s="91">
        <f>$K$203-EFEITO!$M$203*EFEITO!$Z$203</f>
        <v>0</v>
      </c>
      <c r="O203" s="91">
        <f>$L$203-EFEITO!$O$203*EFEITO!$AA$203</f>
        <v>0</v>
      </c>
      <c r="P203" s="19"/>
      <c r="Q203" s="19"/>
      <c r="R203" s="19"/>
      <c r="S203" s="19"/>
      <c r="T203" s="19"/>
      <c r="U203" s="19"/>
      <c r="V203" s="19"/>
      <c r="W203" s="19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84" t="s">
        <v>55</v>
      </c>
      <c r="B204" s="84" t="s">
        <v>38</v>
      </c>
      <c r="C204" s="84" t="s">
        <v>39</v>
      </c>
      <c r="D204" s="84" t="s">
        <v>37</v>
      </c>
      <c r="E204" s="84" t="s">
        <v>25</v>
      </c>
      <c r="F204" s="84" t="s">
        <v>25</v>
      </c>
      <c r="G204" s="84" t="s">
        <v>25</v>
      </c>
      <c r="H204" s="84" t="s">
        <v>25</v>
      </c>
      <c r="I204" s="90">
        <v>44713</v>
      </c>
      <c r="J204" s="91">
        <f ca="1">EFEITO!$J$204*EFEITO!$Y$204</f>
        <v>64327.722238335329</v>
      </c>
      <c r="K204" s="91">
        <f>EFEITO!$L$204*EFEITO!$Z$204</f>
        <v>0</v>
      </c>
      <c r="L204" s="91">
        <f>EFEITO!$N$204*EFEITO!$AA$204</f>
        <v>0</v>
      </c>
      <c r="M204" s="91">
        <f ca="1">$J$204-EFEITO!$K$204*EFEITO!$Y$204</f>
        <v>0</v>
      </c>
      <c r="N204" s="91">
        <f>$K$204-EFEITO!$M$204*EFEITO!$Z$204</f>
        <v>0</v>
      </c>
      <c r="O204" s="91">
        <f>$L$204-EFEITO!$O$204*EFEITO!$AA$204</f>
        <v>0</v>
      </c>
      <c r="P204" s="19"/>
      <c r="Q204" s="19"/>
      <c r="R204" s="19"/>
      <c r="S204" s="19"/>
      <c r="T204" s="19"/>
      <c r="U204" s="19"/>
      <c r="V204" s="19"/>
      <c r="W204" s="19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84" t="s">
        <v>55</v>
      </c>
      <c r="B205" s="84" t="s">
        <v>38</v>
      </c>
      <c r="C205" s="84" t="s">
        <v>39</v>
      </c>
      <c r="D205" s="84" t="s">
        <v>37</v>
      </c>
      <c r="E205" s="84" t="s">
        <v>25</v>
      </c>
      <c r="F205" s="84" t="s">
        <v>25</v>
      </c>
      <c r="G205" s="84" t="s">
        <v>25</v>
      </c>
      <c r="H205" s="84" t="s">
        <v>25</v>
      </c>
      <c r="I205" s="90">
        <v>44713</v>
      </c>
      <c r="J205" s="91">
        <f ca="1">EFEITO!$J$205*EFEITO!$Y$205</f>
        <v>29003.494877093679</v>
      </c>
      <c r="K205" s="91">
        <f>EFEITO!$L$205*EFEITO!$Z$205</f>
        <v>0</v>
      </c>
      <c r="L205" s="91">
        <f>EFEITO!$N$205*EFEITO!$AA$205</f>
        <v>0</v>
      </c>
      <c r="M205" s="91">
        <f ca="1">$J$205-EFEITO!$K$205*EFEITO!$Y$205</f>
        <v>0</v>
      </c>
      <c r="N205" s="91">
        <f>$K$205-EFEITO!$M$205*EFEITO!$Z$205</f>
        <v>0</v>
      </c>
      <c r="O205" s="91">
        <f>$L$205-EFEITO!$O$205*EFEITO!$AA$205</f>
        <v>0</v>
      </c>
      <c r="P205" s="19"/>
      <c r="Q205" s="19"/>
      <c r="R205" s="19"/>
      <c r="S205" s="19"/>
      <c r="T205" s="19"/>
      <c r="U205" s="19"/>
      <c r="V205" s="19"/>
      <c r="W205" s="19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84" t="s">
        <v>21</v>
      </c>
      <c r="B206" s="84" t="s">
        <v>38</v>
      </c>
      <c r="C206" s="84" t="s">
        <v>39</v>
      </c>
      <c r="D206" s="84" t="s">
        <v>37</v>
      </c>
      <c r="E206" s="84" t="s">
        <v>25</v>
      </c>
      <c r="F206" s="84" t="s">
        <v>25</v>
      </c>
      <c r="G206" s="84" t="s">
        <v>25</v>
      </c>
      <c r="H206" s="84" t="s">
        <v>33</v>
      </c>
      <c r="I206" s="90">
        <v>44378</v>
      </c>
      <c r="J206" s="91">
        <f>EFEITO!$J$206*EFEITO!$Y$206</f>
        <v>0</v>
      </c>
      <c r="K206" s="91">
        <f ca="1">EFEITO!$L$206*EFEITO!$Z$206</f>
        <v>44498.300213047994</v>
      </c>
      <c r="L206" s="91">
        <f>EFEITO!$N$206*EFEITO!$AA$206</f>
        <v>28307.341486217814</v>
      </c>
      <c r="M206" s="91">
        <f>$J$206-EFEITO!$K$206*EFEITO!$Y$206</f>
        <v>0</v>
      </c>
      <c r="N206" s="91">
        <f ca="1">$K$206-EFEITO!$M$206*EFEITO!$Z$206</f>
        <v>0</v>
      </c>
      <c r="O206" s="91">
        <f>$L$206-EFEITO!$O$206*EFEITO!$AA$206</f>
        <v>0</v>
      </c>
      <c r="P206" s="19"/>
      <c r="Q206" s="19"/>
      <c r="R206" s="19"/>
      <c r="S206" s="19"/>
      <c r="T206" s="19"/>
      <c r="U206" s="19"/>
      <c r="V206" s="19"/>
      <c r="W206" s="19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84" t="s">
        <v>27</v>
      </c>
      <c r="B207" s="84" t="s">
        <v>38</v>
      </c>
      <c r="C207" s="84" t="s">
        <v>39</v>
      </c>
      <c r="D207" s="84" t="s">
        <v>37</v>
      </c>
      <c r="E207" s="84" t="s">
        <v>25</v>
      </c>
      <c r="F207" s="84" t="s">
        <v>25</v>
      </c>
      <c r="G207" s="84" t="s">
        <v>25</v>
      </c>
      <c r="H207" s="84" t="s">
        <v>33</v>
      </c>
      <c r="I207" s="90">
        <v>44378</v>
      </c>
      <c r="J207" s="91">
        <f>EFEITO!$J$207*EFEITO!$Y$207</f>
        <v>0</v>
      </c>
      <c r="K207" s="91">
        <f ca="1">EFEITO!$L$207*EFEITO!$Z$207</f>
        <v>6020.2000063265123</v>
      </c>
      <c r="L207" s="91">
        <f>EFEITO!$N$207*EFEITO!$AA$207</f>
        <v>3829.7161145145287</v>
      </c>
      <c r="M207" s="91">
        <f>$J$207-EFEITO!$K$207*EFEITO!$Y$207</f>
        <v>0</v>
      </c>
      <c r="N207" s="91">
        <f ca="1">$K$207-EFEITO!$M$207*EFEITO!$Z$207</f>
        <v>0</v>
      </c>
      <c r="O207" s="91">
        <f>$L$207-EFEITO!$O$207*EFEITO!$AA$207</f>
        <v>0</v>
      </c>
      <c r="P207" s="19"/>
      <c r="Q207" s="19"/>
      <c r="R207" s="19"/>
      <c r="S207" s="19"/>
      <c r="T207" s="19"/>
      <c r="U207" s="19"/>
      <c r="V207" s="19"/>
      <c r="W207" s="19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84" t="s">
        <v>21</v>
      </c>
      <c r="B208" s="84" t="s">
        <v>38</v>
      </c>
      <c r="C208" s="84" t="s">
        <v>39</v>
      </c>
      <c r="D208" s="84" t="s">
        <v>37</v>
      </c>
      <c r="E208" s="84" t="s">
        <v>25</v>
      </c>
      <c r="F208" s="84" t="s">
        <v>25</v>
      </c>
      <c r="G208" s="84" t="s">
        <v>25</v>
      </c>
      <c r="H208" s="84" t="s">
        <v>33</v>
      </c>
      <c r="I208" s="90">
        <v>44409</v>
      </c>
      <c r="J208" s="91">
        <f>EFEITO!$J$208*EFEITO!$Y$208</f>
        <v>0</v>
      </c>
      <c r="K208" s="91">
        <f ca="1">EFEITO!$L$208*EFEITO!$Z$208</f>
        <v>40950.749388284814</v>
      </c>
      <c r="L208" s="91">
        <f>EFEITO!$N$208*EFEITO!$AA$208</f>
        <v>26050.587134804657</v>
      </c>
      <c r="M208" s="91">
        <f>$J$208-EFEITO!$K$208*EFEITO!$Y$208</f>
        <v>0</v>
      </c>
      <c r="N208" s="91">
        <f ca="1">$K$208-EFEITO!$M$208*EFEITO!$Z$208</f>
        <v>0</v>
      </c>
      <c r="O208" s="91">
        <f>$L$208-EFEITO!$O$208*EFEITO!$AA$208</f>
        <v>0</v>
      </c>
      <c r="P208" s="19"/>
      <c r="Q208" s="19"/>
      <c r="R208" s="19"/>
      <c r="S208" s="19"/>
      <c r="T208" s="19"/>
      <c r="U208" s="19"/>
      <c r="V208" s="19"/>
      <c r="W208" s="19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84" t="s">
        <v>27</v>
      </c>
      <c r="B209" s="84" t="s">
        <v>38</v>
      </c>
      <c r="C209" s="84" t="s">
        <v>39</v>
      </c>
      <c r="D209" s="84" t="s">
        <v>37</v>
      </c>
      <c r="E209" s="84" t="s">
        <v>25</v>
      </c>
      <c r="F209" s="84" t="s">
        <v>25</v>
      </c>
      <c r="G209" s="84" t="s">
        <v>25</v>
      </c>
      <c r="H209" s="84" t="s">
        <v>33</v>
      </c>
      <c r="I209" s="90">
        <v>44409</v>
      </c>
      <c r="J209" s="91">
        <f>EFEITO!$J$209*EFEITO!$Y$209</f>
        <v>0</v>
      </c>
      <c r="K209" s="91">
        <f ca="1">EFEITO!$L$209*EFEITO!$Z$209</f>
        <v>4226.4031430820605</v>
      </c>
      <c r="L209" s="91">
        <f>EFEITO!$N$209*EFEITO!$AA$209</f>
        <v>2688.6024063132036</v>
      </c>
      <c r="M209" s="91">
        <f>$J$209-EFEITO!$K$209*EFEITO!$Y$209</f>
        <v>0</v>
      </c>
      <c r="N209" s="91">
        <f ca="1">$K$209-EFEITO!$M$209*EFEITO!$Z$209</f>
        <v>0</v>
      </c>
      <c r="O209" s="91">
        <f>$L$209-EFEITO!$O$209*EFEITO!$AA$209</f>
        <v>0</v>
      </c>
      <c r="P209" s="19"/>
      <c r="Q209" s="19"/>
      <c r="R209" s="19"/>
      <c r="S209" s="19"/>
      <c r="T209" s="19"/>
      <c r="U209" s="19"/>
      <c r="V209" s="19"/>
      <c r="W209" s="19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84" t="s">
        <v>21</v>
      </c>
      <c r="B210" s="84" t="s">
        <v>38</v>
      </c>
      <c r="C210" s="84" t="s">
        <v>39</v>
      </c>
      <c r="D210" s="84" t="s">
        <v>37</v>
      </c>
      <c r="E210" s="84" t="s">
        <v>25</v>
      </c>
      <c r="F210" s="84" t="s">
        <v>25</v>
      </c>
      <c r="G210" s="84" t="s">
        <v>25</v>
      </c>
      <c r="H210" s="84" t="s">
        <v>33</v>
      </c>
      <c r="I210" s="90">
        <v>44440</v>
      </c>
      <c r="J210" s="91">
        <f>EFEITO!$J$210*EFEITO!$Y$210</f>
        <v>0</v>
      </c>
      <c r="K210" s="91">
        <f ca="1">EFEITO!$L$210*EFEITO!$Z$210</f>
        <v>40905.075453503916</v>
      </c>
      <c r="L210" s="91">
        <f>EFEITO!$N$210*EFEITO!$AA$210</f>
        <v>26021.531920051017</v>
      </c>
      <c r="M210" s="91">
        <f>$J$210-EFEITO!$K$210*EFEITO!$Y$210</f>
        <v>0</v>
      </c>
      <c r="N210" s="91">
        <f ca="1">$K$210-EFEITO!$M$210*EFEITO!$Z$210</f>
        <v>0</v>
      </c>
      <c r="O210" s="91">
        <f>$L$210-EFEITO!$O$210*EFEITO!$AA$210</f>
        <v>0</v>
      </c>
      <c r="P210" s="19"/>
      <c r="Q210" s="19"/>
      <c r="R210" s="19"/>
      <c r="S210" s="19"/>
      <c r="T210" s="19"/>
      <c r="U210" s="19"/>
      <c r="V210" s="19"/>
      <c r="W210" s="19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84" t="s">
        <v>27</v>
      </c>
      <c r="B211" s="84" t="s">
        <v>38</v>
      </c>
      <c r="C211" s="84" t="s">
        <v>39</v>
      </c>
      <c r="D211" s="84" t="s">
        <v>37</v>
      </c>
      <c r="E211" s="84" t="s">
        <v>25</v>
      </c>
      <c r="F211" s="84" t="s">
        <v>25</v>
      </c>
      <c r="G211" s="84" t="s">
        <v>25</v>
      </c>
      <c r="H211" s="84" t="s">
        <v>33</v>
      </c>
      <c r="I211" s="90">
        <v>44440</v>
      </c>
      <c r="J211" s="91">
        <f>EFEITO!$J$211*EFEITO!$Y$211</f>
        <v>0</v>
      </c>
      <c r="K211" s="91">
        <f ca="1">EFEITO!$L$211*EFEITO!$Z$211</f>
        <v>3053.8969269257645</v>
      </c>
      <c r="L211" s="91">
        <f>EFEITO!$N$211*EFEITO!$AA$211</f>
        <v>1942.7192220895258</v>
      </c>
      <c r="M211" s="91">
        <f>$J$211-EFEITO!$K$211*EFEITO!$Y$211</f>
        <v>0</v>
      </c>
      <c r="N211" s="91">
        <f ca="1">$K$211-EFEITO!$M$211*EFEITO!$Z$211</f>
        <v>0</v>
      </c>
      <c r="O211" s="91">
        <f>$L$211-EFEITO!$O$211*EFEITO!$AA$211</f>
        <v>0</v>
      </c>
      <c r="P211" s="19"/>
      <c r="Q211" s="19"/>
      <c r="R211" s="19"/>
      <c r="S211" s="19"/>
      <c r="T211" s="19"/>
      <c r="U211" s="19"/>
      <c r="V211" s="19"/>
      <c r="W211" s="19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84" t="s">
        <v>21</v>
      </c>
      <c r="B212" s="84" t="s">
        <v>38</v>
      </c>
      <c r="C212" s="84" t="s">
        <v>39</v>
      </c>
      <c r="D212" s="84" t="s">
        <v>37</v>
      </c>
      <c r="E212" s="84" t="s">
        <v>25</v>
      </c>
      <c r="F212" s="84" t="s">
        <v>25</v>
      </c>
      <c r="G212" s="84" t="s">
        <v>25</v>
      </c>
      <c r="H212" s="84" t="s">
        <v>33</v>
      </c>
      <c r="I212" s="90">
        <v>44470</v>
      </c>
      <c r="J212" s="91">
        <f>EFEITO!$J$212*EFEITO!$Y$212</f>
        <v>0</v>
      </c>
      <c r="K212" s="91">
        <f ca="1">EFEITO!$L$212*EFEITO!$Z$212</f>
        <v>40676.080109259943</v>
      </c>
      <c r="L212" s="91">
        <f>EFEITO!$N$212*EFEITO!$AA$212</f>
        <v>25875.857829642337</v>
      </c>
      <c r="M212" s="91">
        <f>$J$212-EFEITO!$K$212*EFEITO!$Y$212</f>
        <v>0</v>
      </c>
      <c r="N212" s="91">
        <f ca="1">$K$212-EFEITO!$M$212*EFEITO!$Z$212</f>
        <v>0</v>
      </c>
      <c r="O212" s="91">
        <f>$L$212-EFEITO!$O$212*EFEITO!$AA$212</f>
        <v>0</v>
      </c>
      <c r="P212" s="19"/>
      <c r="Q212" s="19"/>
      <c r="R212" s="19"/>
      <c r="S212" s="19"/>
      <c r="T212" s="19"/>
      <c r="U212" s="19"/>
      <c r="V212" s="19"/>
      <c r="W212" s="19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84" t="s">
        <v>27</v>
      </c>
      <c r="B213" s="84" t="s">
        <v>38</v>
      </c>
      <c r="C213" s="84" t="s">
        <v>39</v>
      </c>
      <c r="D213" s="84" t="s">
        <v>37</v>
      </c>
      <c r="E213" s="84" t="s">
        <v>25</v>
      </c>
      <c r="F213" s="84" t="s">
        <v>25</v>
      </c>
      <c r="G213" s="84" t="s">
        <v>25</v>
      </c>
      <c r="H213" s="84" t="s">
        <v>33</v>
      </c>
      <c r="I213" s="90">
        <v>44470</v>
      </c>
      <c r="J213" s="91">
        <f>EFEITO!$J$213*EFEITO!$Y$213</f>
        <v>0</v>
      </c>
      <c r="K213" s="91">
        <f ca="1">EFEITO!$L$213*EFEITO!$Z$213</f>
        <v>1867.625963301251</v>
      </c>
      <c r="L213" s="91">
        <f>EFEITO!$N$213*EFEITO!$AA$213</f>
        <v>1188.0796717757087</v>
      </c>
      <c r="M213" s="91">
        <f>$J$213-EFEITO!$K$213*EFEITO!$Y$213</f>
        <v>0</v>
      </c>
      <c r="N213" s="91">
        <f ca="1">$K$213-EFEITO!$M$213*EFEITO!$Z$213</f>
        <v>0</v>
      </c>
      <c r="O213" s="91">
        <f>$L$213-EFEITO!$O$213*EFEITO!$AA$213</f>
        <v>0</v>
      </c>
      <c r="P213" s="19"/>
      <c r="Q213" s="19"/>
      <c r="R213" s="19"/>
      <c r="S213" s="19"/>
      <c r="T213" s="19"/>
      <c r="U213" s="19"/>
      <c r="V213" s="19"/>
      <c r="W213" s="19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84" t="s">
        <v>21</v>
      </c>
      <c r="B214" s="84" t="s">
        <v>38</v>
      </c>
      <c r="C214" s="84" t="s">
        <v>39</v>
      </c>
      <c r="D214" s="84" t="s">
        <v>37</v>
      </c>
      <c r="E214" s="84" t="s">
        <v>25</v>
      </c>
      <c r="F214" s="84" t="s">
        <v>25</v>
      </c>
      <c r="G214" s="84" t="s">
        <v>25</v>
      </c>
      <c r="H214" s="84" t="s">
        <v>33</v>
      </c>
      <c r="I214" s="90">
        <v>44501</v>
      </c>
      <c r="J214" s="91">
        <f>EFEITO!$J$214*EFEITO!$Y$214</f>
        <v>0</v>
      </c>
      <c r="K214" s="91">
        <f ca="1">EFEITO!$L$214*EFEITO!$Z$214</f>
        <v>30418.840564080481</v>
      </c>
      <c r="L214" s="91">
        <f>EFEITO!$N$214*EFEITO!$AA$214</f>
        <v>19350.77302592677</v>
      </c>
      <c r="M214" s="91">
        <f>$J$214-EFEITO!$K$214*EFEITO!$Y$214</f>
        <v>0</v>
      </c>
      <c r="N214" s="91">
        <f ca="1">$K$214-EFEITO!$M$214*EFEITO!$Z$214</f>
        <v>0</v>
      </c>
      <c r="O214" s="91">
        <f>$L$214-EFEITO!$O$214*EFEITO!$AA$214</f>
        <v>0</v>
      </c>
      <c r="P214" s="19"/>
      <c r="Q214" s="19"/>
      <c r="R214" s="19"/>
      <c r="S214" s="19"/>
      <c r="T214" s="19"/>
      <c r="U214" s="19"/>
      <c r="V214" s="19"/>
      <c r="W214" s="19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84" t="s">
        <v>27</v>
      </c>
      <c r="B215" s="84" t="s">
        <v>38</v>
      </c>
      <c r="C215" s="84" t="s">
        <v>39</v>
      </c>
      <c r="D215" s="84" t="s">
        <v>37</v>
      </c>
      <c r="E215" s="84" t="s">
        <v>25</v>
      </c>
      <c r="F215" s="84" t="s">
        <v>25</v>
      </c>
      <c r="G215" s="84" t="s">
        <v>25</v>
      </c>
      <c r="H215" s="84" t="s">
        <v>33</v>
      </c>
      <c r="I215" s="90">
        <v>44501</v>
      </c>
      <c r="J215" s="91">
        <f>EFEITO!$J$215*EFEITO!$Y$215</f>
        <v>0</v>
      </c>
      <c r="K215" s="91">
        <f ca="1">EFEITO!$L$215*EFEITO!$Z$215</f>
        <v>3178.4053244791812</v>
      </c>
      <c r="L215" s="91">
        <f>EFEITO!$N$215*EFEITO!$AA$215</f>
        <v>2021.9245335412395</v>
      </c>
      <c r="M215" s="91">
        <f>$J$215-EFEITO!$K$215*EFEITO!$Y$215</f>
        <v>0</v>
      </c>
      <c r="N215" s="91">
        <f ca="1">$K$215-EFEITO!$M$215*EFEITO!$Z$215</f>
        <v>0</v>
      </c>
      <c r="O215" s="91">
        <f>$L$215-EFEITO!$O$215*EFEITO!$AA$215</f>
        <v>0</v>
      </c>
      <c r="P215" s="19"/>
      <c r="Q215" s="19"/>
      <c r="R215" s="19"/>
      <c r="S215" s="19"/>
      <c r="T215" s="19"/>
      <c r="U215" s="19"/>
      <c r="V215" s="19"/>
      <c r="W215" s="19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84" t="s">
        <v>21</v>
      </c>
      <c r="B216" s="84" t="s">
        <v>38</v>
      </c>
      <c r="C216" s="84" t="s">
        <v>39</v>
      </c>
      <c r="D216" s="84" t="s">
        <v>37</v>
      </c>
      <c r="E216" s="84" t="s">
        <v>25</v>
      </c>
      <c r="F216" s="84" t="s">
        <v>25</v>
      </c>
      <c r="G216" s="84" t="s">
        <v>25</v>
      </c>
      <c r="H216" s="84" t="s">
        <v>33</v>
      </c>
      <c r="I216" s="90">
        <v>44531</v>
      </c>
      <c r="J216" s="91">
        <f>EFEITO!$J$216*EFEITO!$Y$216</f>
        <v>0</v>
      </c>
      <c r="K216" s="91">
        <f ca="1">EFEITO!$L$216*EFEITO!$Z$216</f>
        <v>29164.997203793806</v>
      </c>
      <c r="L216" s="91">
        <f>EFEITO!$N$216*EFEITO!$AA$216</f>
        <v>18553.147678443176</v>
      </c>
      <c r="M216" s="91">
        <f>$J$216-EFEITO!$K$216*EFEITO!$Y$216</f>
        <v>0</v>
      </c>
      <c r="N216" s="91">
        <f ca="1">$K$216-EFEITO!$M$216*EFEITO!$Z$216</f>
        <v>0</v>
      </c>
      <c r="O216" s="91">
        <f>$L$216-EFEITO!$O$216*EFEITO!$AA$216</f>
        <v>0</v>
      </c>
      <c r="P216" s="19"/>
      <c r="Q216" s="19"/>
      <c r="R216" s="19"/>
      <c r="S216" s="19"/>
      <c r="T216" s="19"/>
      <c r="U216" s="19"/>
      <c r="V216" s="19"/>
      <c r="W216" s="19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84" t="s">
        <v>27</v>
      </c>
      <c r="B217" s="84" t="s">
        <v>38</v>
      </c>
      <c r="C217" s="84" t="s">
        <v>39</v>
      </c>
      <c r="D217" s="84" t="s">
        <v>37</v>
      </c>
      <c r="E217" s="84" t="s">
        <v>25</v>
      </c>
      <c r="F217" s="84" t="s">
        <v>25</v>
      </c>
      <c r="G217" s="84" t="s">
        <v>25</v>
      </c>
      <c r="H217" s="84" t="s">
        <v>33</v>
      </c>
      <c r="I217" s="90">
        <v>44531</v>
      </c>
      <c r="J217" s="91">
        <f>EFEITO!$J$217*EFEITO!$Y$217</f>
        <v>0</v>
      </c>
      <c r="K217" s="91">
        <f ca="1">EFEITO!$L$217*EFEITO!$Z$217</f>
        <v>2220.5040347591757</v>
      </c>
      <c r="L217" s="91">
        <f>EFEITO!$N$217*EFEITO!$AA$217</f>
        <v>1412.5610569956416</v>
      </c>
      <c r="M217" s="91">
        <f>$J$217-EFEITO!$K$217*EFEITO!$Y$217</f>
        <v>0</v>
      </c>
      <c r="N217" s="91">
        <f ca="1">$K$217-EFEITO!$M$217*EFEITO!$Z$217</f>
        <v>0</v>
      </c>
      <c r="O217" s="91">
        <f>$L$217-EFEITO!$O$217*EFEITO!$AA$217</f>
        <v>0</v>
      </c>
      <c r="P217" s="19"/>
      <c r="Q217" s="19"/>
      <c r="R217" s="19"/>
      <c r="S217" s="19"/>
      <c r="T217" s="19"/>
      <c r="U217" s="19"/>
      <c r="V217" s="19"/>
      <c r="W217" s="19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84" t="s">
        <v>21</v>
      </c>
      <c r="B218" s="84" t="s">
        <v>38</v>
      </c>
      <c r="C218" s="84" t="s">
        <v>39</v>
      </c>
      <c r="D218" s="84" t="s">
        <v>37</v>
      </c>
      <c r="E218" s="84" t="s">
        <v>25</v>
      </c>
      <c r="F218" s="84" t="s">
        <v>25</v>
      </c>
      <c r="G218" s="84" t="s">
        <v>25</v>
      </c>
      <c r="H218" s="84" t="s">
        <v>33</v>
      </c>
      <c r="I218" s="90">
        <v>44562</v>
      </c>
      <c r="J218" s="91">
        <f>EFEITO!$J$218*EFEITO!$Y$218</f>
        <v>0</v>
      </c>
      <c r="K218" s="91">
        <f ca="1">EFEITO!$L$218*EFEITO!$Z$218</f>
        <v>26740.524638369236</v>
      </c>
      <c r="L218" s="91">
        <f>EFEITO!$N$218*EFEITO!$AA$218</f>
        <v>17010.833196657291</v>
      </c>
      <c r="M218" s="91">
        <f>$J$218-EFEITO!$K$218*EFEITO!$Y$218</f>
        <v>0</v>
      </c>
      <c r="N218" s="91">
        <f ca="1">$K$218-EFEITO!$M$218*EFEITO!$Z$218</f>
        <v>0</v>
      </c>
      <c r="O218" s="91">
        <f>$L$218-EFEITO!$O$218*EFEITO!$AA$218</f>
        <v>0</v>
      </c>
      <c r="P218" s="19"/>
      <c r="Q218" s="19"/>
      <c r="R218" s="19"/>
      <c r="S218" s="19"/>
      <c r="T218" s="19"/>
      <c r="U218" s="19"/>
      <c r="V218" s="19"/>
      <c r="W218" s="19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84" t="s">
        <v>27</v>
      </c>
      <c r="B219" s="84" t="s">
        <v>38</v>
      </c>
      <c r="C219" s="84" t="s">
        <v>39</v>
      </c>
      <c r="D219" s="84" t="s">
        <v>37</v>
      </c>
      <c r="E219" s="84" t="s">
        <v>25</v>
      </c>
      <c r="F219" s="84" t="s">
        <v>25</v>
      </c>
      <c r="G219" s="84" t="s">
        <v>25</v>
      </c>
      <c r="H219" s="84" t="s">
        <v>33</v>
      </c>
      <c r="I219" s="90">
        <v>44562</v>
      </c>
      <c r="J219" s="91">
        <f>EFEITO!$J$219*EFEITO!$Y$219</f>
        <v>0</v>
      </c>
      <c r="K219" s="91">
        <f ca="1">EFEITO!$L$219*EFEITO!$Z$219</f>
        <v>4127.5472294466854</v>
      </c>
      <c r="L219" s="91">
        <f>EFEITO!$N$219*EFEITO!$AA$219</f>
        <v>2625.7157771203856</v>
      </c>
      <c r="M219" s="91">
        <f>$J$219-EFEITO!$K$219*EFEITO!$Y$219</f>
        <v>0</v>
      </c>
      <c r="N219" s="91">
        <f ca="1">$K$219-EFEITO!$M$219*EFEITO!$Z$219</f>
        <v>0</v>
      </c>
      <c r="O219" s="91">
        <f>$L$219-EFEITO!$O$219*EFEITO!$AA$219</f>
        <v>0</v>
      </c>
      <c r="P219" s="19"/>
      <c r="Q219" s="19"/>
      <c r="R219" s="19"/>
      <c r="S219" s="19"/>
      <c r="T219" s="19"/>
      <c r="U219" s="19"/>
      <c r="V219" s="19"/>
      <c r="W219" s="19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84" t="s">
        <v>21</v>
      </c>
      <c r="B220" s="84" t="s">
        <v>38</v>
      </c>
      <c r="C220" s="84" t="s">
        <v>39</v>
      </c>
      <c r="D220" s="84" t="s">
        <v>37</v>
      </c>
      <c r="E220" s="84" t="s">
        <v>25</v>
      </c>
      <c r="F220" s="84" t="s">
        <v>25</v>
      </c>
      <c r="G220" s="84" t="s">
        <v>25</v>
      </c>
      <c r="H220" s="84" t="s">
        <v>33</v>
      </c>
      <c r="I220" s="90">
        <v>44593</v>
      </c>
      <c r="J220" s="91">
        <f>EFEITO!$J$220*EFEITO!$Y$220</f>
        <v>0</v>
      </c>
      <c r="K220" s="91">
        <f ca="1">EFEITO!$L$220*EFEITO!$Z$220</f>
        <v>13730.335599546384</v>
      </c>
      <c r="L220" s="91">
        <f>EFEITO!$N$220*EFEITO!$AA$220</f>
        <v>8734.4751749138777</v>
      </c>
      <c r="M220" s="91">
        <f>$J$220-EFEITO!$K$220*EFEITO!$Y$220</f>
        <v>0</v>
      </c>
      <c r="N220" s="91">
        <f ca="1">$K$220-EFEITO!$M$220*EFEITO!$Z$220</f>
        <v>0</v>
      </c>
      <c r="O220" s="91">
        <f>$L$220-EFEITO!$O$220*EFEITO!$AA$220</f>
        <v>0</v>
      </c>
      <c r="P220" s="19"/>
      <c r="Q220" s="19"/>
      <c r="R220" s="19"/>
      <c r="S220" s="19"/>
      <c r="T220" s="19"/>
      <c r="U220" s="19"/>
      <c r="V220" s="19"/>
      <c r="W220" s="19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84" t="s">
        <v>27</v>
      </c>
      <c r="B221" s="84" t="s">
        <v>38</v>
      </c>
      <c r="C221" s="84" t="s">
        <v>39</v>
      </c>
      <c r="D221" s="84" t="s">
        <v>37</v>
      </c>
      <c r="E221" s="84" t="s">
        <v>25</v>
      </c>
      <c r="F221" s="84" t="s">
        <v>25</v>
      </c>
      <c r="G221" s="84" t="s">
        <v>25</v>
      </c>
      <c r="H221" s="84" t="s">
        <v>33</v>
      </c>
      <c r="I221" s="90">
        <v>44593</v>
      </c>
      <c r="J221" s="91">
        <f>EFEITO!$J$221*EFEITO!$Y$221</f>
        <v>0</v>
      </c>
      <c r="K221" s="91">
        <f ca="1">EFEITO!$L$221*EFEITO!$Z$221</f>
        <v>3586.3423858099736</v>
      </c>
      <c r="L221" s="91">
        <f>EFEITO!$N$221*EFEITO!$AA$221</f>
        <v>2281.4313831217296</v>
      </c>
      <c r="M221" s="91">
        <f>$J$221-EFEITO!$K$221*EFEITO!$Y$221</f>
        <v>0</v>
      </c>
      <c r="N221" s="91">
        <f ca="1">$K$221-EFEITO!$M$221*EFEITO!$Z$221</f>
        <v>0</v>
      </c>
      <c r="O221" s="91">
        <f>$L$221-EFEITO!$O$221*EFEITO!$AA$221</f>
        <v>0</v>
      </c>
      <c r="P221" s="19"/>
      <c r="Q221" s="19"/>
      <c r="R221" s="19"/>
      <c r="S221" s="19"/>
      <c r="T221" s="19"/>
      <c r="U221" s="19"/>
      <c r="V221" s="19"/>
      <c r="W221" s="19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84" t="s">
        <v>21</v>
      </c>
      <c r="B222" s="84" t="s">
        <v>38</v>
      </c>
      <c r="C222" s="84" t="s">
        <v>39</v>
      </c>
      <c r="D222" s="84" t="s">
        <v>37</v>
      </c>
      <c r="E222" s="84" t="s">
        <v>25</v>
      </c>
      <c r="F222" s="84" t="s">
        <v>25</v>
      </c>
      <c r="G222" s="84" t="s">
        <v>25</v>
      </c>
      <c r="H222" s="84" t="s">
        <v>33</v>
      </c>
      <c r="I222" s="90">
        <v>44621</v>
      </c>
      <c r="J222" s="91">
        <f>EFEITO!$J$222*EFEITO!$Y$222</f>
        <v>0</v>
      </c>
      <c r="K222" s="91">
        <f ca="1">EFEITO!$L$222*EFEITO!$Z$222</f>
        <v>16604.665139045865</v>
      </c>
      <c r="L222" s="91">
        <f>EFEITO!$N$222*EFEITO!$AA$222</f>
        <v>10562.963621191133</v>
      </c>
      <c r="M222" s="91">
        <f>$J$222-EFEITO!$K$222*EFEITO!$Y$222</f>
        <v>0</v>
      </c>
      <c r="N222" s="91">
        <f ca="1">$K$222-EFEITO!$M$222*EFEITO!$Z$222</f>
        <v>0</v>
      </c>
      <c r="O222" s="91">
        <f>$L$222-EFEITO!$O$222*EFEITO!$AA$222</f>
        <v>0</v>
      </c>
      <c r="P222" s="19"/>
      <c r="Q222" s="19"/>
      <c r="R222" s="19"/>
      <c r="S222" s="19"/>
      <c r="T222" s="19"/>
      <c r="U222" s="19"/>
      <c r="V222" s="19"/>
      <c r="W222" s="19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84" t="s">
        <v>27</v>
      </c>
      <c r="B223" s="84" t="s">
        <v>38</v>
      </c>
      <c r="C223" s="84" t="s">
        <v>39</v>
      </c>
      <c r="D223" s="84" t="s">
        <v>37</v>
      </c>
      <c r="E223" s="84" t="s">
        <v>25</v>
      </c>
      <c r="F223" s="84" t="s">
        <v>25</v>
      </c>
      <c r="G223" s="84" t="s">
        <v>25</v>
      </c>
      <c r="H223" s="84" t="s">
        <v>33</v>
      </c>
      <c r="I223" s="90">
        <v>44621</v>
      </c>
      <c r="J223" s="91">
        <f>EFEITO!$J$223*EFEITO!$Y$223</f>
        <v>0</v>
      </c>
      <c r="K223" s="91">
        <f ca="1">EFEITO!$L$223*EFEITO!$Z$223</f>
        <v>7944.7619705190245</v>
      </c>
      <c r="L223" s="91">
        <f>EFEITO!$N$223*EFEITO!$AA$223</f>
        <v>5054.0153005721777</v>
      </c>
      <c r="M223" s="91">
        <f>$J$223-EFEITO!$K$223*EFEITO!$Y$223</f>
        <v>0</v>
      </c>
      <c r="N223" s="91">
        <f ca="1">$K$223-EFEITO!$M$223*EFEITO!$Z$223</f>
        <v>0</v>
      </c>
      <c r="O223" s="91">
        <f>$L$223-EFEITO!$O$223*EFEITO!$AA$223</f>
        <v>0</v>
      </c>
      <c r="P223" s="19"/>
      <c r="Q223" s="19"/>
      <c r="R223" s="19"/>
      <c r="S223" s="19"/>
      <c r="T223" s="19"/>
      <c r="U223" s="19"/>
      <c r="V223" s="19"/>
      <c r="W223" s="19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84" t="s">
        <v>21</v>
      </c>
      <c r="B224" s="84" t="s">
        <v>38</v>
      </c>
      <c r="C224" s="84" t="s">
        <v>39</v>
      </c>
      <c r="D224" s="84" t="s">
        <v>37</v>
      </c>
      <c r="E224" s="84" t="s">
        <v>25</v>
      </c>
      <c r="F224" s="84" t="s">
        <v>25</v>
      </c>
      <c r="G224" s="84" t="s">
        <v>25</v>
      </c>
      <c r="H224" s="84" t="s">
        <v>33</v>
      </c>
      <c r="I224" s="90">
        <v>44652</v>
      </c>
      <c r="J224" s="91">
        <f>EFEITO!$J$224*EFEITO!$Y$224</f>
        <v>0</v>
      </c>
      <c r="K224" s="91">
        <f ca="1">EFEITO!$L$224*EFEITO!$Z$224</f>
        <v>12176.796146656265</v>
      </c>
      <c r="L224" s="91">
        <f>EFEITO!$N$224*EFEITO!$AA$224</f>
        <v>7746.1998566495286</v>
      </c>
      <c r="M224" s="91">
        <f>$J$224-EFEITO!$K$224*EFEITO!$Y$224</f>
        <v>0</v>
      </c>
      <c r="N224" s="91">
        <f ca="1">$K$224-EFEITO!$M$224*EFEITO!$Z$224</f>
        <v>0</v>
      </c>
      <c r="O224" s="91">
        <f>$L$224-EFEITO!$O$224*EFEITO!$AA$224</f>
        <v>0</v>
      </c>
      <c r="P224" s="19"/>
      <c r="Q224" s="19"/>
      <c r="R224" s="19"/>
      <c r="S224" s="19"/>
      <c r="T224" s="19"/>
      <c r="U224" s="19"/>
      <c r="V224" s="19"/>
      <c r="W224" s="19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84" t="s">
        <v>27</v>
      </c>
      <c r="B225" s="84" t="s">
        <v>38</v>
      </c>
      <c r="C225" s="84" t="s">
        <v>39</v>
      </c>
      <c r="D225" s="84" t="s">
        <v>37</v>
      </c>
      <c r="E225" s="84" t="s">
        <v>25</v>
      </c>
      <c r="F225" s="84" t="s">
        <v>25</v>
      </c>
      <c r="G225" s="84" t="s">
        <v>25</v>
      </c>
      <c r="H225" s="84" t="s">
        <v>33</v>
      </c>
      <c r="I225" s="90">
        <v>44652</v>
      </c>
      <c r="J225" s="91">
        <f>EFEITO!$J$225*EFEITO!$Y$225</f>
        <v>0</v>
      </c>
      <c r="K225" s="91">
        <f ca="1">EFEITO!$L$225*EFEITO!$Z$225</f>
        <v>3668.9308706192751</v>
      </c>
      <c r="L225" s="91">
        <f>EFEITO!$N$225*EFEITO!$AA$225</f>
        <v>2333.9695796625647</v>
      </c>
      <c r="M225" s="91">
        <f>$J$225-EFEITO!$K$225*EFEITO!$Y$225</f>
        <v>0</v>
      </c>
      <c r="N225" s="91">
        <f ca="1">$K$225-EFEITO!$M$225*EFEITO!$Z$225</f>
        <v>0</v>
      </c>
      <c r="O225" s="91">
        <f>$L$225-EFEITO!$O$225*EFEITO!$AA$225</f>
        <v>0</v>
      </c>
      <c r="P225" s="19"/>
      <c r="Q225" s="19"/>
      <c r="R225" s="19"/>
      <c r="S225" s="19"/>
      <c r="T225" s="19"/>
      <c r="U225" s="19"/>
      <c r="V225" s="19"/>
      <c r="W225" s="19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84" t="s">
        <v>21</v>
      </c>
      <c r="B226" s="84" t="s">
        <v>38</v>
      </c>
      <c r="C226" s="84" t="s">
        <v>39</v>
      </c>
      <c r="D226" s="84" t="s">
        <v>37</v>
      </c>
      <c r="E226" s="84" t="s">
        <v>25</v>
      </c>
      <c r="F226" s="84" t="s">
        <v>25</v>
      </c>
      <c r="G226" s="84" t="s">
        <v>25</v>
      </c>
      <c r="H226" s="84" t="s">
        <v>33</v>
      </c>
      <c r="I226" s="90">
        <v>44682</v>
      </c>
      <c r="J226" s="91">
        <f>EFEITO!$J$226*EFEITO!$Y$226</f>
        <v>0</v>
      </c>
      <c r="K226" s="91">
        <f ca="1">EFEITO!$L$226*EFEITO!$Z$226</f>
        <v>13632.105356250473</v>
      </c>
      <c r="L226" s="91">
        <f>EFEITO!$N$226*EFEITO!$AA$226</f>
        <v>8671.9865623615206</v>
      </c>
      <c r="M226" s="91">
        <f>$J$226-EFEITO!$K$226*EFEITO!$Y$226</f>
        <v>0</v>
      </c>
      <c r="N226" s="91">
        <f ca="1">$K$226-EFEITO!$M$226*EFEITO!$Z$226</f>
        <v>0</v>
      </c>
      <c r="O226" s="91">
        <f>$L$226-EFEITO!$O$226*EFEITO!$AA$226</f>
        <v>0</v>
      </c>
      <c r="P226" s="19"/>
      <c r="Q226" s="19"/>
      <c r="R226" s="19"/>
      <c r="S226" s="19"/>
      <c r="T226" s="19"/>
      <c r="U226" s="19"/>
      <c r="V226" s="19"/>
      <c r="W226" s="19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84" t="s">
        <v>27</v>
      </c>
      <c r="B227" s="84" t="s">
        <v>38</v>
      </c>
      <c r="C227" s="84" t="s">
        <v>39</v>
      </c>
      <c r="D227" s="84" t="s">
        <v>37</v>
      </c>
      <c r="E227" s="84" t="s">
        <v>25</v>
      </c>
      <c r="F227" s="84" t="s">
        <v>25</v>
      </c>
      <c r="G227" s="84" t="s">
        <v>25</v>
      </c>
      <c r="H227" s="84" t="s">
        <v>33</v>
      </c>
      <c r="I227" s="90">
        <v>44682</v>
      </c>
      <c r="J227" s="91">
        <f>EFEITO!$J$227*EFEITO!$Y$227</f>
        <v>0</v>
      </c>
      <c r="K227" s="91">
        <f ca="1">EFEITO!$L$227*EFEITO!$Z$227</f>
        <v>6383.0888032158673</v>
      </c>
      <c r="L227" s="91">
        <f>EFEITO!$N$227*EFEITO!$AA$227</f>
        <v>4060.5657659818357</v>
      </c>
      <c r="M227" s="91">
        <f>$J$227-EFEITO!$K$227*EFEITO!$Y$227</f>
        <v>0</v>
      </c>
      <c r="N227" s="91">
        <f ca="1">$K$227-EFEITO!$M$227*EFEITO!$Z$227</f>
        <v>0</v>
      </c>
      <c r="O227" s="91">
        <f>$L$227-EFEITO!$O$227*EFEITO!$AA$227</f>
        <v>0</v>
      </c>
      <c r="P227" s="19"/>
      <c r="Q227" s="19"/>
      <c r="R227" s="19"/>
      <c r="S227" s="19"/>
      <c r="T227" s="19"/>
      <c r="U227" s="19"/>
      <c r="V227" s="19"/>
      <c r="W227" s="19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84" t="s">
        <v>55</v>
      </c>
      <c r="B228" s="84" t="s">
        <v>38</v>
      </c>
      <c r="C228" s="84" t="s">
        <v>39</v>
      </c>
      <c r="D228" s="84" t="s">
        <v>37</v>
      </c>
      <c r="E228" s="84" t="s">
        <v>25</v>
      </c>
      <c r="F228" s="84" t="s">
        <v>25</v>
      </c>
      <c r="G228" s="84" t="s">
        <v>25</v>
      </c>
      <c r="H228" s="84" t="s">
        <v>33</v>
      </c>
      <c r="I228" s="90">
        <v>44713</v>
      </c>
      <c r="J228" s="91">
        <f>EFEITO!$J$228*EFEITO!$Y$228</f>
        <v>0</v>
      </c>
      <c r="K228" s="91">
        <f ca="1">EFEITO!$L$228*EFEITO!$Z$228</f>
        <v>13632.105356250473</v>
      </c>
      <c r="L228" s="91">
        <f>EFEITO!$N$228*EFEITO!$AA$228</f>
        <v>8671.9865623615206</v>
      </c>
      <c r="M228" s="91">
        <f>$J$228-EFEITO!$K$228*EFEITO!$Y$228</f>
        <v>0</v>
      </c>
      <c r="N228" s="91">
        <f ca="1">$K$228-EFEITO!$M$228*EFEITO!$Z$228</f>
        <v>0</v>
      </c>
      <c r="O228" s="91">
        <f>$L$228-EFEITO!$O$228*EFEITO!$AA$228</f>
        <v>0</v>
      </c>
      <c r="P228" s="19"/>
      <c r="Q228" s="19"/>
      <c r="R228" s="19"/>
      <c r="S228" s="19"/>
      <c r="T228" s="19"/>
      <c r="U228" s="19"/>
      <c r="V228" s="19"/>
      <c r="W228" s="19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84" t="s">
        <v>55</v>
      </c>
      <c r="B229" s="84" t="s">
        <v>38</v>
      </c>
      <c r="C229" s="84" t="s">
        <v>39</v>
      </c>
      <c r="D229" s="84" t="s">
        <v>37</v>
      </c>
      <c r="E229" s="84" t="s">
        <v>25</v>
      </c>
      <c r="F229" s="84" t="s">
        <v>25</v>
      </c>
      <c r="G229" s="84" t="s">
        <v>25</v>
      </c>
      <c r="H229" s="84" t="s">
        <v>33</v>
      </c>
      <c r="I229" s="90">
        <v>44713</v>
      </c>
      <c r="J229" s="91">
        <f>EFEITO!$J$229*EFEITO!$Y$229</f>
        <v>0</v>
      </c>
      <c r="K229" s="91">
        <f ca="1">EFEITO!$L$229*EFEITO!$Z$229</f>
        <v>6383.0888032158673</v>
      </c>
      <c r="L229" s="91">
        <f>EFEITO!$N$229*EFEITO!$AA$229</f>
        <v>4060.5657659818357</v>
      </c>
      <c r="M229" s="91">
        <f>$J$229-EFEITO!$K$229*EFEITO!$Y$229</f>
        <v>0</v>
      </c>
      <c r="N229" s="91">
        <f ca="1">$K$229-EFEITO!$M$229*EFEITO!$Z$229</f>
        <v>0</v>
      </c>
      <c r="O229" s="91">
        <f>$L$229-EFEITO!$O$229*EFEITO!$AA$229</f>
        <v>0</v>
      </c>
      <c r="P229" s="19"/>
      <c r="Q229" s="19"/>
      <c r="R229" s="19"/>
      <c r="S229" s="19"/>
      <c r="T229" s="19"/>
      <c r="U229" s="19"/>
      <c r="V229" s="19"/>
      <c r="W229" s="19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84" t="s">
        <v>21</v>
      </c>
      <c r="B230" s="84" t="s">
        <v>38</v>
      </c>
      <c r="C230" s="84" t="s">
        <v>39</v>
      </c>
      <c r="D230" s="84" t="s">
        <v>44</v>
      </c>
      <c r="E230" s="84" t="s">
        <v>25</v>
      </c>
      <c r="F230" s="84" t="s">
        <v>25</v>
      </c>
      <c r="G230" s="84" t="s">
        <v>25</v>
      </c>
      <c r="H230" s="84" t="s">
        <v>34</v>
      </c>
      <c r="I230" s="90">
        <v>44378</v>
      </c>
      <c r="J230" s="91">
        <f>EFEITO!$J$230*EFEITO!$Y$230</f>
        <v>0</v>
      </c>
      <c r="K230" s="91">
        <f ca="1">EFEITO!$L$230*EFEITO!$Z$230</f>
        <v>4025.0153438945017</v>
      </c>
      <c r="L230" s="91">
        <f>EFEITO!$N$230*EFEITO!$AA$230</f>
        <v>9886.1581484743492</v>
      </c>
      <c r="M230" s="91">
        <f>$J$230-EFEITO!$K$230*EFEITO!$Y$230</f>
        <v>0</v>
      </c>
      <c r="N230" s="91">
        <f ca="1">$K$230-EFEITO!$M$230*EFEITO!$Z$230</f>
        <v>0</v>
      </c>
      <c r="O230" s="91">
        <f>$L$230-EFEITO!$O$230*EFEITO!$AA$230</f>
        <v>0</v>
      </c>
      <c r="P230" s="19"/>
      <c r="Q230" s="19"/>
      <c r="R230" s="19"/>
      <c r="S230" s="19"/>
      <c r="T230" s="19"/>
      <c r="U230" s="19"/>
      <c r="V230" s="19"/>
      <c r="W230" s="19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84" t="s">
        <v>21</v>
      </c>
      <c r="B231" s="84" t="s">
        <v>38</v>
      </c>
      <c r="C231" s="84" t="s">
        <v>39</v>
      </c>
      <c r="D231" s="84" t="s">
        <v>44</v>
      </c>
      <c r="E231" s="84" t="s">
        <v>25</v>
      </c>
      <c r="F231" s="84" t="s">
        <v>25</v>
      </c>
      <c r="G231" s="84" t="s">
        <v>25</v>
      </c>
      <c r="H231" s="84" t="s">
        <v>34</v>
      </c>
      <c r="I231" s="90">
        <v>44409</v>
      </c>
      <c r="J231" s="91">
        <f>EFEITO!$J$231*EFEITO!$Y$231</f>
        <v>0</v>
      </c>
      <c r="K231" s="91">
        <f ca="1">EFEITO!$L$231*EFEITO!$Z$231</f>
        <v>3483.6580621147464</v>
      </c>
      <c r="L231" s="91">
        <f>EFEITO!$N$231*EFEITO!$AA$231</f>
        <v>8556.4877633362776</v>
      </c>
      <c r="M231" s="91">
        <f>$J$231-EFEITO!$K$231*EFEITO!$Y$231</f>
        <v>0</v>
      </c>
      <c r="N231" s="91">
        <f ca="1">$K$231-EFEITO!$M$231*EFEITO!$Z$231</f>
        <v>0</v>
      </c>
      <c r="O231" s="91">
        <f>$L$231-EFEITO!$O$231*EFEITO!$AA$231</f>
        <v>0</v>
      </c>
      <c r="P231" s="19"/>
      <c r="Q231" s="19"/>
      <c r="R231" s="19"/>
      <c r="S231" s="19"/>
      <c r="T231" s="19"/>
      <c r="U231" s="19"/>
      <c r="V231" s="19"/>
      <c r="W231" s="19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84" t="s">
        <v>21</v>
      </c>
      <c r="B232" s="84" t="s">
        <v>38</v>
      </c>
      <c r="C232" s="84" t="s">
        <v>39</v>
      </c>
      <c r="D232" s="84" t="s">
        <v>44</v>
      </c>
      <c r="E232" s="84" t="s">
        <v>25</v>
      </c>
      <c r="F232" s="84" t="s">
        <v>25</v>
      </c>
      <c r="G232" s="84" t="s">
        <v>25</v>
      </c>
      <c r="H232" s="84" t="s">
        <v>34</v>
      </c>
      <c r="I232" s="90">
        <v>44440</v>
      </c>
      <c r="J232" s="91">
        <f>EFEITO!$J$232*EFEITO!$Y$232</f>
        <v>0</v>
      </c>
      <c r="K232" s="91">
        <f ca="1">EFEITO!$L$232*EFEITO!$Z$232</f>
        <v>2818.2197750421105</v>
      </c>
      <c r="L232" s="91">
        <f>EFEITO!$N$232*EFEITO!$AA$232</f>
        <v>6922.0522191267382</v>
      </c>
      <c r="M232" s="91">
        <f>$J$232-EFEITO!$K$232*EFEITO!$Y$232</f>
        <v>0</v>
      </c>
      <c r="N232" s="91">
        <f ca="1">$K$232-EFEITO!$M$232*EFEITO!$Z$232</f>
        <v>0</v>
      </c>
      <c r="O232" s="91">
        <f>$L$232-EFEITO!$O$232*EFEITO!$AA$232</f>
        <v>0</v>
      </c>
      <c r="P232" s="19"/>
      <c r="Q232" s="19"/>
      <c r="R232" s="19"/>
      <c r="S232" s="19"/>
      <c r="T232" s="19"/>
      <c r="U232" s="19"/>
      <c r="V232" s="19"/>
      <c r="W232" s="19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84" t="s">
        <v>21</v>
      </c>
      <c r="B233" s="84" t="s">
        <v>38</v>
      </c>
      <c r="C233" s="84" t="s">
        <v>39</v>
      </c>
      <c r="D233" s="84" t="s">
        <v>44</v>
      </c>
      <c r="E233" s="84" t="s">
        <v>25</v>
      </c>
      <c r="F233" s="84" t="s">
        <v>25</v>
      </c>
      <c r="G233" s="84" t="s">
        <v>25</v>
      </c>
      <c r="H233" s="84" t="s">
        <v>34</v>
      </c>
      <c r="I233" s="90">
        <v>44470</v>
      </c>
      <c r="J233" s="91">
        <f>EFEITO!$J$233*EFEITO!$Y$233</f>
        <v>0</v>
      </c>
      <c r="K233" s="91">
        <f ca="1">EFEITO!$L$233*EFEITO!$Z$233</f>
        <v>2969.895629388544</v>
      </c>
      <c r="L233" s="91">
        <f>EFEITO!$N$233*EFEITO!$AA$233</f>
        <v>7294.5952668565733</v>
      </c>
      <c r="M233" s="91">
        <f>$J$233-EFEITO!$K$233*EFEITO!$Y$233</f>
        <v>0</v>
      </c>
      <c r="N233" s="91">
        <f ca="1">$K$233-EFEITO!$M$233*EFEITO!$Z$233</f>
        <v>0</v>
      </c>
      <c r="O233" s="91">
        <f>$L$233-EFEITO!$O$233*EFEITO!$AA$233</f>
        <v>0</v>
      </c>
      <c r="P233" s="19"/>
      <c r="Q233" s="19"/>
      <c r="R233" s="19"/>
      <c r="S233" s="19"/>
      <c r="T233" s="19"/>
      <c r="U233" s="19"/>
      <c r="V233" s="19"/>
      <c r="W233" s="19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84" t="s">
        <v>21</v>
      </c>
      <c r="B234" s="84" t="s">
        <v>38</v>
      </c>
      <c r="C234" s="84" t="s">
        <v>39</v>
      </c>
      <c r="D234" s="84" t="s">
        <v>44</v>
      </c>
      <c r="E234" s="84" t="s">
        <v>25</v>
      </c>
      <c r="F234" s="84" t="s">
        <v>25</v>
      </c>
      <c r="G234" s="84" t="s">
        <v>25</v>
      </c>
      <c r="H234" s="84" t="s">
        <v>34</v>
      </c>
      <c r="I234" s="90">
        <v>44501</v>
      </c>
      <c r="J234" s="91">
        <f>EFEITO!$J$234*EFEITO!$Y$234</f>
        <v>0</v>
      </c>
      <c r="K234" s="91">
        <f ca="1">EFEITO!$L$234*EFEITO!$Z$234</f>
        <v>4266.8535349054928</v>
      </c>
      <c r="L234" s="91">
        <f>EFEITO!$N$234*EFEITO!$AA$234</f>
        <v>10480.156033799745</v>
      </c>
      <c r="M234" s="91">
        <f>$J$234-EFEITO!$K$234*EFEITO!$Y$234</f>
        <v>0</v>
      </c>
      <c r="N234" s="91">
        <f ca="1">$K$234-EFEITO!$M$234*EFEITO!$Z$234</f>
        <v>0</v>
      </c>
      <c r="O234" s="91">
        <f>$L$234-EFEITO!$O$234*EFEITO!$AA$234</f>
        <v>0</v>
      </c>
      <c r="P234" s="19"/>
      <c r="Q234" s="19"/>
      <c r="R234" s="19"/>
      <c r="S234" s="19"/>
      <c r="T234" s="19"/>
      <c r="U234" s="19"/>
      <c r="V234" s="19"/>
      <c r="W234" s="19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84" t="s">
        <v>21</v>
      </c>
      <c r="B235" s="84" t="s">
        <v>38</v>
      </c>
      <c r="C235" s="84" t="s">
        <v>39</v>
      </c>
      <c r="D235" s="84" t="s">
        <v>44</v>
      </c>
      <c r="E235" s="84" t="s">
        <v>25</v>
      </c>
      <c r="F235" s="84" t="s">
        <v>25</v>
      </c>
      <c r="G235" s="84" t="s">
        <v>25</v>
      </c>
      <c r="H235" s="84" t="s">
        <v>34</v>
      </c>
      <c r="I235" s="90">
        <v>44531</v>
      </c>
      <c r="J235" s="91">
        <f>EFEITO!$J$235*EFEITO!$Y$235</f>
        <v>0</v>
      </c>
      <c r="K235" s="91">
        <f ca="1">EFEITO!$L$235*EFEITO!$Z$235</f>
        <v>6211.8113159404029</v>
      </c>
      <c r="L235" s="91">
        <f>EFEITO!$N$235*EFEITO!$AA$235</f>
        <v>15257.320484758631</v>
      </c>
      <c r="M235" s="91">
        <f>$J$235-EFEITO!$K$235*EFEITO!$Y$235</f>
        <v>0</v>
      </c>
      <c r="N235" s="91">
        <f ca="1">$K$235-EFEITO!$M$235*EFEITO!$Z$235</f>
        <v>0</v>
      </c>
      <c r="O235" s="91">
        <f>$L$235-EFEITO!$O$235*EFEITO!$AA$235</f>
        <v>0</v>
      </c>
      <c r="P235" s="19"/>
      <c r="Q235" s="19"/>
      <c r="R235" s="19"/>
      <c r="S235" s="19"/>
      <c r="T235" s="19"/>
      <c r="U235" s="19"/>
      <c r="V235" s="19"/>
      <c r="W235" s="19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84" t="s">
        <v>21</v>
      </c>
      <c r="B236" s="84" t="s">
        <v>38</v>
      </c>
      <c r="C236" s="84" t="s">
        <v>39</v>
      </c>
      <c r="D236" s="84" t="s">
        <v>44</v>
      </c>
      <c r="E236" s="84" t="s">
        <v>25</v>
      </c>
      <c r="F236" s="84" t="s">
        <v>25</v>
      </c>
      <c r="G236" s="84" t="s">
        <v>25</v>
      </c>
      <c r="H236" s="84" t="s">
        <v>34</v>
      </c>
      <c r="I236" s="90">
        <v>44562</v>
      </c>
      <c r="J236" s="91">
        <f>EFEITO!$J$236*EFEITO!$Y$236</f>
        <v>0</v>
      </c>
      <c r="K236" s="91">
        <f ca="1">EFEITO!$L$236*EFEITO!$Z$236</f>
        <v>6220.4347062696379</v>
      </c>
      <c r="L236" s="91">
        <f>EFEITO!$N$236*EFEITO!$AA$236</f>
        <v>15278.501074964372</v>
      </c>
      <c r="M236" s="91">
        <f>$J$236-EFEITO!$K$236*EFEITO!$Y$236</f>
        <v>0</v>
      </c>
      <c r="N236" s="91">
        <f ca="1">$K$236-EFEITO!$M$236*EFEITO!$Z$236</f>
        <v>0</v>
      </c>
      <c r="O236" s="91">
        <f>$L$236-EFEITO!$O$236*EFEITO!$AA$236</f>
        <v>0</v>
      </c>
      <c r="P236" s="19"/>
      <c r="Q236" s="19"/>
      <c r="R236" s="19"/>
      <c r="S236" s="19"/>
      <c r="T236" s="19"/>
      <c r="U236" s="19"/>
      <c r="V236" s="19"/>
      <c r="W236" s="19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84" t="s">
        <v>21</v>
      </c>
      <c r="B237" s="84" t="s">
        <v>38</v>
      </c>
      <c r="C237" s="84" t="s">
        <v>39</v>
      </c>
      <c r="D237" s="84" t="s">
        <v>44</v>
      </c>
      <c r="E237" s="84" t="s">
        <v>25</v>
      </c>
      <c r="F237" s="84" t="s">
        <v>25</v>
      </c>
      <c r="G237" s="84" t="s">
        <v>25</v>
      </c>
      <c r="H237" s="84" t="s">
        <v>34</v>
      </c>
      <c r="I237" s="90">
        <v>44593</v>
      </c>
      <c r="J237" s="91">
        <f>EFEITO!$J$237*EFEITO!$Y$237</f>
        <v>0</v>
      </c>
      <c r="K237" s="91">
        <f ca="1">EFEITO!$L$237*EFEITO!$Z$237</f>
        <v>6534.8051914943053</v>
      </c>
      <c r="L237" s="91">
        <f>EFEITO!$N$237*EFEITO!$AA$237</f>
        <v>16050.651257909149</v>
      </c>
      <c r="M237" s="91">
        <f>$J$237-EFEITO!$K$237*EFEITO!$Y$237</f>
        <v>0</v>
      </c>
      <c r="N237" s="91">
        <f ca="1">$K$237-EFEITO!$M$237*EFEITO!$Z$237</f>
        <v>0</v>
      </c>
      <c r="O237" s="91">
        <f>$L$237-EFEITO!$O$237*EFEITO!$AA$237</f>
        <v>0</v>
      </c>
      <c r="P237" s="19"/>
      <c r="Q237" s="19"/>
      <c r="R237" s="19"/>
      <c r="S237" s="19"/>
      <c r="T237" s="19"/>
      <c r="U237" s="19"/>
      <c r="V237" s="19"/>
      <c r="W237" s="19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84" t="s">
        <v>21</v>
      </c>
      <c r="B238" s="84" t="s">
        <v>38</v>
      </c>
      <c r="C238" s="84" t="s">
        <v>39</v>
      </c>
      <c r="D238" s="84" t="s">
        <v>44</v>
      </c>
      <c r="E238" s="84" t="s">
        <v>25</v>
      </c>
      <c r="F238" s="84" t="s">
        <v>25</v>
      </c>
      <c r="G238" s="84" t="s">
        <v>25</v>
      </c>
      <c r="H238" s="84" t="s">
        <v>34</v>
      </c>
      <c r="I238" s="90">
        <v>44621</v>
      </c>
      <c r="J238" s="91">
        <f>EFEITO!$J$238*EFEITO!$Y$238</f>
        <v>0</v>
      </c>
      <c r="K238" s="91">
        <f ca="1">EFEITO!$L$238*EFEITO!$Z$238</f>
        <v>6845.3430587948687</v>
      </c>
      <c r="L238" s="91">
        <f>EFEITO!$N$238*EFEITO!$AA$238</f>
        <v>16813.387845206933</v>
      </c>
      <c r="M238" s="91">
        <f>$J$238-EFEITO!$K$238*EFEITO!$Y$238</f>
        <v>0</v>
      </c>
      <c r="N238" s="91">
        <f ca="1">$K$238-EFEITO!$M$238*EFEITO!$Z$238</f>
        <v>0</v>
      </c>
      <c r="O238" s="91">
        <f>$L$238-EFEITO!$O$238*EFEITO!$AA$238</f>
        <v>0</v>
      </c>
      <c r="P238" s="19"/>
      <c r="Q238" s="19"/>
      <c r="R238" s="19"/>
      <c r="S238" s="19"/>
      <c r="T238" s="19"/>
      <c r="U238" s="19"/>
      <c r="V238" s="19"/>
      <c r="W238" s="19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84" t="s">
        <v>21</v>
      </c>
      <c r="B239" s="84" t="s">
        <v>38</v>
      </c>
      <c r="C239" s="84" t="s">
        <v>39</v>
      </c>
      <c r="D239" s="84" t="s">
        <v>44</v>
      </c>
      <c r="E239" s="84" t="s">
        <v>25</v>
      </c>
      <c r="F239" s="84" t="s">
        <v>25</v>
      </c>
      <c r="G239" s="84" t="s">
        <v>25</v>
      </c>
      <c r="H239" s="84" t="s">
        <v>34</v>
      </c>
      <c r="I239" s="90">
        <v>44652</v>
      </c>
      <c r="J239" s="91">
        <f>EFEITO!$J$239*EFEITO!$Y$239</f>
        <v>0</v>
      </c>
      <c r="K239" s="91">
        <f ca="1">EFEITO!$L$239*EFEITO!$Z$239</f>
        <v>4468.4492377133874</v>
      </c>
      <c r="L239" s="91">
        <f>EFEITO!$N$239*EFEITO!$AA$239</f>
        <v>10975.311164831694</v>
      </c>
      <c r="M239" s="91">
        <f>$J$239-EFEITO!$K$239*EFEITO!$Y$239</f>
        <v>0</v>
      </c>
      <c r="N239" s="91">
        <f ca="1">$K$239-EFEITO!$M$239*EFEITO!$Z$239</f>
        <v>0</v>
      </c>
      <c r="O239" s="91">
        <f>$L$239-EFEITO!$O$239*EFEITO!$AA$239</f>
        <v>0</v>
      </c>
      <c r="P239" s="19"/>
      <c r="Q239" s="19"/>
      <c r="R239" s="19"/>
      <c r="S239" s="19"/>
      <c r="T239" s="19"/>
      <c r="U239" s="19"/>
      <c r="V239" s="19"/>
      <c r="W239" s="19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84" t="s">
        <v>21</v>
      </c>
      <c r="B240" s="84" t="s">
        <v>38</v>
      </c>
      <c r="C240" s="84" t="s">
        <v>39</v>
      </c>
      <c r="D240" s="84" t="s">
        <v>44</v>
      </c>
      <c r="E240" s="84" t="s">
        <v>25</v>
      </c>
      <c r="F240" s="84" t="s">
        <v>25</v>
      </c>
      <c r="G240" s="84" t="s">
        <v>25</v>
      </c>
      <c r="H240" s="84" t="s">
        <v>34</v>
      </c>
      <c r="I240" s="90">
        <v>44682</v>
      </c>
      <c r="J240" s="91">
        <f>EFEITO!$J$240*EFEITO!$Y$240</f>
        <v>0</v>
      </c>
      <c r="K240" s="91">
        <f ca="1">EFEITO!$L$240*EFEITO!$Z$240</f>
        <v>5934.9046709238555</v>
      </c>
      <c r="L240" s="91">
        <f>EFEITO!$N$240*EFEITO!$AA$240</f>
        <v>14577.188199263228</v>
      </c>
      <c r="M240" s="91">
        <f>$J$240-EFEITO!$K$240*EFEITO!$Y$240</f>
        <v>0</v>
      </c>
      <c r="N240" s="91">
        <f ca="1">$K$240-EFEITO!$M$240*EFEITO!$Z$240</f>
        <v>0</v>
      </c>
      <c r="O240" s="91">
        <f>$L$240-EFEITO!$O$240*EFEITO!$AA$240</f>
        <v>0</v>
      </c>
      <c r="P240" s="19"/>
      <c r="Q240" s="19"/>
      <c r="R240" s="19"/>
      <c r="S240" s="19"/>
      <c r="T240" s="19"/>
      <c r="U240" s="19"/>
      <c r="V240" s="19"/>
      <c r="W240" s="19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84" t="s">
        <v>55</v>
      </c>
      <c r="B241" s="84" t="s">
        <v>38</v>
      </c>
      <c r="C241" s="84" t="s">
        <v>39</v>
      </c>
      <c r="D241" s="84" t="s">
        <v>44</v>
      </c>
      <c r="E241" s="84" t="s">
        <v>25</v>
      </c>
      <c r="F241" s="84" t="s">
        <v>25</v>
      </c>
      <c r="G241" s="84" t="s">
        <v>25</v>
      </c>
      <c r="H241" s="84" t="s">
        <v>34</v>
      </c>
      <c r="I241" s="90">
        <v>44713</v>
      </c>
      <c r="J241" s="91">
        <f>EFEITO!$J$241*EFEITO!$Y$241</f>
        <v>0</v>
      </c>
      <c r="K241" s="91">
        <f ca="1">EFEITO!$L$241*EFEITO!$Z$241</f>
        <v>5934.9046709238555</v>
      </c>
      <c r="L241" s="91">
        <f>EFEITO!$N$241*EFEITO!$AA$241</f>
        <v>14577.188199263228</v>
      </c>
      <c r="M241" s="91">
        <f>$J$241-EFEITO!$K$241*EFEITO!$Y$241</f>
        <v>0</v>
      </c>
      <c r="N241" s="91">
        <f ca="1">$K$241-EFEITO!$M$241*EFEITO!$Z$241</f>
        <v>0</v>
      </c>
      <c r="O241" s="91">
        <f>$L$241-EFEITO!$O$241*EFEITO!$AA$241</f>
        <v>0</v>
      </c>
      <c r="P241" s="19"/>
      <c r="Q241" s="19"/>
      <c r="R241" s="19"/>
      <c r="S241" s="19"/>
      <c r="T241" s="19"/>
      <c r="U241" s="19"/>
      <c r="V241" s="19"/>
      <c r="W241" s="19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84" t="s">
        <v>21</v>
      </c>
      <c r="B242" s="84" t="s">
        <v>38</v>
      </c>
      <c r="C242" s="84" t="s">
        <v>39</v>
      </c>
      <c r="D242" s="84" t="s">
        <v>44</v>
      </c>
      <c r="E242" s="84" t="s">
        <v>25</v>
      </c>
      <c r="F242" s="84" t="s">
        <v>25</v>
      </c>
      <c r="G242" s="84" t="s">
        <v>25</v>
      </c>
      <c r="H242" s="84" t="s">
        <v>25</v>
      </c>
      <c r="I242" s="90">
        <v>44378</v>
      </c>
      <c r="J242" s="91">
        <f ca="1">EFEITO!$J$242*EFEITO!$Y$242</f>
        <v>10252.693159905564</v>
      </c>
      <c r="K242" s="91">
        <f>EFEITO!$L$242*EFEITO!$Z$242</f>
        <v>0</v>
      </c>
      <c r="L242" s="91">
        <f>EFEITO!$N$242*EFEITO!$AA$242</f>
        <v>0</v>
      </c>
      <c r="M242" s="91">
        <f ca="1">$J$242-EFEITO!$K$242*EFEITO!$Y$242</f>
        <v>0</v>
      </c>
      <c r="N242" s="91">
        <f>$K$242-EFEITO!$M$242*EFEITO!$Z$242</f>
        <v>0</v>
      </c>
      <c r="O242" s="91">
        <f>$L$242-EFEITO!$O$242*EFEITO!$AA$242</f>
        <v>0</v>
      </c>
      <c r="P242" s="19"/>
      <c r="Q242" s="19"/>
      <c r="R242" s="19"/>
      <c r="S242" s="19"/>
      <c r="T242" s="19"/>
      <c r="U242" s="19"/>
      <c r="V242" s="19"/>
      <c r="W242" s="19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84" t="s">
        <v>21</v>
      </c>
      <c r="B243" s="84" t="s">
        <v>38</v>
      </c>
      <c r="C243" s="84" t="s">
        <v>39</v>
      </c>
      <c r="D243" s="84" t="s">
        <v>44</v>
      </c>
      <c r="E243" s="84" t="s">
        <v>25</v>
      </c>
      <c r="F243" s="84" t="s">
        <v>25</v>
      </c>
      <c r="G243" s="84" t="s">
        <v>25</v>
      </c>
      <c r="H243" s="84" t="s">
        <v>25</v>
      </c>
      <c r="I243" s="90">
        <v>44409</v>
      </c>
      <c r="J243" s="91">
        <f ca="1">EFEITO!$J$243*EFEITO!$Y$243</f>
        <v>10252.693159905564</v>
      </c>
      <c r="K243" s="91">
        <f>EFEITO!$L$243*EFEITO!$Z$243</f>
        <v>0</v>
      </c>
      <c r="L243" s="91">
        <f>EFEITO!$N$243*EFEITO!$AA$243</f>
        <v>0</v>
      </c>
      <c r="M243" s="91">
        <f ca="1">$J$243-EFEITO!$K$243*EFEITO!$Y$243</f>
        <v>0</v>
      </c>
      <c r="N243" s="91">
        <f>$K$243-EFEITO!$M$243*EFEITO!$Z$243</f>
        <v>0</v>
      </c>
      <c r="O243" s="91">
        <f>$L$243-EFEITO!$O$243*EFEITO!$AA$243</f>
        <v>0</v>
      </c>
      <c r="P243" s="19"/>
      <c r="Q243" s="19"/>
      <c r="R243" s="19"/>
      <c r="S243" s="19"/>
      <c r="T243" s="19"/>
      <c r="U243" s="19"/>
      <c r="V243" s="19"/>
      <c r="W243" s="19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84" t="s">
        <v>21</v>
      </c>
      <c r="B244" s="84" t="s">
        <v>38</v>
      </c>
      <c r="C244" s="84" t="s">
        <v>39</v>
      </c>
      <c r="D244" s="84" t="s">
        <v>44</v>
      </c>
      <c r="E244" s="84" t="s">
        <v>25</v>
      </c>
      <c r="F244" s="84" t="s">
        <v>25</v>
      </c>
      <c r="G244" s="84" t="s">
        <v>25</v>
      </c>
      <c r="H244" s="84" t="s">
        <v>25</v>
      </c>
      <c r="I244" s="90">
        <v>44440</v>
      </c>
      <c r="J244" s="91">
        <f ca="1">EFEITO!$J$244*EFEITO!$Y$244</f>
        <v>10252.693159905564</v>
      </c>
      <c r="K244" s="91">
        <f>EFEITO!$L$244*EFEITO!$Z$244</f>
        <v>0</v>
      </c>
      <c r="L244" s="91">
        <f>EFEITO!$N$244*EFEITO!$AA$244</f>
        <v>0</v>
      </c>
      <c r="M244" s="91">
        <f ca="1">$J$244-EFEITO!$K$244*EFEITO!$Y$244</f>
        <v>0</v>
      </c>
      <c r="N244" s="91">
        <f>$K$244-EFEITO!$M$244*EFEITO!$Z$244</f>
        <v>0</v>
      </c>
      <c r="O244" s="91">
        <f>$L$244-EFEITO!$O$244*EFEITO!$AA$244</f>
        <v>0</v>
      </c>
      <c r="P244" s="19"/>
      <c r="Q244" s="19"/>
      <c r="R244" s="19"/>
      <c r="S244" s="19"/>
      <c r="T244" s="19"/>
      <c r="U244" s="19"/>
      <c r="V244" s="19"/>
      <c r="W244" s="19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84" t="s">
        <v>21</v>
      </c>
      <c r="B245" s="84" t="s">
        <v>38</v>
      </c>
      <c r="C245" s="84" t="s">
        <v>39</v>
      </c>
      <c r="D245" s="84" t="s">
        <v>44</v>
      </c>
      <c r="E245" s="84" t="s">
        <v>25</v>
      </c>
      <c r="F245" s="84" t="s">
        <v>25</v>
      </c>
      <c r="G245" s="84" t="s">
        <v>25</v>
      </c>
      <c r="H245" s="84" t="s">
        <v>25</v>
      </c>
      <c r="I245" s="90">
        <v>44470</v>
      </c>
      <c r="J245" s="91">
        <f ca="1">EFEITO!$J$245*EFEITO!$Y$245</f>
        <v>10252.693159905564</v>
      </c>
      <c r="K245" s="91">
        <f>EFEITO!$L$245*EFEITO!$Z$245</f>
        <v>0</v>
      </c>
      <c r="L245" s="91">
        <f>EFEITO!$N$245*EFEITO!$AA$245</f>
        <v>0</v>
      </c>
      <c r="M245" s="91">
        <f ca="1">$J$245-EFEITO!$K$245*EFEITO!$Y$245</f>
        <v>0</v>
      </c>
      <c r="N245" s="91">
        <f>$K$245-EFEITO!$M$245*EFEITO!$Z$245</f>
        <v>0</v>
      </c>
      <c r="O245" s="91">
        <f>$L$245-EFEITO!$O$245*EFEITO!$AA$245</f>
        <v>0</v>
      </c>
      <c r="P245" s="19"/>
      <c r="Q245" s="19"/>
      <c r="R245" s="19"/>
      <c r="S245" s="19"/>
      <c r="T245" s="19"/>
      <c r="U245" s="19"/>
      <c r="V245" s="19"/>
      <c r="W245" s="19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84" t="s">
        <v>21</v>
      </c>
      <c r="B246" s="84" t="s">
        <v>38</v>
      </c>
      <c r="C246" s="84" t="s">
        <v>39</v>
      </c>
      <c r="D246" s="84" t="s">
        <v>44</v>
      </c>
      <c r="E246" s="84" t="s">
        <v>25</v>
      </c>
      <c r="F246" s="84" t="s">
        <v>25</v>
      </c>
      <c r="G246" s="84" t="s">
        <v>25</v>
      </c>
      <c r="H246" s="84" t="s">
        <v>25</v>
      </c>
      <c r="I246" s="90">
        <v>44501</v>
      </c>
      <c r="J246" s="91">
        <f ca="1">EFEITO!$J$246*EFEITO!$Y$246</f>
        <v>10252.693159905564</v>
      </c>
      <c r="K246" s="91">
        <f>EFEITO!$L$246*EFEITO!$Z$246</f>
        <v>0</v>
      </c>
      <c r="L246" s="91">
        <f>EFEITO!$N$246*EFEITO!$AA$246</f>
        <v>0</v>
      </c>
      <c r="M246" s="91">
        <f ca="1">$J$246-EFEITO!$K$246*EFEITO!$Y$246</f>
        <v>0</v>
      </c>
      <c r="N246" s="91">
        <f>$K$246-EFEITO!$M$246*EFEITO!$Z$246</f>
        <v>0</v>
      </c>
      <c r="O246" s="91">
        <f>$L$246-EFEITO!$O$246*EFEITO!$AA$246</f>
        <v>0</v>
      </c>
      <c r="P246" s="19"/>
      <c r="Q246" s="19"/>
      <c r="R246" s="19"/>
      <c r="S246" s="19"/>
      <c r="T246" s="19"/>
      <c r="U246" s="19"/>
      <c r="V246" s="19"/>
      <c r="W246" s="19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84" t="s">
        <v>21</v>
      </c>
      <c r="B247" s="84" t="s">
        <v>38</v>
      </c>
      <c r="C247" s="84" t="s">
        <v>39</v>
      </c>
      <c r="D247" s="84" t="s">
        <v>44</v>
      </c>
      <c r="E247" s="84" t="s">
        <v>25</v>
      </c>
      <c r="F247" s="84" t="s">
        <v>25</v>
      </c>
      <c r="G247" s="84" t="s">
        <v>25</v>
      </c>
      <c r="H247" s="84" t="s">
        <v>25</v>
      </c>
      <c r="I247" s="90">
        <v>44531</v>
      </c>
      <c r="J247" s="91">
        <f ca="1">EFEITO!$J$247*EFEITO!$Y$247</f>
        <v>12895.139850602875</v>
      </c>
      <c r="K247" s="91">
        <f>EFEITO!$L$247*EFEITO!$Z$247</f>
        <v>0</v>
      </c>
      <c r="L247" s="91">
        <f>EFEITO!$N$247*EFEITO!$AA$247</f>
        <v>0</v>
      </c>
      <c r="M247" s="91">
        <f ca="1">$J$247-EFEITO!$K$247*EFEITO!$Y$247</f>
        <v>0</v>
      </c>
      <c r="N247" s="91">
        <f>$K$247-EFEITO!$M$247*EFEITO!$Z$247</f>
        <v>0</v>
      </c>
      <c r="O247" s="91">
        <f>$L$247-EFEITO!$O$247*EFEITO!$AA$247</f>
        <v>0</v>
      </c>
      <c r="P247" s="19"/>
      <c r="Q247" s="19"/>
      <c r="R247" s="19"/>
      <c r="S247" s="19"/>
      <c r="T247" s="19"/>
      <c r="U247" s="19"/>
      <c r="V247" s="19"/>
      <c r="W247" s="19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84" t="s">
        <v>21</v>
      </c>
      <c r="B248" s="84" t="s">
        <v>38</v>
      </c>
      <c r="C248" s="84" t="s">
        <v>39</v>
      </c>
      <c r="D248" s="84" t="s">
        <v>44</v>
      </c>
      <c r="E248" s="84" t="s">
        <v>25</v>
      </c>
      <c r="F248" s="84" t="s">
        <v>25</v>
      </c>
      <c r="G248" s="84" t="s">
        <v>25</v>
      </c>
      <c r="H248" s="84" t="s">
        <v>25</v>
      </c>
      <c r="I248" s="90">
        <v>44562</v>
      </c>
      <c r="J248" s="91">
        <f ca="1">EFEITO!$J$248*EFEITO!$Y$248</f>
        <v>12916.279424128454</v>
      </c>
      <c r="K248" s="91">
        <f>EFEITO!$L$248*EFEITO!$Z$248</f>
        <v>0</v>
      </c>
      <c r="L248" s="91">
        <f>EFEITO!$N$248*EFEITO!$AA$248</f>
        <v>0</v>
      </c>
      <c r="M248" s="91">
        <f ca="1">$J$248-EFEITO!$K$248*EFEITO!$Y$248</f>
        <v>0</v>
      </c>
      <c r="N248" s="91">
        <f>$K$248-EFEITO!$M$248*EFEITO!$Z$248</f>
        <v>0</v>
      </c>
      <c r="O248" s="91">
        <f>$L$248-EFEITO!$O$248*EFEITO!$AA$248</f>
        <v>0</v>
      </c>
      <c r="P248" s="19"/>
      <c r="Q248" s="19"/>
      <c r="R248" s="19"/>
      <c r="S248" s="19"/>
      <c r="T248" s="19"/>
      <c r="U248" s="19"/>
      <c r="V248" s="19"/>
      <c r="W248" s="19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84" t="s">
        <v>21</v>
      </c>
      <c r="B249" s="84" t="s">
        <v>38</v>
      </c>
      <c r="C249" s="84" t="s">
        <v>39</v>
      </c>
      <c r="D249" s="84" t="s">
        <v>44</v>
      </c>
      <c r="E249" s="84" t="s">
        <v>25</v>
      </c>
      <c r="F249" s="84" t="s">
        <v>25</v>
      </c>
      <c r="G249" s="84" t="s">
        <v>25</v>
      </c>
      <c r="H249" s="84" t="s">
        <v>25</v>
      </c>
      <c r="I249" s="90">
        <v>44593</v>
      </c>
      <c r="J249" s="91">
        <f ca="1">EFEITO!$J$249*EFEITO!$Y$249</f>
        <v>13677.304071049279</v>
      </c>
      <c r="K249" s="91">
        <f>EFEITO!$L$249*EFEITO!$Z$249</f>
        <v>0</v>
      </c>
      <c r="L249" s="91">
        <f>EFEITO!$N$249*EFEITO!$AA$249</f>
        <v>0</v>
      </c>
      <c r="M249" s="91">
        <f ca="1">$J$249-EFEITO!$K$249*EFEITO!$Y$249</f>
        <v>0</v>
      </c>
      <c r="N249" s="91">
        <f>$K$249-EFEITO!$M$249*EFEITO!$Z$249</f>
        <v>0</v>
      </c>
      <c r="O249" s="91">
        <f>$L$249-EFEITO!$O$249*EFEITO!$AA$249</f>
        <v>0</v>
      </c>
      <c r="P249" s="19"/>
      <c r="Q249" s="19"/>
      <c r="R249" s="19"/>
      <c r="S249" s="19"/>
      <c r="T249" s="19"/>
      <c r="U249" s="19"/>
      <c r="V249" s="19"/>
      <c r="W249" s="19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84" t="s">
        <v>21</v>
      </c>
      <c r="B250" s="84" t="s">
        <v>38</v>
      </c>
      <c r="C250" s="84" t="s">
        <v>39</v>
      </c>
      <c r="D250" s="84" t="s">
        <v>44</v>
      </c>
      <c r="E250" s="84" t="s">
        <v>25</v>
      </c>
      <c r="F250" s="84" t="s">
        <v>25</v>
      </c>
      <c r="G250" s="84" t="s">
        <v>25</v>
      </c>
      <c r="H250" s="84" t="s">
        <v>25</v>
      </c>
      <c r="I250" s="90">
        <v>44621</v>
      </c>
      <c r="J250" s="91">
        <f ca="1">EFEITO!$J$250*EFEITO!$Y$250</f>
        <v>14374.90999739337</v>
      </c>
      <c r="K250" s="91">
        <f>EFEITO!$L$250*EFEITO!$Z$250</f>
        <v>0</v>
      </c>
      <c r="L250" s="91">
        <f>EFEITO!$N$250*EFEITO!$AA$250</f>
        <v>0</v>
      </c>
      <c r="M250" s="91">
        <f ca="1">$J$250-EFEITO!$K$250*EFEITO!$Y$250</f>
        <v>0</v>
      </c>
      <c r="N250" s="91">
        <f>$K$250-EFEITO!$M$250*EFEITO!$Z$250</f>
        <v>0</v>
      </c>
      <c r="O250" s="91">
        <f>$L$250-EFEITO!$O$250*EFEITO!$AA$250</f>
        <v>0</v>
      </c>
      <c r="P250" s="19"/>
      <c r="Q250" s="19"/>
      <c r="R250" s="19"/>
      <c r="S250" s="19"/>
      <c r="T250" s="19"/>
      <c r="U250" s="19"/>
      <c r="V250" s="19"/>
      <c r="W250" s="19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84" t="s">
        <v>21</v>
      </c>
      <c r="B251" s="84" t="s">
        <v>38</v>
      </c>
      <c r="C251" s="84" t="s">
        <v>39</v>
      </c>
      <c r="D251" s="84" t="s">
        <v>44</v>
      </c>
      <c r="E251" s="84" t="s">
        <v>25</v>
      </c>
      <c r="F251" s="84" t="s">
        <v>25</v>
      </c>
      <c r="G251" s="84" t="s">
        <v>25</v>
      </c>
      <c r="H251" s="84" t="s">
        <v>25</v>
      </c>
      <c r="I251" s="90">
        <v>44652</v>
      </c>
      <c r="J251" s="91">
        <f ca="1">EFEITO!$J$251*EFEITO!$Y$251</f>
        <v>12789.441982974982</v>
      </c>
      <c r="K251" s="91">
        <f>EFEITO!$L$251*EFEITO!$Z$251</f>
        <v>0</v>
      </c>
      <c r="L251" s="91">
        <f>EFEITO!$N$251*EFEITO!$AA$251</f>
        <v>0</v>
      </c>
      <c r="M251" s="91">
        <f ca="1">$J$251-EFEITO!$K$251*EFEITO!$Y$251</f>
        <v>0</v>
      </c>
      <c r="N251" s="91">
        <f>$K$251-EFEITO!$M$251*EFEITO!$Z$251</f>
        <v>0</v>
      </c>
      <c r="O251" s="91">
        <f>$L$251-EFEITO!$O$251*EFEITO!$AA$251</f>
        <v>0</v>
      </c>
      <c r="P251" s="19"/>
      <c r="Q251" s="19"/>
      <c r="R251" s="19"/>
      <c r="S251" s="19"/>
      <c r="T251" s="19"/>
      <c r="U251" s="19"/>
      <c r="V251" s="19"/>
      <c r="W251" s="19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84" t="s">
        <v>21</v>
      </c>
      <c r="B252" s="84" t="s">
        <v>38</v>
      </c>
      <c r="C252" s="84" t="s">
        <v>39</v>
      </c>
      <c r="D252" s="84" t="s">
        <v>44</v>
      </c>
      <c r="E252" s="84" t="s">
        <v>25</v>
      </c>
      <c r="F252" s="84" t="s">
        <v>25</v>
      </c>
      <c r="G252" s="84" t="s">
        <v>25</v>
      </c>
      <c r="H252" s="84" t="s">
        <v>25</v>
      </c>
      <c r="I252" s="90">
        <v>44682</v>
      </c>
      <c r="J252" s="91">
        <f ca="1">EFEITO!$J$252*EFEITO!$Y$252</f>
        <v>12789.441982974982</v>
      </c>
      <c r="K252" s="91">
        <f>EFEITO!$L$252*EFEITO!$Z$252</f>
        <v>0</v>
      </c>
      <c r="L252" s="91">
        <f>EFEITO!$N$252*EFEITO!$AA$252</f>
        <v>0</v>
      </c>
      <c r="M252" s="91">
        <f ca="1">$J$252-EFEITO!$K$252*EFEITO!$Y$252</f>
        <v>0</v>
      </c>
      <c r="N252" s="91">
        <f>$K$252-EFEITO!$M$252*EFEITO!$Z$252</f>
        <v>0</v>
      </c>
      <c r="O252" s="91">
        <f>$L$252-EFEITO!$O$252*EFEITO!$AA$252</f>
        <v>0</v>
      </c>
      <c r="P252" s="19"/>
      <c r="Q252" s="19"/>
      <c r="R252" s="19"/>
      <c r="S252" s="19"/>
      <c r="T252" s="19"/>
      <c r="U252" s="19"/>
      <c r="V252" s="19"/>
      <c r="W252" s="19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84" t="s">
        <v>55</v>
      </c>
      <c r="B253" s="84" t="s">
        <v>38</v>
      </c>
      <c r="C253" s="84" t="s">
        <v>39</v>
      </c>
      <c r="D253" s="84" t="s">
        <v>44</v>
      </c>
      <c r="E253" s="84" t="s">
        <v>25</v>
      </c>
      <c r="F253" s="84" t="s">
        <v>25</v>
      </c>
      <c r="G253" s="84" t="s">
        <v>25</v>
      </c>
      <c r="H253" s="84" t="s">
        <v>25</v>
      </c>
      <c r="I253" s="90">
        <v>44713</v>
      </c>
      <c r="J253" s="91">
        <f ca="1">EFEITO!$J$253*EFEITO!$Y$253</f>
        <v>12789.441982974982</v>
      </c>
      <c r="K253" s="91">
        <f>EFEITO!$L$253*EFEITO!$Z$253</f>
        <v>0</v>
      </c>
      <c r="L253" s="91">
        <f>EFEITO!$N$253*EFEITO!$AA$253</f>
        <v>0</v>
      </c>
      <c r="M253" s="91">
        <f ca="1">$J$253-EFEITO!$K$253*EFEITO!$Y$253</f>
        <v>0</v>
      </c>
      <c r="N253" s="91">
        <f>$K$253-EFEITO!$M$253*EFEITO!$Z$253</f>
        <v>0</v>
      </c>
      <c r="O253" s="91">
        <f>$L$253-EFEITO!$O$253*EFEITO!$AA$253</f>
        <v>0</v>
      </c>
      <c r="P253" s="19"/>
      <c r="Q253" s="19"/>
      <c r="R253" s="19"/>
      <c r="S253" s="19"/>
      <c r="T253" s="19"/>
      <c r="U253" s="19"/>
      <c r="V253" s="19"/>
      <c r="W253" s="19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84" t="s">
        <v>21</v>
      </c>
      <c r="B254" s="84" t="s">
        <v>38</v>
      </c>
      <c r="C254" s="84" t="s">
        <v>39</v>
      </c>
      <c r="D254" s="84" t="s">
        <v>44</v>
      </c>
      <c r="E254" s="84" t="s">
        <v>25</v>
      </c>
      <c r="F254" s="84" t="s">
        <v>25</v>
      </c>
      <c r="G254" s="84" t="s">
        <v>25</v>
      </c>
      <c r="H254" s="84" t="s">
        <v>33</v>
      </c>
      <c r="I254" s="90">
        <v>44378</v>
      </c>
      <c r="J254" s="91">
        <f>EFEITO!$J$254*EFEITO!$Y$254</f>
        <v>0</v>
      </c>
      <c r="K254" s="91">
        <f ca="1">EFEITO!$L$254*EFEITO!$Z$254</f>
        <v>1547.2827494954754</v>
      </c>
      <c r="L254" s="91">
        <f>EFEITO!$N$254*EFEITO!$AA$254</f>
        <v>984.29515185974117</v>
      </c>
      <c r="M254" s="91">
        <f>$J$254-EFEITO!$K$254*EFEITO!$Y$254</f>
        <v>0</v>
      </c>
      <c r="N254" s="91">
        <f ca="1">$K$254-EFEITO!$M$254*EFEITO!$Z$254</f>
        <v>0</v>
      </c>
      <c r="O254" s="91">
        <f>$L$254-EFEITO!$O$254*EFEITO!$AA$254</f>
        <v>0</v>
      </c>
      <c r="P254" s="19"/>
      <c r="Q254" s="19"/>
      <c r="R254" s="19"/>
      <c r="S254" s="19"/>
      <c r="T254" s="19"/>
      <c r="U254" s="19"/>
      <c r="V254" s="19"/>
      <c r="W254" s="19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84" t="s">
        <v>21</v>
      </c>
      <c r="B255" s="84" t="s">
        <v>38</v>
      </c>
      <c r="C255" s="84" t="s">
        <v>39</v>
      </c>
      <c r="D255" s="84" t="s">
        <v>44</v>
      </c>
      <c r="E255" s="84" t="s">
        <v>25</v>
      </c>
      <c r="F255" s="84" t="s">
        <v>25</v>
      </c>
      <c r="G255" s="84" t="s">
        <v>25</v>
      </c>
      <c r="H255" s="84" t="s">
        <v>33</v>
      </c>
      <c r="I255" s="90">
        <v>44409</v>
      </c>
      <c r="J255" s="91">
        <f>EFEITO!$J$255*EFEITO!$Y$255</f>
        <v>0</v>
      </c>
      <c r="K255" s="91">
        <f ca="1">EFEITO!$L$255*EFEITO!$Z$255</f>
        <v>1539.7747054219024</v>
      </c>
      <c r="L255" s="91">
        <f>EFEITO!$N$255*EFEITO!$AA$255</f>
        <v>979.51895217421065</v>
      </c>
      <c r="M255" s="91">
        <f>$J$255-EFEITO!$K$255*EFEITO!$Y$255</f>
        <v>0</v>
      </c>
      <c r="N255" s="91">
        <f ca="1">$K$255-EFEITO!$M$255*EFEITO!$Z$255</f>
        <v>0</v>
      </c>
      <c r="O255" s="91">
        <f>$L$255-EFEITO!$O$255*EFEITO!$AA$255</f>
        <v>0</v>
      </c>
      <c r="P255" s="19"/>
      <c r="Q255" s="19"/>
      <c r="R255" s="19"/>
      <c r="S255" s="19"/>
      <c r="T255" s="19"/>
      <c r="U255" s="19"/>
      <c r="V255" s="19"/>
      <c r="W255" s="19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84" t="s">
        <v>21</v>
      </c>
      <c r="B256" s="84" t="s">
        <v>38</v>
      </c>
      <c r="C256" s="84" t="s">
        <v>39</v>
      </c>
      <c r="D256" s="84" t="s">
        <v>44</v>
      </c>
      <c r="E256" s="84" t="s">
        <v>25</v>
      </c>
      <c r="F256" s="84" t="s">
        <v>25</v>
      </c>
      <c r="G256" s="84" t="s">
        <v>25</v>
      </c>
      <c r="H256" s="84" t="s">
        <v>33</v>
      </c>
      <c r="I256" s="90">
        <v>44440</v>
      </c>
      <c r="J256" s="91">
        <f>EFEITO!$J$256*EFEITO!$Y$256</f>
        <v>0</v>
      </c>
      <c r="K256" s="91">
        <f ca="1">EFEITO!$L$256*EFEITO!$Z$256</f>
        <v>1525.3842876142212</v>
      </c>
      <c r="L256" s="91">
        <f>EFEITO!$N$256*EFEITO!$AA$256</f>
        <v>970.36456944361066</v>
      </c>
      <c r="M256" s="91">
        <f>$J$256-EFEITO!$K$256*EFEITO!$Y$256</f>
        <v>0</v>
      </c>
      <c r="N256" s="91">
        <f ca="1">$K$256-EFEITO!$M$256*EFEITO!$Z$256</f>
        <v>0</v>
      </c>
      <c r="O256" s="91">
        <f>$L$256-EFEITO!$O$256*EFEITO!$AA$256</f>
        <v>0</v>
      </c>
      <c r="P256" s="19"/>
      <c r="Q256" s="19"/>
      <c r="R256" s="19"/>
      <c r="S256" s="19"/>
      <c r="T256" s="19"/>
      <c r="U256" s="19"/>
      <c r="V256" s="19"/>
      <c r="W256" s="19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84" t="s">
        <v>21</v>
      </c>
      <c r="B257" s="84" t="s">
        <v>38</v>
      </c>
      <c r="C257" s="84" t="s">
        <v>39</v>
      </c>
      <c r="D257" s="84" t="s">
        <v>44</v>
      </c>
      <c r="E257" s="84" t="s">
        <v>25</v>
      </c>
      <c r="F257" s="84" t="s">
        <v>25</v>
      </c>
      <c r="G257" s="84" t="s">
        <v>25</v>
      </c>
      <c r="H257" s="84" t="s">
        <v>33</v>
      </c>
      <c r="I257" s="90">
        <v>44470</v>
      </c>
      <c r="J257" s="91">
        <f>EFEITO!$J$257*EFEITO!$Y$257</f>
        <v>0</v>
      </c>
      <c r="K257" s="91">
        <f ca="1">EFEITO!$L$257*EFEITO!$Z$257</f>
        <v>1497.2291223383229</v>
      </c>
      <c r="L257" s="91">
        <f>EFEITO!$N$257*EFEITO!$AA$257</f>
        <v>952.45382062287126</v>
      </c>
      <c r="M257" s="91">
        <f>$J$257-EFEITO!$K$257*EFEITO!$Y$257</f>
        <v>0</v>
      </c>
      <c r="N257" s="91">
        <f ca="1">$K$257-EFEITO!$M$257*EFEITO!$Z$257</f>
        <v>0</v>
      </c>
      <c r="O257" s="91">
        <f>$L$257-EFEITO!$O$257*EFEITO!$AA$257</f>
        <v>0</v>
      </c>
      <c r="P257" s="19"/>
      <c r="Q257" s="19"/>
      <c r="R257" s="19"/>
      <c r="S257" s="19"/>
      <c r="T257" s="19"/>
      <c r="U257" s="19"/>
      <c r="V257" s="19"/>
      <c r="W257" s="19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84" t="s">
        <v>21</v>
      </c>
      <c r="B258" s="84" t="s">
        <v>38</v>
      </c>
      <c r="C258" s="84" t="s">
        <v>39</v>
      </c>
      <c r="D258" s="84" t="s">
        <v>44</v>
      </c>
      <c r="E258" s="84" t="s">
        <v>25</v>
      </c>
      <c r="F258" s="84" t="s">
        <v>25</v>
      </c>
      <c r="G258" s="84" t="s">
        <v>25</v>
      </c>
      <c r="H258" s="84" t="s">
        <v>33</v>
      </c>
      <c r="I258" s="90">
        <v>44501</v>
      </c>
      <c r="J258" s="91">
        <f>EFEITO!$J$258*EFEITO!$Y$258</f>
        <v>0</v>
      </c>
      <c r="K258" s="91">
        <f ca="1">EFEITO!$L$258*EFEITO!$Z$258</f>
        <v>2181.0868033729184</v>
      </c>
      <c r="L258" s="91">
        <f>EFEITO!$N$258*EFEITO!$AA$258</f>
        <v>1387.4860086466067</v>
      </c>
      <c r="M258" s="91">
        <f>$J$258-EFEITO!$K$258*EFEITO!$Y$258</f>
        <v>0</v>
      </c>
      <c r="N258" s="91">
        <f ca="1">$K$258-EFEITO!$M$258*EFEITO!$Z$258</f>
        <v>0</v>
      </c>
      <c r="O258" s="91">
        <f>$L$258-EFEITO!$O$258*EFEITO!$AA$258</f>
        <v>0</v>
      </c>
      <c r="P258" s="19"/>
      <c r="Q258" s="19"/>
      <c r="R258" s="19"/>
      <c r="S258" s="19"/>
      <c r="T258" s="19"/>
      <c r="U258" s="19"/>
      <c r="V258" s="19"/>
      <c r="W258" s="19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84" t="s">
        <v>21</v>
      </c>
      <c r="B259" s="84" t="s">
        <v>38</v>
      </c>
      <c r="C259" s="84" t="s">
        <v>39</v>
      </c>
      <c r="D259" s="84" t="s">
        <v>44</v>
      </c>
      <c r="E259" s="84" t="s">
        <v>25</v>
      </c>
      <c r="F259" s="84" t="s">
        <v>25</v>
      </c>
      <c r="G259" s="84" t="s">
        <v>25</v>
      </c>
      <c r="H259" s="84" t="s">
        <v>33</v>
      </c>
      <c r="I259" s="90">
        <v>44531</v>
      </c>
      <c r="J259" s="91">
        <f>EFEITO!$J$259*EFEITO!$Y$259</f>
        <v>0</v>
      </c>
      <c r="K259" s="91">
        <f ca="1">EFEITO!$L$259*EFEITO!$Z$259</f>
        <v>2925.6345073355615</v>
      </c>
      <c r="L259" s="91">
        <f>EFEITO!$N$259*EFEITO!$AA$259</f>
        <v>1861.1258107950466</v>
      </c>
      <c r="M259" s="91">
        <f>$J$259-EFEITO!$K$259*EFEITO!$Y$259</f>
        <v>0</v>
      </c>
      <c r="N259" s="91">
        <f ca="1">$K$259-EFEITO!$M$259*EFEITO!$Z$259</f>
        <v>0</v>
      </c>
      <c r="O259" s="91">
        <f>$L$259-EFEITO!$O$259*EFEITO!$AA$259</f>
        <v>0</v>
      </c>
      <c r="P259" s="19"/>
      <c r="Q259" s="19"/>
      <c r="R259" s="19"/>
      <c r="S259" s="19"/>
      <c r="T259" s="19"/>
      <c r="U259" s="19"/>
      <c r="V259" s="19"/>
      <c r="W259" s="19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84" t="s">
        <v>21</v>
      </c>
      <c r="B260" s="84" t="s">
        <v>38</v>
      </c>
      <c r="C260" s="84" t="s">
        <v>39</v>
      </c>
      <c r="D260" s="84" t="s">
        <v>44</v>
      </c>
      <c r="E260" s="84" t="s">
        <v>25</v>
      </c>
      <c r="F260" s="84" t="s">
        <v>25</v>
      </c>
      <c r="G260" s="84" t="s">
        <v>25</v>
      </c>
      <c r="H260" s="84" t="s">
        <v>33</v>
      </c>
      <c r="I260" s="90">
        <v>44562</v>
      </c>
      <c r="J260" s="91">
        <f>EFEITO!$J$260*EFEITO!$Y$260</f>
        <v>0</v>
      </c>
      <c r="K260" s="91">
        <f ca="1">EFEITO!$L$260*EFEITO!$Z$260</f>
        <v>2554.6119960331689</v>
      </c>
      <c r="L260" s="91">
        <f>EFEITO!$N$260*EFEITO!$AA$260</f>
        <v>1625.1019430017484</v>
      </c>
      <c r="M260" s="91">
        <f>$J$260-EFEITO!$K$260*EFEITO!$Y$260</f>
        <v>0</v>
      </c>
      <c r="N260" s="91">
        <f ca="1">$K$260-EFEITO!$M$260*EFEITO!$Z$260</f>
        <v>0</v>
      </c>
      <c r="O260" s="91">
        <f>$L$260-EFEITO!$O$260*EFEITO!$AA$260</f>
        <v>0</v>
      </c>
      <c r="P260" s="19"/>
      <c r="Q260" s="19"/>
      <c r="R260" s="19"/>
      <c r="S260" s="19"/>
      <c r="T260" s="19"/>
      <c r="U260" s="19"/>
      <c r="V260" s="19"/>
      <c r="W260" s="19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84" t="s">
        <v>21</v>
      </c>
      <c r="B261" s="84" t="s">
        <v>38</v>
      </c>
      <c r="C261" s="84" t="s">
        <v>39</v>
      </c>
      <c r="D261" s="84" t="s">
        <v>44</v>
      </c>
      <c r="E261" s="84" t="s">
        <v>25</v>
      </c>
      <c r="F261" s="84" t="s">
        <v>25</v>
      </c>
      <c r="G261" s="84" t="s">
        <v>25</v>
      </c>
      <c r="H261" s="84" t="s">
        <v>33</v>
      </c>
      <c r="I261" s="90">
        <v>44593</v>
      </c>
      <c r="J261" s="91">
        <f>EFEITO!$J$261*EFEITO!$Y$261</f>
        <v>0</v>
      </c>
      <c r="K261" s="91">
        <f ca="1">EFEITO!$L$261*EFEITO!$Z$261</f>
        <v>3410.5290204204753</v>
      </c>
      <c r="L261" s="91">
        <f>EFEITO!$N$261*EFEITO!$AA$261</f>
        <v>2169.5887071522238</v>
      </c>
      <c r="M261" s="91">
        <f>$J$261-EFEITO!$K$261*EFEITO!$Y$261</f>
        <v>0</v>
      </c>
      <c r="N261" s="91">
        <f ca="1">$K$261-EFEITO!$M$261*EFEITO!$Z$261</f>
        <v>0</v>
      </c>
      <c r="O261" s="91">
        <f>$L$261-EFEITO!$O$261*EFEITO!$AA$261</f>
        <v>0</v>
      </c>
      <c r="P261" s="19"/>
      <c r="Q261" s="19"/>
      <c r="R261" s="19"/>
      <c r="S261" s="19"/>
      <c r="T261" s="19"/>
      <c r="U261" s="19"/>
      <c r="V261" s="19"/>
      <c r="W261" s="19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84" t="s">
        <v>21</v>
      </c>
      <c r="B262" s="84" t="s">
        <v>38</v>
      </c>
      <c r="C262" s="84" t="s">
        <v>39</v>
      </c>
      <c r="D262" s="84" t="s">
        <v>44</v>
      </c>
      <c r="E262" s="84" t="s">
        <v>25</v>
      </c>
      <c r="F262" s="84" t="s">
        <v>25</v>
      </c>
      <c r="G262" s="84" t="s">
        <v>25</v>
      </c>
      <c r="H262" s="84" t="s">
        <v>33</v>
      </c>
      <c r="I262" s="90">
        <v>44621</v>
      </c>
      <c r="J262" s="91">
        <f>EFEITO!$J$262*EFEITO!$Y$262</f>
        <v>0</v>
      </c>
      <c r="K262" s="91">
        <f ca="1">EFEITO!$L$262*EFEITO!$Z$262</f>
        <v>5029.7638589543576</v>
      </c>
      <c r="L262" s="91">
        <f>EFEITO!$N$262*EFEITO!$AA$262</f>
        <v>3199.6557726649653</v>
      </c>
      <c r="M262" s="91">
        <f>$J$262-EFEITO!$K$262*EFEITO!$Y$262</f>
        <v>0</v>
      </c>
      <c r="N262" s="91">
        <f ca="1">$K$262-EFEITO!$M$262*EFEITO!$Z$262</f>
        <v>0</v>
      </c>
      <c r="O262" s="91">
        <f>$L$262-EFEITO!$O$262*EFEITO!$AA$262</f>
        <v>0</v>
      </c>
      <c r="P262" s="19"/>
      <c r="Q262" s="19"/>
      <c r="R262" s="19"/>
      <c r="S262" s="19"/>
      <c r="T262" s="19"/>
      <c r="U262" s="19"/>
      <c r="V262" s="19"/>
      <c r="W262" s="19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84" t="s">
        <v>21</v>
      </c>
      <c r="B263" s="84" t="s">
        <v>38</v>
      </c>
      <c r="C263" s="84" t="s">
        <v>39</v>
      </c>
      <c r="D263" s="84" t="s">
        <v>44</v>
      </c>
      <c r="E263" s="84" t="s">
        <v>25</v>
      </c>
      <c r="F263" s="84" t="s">
        <v>25</v>
      </c>
      <c r="G263" s="84" t="s">
        <v>25</v>
      </c>
      <c r="H263" s="84" t="s">
        <v>33</v>
      </c>
      <c r="I263" s="90">
        <v>44652</v>
      </c>
      <c r="J263" s="91">
        <f>EFEITO!$J$263*EFEITO!$Y$263</f>
        <v>0</v>
      </c>
      <c r="K263" s="91">
        <f ca="1">EFEITO!$L$263*EFEITO!$Z$263</f>
        <v>3239.0953474072285</v>
      </c>
      <c r="L263" s="91">
        <f>EFEITO!$N$263*EFEITO!$AA$263</f>
        <v>2060.5321476659442</v>
      </c>
      <c r="M263" s="91">
        <f>$J$263-EFEITO!$K$263*EFEITO!$Y$263</f>
        <v>0</v>
      </c>
      <c r="N263" s="91">
        <f ca="1">$K$263-EFEITO!$M$263*EFEITO!$Z$263</f>
        <v>0</v>
      </c>
      <c r="O263" s="91">
        <f>$L$263-EFEITO!$O$263*EFEITO!$AA$263</f>
        <v>0</v>
      </c>
      <c r="P263" s="19"/>
      <c r="Q263" s="19"/>
      <c r="R263" s="19"/>
      <c r="S263" s="19"/>
      <c r="T263" s="19"/>
      <c r="U263" s="19"/>
      <c r="V263" s="19"/>
      <c r="W263" s="19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84" t="s">
        <v>21</v>
      </c>
      <c r="B264" s="84" t="s">
        <v>38</v>
      </c>
      <c r="C264" s="84" t="s">
        <v>39</v>
      </c>
      <c r="D264" s="84" t="s">
        <v>44</v>
      </c>
      <c r="E264" s="84" t="s">
        <v>25</v>
      </c>
      <c r="F264" s="84" t="s">
        <v>25</v>
      </c>
      <c r="G264" s="84" t="s">
        <v>25</v>
      </c>
      <c r="H264" s="84" t="s">
        <v>33</v>
      </c>
      <c r="I264" s="90">
        <v>44682</v>
      </c>
      <c r="J264" s="91">
        <f>EFEITO!$J$264*EFEITO!$Y$264</f>
        <v>0</v>
      </c>
      <c r="K264" s="91">
        <f ca="1">EFEITO!$L$264*EFEITO!$Z$264</f>
        <v>3894.1721928264615</v>
      </c>
      <c r="L264" s="91">
        <f>EFEITO!$N$264*EFEITO!$AA$264</f>
        <v>2477.2555702284794</v>
      </c>
      <c r="M264" s="91">
        <f>$J$264-EFEITO!$K$264*EFEITO!$Y$264</f>
        <v>0</v>
      </c>
      <c r="N264" s="91">
        <f ca="1">$K$264-EFEITO!$M$264*EFEITO!$Z$264</f>
        <v>0</v>
      </c>
      <c r="O264" s="91">
        <f>$L$264-EFEITO!$O$264*EFEITO!$AA$264</f>
        <v>0</v>
      </c>
      <c r="P264" s="19"/>
      <c r="Q264" s="19"/>
      <c r="R264" s="19"/>
      <c r="S264" s="19"/>
      <c r="T264" s="19"/>
      <c r="U264" s="19"/>
      <c r="V264" s="19"/>
      <c r="W264" s="19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84" t="s">
        <v>55</v>
      </c>
      <c r="B265" s="84" t="s">
        <v>38</v>
      </c>
      <c r="C265" s="84" t="s">
        <v>39</v>
      </c>
      <c r="D265" s="84" t="s">
        <v>44</v>
      </c>
      <c r="E265" s="84" t="s">
        <v>25</v>
      </c>
      <c r="F265" s="84" t="s">
        <v>25</v>
      </c>
      <c r="G265" s="84" t="s">
        <v>25</v>
      </c>
      <c r="H265" s="84" t="s">
        <v>33</v>
      </c>
      <c r="I265" s="90">
        <v>44713</v>
      </c>
      <c r="J265" s="91">
        <f>EFEITO!$J$265*EFEITO!$Y$265</f>
        <v>0</v>
      </c>
      <c r="K265" s="91">
        <f ca="1">EFEITO!$L$265*EFEITO!$Z$265</f>
        <v>3894.1721928264615</v>
      </c>
      <c r="L265" s="91">
        <f>EFEITO!$N$265*EFEITO!$AA$265</f>
        <v>2477.2555702284794</v>
      </c>
      <c r="M265" s="91">
        <f>$J$265-EFEITO!$K$265*EFEITO!$Y$265</f>
        <v>0</v>
      </c>
      <c r="N265" s="91">
        <f ca="1">$K$265-EFEITO!$M$265*EFEITO!$Z$265</f>
        <v>0</v>
      </c>
      <c r="O265" s="91">
        <f>$L$265-EFEITO!$O$265*EFEITO!$AA$265</f>
        <v>0</v>
      </c>
      <c r="P265" s="19"/>
      <c r="Q265" s="19"/>
      <c r="R265" s="19"/>
      <c r="S265" s="19"/>
      <c r="T265" s="19"/>
      <c r="U265" s="19"/>
      <c r="V265" s="19"/>
      <c r="W265" s="19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84" t="s">
        <v>21</v>
      </c>
      <c r="B266" s="84" t="s">
        <v>38</v>
      </c>
      <c r="C266" s="84" t="s">
        <v>39</v>
      </c>
      <c r="D266" s="84" t="s">
        <v>43</v>
      </c>
      <c r="E266" s="84" t="s">
        <v>52</v>
      </c>
      <c r="F266" s="84" t="s">
        <v>54</v>
      </c>
      <c r="G266" s="84" t="s">
        <v>25</v>
      </c>
      <c r="H266" s="84" t="s">
        <v>34</v>
      </c>
      <c r="I266" s="90">
        <v>44378</v>
      </c>
      <c r="J266" s="91">
        <f>EFEITO!$J$266*EFEITO!$Y$241</f>
        <v>0</v>
      </c>
      <c r="K266" s="91">
        <f ca="1">EFEITO!$L$266*EFEITO!$Z$241</f>
        <v>14.563948111596938</v>
      </c>
      <c r="L266" s="91">
        <f>EFEITO!$N$266*EFEITO!$AA$241</f>
        <v>35.77166345858172</v>
      </c>
      <c r="M266" s="91">
        <f>$J$266-EFEITO!$K$266*EFEITO!$Y$266</f>
        <v>0</v>
      </c>
      <c r="N266" s="91">
        <f ca="1">$K$266-EFEITO!$M$266*EFEITO!$Z$266</f>
        <v>10.194763678117855</v>
      </c>
      <c r="O266" s="91">
        <f>$L$266-EFEITO!$O$266*EFEITO!$AA$266</f>
        <v>25.040164421007205</v>
      </c>
      <c r="P266" s="19"/>
      <c r="Q266" s="19"/>
      <c r="R266" s="19"/>
      <c r="S266" s="19"/>
      <c r="T266" s="19"/>
      <c r="U266" s="19"/>
      <c r="V266" s="19"/>
      <c r="W266" s="19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84" t="s">
        <v>21</v>
      </c>
      <c r="B267" s="84" t="s">
        <v>38</v>
      </c>
      <c r="C267" s="84" t="s">
        <v>39</v>
      </c>
      <c r="D267" s="84" t="s">
        <v>43</v>
      </c>
      <c r="E267" s="84" t="s">
        <v>52</v>
      </c>
      <c r="F267" s="84" t="s">
        <v>54</v>
      </c>
      <c r="G267" s="84" t="s">
        <v>25</v>
      </c>
      <c r="H267" s="84" t="s">
        <v>34</v>
      </c>
      <c r="I267" s="90">
        <v>44409</v>
      </c>
      <c r="J267" s="91">
        <f>EFEITO!$J$267*EFEITO!$Y$241</f>
        <v>0</v>
      </c>
      <c r="K267" s="91">
        <f ca="1">EFEITO!$L$267*EFEITO!$Z$241</f>
        <v>17.43841155467528</v>
      </c>
      <c r="L267" s="91">
        <f>EFEITO!$N$267*EFEITO!$AA$241</f>
        <v>42.831860193828113</v>
      </c>
      <c r="M267" s="91">
        <f>$J$267-EFEITO!$K$267*EFEITO!$Y$267</f>
        <v>0</v>
      </c>
      <c r="N267" s="91">
        <f ca="1">$K$267-EFEITO!$M$267*EFEITO!$Z$267</f>
        <v>12.206888088272695</v>
      </c>
      <c r="O267" s="91">
        <f>$L$267-EFEITO!$O$267*EFEITO!$AA$267</f>
        <v>29.982302135679678</v>
      </c>
      <c r="P267" s="19"/>
      <c r="Q267" s="19"/>
      <c r="R267" s="19"/>
      <c r="S267" s="19"/>
      <c r="T267" s="19"/>
      <c r="U267" s="19"/>
      <c r="V267" s="19"/>
      <c r="W267" s="19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84" t="s">
        <v>21</v>
      </c>
      <c r="B268" s="84" t="s">
        <v>38</v>
      </c>
      <c r="C268" s="84" t="s">
        <v>39</v>
      </c>
      <c r="D268" s="84" t="s">
        <v>43</v>
      </c>
      <c r="E268" s="84" t="s">
        <v>52</v>
      </c>
      <c r="F268" s="84" t="s">
        <v>54</v>
      </c>
      <c r="G268" s="84" t="s">
        <v>25</v>
      </c>
      <c r="H268" s="84" t="s">
        <v>34</v>
      </c>
      <c r="I268" s="90">
        <v>44440</v>
      </c>
      <c r="J268" s="91">
        <f>EFEITO!$J$268*EFEITO!$Y$241</f>
        <v>0</v>
      </c>
      <c r="K268" s="91">
        <f ca="1">EFEITO!$L$268*EFEITO!$Z$241</f>
        <v>5.7489268861566867</v>
      </c>
      <c r="L268" s="91">
        <f>EFEITO!$N$268*EFEITO!$AA$241</f>
        <v>14.120393470492786</v>
      </c>
      <c r="M268" s="91">
        <f>$J$268-EFEITO!$K$268*EFEITO!$Y$268</f>
        <v>0</v>
      </c>
      <c r="N268" s="91">
        <f ca="1">$K$268-EFEITO!$M$268*EFEITO!$Z$268</f>
        <v>4.0242488203096807</v>
      </c>
      <c r="O268" s="91">
        <f>$L$268-EFEITO!$O$268*EFEITO!$AA$268</f>
        <v>9.8842754293449495</v>
      </c>
      <c r="P268" s="19"/>
      <c r="Q268" s="19"/>
      <c r="R268" s="19"/>
      <c r="S268" s="19"/>
      <c r="T268" s="19"/>
      <c r="U268" s="19"/>
      <c r="V268" s="19"/>
      <c r="W268" s="19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84" t="s">
        <v>21</v>
      </c>
      <c r="B269" s="84" t="s">
        <v>38</v>
      </c>
      <c r="C269" s="84" t="s">
        <v>39</v>
      </c>
      <c r="D269" s="84" t="s">
        <v>43</v>
      </c>
      <c r="E269" s="84" t="s">
        <v>52</v>
      </c>
      <c r="F269" s="84" t="s">
        <v>54</v>
      </c>
      <c r="G269" s="84" t="s">
        <v>25</v>
      </c>
      <c r="H269" s="84" t="s">
        <v>34</v>
      </c>
      <c r="I269" s="90">
        <v>44470</v>
      </c>
      <c r="J269" s="91">
        <f>EFEITO!$J$269*EFEITO!$Y$241</f>
        <v>0</v>
      </c>
      <c r="K269" s="91">
        <f ca="1">EFEITO!$L$269*EFEITO!$Z$241</f>
        <v>699.45277114906355</v>
      </c>
      <c r="L269" s="91">
        <f>EFEITO!$N$269*EFEITO!$AA$241</f>
        <v>1717.9812055766222</v>
      </c>
      <c r="M269" s="91">
        <f>$J$269-EFEITO!$K$269*EFEITO!$Y$269</f>
        <v>0</v>
      </c>
      <c r="N269" s="91">
        <f ca="1">$K$269-EFEITO!$M$269*EFEITO!$Z$269</f>
        <v>489.6169398043445</v>
      </c>
      <c r="O269" s="91">
        <f>$L$269-EFEITO!$O$269*EFEITO!$AA$269</f>
        <v>1202.5868439036356</v>
      </c>
      <c r="P269" s="19"/>
      <c r="Q269" s="19"/>
      <c r="R269" s="19"/>
      <c r="S269" s="19"/>
      <c r="T269" s="19"/>
      <c r="U269" s="19"/>
      <c r="V269" s="19"/>
      <c r="W269" s="19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84" t="s">
        <v>21</v>
      </c>
      <c r="B270" s="84" t="s">
        <v>38</v>
      </c>
      <c r="C270" s="84" t="s">
        <v>39</v>
      </c>
      <c r="D270" s="84" t="s">
        <v>43</v>
      </c>
      <c r="E270" s="84" t="s">
        <v>52</v>
      </c>
      <c r="F270" s="84" t="s">
        <v>54</v>
      </c>
      <c r="G270" s="84" t="s">
        <v>25</v>
      </c>
      <c r="H270" s="84" t="s">
        <v>34</v>
      </c>
      <c r="I270" s="90">
        <v>44501</v>
      </c>
      <c r="J270" s="91">
        <f>EFEITO!$J$270*EFEITO!$Y$241</f>
        <v>0</v>
      </c>
      <c r="K270" s="91">
        <f ca="1">EFEITO!$L$270*EFEITO!$Z$241</f>
        <v>2734.2854425042224</v>
      </c>
      <c r="L270" s="91">
        <f>EFEITO!$N$270*EFEITO!$AA$241</f>
        <v>6715.8944744575438</v>
      </c>
      <c r="M270" s="91">
        <f>$J$270-EFEITO!$K$270*EFEITO!$Y$270</f>
        <v>0</v>
      </c>
      <c r="N270" s="91">
        <f ca="1">$K$270-EFEITO!$M$270*EFEITO!$Z$270</f>
        <v>1913.9998097529556</v>
      </c>
      <c r="O270" s="91">
        <f>$L$270-EFEITO!$O$270*EFEITO!$AA$270</f>
        <v>4701.1261321202801</v>
      </c>
      <c r="P270" s="19"/>
      <c r="Q270" s="19"/>
      <c r="R270" s="19"/>
      <c r="S270" s="19"/>
      <c r="T270" s="19"/>
      <c r="U270" s="19"/>
      <c r="V270" s="19"/>
      <c r="W270" s="19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84" t="s">
        <v>21</v>
      </c>
      <c r="B271" s="84" t="s">
        <v>38</v>
      </c>
      <c r="C271" s="84" t="s">
        <v>39</v>
      </c>
      <c r="D271" s="84" t="s">
        <v>43</v>
      </c>
      <c r="E271" s="84" t="s">
        <v>52</v>
      </c>
      <c r="F271" s="84" t="s">
        <v>54</v>
      </c>
      <c r="G271" s="84" t="s">
        <v>25</v>
      </c>
      <c r="H271" s="84" t="s">
        <v>34</v>
      </c>
      <c r="I271" s="90">
        <v>44531</v>
      </c>
      <c r="J271" s="91">
        <f>EFEITO!$J$271*EFEITO!$Y$241</f>
        <v>0</v>
      </c>
      <c r="K271" s="91">
        <f ca="1">EFEITO!$L$271*EFEITO!$Z$241</f>
        <v>6088.975911472854</v>
      </c>
      <c r="L271" s="91">
        <f>EFEITO!$N$271*EFEITO!$AA$241</f>
        <v>14955.614744272434</v>
      </c>
      <c r="M271" s="91">
        <f>$J$271-EFEITO!$K$271*EFEITO!$Y$271</f>
        <v>0</v>
      </c>
      <c r="N271" s="91">
        <f ca="1">$K$271-EFEITO!$M$271*EFEITO!$Z$271</f>
        <v>4262.2831380309981</v>
      </c>
      <c r="O271" s="91">
        <f>$L$271-EFEITO!$O$271*EFEITO!$AA$271</f>
        <v>10468.930320990705</v>
      </c>
      <c r="P271" s="19"/>
      <c r="Q271" s="19"/>
      <c r="R271" s="19"/>
      <c r="S271" s="19"/>
      <c r="T271" s="19"/>
      <c r="U271" s="19"/>
      <c r="V271" s="19"/>
      <c r="W271" s="19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84" t="s">
        <v>21</v>
      </c>
      <c r="B272" s="84" t="s">
        <v>38</v>
      </c>
      <c r="C272" s="84" t="s">
        <v>39</v>
      </c>
      <c r="D272" s="84" t="s">
        <v>43</v>
      </c>
      <c r="E272" s="84" t="s">
        <v>52</v>
      </c>
      <c r="F272" s="84" t="s">
        <v>54</v>
      </c>
      <c r="G272" s="84" t="s">
        <v>25</v>
      </c>
      <c r="H272" s="84" t="s">
        <v>34</v>
      </c>
      <c r="I272" s="90">
        <v>44562</v>
      </c>
      <c r="J272" s="91">
        <f>EFEITO!$J$272*EFEITO!$Y$241</f>
        <v>0</v>
      </c>
      <c r="K272" s="91">
        <f ca="1">EFEITO!$L$272*EFEITO!$Z$241</f>
        <v>3548.7167513764198</v>
      </c>
      <c r="L272" s="91">
        <f>EFEITO!$N$272*EFEITO!$AA$241</f>
        <v>8716.2835494440224</v>
      </c>
      <c r="M272" s="91">
        <f>$J$272-EFEITO!$K$272*EFEITO!$Y$272</f>
        <v>0</v>
      </c>
      <c r="N272" s="91">
        <f ca="1">$K$272-EFEITO!$M$272*EFEITO!$Z$272</f>
        <v>2484.1017259634937</v>
      </c>
      <c r="O272" s="91">
        <f>$L$272-EFEITO!$O$272*EFEITO!$AA$272</f>
        <v>6101.398484610816</v>
      </c>
      <c r="P272" s="19"/>
      <c r="Q272" s="19"/>
      <c r="R272" s="19"/>
      <c r="S272" s="19"/>
      <c r="T272" s="19"/>
      <c r="U272" s="19"/>
      <c r="V272" s="19"/>
      <c r="W272" s="19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84" t="s">
        <v>21</v>
      </c>
      <c r="B273" s="84" t="s">
        <v>38</v>
      </c>
      <c r="C273" s="84" t="s">
        <v>39</v>
      </c>
      <c r="D273" s="84" t="s">
        <v>43</v>
      </c>
      <c r="E273" s="84" t="s">
        <v>52</v>
      </c>
      <c r="F273" s="84" t="s">
        <v>54</v>
      </c>
      <c r="G273" s="84" t="s">
        <v>25</v>
      </c>
      <c r="H273" s="84" t="s">
        <v>34</v>
      </c>
      <c r="I273" s="90">
        <v>44593</v>
      </c>
      <c r="J273" s="91">
        <f>EFEITO!$J$273*EFEITO!$Y$241</f>
        <v>0</v>
      </c>
      <c r="K273" s="91">
        <f ca="1">EFEITO!$L$273*EFEITO!$Z$241</f>
        <v>3109.4029218259461</v>
      </c>
      <c r="L273" s="91">
        <f>EFEITO!$N$273*EFEITO!$AA$241</f>
        <v>7637.2501484071981</v>
      </c>
      <c r="M273" s="91">
        <f>$J$273-EFEITO!$K$273*EFEITO!$Y$273</f>
        <v>0</v>
      </c>
      <c r="N273" s="91">
        <f ca="1">$K$273-EFEITO!$M$273*EFEITO!$Z$273</f>
        <v>2176.5820452781622</v>
      </c>
      <c r="O273" s="91">
        <f>$L$273-EFEITO!$O$273*EFEITO!$AA$273</f>
        <v>5346.0751038850385</v>
      </c>
      <c r="P273" s="19"/>
      <c r="Q273" s="19"/>
      <c r="R273" s="19"/>
      <c r="S273" s="19"/>
      <c r="T273" s="19"/>
      <c r="U273" s="19"/>
      <c r="V273" s="19"/>
      <c r="W273" s="19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84" t="s">
        <v>21</v>
      </c>
      <c r="B274" s="84" t="s">
        <v>38</v>
      </c>
      <c r="C274" s="84" t="s">
        <v>39</v>
      </c>
      <c r="D274" s="84" t="s">
        <v>43</v>
      </c>
      <c r="E274" s="84" t="s">
        <v>52</v>
      </c>
      <c r="F274" s="84" t="s">
        <v>54</v>
      </c>
      <c r="G274" s="84" t="s">
        <v>25</v>
      </c>
      <c r="H274" s="84" t="s">
        <v>34</v>
      </c>
      <c r="I274" s="90">
        <v>44621</v>
      </c>
      <c r="J274" s="91">
        <f>EFEITO!$J$274*EFEITO!$Y$241</f>
        <v>0</v>
      </c>
      <c r="K274" s="91">
        <f ca="1">EFEITO!$L$274*EFEITO!$Z$241</f>
        <v>36.601501175197569</v>
      </c>
      <c r="L274" s="91">
        <f>EFEITO!$N$274*EFEITO!$AA$241</f>
        <v>89.899838428804074</v>
      </c>
      <c r="M274" s="91">
        <f>$J$274-EFEITO!$K$274*EFEITO!$Y$274</f>
        <v>0</v>
      </c>
      <c r="N274" s="91">
        <f ca="1">$K$274-EFEITO!$M$274*EFEITO!$Z$274</f>
        <v>25.621050822638299</v>
      </c>
      <c r="O274" s="91">
        <f>$L$274-EFEITO!$O$274*EFEITO!$AA$274</f>
        <v>62.929886900162856</v>
      </c>
      <c r="P274" s="19"/>
      <c r="Q274" s="19"/>
      <c r="R274" s="19"/>
      <c r="S274" s="19"/>
      <c r="T274" s="19"/>
      <c r="U274" s="19"/>
      <c r="V274" s="19"/>
      <c r="W274" s="19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84" t="s">
        <v>21</v>
      </c>
      <c r="B275" s="84" t="s">
        <v>38</v>
      </c>
      <c r="C275" s="84" t="s">
        <v>39</v>
      </c>
      <c r="D275" s="84" t="s">
        <v>43</v>
      </c>
      <c r="E275" s="84" t="s">
        <v>52</v>
      </c>
      <c r="F275" s="84" t="s">
        <v>54</v>
      </c>
      <c r="G275" s="84" t="s">
        <v>25</v>
      </c>
      <c r="H275" s="84" t="s">
        <v>34</v>
      </c>
      <c r="I275" s="90">
        <v>44652</v>
      </c>
      <c r="J275" s="91">
        <f>EFEITO!$J$275*EFEITO!$Y$241</f>
        <v>0</v>
      </c>
      <c r="K275" s="91">
        <f ca="1">EFEITO!$L$275*EFEITO!$Z$241</f>
        <v>153.40053241228091</v>
      </c>
      <c r="L275" s="91">
        <f>EFEITO!$N$275*EFEITO!$AA$241</f>
        <v>376.7791657709825</v>
      </c>
      <c r="M275" s="91">
        <f>$J$275-EFEITO!$K$275*EFEITO!$Y$275</f>
        <v>0</v>
      </c>
      <c r="N275" s="91">
        <f ca="1">$K$275-EFEITO!$M$275*EFEITO!$Z$275</f>
        <v>107.38037268859664</v>
      </c>
      <c r="O275" s="91">
        <f>$L$275-EFEITO!$O$275*EFEITO!$AA$275</f>
        <v>263.74541603968777</v>
      </c>
      <c r="P275" s="19"/>
      <c r="Q275" s="19"/>
      <c r="R275" s="19"/>
      <c r="S275" s="19"/>
      <c r="T275" s="19"/>
      <c r="U275" s="19"/>
      <c r="V275" s="19"/>
      <c r="W275" s="19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84" t="s">
        <v>21</v>
      </c>
      <c r="B276" s="84" t="s">
        <v>38</v>
      </c>
      <c r="C276" s="84" t="s">
        <v>39</v>
      </c>
      <c r="D276" s="84" t="s">
        <v>43</v>
      </c>
      <c r="E276" s="84" t="s">
        <v>52</v>
      </c>
      <c r="F276" s="84" t="s">
        <v>54</v>
      </c>
      <c r="G276" s="84" t="s">
        <v>25</v>
      </c>
      <c r="H276" s="84" t="s">
        <v>34</v>
      </c>
      <c r="I276" s="90">
        <v>44682</v>
      </c>
      <c r="J276" s="91">
        <f>EFEITO!$J$276*EFEITO!$Y$241</f>
        <v>0</v>
      </c>
      <c r="K276" s="91">
        <f ca="1">EFEITO!$L$276*EFEITO!$Z$241</f>
        <v>162.502999982029</v>
      </c>
      <c r="L276" s="91">
        <f>EFEITO!$N$276*EFEITO!$AA$241</f>
        <v>399.13645543259605</v>
      </c>
      <c r="M276" s="91">
        <f>$J$276-EFEITO!$K$276*EFEITO!$Y$276</f>
        <v>0</v>
      </c>
      <c r="N276" s="91">
        <f ca="1">$K$276-EFEITO!$M$276*EFEITO!$Z$276</f>
        <v>113.75209998742029</v>
      </c>
      <c r="O276" s="91">
        <f>$L$276-EFEITO!$O$276*EFEITO!$AA$276</f>
        <v>279.39551880281721</v>
      </c>
      <c r="P276" s="19"/>
      <c r="Q276" s="19"/>
      <c r="R276" s="19"/>
      <c r="S276" s="19"/>
      <c r="T276" s="19"/>
      <c r="U276" s="19"/>
      <c r="V276" s="19"/>
      <c r="W276" s="19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84" t="s">
        <v>55</v>
      </c>
      <c r="B277" s="84" t="s">
        <v>38</v>
      </c>
      <c r="C277" s="84" t="s">
        <v>39</v>
      </c>
      <c r="D277" s="84" t="s">
        <v>43</v>
      </c>
      <c r="E277" s="84" t="s">
        <v>52</v>
      </c>
      <c r="F277" s="84" t="s">
        <v>54</v>
      </c>
      <c r="G277" s="84" t="s">
        <v>25</v>
      </c>
      <c r="H277" s="84" t="s">
        <v>34</v>
      </c>
      <c r="I277" s="90">
        <v>44713</v>
      </c>
      <c r="J277" s="91">
        <f>EFEITO!$J$277*EFEITO!$Y$241</f>
        <v>0</v>
      </c>
      <c r="K277" s="91">
        <f ca="1">EFEITO!$L$277*EFEITO!$Z$241</f>
        <v>162.502999982029</v>
      </c>
      <c r="L277" s="91">
        <f>EFEITO!$N$277*EFEITO!$AA$241</f>
        <v>399.13645543259605</v>
      </c>
      <c r="M277" s="91">
        <f>$J$277-EFEITO!$K$277*EFEITO!$Y$277</f>
        <v>0</v>
      </c>
      <c r="N277" s="91">
        <f ca="1">$K$277-EFEITO!$M$277*EFEITO!$Z$277</f>
        <v>113.75209998742029</v>
      </c>
      <c r="O277" s="91">
        <f>$L$277-EFEITO!$O$277*EFEITO!$AA$277</f>
        <v>279.39551880281721</v>
      </c>
      <c r="P277" s="19"/>
      <c r="Q277" s="19"/>
      <c r="R277" s="19"/>
      <c r="S277" s="19"/>
      <c r="T277" s="19"/>
      <c r="U277" s="19"/>
      <c r="V277" s="19"/>
      <c r="W277" s="19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84" t="s">
        <v>21</v>
      </c>
      <c r="B278" s="84" t="s">
        <v>38</v>
      </c>
      <c r="C278" s="84" t="s">
        <v>39</v>
      </c>
      <c r="D278" s="84" t="s">
        <v>43</v>
      </c>
      <c r="E278" s="84" t="s">
        <v>52</v>
      </c>
      <c r="F278" s="84" t="s">
        <v>25</v>
      </c>
      <c r="G278" s="84" t="s">
        <v>25</v>
      </c>
      <c r="H278" s="84" t="s">
        <v>34</v>
      </c>
      <c r="I278" s="90">
        <v>44378</v>
      </c>
      <c r="J278" s="91">
        <f>EFEITO!$J$278*EFEITO!$Y$241</f>
        <v>0</v>
      </c>
      <c r="K278" s="91">
        <f ca="1">EFEITO!$L$278*EFEITO!$Z$241</f>
        <v>396.00524700809308</v>
      </c>
      <c r="L278" s="91">
        <f>EFEITO!$N$278*EFEITO!$AA$241</f>
        <v>972.65977022577806</v>
      </c>
      <c r="M278" s="91">
        <f>$J$278-EFEITO!$K$278*EFEITO!$Y$278</f>
        <v>0</v>
      </c>
      <c r="N278" s="91">
        <f ca="1">$K$278-EFEITO!$M$278*EFEITO!$Z$278</f>
        <v>7.9201049401618207</v>
      </c>
      <c r="O278" s="91">
        <f>$L$278-EFEITO!$O$278*EFEITO!$AA$278</f>
        <v>19.453195404515554</v>
      </c>
      <c r="P278" s="19"/>
      <c r="Q278" s="19"/>
      <c r="R278" s="19"/>
      <c r="S278" s="19"/>
      <c r="T278" s="19"/>
      <c r="U278" s="19"/>
      <c r="V278" s="19"/>
      <c r="W278" s="19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84" t="s">
        <v>21</v>
      </c>
      <c r="B279" s="84" t="s">
        <v>38</v>
      </c>
      <c r="C279" s="84" t="s">
        <v>39</v>
      </c>
      <c r="D279" s="84" t="s">
        <v>43</v>
      </c>
      <c r="E279" s="84" t="s">
        <v>52</v>
      </c>
      <c r="F279" s="84" t="s">
        <v>25</v>
      </c>
      <c r="G279" s="84" t="s">
        <v>25</v>
      </c>
      <c r="H279" s="84" t="s">
        <v>34</v>
      </c>
      <c r="I279" s="90">
        <v>44409</v>
      </c>
      <c r="J279" s="91">
        <f>EFEITO!$J$279*EFEITO!$Y$241</f>
        <v>0</v>
      </c>
      <c r="K279" s="91">
        <f ca="1">EFEITO!$L$279*EFEITO!$Z$241</f>
        <v>113.44549055349194</v>
      </c>
      <c r="L279" s="91">
        <f>EFEITO!$N$279*EFEITO!$AA$241</f>
        <v>278.64243115105762</v>
      </c>
      <c r="M279" s="91">
        <f>$J$279-EFEITO!$K$279*EFEITO!$Y$279</f>
        <v>0</v>
      </c>
      <c r="N279" s="91">
        <f ca="1">$K$279-EFEITO!$M$279*EFEITO!$Z$279</f>
        <v>2.2689098110698325</v>
      </c>
      <c r="O279" s="91">
        <f>$L$279-EFEITO!$O$279*EFEITO!$AA$279</f>
        <v>5.5728486230211161</v>
      </c>
      <c r="P279" s="19"/>
      <c r="Q279" s="19"/>
      <c r="R279" s="19"/>
      <c r="S279" s="19"/>
      <c r="T279" s="19"/>
      <c r="U279" s="19"/>
      <c r="V279" s="19"/>
      <c r="W279" s="19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84" t="s">
        <v>21</v>
      </c>
      <c r="B280" s="84" t="s">
        <v>38</v>
      </c>
      <c r="C280" s="84" t="s">
        <v>39</v>
      </c>
      <c r="D280" s="84" t="s">
        <v>43</v>
      </c>
      <c r="E280" s="84" t="s">
        <v>52</v>
      </c>
      <c r="F280" s="84" t="s">
        <v>25</v>
      </c>
      <c r="G280" s="84" t="s">
        <v>25</v>
      </c>
      <c r="H280" s="84" t="s">
        <v>34</v>
      </c>
      <c r="I280" s="90">
        <v>44440</v>
      </c>
      <c r="J280" s="91">
        <f>EFEITO!$J$280*EFEITO!$Y$241</f>
        <v>0</v>
      </c>
      <c r="K280" s="91">
        <f ca="1">EFEITO!$L$280*EFEITO!$Z$241</f>
        <v>515.58292624015223</v>
      </c>
      <c r="L280" s="91">
        <f>EFEITO!$N$280*EFEITO!$AA$241</f>
        <v>1266.3639544120281</v>
      </c>
      <c r="M280" s="91">
        <f>$J$280-EFEITO!$K$280*EFEITO!$Y$280</f>
        <v>0</v>
      </c>
      <c r="N280" s="91">
        <f ca="1">$K$280-EFEITO!$M$280*EFEITO!$Z$280</f>
        <v>10.311658524803079</v>
      </c>
      <c r="O280" s="91">
        <f>$L$280-EFEITO!$O$280*EFEITO!$AA$280</f>
        <v>25.32727908824063</v>
      </c>
      <c r="P280" s="19"/>
      <c r="Q280" s="19"/>
      <c r="R280" s="19"/>
      <c r="S280" s="19"/>
      <c r="T280" s="19"/>
      <c r="U280" s="19"/>
      <c r="V280" s="19"/>
      <c r="W280" s="19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84" t="s">
        <v>21</v>
      </c>
      <c r="B281" s="84" t="s">
        <v>38</v>
      </c>
      <c r="C281" s="84" t="s">
        <v>39</v>
      </c>
      <c r="D281" s="84" t="s">
        <v>43</v>
      </c>
      <c r="E281" s="84" t="s">
        <v>52</v>
      </c>
      <c r="F281" s="84" t="s">
        <v>25</v>
      </c>
      <c r="G281" s="84" t="s">
        <v>25</v>
      </c>
      <c r="H281" s="84" t="s">
        <v>34</v>
      </c>
      <c r="I281" s="90">
        <v>44470</v>
      </c>
      <c r="J281" s="91">
        <f>EFEITO!$J$281*EFEITO!$Y$241</f>
        <v>0</v>
      </c>
      <c r="K281" s="91">
        <f ca="1">EFEITO!$L$281*EFEITO!$Z$241</f>
        <v>664.00105535109731</v>
      </c>
      <c r="L281" s="91">
        <f>EFEITO!$N$281*EFEITO!$AA$241</f>
        <v>1630.9054458419166</v>
      </c>
      <c r="M281" s="91">
        <f>$J$281-EFEITO!$K$281*EFEITO!$Y$281</f>
        <v>0</v>
      </c>
      <c r="N281" s="91">
        <f ca="1">$K$281-EFEITO!$M$281*EFEITO!$Z$281</f>
        <v>13.28002110702198</v>
      </c>
      <c r="O281" s="91">
        <f>$L$281-EFEITO!$O$281*EFEITO!$AA$281</f>
        <v>32.61810891683831</v>
      </c>
      <c r="P281" s="19"/>
      <c r="Q281" s="19"/>
      <c r="R281" s="19"/>
      <c r="S281" s="19"/>
      <c r="T281" s="19"/>
      <c r="U281" s="19"/>
      <c r="V281" s="19"/>
      <c r="W281" s="19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84" t="s">
        <v>21</v>
      </c>
      <c r="B282" s="84" t="s">
        <v>38</v>
      </c>
      <c r="C282" s="84" t="s">
        <v>39</v>
      </c>
      <c r="D282" s="84" t="s">
        <v>43</v>
      </c>
      <c r="E282" s="84" t="s">
        <v>52</v>
      </c>
      <c r="F282" s="84" t="s">
        <v>25</v>
      </c>
      <c r="G282" s="84" t="s">
        <v>25</v>
      </c>
      <c r="H282" s="84" t="s">
        <v>34</v>
      </c>
      <c r="I282" s="90">
        <v>44501</v>
      </c>
      <c r="J282" s="91">
        <f>EFEITO!$J$282*EFEITO!$Y$241</f>
        <v>0</v>
      </c>
      <c r="K282" s="91">
        <f ca="1">EFEITO!$L$282*EFEITO!$Z$241</f>
        <v>3370.3083870093574</v>
      </c>
      <c r="L282" s="91">
        <f>EFEITO!$N$282*EFEITO!$AA$241</f>
        <v>8278.0806720763958</v>
      </c>
      <c r="M282" s="91">
        <f>$J$282-EFEITO!$K$282*EFEITO!$Y$282</f>
        <v>0</v>
      </c>
      <c r="N282" s="91">
        <f ca="1">$K$282-EFEITO!$M$282*EFEITO!$Z$282</f>
        <v>67.406167740187357</v>
      </c>
      <c r="O282" s="91">
        <f>$L$282-EFEITO!$O$282*EFEITO!$AA$282</f>
        <v>165.56161344152861</v>
      </c>
      <c r="P282" s="19"/>
      <c r="Q282" s="19"/>
      <c r="R282" s="19"/>
      <c r="S282" s="19"/>
      <c r="T282" s="19"/>
      <c r="U282" s="19"/>
      <c r="V282" s="19"/>
      <c r="W282" s="19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84" t="s">
        <v>21</v>
      </c>
      <c r="B283" s="84" t="s">
        <v>38</v>
      </c>
      <c r="C283" s="84" t="s">
        <v>39</v>
      </c>
      <c r="D283" s="84" t="s">
        <v>43</v>
      </c>
      <c r="E283" s="84" t="s">
        <v>52</v>
      </c>
      <c r="F283" s="84" t="s">
        <v>25</v>
      </c>
      <c r="G283" s="84" t="s">
        <v>25</v>
      </c>
      <c r="H283" s="84" t="s">
        <v>34</v>
      </c>
      <c r="I283" s="90">
        <v>44531</v>
      </c>
      <c r="J283" s="91">
        <f>EFEITO!$J$283*EFEITO!$Y$241</f>
        <v>0</v>
      </c>
      <c r="K283" s="91">
        <f ca="1">EFEITO!$L$283*EFEITO!$Z$241</f>
        <v>5748.5436243642762</v>
      </c>
      <c r="L283" s="91">
        <f>EFEITO!$N$283*EFEITO!$AA$241</f>
        <v>14119.452110928087</v>
      </c>
      <c r="M283" s="91">
        <f>$J$283-EFEITO!$K$283*EFEITO!$Y$283</f>
        <v>0</v>
      </c>
      <c r="N283" s="91">
        <f ca="1">$K$283-EFEITO!$M$283*EFEITO!$Z$283</f>
        <v>114.97087248728531</v>
      </c>
      <c r="O283" s="91">
        <f>$L$283-EFEITO!$O$283*EFEITO!$AA$283</f>
        <v>282.38904221856137</v>
      </c>
      <c r="P283" s="19"/>
      <c r="Q283" s="19"/>
      <c r="R283" s="19"/>
      <c r="S283" s="19"/>
      <c r="T283" s="19"/>
      <c r="U283" s="19"/>
      <c r="V283" s="19"/>
      <c r="W283" s="19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84" t="s">
        <v>21</v>
      </c>
      <c r="B284" s="84" t="s">
        <v>38</v>
      </c>
      <c r="C284" s="84" t="s">
        <v>39</v>
      </c>
      <c r="D284" s="84" t="s">
        <v>43</v>
      </c>
      <c r="E284" s="84" t="s">
        <v>52</v>
      </c>
      <c r="F284" s="84" t="s">
        <v>25</v>
      </c>
      <c r="G284" s="84" t="s">
        <v>25</v>
      </c>
      <c r="H284" s="84" t="s">
        <v>34</v>
      </c>
      <c r="I284" s="90">
        <v>44562</v>
      </c>
      <c r="J284" s="91">
        <f>EFEITO!$J$284*EFEITO!$Y$241</f>
        <v>0</v>
      </c>
      <c r="K284" s="91">
        <f ca="1">EFEITO!$L$284*EFEITO!$Z$241</f>
        <v>5426.1246414989882</v>
      </c>
      <c r="L284" s="91">
        <f>EFEITO!$N$284*EFEITO!$AA$241</f>
        <v>13327.533377124617</v>
      </c>
      <c r="M284" s="91">
        <f>$J$284-EFEITO!$K$284*EFEITO!$Y$284</f>
        <v>0</v>
      </c>
      <c r="N284" s="91">
        <f ca="1">$K$284-EFEITO!$M$284*EFEITO!$Z$284</f>
        <v>108.52249282997946</v>
      </c>
      <c r="O284" s="91">
        <f>$L$284-EFEITO!$O$284*EFEITO!$AA$284</f>
        <v>266.5506675424931</v>
      </c>
      <c r="P284" s="19"/>
      <c r="Q284" s="19"/>
      <c r="R284" s="19"/>
      <c r="S284" s="19"/>
      <c r="T284" s="19"/>
      <c r="U284" s="19"/>
      <c r="V284" s="19"/>
      <c r="W284" s="19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84" t="s">
        <v>21</v>
      </c>
      <c r="B285" s="84" t="s">
        <v>38</v>
      </c>
      <c r="C285" s="84" t="s">
        <v>39</v>
      </c>
      <c r="D285" s="84" t="s">
        <v>43</v>
      </c>
      <c r="E285" s="84" t="s">
        <v>52</v>
      </c>
      <c r="F285" s="84" t="s">
        <v>25</v>
      </c>
      <c r="G285" s="84" t="s">
        <v>25</v>
      </c>
      <c r="H285" s="84" t="s">
        <v>34</v>
      </c>
      <c r="I285" s="90">
        <v>44593</v>
      </c>
      <c r="J285" s="91">
        <f>EFEITO!$J$285*EFEITO!$Y$241</f>
        <v>0</v>
      </c>
      <c r="K285" s="91">
        <f ca="1">EFEITO!$L$285*EFEITO!$Z$241</f>
        <v>2946.3250291553018</v>
      </c>
      <c r="L285" s="91">
        <f>EFEITO!$N$285*EFEITO!$AA$241</f>
        <v>7236.7016536275532</v>
      </c>
      <c r="M285" s="91">
        <f>$J$285-EFEITO!$K$285*EFEITO!$Y$285</f>
        <v>0</v>
      </c>
      <c r="N285" s="91">
        <f ca="1">$K$285-EFEITO!$M$285*EFEITO!$Z$285</f>
        <v>58.926500583105735</v>
      </c>
      <c r="O285" s="91">
        <f>$L$285-EFEITO!$O$285*EFEITO!$AA$285</f>
        <v>144.73403307255103</v>
      </c>
      <c r="P285" s="19"/>
      <c r="Q285" s="19"/>
      <c r="R285" s="19"/>
      <c r="S285" s="19"/>
      <c r="T285" s="19"/>
      <c r="U285" s="19"/>
      <c r="V285" s="19"/>
      <c r="W285" s="19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84" t="s">
        <v>21</v>
      </c>
      <c r="B286" s="84" t="s">
        <v>38</v>
      </c>
      <c r="C286" s="84" t="s">
        <v>39</v>
      </c>
      <c r="D286" s="84" t="s">
        <v>43</v>
      </c>
      <c r="E286" s="84" t="s">
        <v>52</v>
      </c>
      <c r="F286" s="84" t="s">
        <v>25</v>
      </c>
      <c r="G286" s="84" t="s">
        <v>25</v>
      </c>
      <c r="H286" s="84" t="s">
        <v>34</v>
      </c>
      <c r="I286" s="90">
        <v>44621</v>
      </c>
      <c r="J286" s="91">
        <f>EFEITO!$J$286*EFEITO!$Y$241</f>
        <v>0</v>
      </c>
      <c r="K286" s="91">
        <f ca="1">EFEITO!$L$286*EFEITO!$Z$241</f>
        <v>40.625749995507249</v>
      </c>
      <c r="L286" s="91">
        <f>EFEITO!$N$286*EFEITO!$AA$241</f>
        <v>99.784113858149013</v>
      </c>
      <c r="M286" s="91">
        <f>$J$286-EFEITO!$K$286*EFEITO!$Y$286</f>
        <v>0</v>
      </c>
      <c r="N286" s="91">
        <f ca="1">$K$286-EFEITO!$M$286*EFEITO!$Z$286</f>
        <v>0.81251499991014242</v>
      </c>
      <c r="O286" s="91">
        <f>$L$286-EFEITO!$O$286*EFEITO!$AA$286</f>
        <v>1.9956822771629703</v>
      </c>
      <c r="P286" s="19"/>
      <c r="Q286" s="19"/>
      <c r="R286" s="19"/>
      <c r="S286" s="19"/>
      <c r="T286" s="19"/>
      <c r="U286" s="19"/>
      <c r="V286" s="19"/>
      <c r="W286" s="19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84" t="s">
        <v>21</v>
      </c>
      <c r="B287" s="84" t="s">
        <v>38</v>
      </c>
      <c r="C287" s="84" t="s">
        <v>39</v>
      </c>
      <c r="D287" s="84" t="s">
        <v>43</v>
      </c>
      <c r="E287" s="84" t="s">
        <v>52</v>
      </c>
      <c r="F287" s="84" t="s">
        <v>25</v>
      </c>
      <c r="G287" s="84" t="s">
        <v>25</v>
      </c>
      <c r="H287" s="84" t="s">
        <v>34</v>
      </c>
      <c r="I287" s="90">
        <v>44652</v>
      </c>
      <c r="J287" s="91">
        <f>EFEITO!$J$287*EFEITO!$Y$241</f>
        <v>0</v>
      </c>
      <c r="K287" s="91">
        <f ca="1">EFEITO!$L$287*EFEITO!$Z$241</f>
        <v>205.2366898357937</v>
      </c>
      <c r="L287" s="91">
        <f>EFEITO!$N$287*EFEITO!$AA$241</f>
        <v>504.09804689659245</v>
      </c>
      <c r="M287" s="91">
        <f>$J$287-EFEITO!$K$287*EFEITO!$Y$287</f>
        <v>0</v>
      </c>
      <c r="N287" s="91">
        <f ca="1">$K$287-EFEITO!$M$287*EFEITO!$Z$287</f>
        <v>4.1047337967158626</v>
      </c>
      <c r="O287" s="91">
        <f>$L$287-EFEITO!$O$287*EFEITO!$AA$287</f>
        <v>10.081960937931854</v>
      </c>
      <c r="P287" s="19"/>
      <c r="Q287" s="19"/>
      <c r="R287" s="19"/>
      <c r="S287" s="19"/>
      <c r="T287" s="19"/>
      <c r="U287" s="19"/>
      <c r="V287" s="19"/>
      <c r="W287" s="19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84" t="s">
        <v>21</v>
      </c>
      <c r="B288" s="84" t="s">
        <v>38</v>
      </c>
      <c r="C288" s="84" t="s">
        <v>39</v>
      </c>
      <c r="D288" s="84" t="s">
        <v>43</v>
      </c>
      <c r="E288" s="84" t="s">
        <v>52</v>
      </c>
      <c r="F288" s="84" t="s">
        <v>25</v>
      </c>
      <c r="G288" s="84" t="s">
        <v>25</v>
      </c>
      <c r="H288" s="84" t="s">
        <v>34</v>
      </c>
      <c r="I288" s="90">
        <v>44682</v>
      </c>
      <c r="J288" s="91">
        <f>EFEITO!$J$288*EFEITO!$Y$241</f>
        <v>0</v>
      </c>
      <c r="K288" s="91">
        <f ca="1">EFEITO!$L$288*EFEITO!$Z$241</f>
        <v>304.59730951820177</v>
      </c>
      <c r="L288" s="91">
        <f>EFEITO!$N$288*EFEITO!$AA$241</f>
        <v>748.14551404494273</v>
      </c>
      <c r="M288" s="91">
        <f>$J$288-EFEITO!$K$288*EFEITO!$Y$288</f>
        <v>0</v>
      </c>
      <c r="N288" s="91">
        <f ca="1">$K$288-EFEITO!$M$288*EFEITO!$Z$288</f>
        <v>6.0919461903640695</v>
      </c>
      <c r="O288" s="91">
        <f>$L$288-EFEITO!$O$288*EFEITO!$AA$288</f>
        <v>14.962910280898882</v>
      </c>
      <c r="P288" s="19"/>
      <c r="Q288" s="19"/>
      <c r="R288" s="19"/>
      <c r="S288" s="19"/>
      <c r="T288" s="19"/>
      <c r="U288" s="19"/>
      <c r="V288" s="19"/>
      <c r="W288" s="19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84" t="s">
        <v>55</v>
      </c>
      <c r="B289" s="84" t="s">
        <v>38</v>
      </c>
      <c r="C289" s="84" t="s">
        <v>39</v>
      </c>
      <c r="D289" s="84" t="s">
        <v>43</v>
      </c>
      <c r="E289" s="84" t="s">
        <v>52</v>
      </c>
      <c r="F289" s="84" t="s">
        <v>25</v>
      </c>
      <c r="G289" s="84" t="s">
        <v>25</v>
      </c>
      <c r="H289" s="84" t="s">
        <v>34</v>
      </c>
      <c r="I289" s="90">
        <v>44713</v>
      </c>
      <c r="J289" s="91">
        <f>EFEITO!$J$289*EFEITO!$Y$241</f>
        <v>0</v>
      </c>
      <c r="K289" s="91">
        <f ca="1">EFEITO!$L$289*EFEITO!$Z$241</f>
        <v>304.59730951820177</v>
      </c>
      <c r="L289" s="91">
        <f>EFEITO!$N$289*EFEITO!$AA$241</f>
        <v>748.14551404494273</v>
      </c>
      <c r="M289" s="91">
        <f>$J$289-EFEITO!$K$289*EFEITO!$Y$289</f>
        <v>0</v>
      </c>
      <c r="N289" s="91">
        <f ca="1">$K$289-EFEITO!$M$289*EFEITO!$Z$289</f>
        <v>6.0919461903640695</v>
      </c>
      <c r="O289" s="91">
        <f>$L$289-EFEITO!$O$289*EFEITO!$AA$289</f>
        <v>14.962910280898882</v>
      </c>
      <c r="P289" s="19"/>
      <c r="Q289" s="19"/>
      <c r="R289" s="19"/>
      <c r="S289" s="19"/>
      <c r="T289" s="19"/>
      <c r="U289" s="19"/>
      <c r="V289" s="19"/>
      <c r="W289" s="19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84" t="s">
        <v>21</v>
      </c>
      <c r="B290" s="84" t="s">
        <v>38</v>
      </c>
      <c r="C290" s="84" t="s">
        <v>39</v>
      </c>
      <c r="D290" s="84" t="s">
        <v>43</v>
      </c>
      <c r="E290" s="84" t="s">
        <v>52</v>
      </c>
      <c r="F290" s="84" t="s">
        <v>25</v>
      </c>
      <c r="G290" s="84" t="s">
        <v>25</v>
      </c>
      <c r="H290" s="84" t="s">
        <v>25</v>
      </c>
      <c r="I290" s="90">
        <v>44378</v>
      </c>
      <c r="J290" s="91">
        <f ca="1">EFEITO!$J$290*EFEITO!$Y$253</f>
        <v>20737.921628592492</v>
      </c>
      <c r="K290" s="91">
        <f>EFEITO!$L$290*EFEITO!$Z$253</f>
        <v>0</v>
      </c>
      <c r="L290" s="91">
        <f>EFEITO!$N$290*EFEITO!$AA$253</f>
        <v>0</v>
      </c>
      <c r="M290" s="91">
        <f ca="1">$J$290-EFEITO!$K$290*EFEITO!$Y$290</f>
        <v>414.75843257184897</v>
      </c>
      <c r="N290" s="91">
        <f>$K$290-EFEITO!$M$290*EFEITO!$Z$290</f>
        <v>0</v>
      </c>
      <c r="O290" s="91">
        <f>$L$290-EFEITO!$O$290*EFEITO!$AA$290</f>
        <v>0</v>
      </c>
      <c r="P290" s="19"/>
      <c r="Q290" s="19"/>
      <c r="R290" s="19"/>
      <c r="S290" s="19"/>
      <c r="T290" s="19"/>
      <c r="U290" s="19"/>
      <c r="V290" s="19"/>
      <c r="W290" s="19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84" t="s">
        <v>21</v>
      </c>
      <c r="B291" s="84" t="s">
        <v>38</v>
      </c>
      <c r="C291" s="84" t="s">
        <v>39</v>
      </c>
      <c r="D291" s="84" t="s">
        <v>43</v>
      </c>
      <c r="E291" s="84" t="s">
        <v>52</v>
      </c>
      <c r="F291" s="84" t="s">
        <v>25</v>
      </c>
      <c r="G291" s="84" t="s">
        <v>25</v>
      </c>
      <c r="H291" s="84" t="s">
        <v>25</v>
      </c>
      <c r="I291" s="90">
        <v>44409</v>
      </c>
      <c r="J291" s="91">
        <f ca="1">EFEITO!$J$291*EFEITO!$Y$253</f>
        <v>3699.4253669762347</v>
      </c>
      <c r="K291" s="91">
        <f>EFEITO!$L$291*EFEITO!$Z$253</f>
        <v>0</v>
      </c>
      <c r="L291" s="91">
        <f>EFEITO!$N$291*EFEITO!$AA$253</f>
        <v>0</v>
      </c>
      <c r="M291" s="91">
        <f ca="1">$J$291-EFEITO!$K$291*EFEITO!$Y$291</f>
        <v>73.988507339524404</v>
      </c>
      <c r="N291" s="91">
        <f>$K$291-EFEITO!$M$291*EFEITO!$Z$291</f>
        <v>0</v>
      </c>
      <c r="O291" s="91">
        <f>$L$291-EFEITO!$O$291*EFEITO!$AA$291</f>
        <v>0</v>
      </c>
      <c r="P291" s="19"/>
      <c r="Q291" s="19"/>
      <c r="R291" s="19"/>
      <c r="S291" s="19"/>
      <c r="T291" s="19"/>
      <c r="U291" s="19"/>
      <c r="V291" s="19"/>
      <c r="W291" s="19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84" t="s">
        <v>21</v>
      </c>
      <c r="B292" s="84" t="s">
        <v>38</v>
      </c>
      <c r="C292" s="84" t="s">
        <v>39</v>
      </c>
      <c r="D292" s="84" t="s">
        <v>43</v>
      </c>
      <c r="E292" s="84" t="s">
        <v>52</v>
      </c>
      <c r="F292" s="84" t="s">
        <v>25</v>
      </c>
      <c r="G292" s="84" t="s">
        <v>25</v>
      </c>
      <c r="H292" s="84" t="s">
        <v>25</v>
      </c>
      <c r="I292" s="90">
        <v>44440</v>
      </c>
      <c r="J292" s="91">
        <f ca="1">EFEITO!$J$292*EFEITO!$Y$253</f>
        <v>21160.713099104061</v>
      </c>
      <c r="K292" s="91">
        <f>EFEITO!$L$292*EFEITO!$Z$253</f>
        <v>0</v>
      </c>
      <c r="L292" s="91">
        <f>EFEITO!$N$292*EFEITO!$AA$253</f>
        <v>0</v>
      </c>
      <c r="M292" s="91">
        <f ca="1">$J$292-EFEITO!$K$292*EFEITO!$Y$292</f>
        <v>423.21426198208064</v>
      </c>
      <c r="N292" s="91">
        <f>$K$292-EFEITO!$M$292*EFEITO!$Z$292</f>
        <v>0</v>
      </c>
      <c r="O292" s="91">
        <f>$L$292-EFEITO!$O$292*EFEITO!$AA$292</f>
        <v>0</v>
      </c>
      <c r="P292" s="19"/>
      <c r="Q292" s="19"/>
      <c r="R292" s="19"/>
      <c r="S292" s="19"/>
      <c r="T292" s="19"/>
      <c r="U292" s="19"/>
      <c r="V292" s="19"/>
      <c r="W292" s="19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84" t="s">
        <v>21</v>
      </c>
      <c r="B293" s="84" t="s">
        <v>38</v>
      </c>
      <c r="C293" s="84" t="s">
        <v>39</v>
      </c>
      <c r="D293" s="84" t="s">
        <v>43</v>
      </c>
      <c r="E293" s="84" t="s">
        <v>52</v>
      </c>
      <c r="F293" s="84" t="s">
        <v>25</v>
      </c>
      <c r="G293" s="84" t="s">
        <v>25</v>
      </c>
      <c r="H293" s="84" t="s">
        <v>25</v>
      </c>
      <c r="I293" s="90">
        <v>44470</v>
      </c>
      <c r="J293" s="91">
        <f ca="1">EFEITO!$J$293*EFEITO!$Y$253</f>
        <v>7293.1528663245772</v>
      </c>
      <c r="K293" s="91">
        <f>EFEITO!$L$293*EFEITO!$Z$253</f>
        <v>0</v>
      </c>
      <c r="L293" s="91">
        <f>EFEITO!$N$293*EFEITO!$AA$253</f>
        <v>0</v>
      </c>
      <c r="M293" s="91">
        <f ca="1">$J$293-EFEITO!$K$293*EFEITO!$Y$293</f>
        <v>145.8630573264918</v>
      </c>
      <c r="N293" s="91">
        <f>$K$293-EFEITO!$M$293*EFEITO!$Z$293</f>
        <v>0</v>
      </c>
      <c r="O293" s="91">
        <f>$L$293-EFEITO!$O$293*EFEITO!$AA$293</f>
        <v>0</v>
      </c>
      <c r="P293" s="19"/>
      <c r="Q293" s="19"/>
      <c r="R293" s="19"/>
      <c r="S293" s="19"/>
      <c r="T293" s="19"/>
      <c r="U293" s="19"/>
      <c r="V293" s="19"/>
      <c r="W293" s="19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84" t="s">
        <v>21</v>
      </c>
      <c r="B294" s="84" t="s">
        <v>38</v>
      </c>
      <c r="C294" s="84" t="s">
        <v>39</v>
      </c>
      <c r="D294" s="84" t="s">
        <v>43</v>
      </c>
      <c r="E294" s="84" t="s">
        <v>52</v>
      </c>
      <c r="F294" s="84" t="s">
        <v>25</v>
      </c>
      <c r="G294" s="84" t="s">
        <v>25</v>
      </c>
      <c r="H294" s="84" t="s">
        <v>25</v>
      </c>
      <c r="I294" s="90">
        <v>44501</v>
      </c>
      <c r="J294" s="91">
        <f ca="1">EFEITO!$J$294*EFEITO!$Y$253</f>
        <v>8054.1775132454022</v>
      </c>
      <c r="K294" s="91">
        <f>EFEITO!$L$294*EFEITO!$Z$253</f>
        <v>0</v>
      </c>
      <c r="L294" s="91">
        <f>EFEITO!$N$294*EFEITO!$AA$253</f>
        <v>0</v>
      </c>
      <c r="M294" s="91">
        <f ca="1">$J$294-EFEITO!$K$294*EFEITO!$Y$294</f>
        <v>161.0835502649079</v>
      </c>
      <c r="N294" s="91">
        <f>$K$294-EFEITO!$M$294*EFEITO!$Z$294</f>
        <v>0</v>
      </c>
      <c r="O294" s="91">
        <f>$L$294-EFEITO!$O$294*EFEITO!$AA$294</f>
        <v>0</v>
      </c>
      <c r="P294" s="19"/>
      <c r="Q294" s="19"/>
      <c r="R294" s="19"/>
      <c r="S294" s="19"/>
      <c r="T294" s="19"/>
      <c r="U294" s="19"/>
      <c r="V294" s="19"/>
      <c r="W294" s="19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84" t="s">
        <v>21</v>
      </c>
      <c r="B295" s="84" t="s">
        <v>38</v>
      </c>
      <c r="C295" s="84" t="s">
        <v>39</v>
      </c>
      <c r="D295" s="84" t="s">
        <v>43</v>
      </c>
      <c r="E295" s="84" t="s">
        <v>52</v>
      </c>
      <c r="F295" s="84" t="s">
        <v>25</v>
      </c>
      <c r="G295" s="84" t="s">
        <v>25</v>
      </c>
      <c r="H295" s="84" t="s">
        <v>25</v>
      </c>
      <c r="I295" s="90">
        <v>44531</v>
      </c>
      <c r="J295" s="91">
        <f ca="1">EFEITO!$J$295*EFEITO!$Y$253</f>
        <v>19596.384658211256</v>
      </c>
      <c r="K295" s="91">
        <f>EFEITO!$L$295*EFEITO!$Z$253</f>
        <v>0</v>
      </c>
      <c r="L295" s="91">
        <f>EFEITO!$N$295*EFEITO!$AA$253</f>
        <v>0</v>
      </c>
      <c r="M295" s="91">
        <f ca="1">$J$295-EFEITO!$K$295*EFEITO!$Y$295</f>
        <v>391.92769316422709</v>
      </c>
      <c r="N295" s="91">
        <f>$K$295-EFEITO!$M$295*EFEITO!$Z$295</f>
        <v>0</v>
      </c>
      <c r="O295" s="91">
        <f>$L$295-EFEITO!$O$295*EFEITO!$AA$295</f>
        <v>0</v>
      </c>
      <c r="P295" s="19"/>
      <c r="Q295" s="19"/>
      <c r="R295" s="19"/>
      <c r="S295" s="19"/>
      <c r="T295" s="19"/>
      <c r="U295" s="19"/>
      <c r="V295" s="19"/>
      <c r="W295" s="19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84" t="s">
        <v>21</v>
      </c>
      <c r="B296" s="84" t="s">
        <v>38</v>
      </c>
      <c r="C296" s="84" t="s">
        <v>39</v>
      </c>
      <c r="D296" s="84" t="s">
        <v>43</v>
      </c>
      <c r="E296" s="84" t="s">
        <v>52</v>
      </c>
      <c r="F296" s="84" t="s">
        <v>25</v>
      </c>
      <c r="G296" s="84" t="s">
        <v>25</v>
      </c>
      <c r="H296" s="84" t="s">
        <v>25</v>
      </c>
      <c r="I296" s="90">
        <v>44562</v>
      </c>
      <c r="J296" s="91">
        <f ca="1">EFEITO!$J$296*EFEITO!$Y$253</f>
        <v>13423.629188742338</v>
      </c>
      <c r="K296" s="91">
        <f>EFEITO!$L$296*EFEITO!$Z$253</f>
        <v>0</v>
      </c>
      <c r="L296" s="91">
        <f>EFEITO!$N$296*EFEITO!$AA$253</f>
        <v>0</v>
      </c>
      <c r="M296" s="91">
        <f ca="1">$J$296-EFEITO!$K$296*EFEITO!$Y$296</f>
        <v>268.4725837748465</v>
      </c>
      <c r="N296" s="91">
        <f>$K$296-EFEITO!$M$296*EFEITO!$Z$296</f>
        <v>0</v>
      </c>
      <c r="O296" s="91">
        <f>$L$296-EFEITO!$O$296*EFEITO!$AA$296</f>
        <v>0</v>
      </c>
      <c r="P296" s="19"/>
      <c r="Q296" s="19"/>
      <c r="R296" s="19"/>
      <c r="S296" s="19"/>
      <c r="T296" s="19"/>
      <c r="U296" s="19"/>
      <c r="V296" s="19"/>
      <c r="W296" s="19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84" t="s">
        <v>21</v>
      </c>
      <c r="B297" s="84" t="s">
        <v>38</v>
      </c>
      <c r="C297" s="84" t="s">
        <v>39</v>
      </c>
      <c r="D297" s="84" t="s">
        <v>43</v>
      </c>
      <c r="E297" s="84" t="s">
        <v>52</v>
      </c>
      <c r="F297" s="84" t="s">
        <v>25</v>
      </c>
      <c r="G297" s="84" t="s">
        <v>25</v>
      </c>
      <c r="H297" s="84" t="s">
        <v>25</v>
      </c>
      <c r="I297" s="90">
        <v>44593</v>
      </c>
      <c r="J297" s="91">
        <f ca="1">EFEITO!$J$297*EFEITO!$Y$253</f>
        <v>12451.208806565728</v>
      </c>
      <c r="K297" s="91">
        <f>EFEITO!$L$297*EFEITO!$Z$253</f>
        <v>0</v>
      </c>
      <c r="L297" s="91">
        <f>EFEITO!$N$297*EFEITO!$AA$253</f>
        <v>0</v>
      </c>
      <c r="M297" s="91">
        <f ca="1">$J$297-EFEITO!$K$297*EFEITO!$Y$297</f>
        <v>249.02417613131547</v>
      </c>
      <c r="N297" s="91">
        <f>$K$297-EFEITO!$M$297*EFEITO!$Z$297</f>
        <v>0</v>
      </c>
      <c r="O297" s="91">
        <f>$L$297-EFEITO!$O$297*EFEITO!$AA$297</f>
        <v>0</v>
      </c>
      <c r="P297" s="19"/>
      <c r="Q297" s="19"/>
      <c r="R297" s="19"/>
      <c r="S297" s="19"/>
      <c r="T297" s="19"/>
      <c r="U297" s="19"/>
      <c r="V297" s="19"/>
      <c r="W297" s="19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84" t="s">
        <v>21</v>
      </c>
      <c r="B298" s="84" t="s">
        <v>38</v>
      </c>
      <c r="C298" s="84" t="s">
        <v>39</v>
      </c>
      <c r="D298" s="84" t="s">
        <v>43</v>
      </c>
      <c r="E298" s="84" t="s">
        <v>52</v>
      </c>
      <c r="F298" s="84" t="s">
        <v>25</v>
      </c>
      <c r="G298" s="84" t="s">
        <v>25</v>
      </c>
      <c r="H298" s="84" t="s">
        <v>25</v>
      </c>
      <c r="I298" s="90">
        <v>44621</v>
      </c>
      <c r="J298" s="91">
        <f ca="1">EFEITO!$J$298*EFEITO!$Y$253</f>
        <v>2156.2364996090055</v>
      </c>
      <c r="K298" s="91">
        <f>EFEITO!$L$298*EFEITO!$Z$253</f>
        <v>0</v>
      </c>
      <c r="L298" s="91">
        <f>EFEITO!$N$298*EFEITO!$AA$253</f>
        <v>0</v>
      </c>
      <c r="M298" s="91">
        <f ca="1">$J$298-EFEITO!$K$298*EFEITO!$Y$298</f>
        <v>43.124729992180164</v>
      </c>
      <c r="N298" s="91">
        <f>$K$298-EFEITO!$M$298*EFEITO!$Z$298</f>
        <v>0</v>
      </c>
      <c r="O298" s="91">
        <f>$L$298-EFEITO!$O$298*EFEITO!$AA$298</f>
        <v>0</v>
      </c>
      <c r="P298" s="19"/>
      <c r="Q298" s="19"/>
      <c r="R298" s="19"/>
      <c r="S298" s="19"/>
      <c r="T298" s="19"/>
      <c r="U298" s="19"/>
      <c r="V298" s="19"/>
      <c r="W298" s="19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84" t="s">
        <v>21</v>
      </c>
      <c r="B299" s="84" t="s">
        <v>38</v>
      </c>
      <c r="C299" s="84" t="s">
        <v>39</v>
      </c>
      <c r="D299" s="84" t="s">
        <v>43</v>
      </c>
      <c r="E299" s="84" t="s">
        <v>52</v>
      </c>
      <c r="F299" s="84" t="s">
        <v>25</v>
      </c>
      <c r="G299" s="84" t="s">
        <v>25</v>
      </c>
      <c r="H299" s="84" t="s">
        <v>25</v>
      </c>
      <c r="I299" s="90">
        <v>44652</v>
      </c>
      <c r="J299" s="91">
        <f ca="1">EFEITO!$J$299*EFEITO!$Y$253</f>
        <v>3636.0066463994995</v>
      </c>
      <c r="K299" s="91">
        <f>EFEITO!$L$299*EFEITO!$Z$253</f>
        <v>0</v>
      </c>
      <c r="L299" s="91">
        <f>EFEITO!$N$299*EFEITO!$AA$253</f>
        <v>0</v>
      </c>
      <c r="M299" s="91">
        <f ca="1">$J$299-EFEITO!$K$299*EFEITO!$Y$299</f>
        <v>72.720132927990107</v>
      </c>
      <c r="N299" s="91">
        <f>$K$299-EFEITO!$M$299*EFEITO!$Z$299</f>
        <v>0</v>
      </c>
      <c r="O299" s="91">
        <f>$L$299-EFEITO!$O$299*EFEITO!$AA$299</f>
        <v>0</v>
      </c>
      <c r="P299" s="19"/>
      <c r="Q299" s="19"/>
      <c r="R299" s="19"/>
      <c r="S299" s="19"/>
      <c r="T299" s="19"/>
      <c r="U299" s="19"/>
      <c r="V299" s="19"/>
      <c r="W299" s="19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84" t="s">
        <v>21</v>
      </c>
      <c r="B300" s="84" t="s">
        <v>38</v>
      </c>
      <c r="C300" s="84" t="s">
        <v>39</v>
      </c>
      <c r="D300" s="84" t="s">
        <v>43</v>
      </c>
      <c r="E300" s="84" t="s">
        <v>52</v>
      </c>
      <c r="F300" s="84" t="s">
        <v>25</v>
      </c>
      <c r="G300" s="84" t="s">
        <v>25</v>
      </c>
      <c r="H300" s="84" t="s">
        <v>25</v>
      </c>
      <c r="I300" s="90">
        <v>44682</v>
      </c>
      <c r="J300" s="91">
        <f ca="1">EFEITO!$J$300*EFEITO!$Y$253</f>
        <v>3741.7045140273917</v>
      </c>
      <c r="K300" s="91">
        <f>EFEITO!$L$300*EFEITO!$Z$253</f>
        <v>0</v>
      </c>
      <c r="L300" s="91">
        <f>EFEITO!$N$300*EFEITO!$AA$253</f>
        <v>0</v>
      </c>
      <c r="M300" s="91">
        <f ca="1">$J$300-EFEITO!$K$300*EFEITO!$Y$300</f>
        <v>74.834090280548025</v>
      </c>
      <c r="N300" s="91">
        <f>$K$300-EFEITO!$M$300*EFEITO!$Z$300</f>
        <v>0</v>
      </c>
      <c r="O300" s="91">
        <f>$L$300-EFEITO!$O$300*EFEITO!$AA$300</f>
        <v>0</v>
      </c>
      <c r="P300" s="19"/>
      <c r="Q300" s="19"/>
      <c r="R300" s="19"/>
      <c r="S300" s="19"/>
      <c r="T300" s="19"/>
      <c r="U300" s="19"/>
      <c r="V300" s="19"/>
      <c r="W300" s="19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84" t="s">
        <v>55</v>
      </c>
      <c r="B301" s="84" t="s">
        <v>38</v>
      </c>
      <c r="C301" s="84" t="s">
        <v>39</v>
      </c>
      <c r="D301" s="84" t="s">
        <v>43</v>
      </c>
      <c r="E301" s="84" t="s">
        <v>52</v>
      </c>
      <c r="F301" s="84" t="s">
        <v>25</v>
      </c>
      <c r="G301" s="84" t="s">
        <v>25</v>
      </c>
      <c r="H301" s="84" t="s">
        <v>25</v>
      </c>
      <c r="I301" s="90">
        <v>44713</v>
      </c>
      <c r="J301" s="91">
        <f ca="1">EFEITO!$J$301*EFEITO!$Y$253</f>
        <v>3741.7045140273917</v>
      </c>
      <c r="K301" s="91">
        <f>EFEITO!$L$301*EFEITO!$Z$253</f>
        <v>0</v>
      </c>
      <c r="L301" s="91">
        <f>EFEITO!$N$301*EFEITO!$AA$253</f>
        <v>0</v>
      </c>
      <c r="M301" s="91">
        <f ca="1">$J$301-EFEITO!$K$301*EFEITO!$Y$301</f>
        <v>74.834090280548025</v>
      </c>
      <c r="N301" s="91">
        <f>$K$301-EFEITO!$M$301*EFEITO!$Z$301</f>
        <v>0</v>
      </c>
      <c r="O301" s="91">
        <f>$L$301-EFEITO!$O$301*EFEITO!$AA$301</f>
        <v>0</v>
      </c>
      <c r="P301" s="19"/>
      <c r="Q301" s="19"/>
      <c r="R301" s="19"/>
      <c r="S301" s="19"/>
      <c r="T301" s="19"/>
      <c r="U301" s="19"/>
      <c r="V301" s="19"/>
      <c r="W301" s="19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84" t="s">
        <v>21</v>
      </c>
      <c r="B302" s="84" t="s">
        <v>38</v>
      </c>
      <c r="C302" s="84" t="s">
        <v>39</v>
      </c>
      <c r="D302" s="84" t="s">
        <v>43</v>
      </c>
      <c r="E302" s="84" t="s">
        <v>52</v>
      </c>
      <c r="F302" s="84" t="s">
        <v>25</v>
      </c>
      <c r="G302" s="84" t="s">
        <v>25</v>
      </c>
      <c r="H302" s="84" t="s">
        <v>33</v>
      </c>
      <c r="I302" s="90">
        <v>44378</v>
      </c>
      <c r="J302" s="91">
        <f>EFEITO!$J$302*EFEITO!$Y$265</f>
        <v>0</v>
      </c>
      <c r="K302" s="91">
        <f ca="1">EFEITO!$L$302*EFEITO!$Z$265</f>
        <v>31.90918731268469</v>
      </c>
      <c r="L302" s="91">
        <f>EFEITO!$N$302*EFEITO!$AA$265</f>
        <v>20.298848663504568</v>
      </c>
      <c r="M302" s="91">
        <f>$J$302-EFEITO!$K$302*EFEITO!$Y$302</f>
        <v>0</v>
      </c>
      <c r="N302" s="91">
        <f ca="1">$K$302-EFEITO!$M$302*EFEITO!$Z$302</f>
        <v>0.63818374625369145</v>
      </c>
      <c r="O302" s="91">
        <f>$L$302-EFEITO!$O$302*EFEITO!$AA$302</f>
        <v>0.40597697327009286</v>
      </c>
      <c r="P302" s="19"/>
      <c r="Q302" s="19"/>
      <c r="R302" s="19"/>
      <c r="S302" s="19"/>
      <c r="T302" s="19"/>
      <c r="U302" s="19"/>
      <c r="V302" s="19"/>
      <c r="W302" s="19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84" t="s">
        <v>21</v>
      </c>
      <c r="B303" s="84" t="s">
        <v>38</v>
      </c>
      <c r="C303" s="84" t="s">
        <v>39</v>
      </c>
      <c r="D303" s="84" t="s">
        <v>43</v>
      </c>
      <c r="E303" s="84" t="s">
        <v>52</v>
      </c>
      <c r="F303" s="84" t="s">
        <v>25</v>
      </c>
      <c r="G303" s="84" t="s">
        <v>25</v>
      </c>
      <c r="H303" s="84" t="s">
        <v>33</v>
      </c>
      <c r="I303" s="90">
        <v>44409</v>
      </c>
      <c r="J303" s="91">
        <f>EFEITO!$J$303*EFEITO!$Y$265</f>
        <v>0</v>
      </c>
      <c r="K303" s="91">
        <f ca="1">EFEITO!$L$303*EFEITO!$Z$265</f>
        <v>31.90918731268469</v>
      </c>
      <c r="L303" s="91">
        <f>EFEITO!$N$303*EFEITO!$AA$265</f>
        <v>20.298848663504568</v>
      </c>
      <c r="M303" s="91">
        <f>$J$303-EFEITO!$K$303*EFEITO!$Y$303</f>
        <v>0</v>
      </c>
      <c r="N303" s="91">
        <f ca="1">$K$303-EFEITO!$M$303*EFEITO!$Z$303</f>
        <v>0.63818374625369145</v>
      </c>
      <c r="O303" s="91">
        <f>$L$303-EFEITO!$O$303*EFEITO!$AA$303</f>
        <v>0.40597697327009286</v>
      </c>
      <c r="P303" s="19"/>
      <c r="Q303" s="19"/>
      <c r="R303" s="19"/>
      <c r="S303" s="19"/>
      <c r="T303" s="19"/>
      <c r="U303" s="19"/>
      <c r="V303" s="19"/>
      <c r="W303" s="19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84" t="s">
        <v>21</v>
      </c>
      <c r="B304" s="84" t="s">
        <v>38</v>
      </c>
      <c r="C304" s="84" t="s">
        <v>39</v>
      </c>
      <c r="D304" s="84" t="s">
        <v>43</v>
      </c>
      <c r="E304" s="84" t="s">
        <v>52</v>
      </c>
      <c r="F304" s="84" t="s">
        <v>25</v>
      </c>
      <c r="G304" s="84" t="s">
        <v>25</v>
      </c>
      <c r="H304" s="84" t="s">
        <v>33</v>
      </c>
      <c r="I304" s="90">
        <v>44440</v>
      </c>
      <c r="J304" s="91">
        <f>EFEITO!$J$304*EFEITO!$Y$265</f>
        <v>0</v>
      </c>
      <c r="K304" s="91">
        <f ca="1">EFEITO!$L$304*EFEITO!$Z$265</f>
        <v>32.5348576521491</v>
      </c>
      <c r="L304" s="91">
        <f>EFEITO!$N$304*EFEITO!$AA$265</f>
        <v>20.696865303965442</v>
      </c>
      <c r="M304" s="91">
        <f>$J$304-EFEITO!$K$304*EFEITO!$Y$304</f>
        <v>0</v>
      </c>
      <c r="N304" s="91">
        <f ca="1">$K$304-EFEITO!$M$304*EFEITO!$Z$304</f>
        <v>0.6506971530429837</v>
      </c>
      <c r="O304" s="91">
        <f>$L$304-EFEITO!$O$304*EFEITO!$AA$304</f>
        <v>0.41393730607930834</v>
      </c>
      <c r="P304" s="19"/>
      <c r="Q304" s="19"/>
      <c r="R304" s="19"/>
      <c r="S304" s="19"/>
      <c r="T304" s="19"/>
      <c r="U304" s="19"/>
      <c r="V304" s="19"/>
      <c r="W304" s="19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84" t="s">
        <v>21</v>
      </c>
      <c r="B305" s="84" t="s">
        <v>38</v>
      </c>
      <c r="C305" s="84" t="s">
        <v>39</v>
      </c>
      <c r="D305" s="84" t="s">
        <v>43</v>
      </c>
      <c r="E305" s="84" t="s">
        <v>52</v>
      </c>
      <c r="F305" s="84" t="s">
        <v>25</v>
      </c>
      <c r="G305" s="84" t="s">
        <v>25</v>
      </c>
      <c r="H305" s="84" t="s">
        <v>33</v>
      </c>
      <c r="I305" s="90">
        <v>44470</v>
      </c>
      <c r="J305" s="91">
        <f>EFEITO!$J$305*EFEITO!$Y$265</f>
        <v>0</v>
      </c>
      <c r="K305" s="91">
        <f ca="1">EFEITO!$L$305*EFEITO!$Z$265</f>
        <v>45.673934780901618</v>
      </c>
      <c r="L305" s="91">
        <f>EFEITO!$N$305*EFEITO!$AA$265</f>
        <v>29.055214753643796</v>
      </c>
      <c r="M305" s="91">
        <f>$J$305-EFEITO!$K$305*EFEITO!$Y$305</f>
        <v>0</v>
      </c>
      <c r="N305" s="91">
        <f ca="1">$K$305-EFEITO!$M$305*EFEITO!$Z$305</f>
        <v>0.91347869561803208</v>
      </c>
      <c r="O305" s="91">
        <f>$L$305-EFEITO!$O$305*EFEITO!$AA$305</f>
        <v>0.58110429507287975</v>
      </c>
      <c r="P305" s="19"/>
      <c r="Q305" s="19"/>
      <c r="R305" s="19"/>
      <c r="S305" s="19"/>
      <c r="T305" s="19"/>
      <c r="U305" s="19"/>
      <c r="V305" s="19"/>
      <c r="W305" s="19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84" t="s">
        <v>21</v>
      </c>
      <c r="B306" s="84" t="s">
        <v>38</v>
      </c>
      <c r="C306" s="84" t="s">
        <v>39</v>
      </c>
      <c r="D306" s="84" t="s">
        <v>43</v>
      </c>
      <c r="E306" s="84" t="s">
        <v>52</v>
      </c>
      <c r="F306" s="84" t="s">
        <v>25</v>
      </c>
      <c r="G306" s="84" t="s">
        <v>25</v>
      </c>
      <c r="H306" s="84" t="s">
        <v>33</v>
      </c>
      <c r="I306" s="90">
        <v>44501</v>
      </c>
      <c r="J306" s="91">
        <f>EFEITO!$J$306*EFEITO!$Y$265</f>
        <v>0</v>
      </c>
      <c r="K306" s="91">
        <f ca="1">EFEITO!$L$306*EFEITO!$Z$265</f>
        <v>22.524132220718606</v>
      </c>
      <c r="L306" s="91">
        <f>EFEITO!$N$306*EFEITO!$AA$265</f>
        <v>14.328599056591461</v>
      </c>
      <c r="M306" s="91">
        <f>$J$306-EFEITO!$K$306*EFEITO!$Y$306</f>
        <v>0</v>
      </c>
      <c r="N306" s="91">
        <f ca="1">$K$306-EFEITO!$M$306*EFEITO!$Z$306</f>
        <v>0.45048264441437169</v>
      </c>
      <c r="O306" s="91">
        <f>$L$306-EFEITO!$O$306*EFEITO!$AA$306</f>
        <v>0.28657198113183036</v>
      </c>
      <c r="P306" s="19"/>
      <c r="Q306" s="19"/>
      <c r="R306" s="19"/>
      <c r="S306" s="19"/>
      <c r="T306" s="19"/>
      <c r="U306" s="19"/>
      <c r="V306" s="19"/>
      <c r="W306" s="19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84" t="s">
        <v>21</v>
      </c>
      <c r="B307" s="84" t="s">
        <v>38</v>
      </c>
      <c r="C307" s="84" t="s">
        <v>39</v>
      </c>
      <c r="D307" s="84" t="s">
        <v>43</v>
      </c>
      <c r="E307" s="84" t="s">
        <v>52</v>
      </c>
      <c r="F307" s="84" t="s">
        <v>25</v>
      </c>
      <c r="G307" s="84" t="s">
        <v>25</v>
      </c>
      <c r="H307" s="84" t="s">
        <v>33</v>
      </c>
      <c r="I307" s="90">
        <v>44531</v>
      </c>
      <c r="J307" s="91">
        <f>EFEITO!$J$307*EFEITO!$Y$265</f>
        <v>0</v>
      </c>
      <c r="K307" s="91">
        <f ca="1">EFEITO!$L$307*EFEITO!$Z$265</f>
        <v>43.171253423044</v>
      </c>
      <c r="L307" s="91">
        <f>EFEITO!$N$307*EFEITO!$AA$265</f>
        <v>27.463148191800304</v>
      </c>
      <c r="M307" s="91">
        <f>$J$307-EFEITO!$K$307*EFEITO!$Y$307</f>
        <v>0</v>
      </c>
      <c r="N307" s="91">
        <f ca="1">$K$307-EFEITO!$M$307*EFEITO!$Z$307</f>
        <v>0.8634250684608773</v>
      </c>
      <c r="O307" s="91">
        <f>$L$307-EFEITO!$O$307*EFEITO!$AA$307</f>
        <v>0.54926296383600715</v>
      </c>
      <c r="P307" s="19"/>
      <c r="Q307" s="19"/>
      <c r="R307" s="19"/>
      <c r="S307" s="19"/>
      <c r="T307" s="19"/>
      <c r="U307" s="19"/>
      <c r="V307" s="19"/>
      <c r="W307" s="19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84" t="s">
        <v>21</v>
      </c>
      <c r="B308" s="84" t="s">
        <v>38</v>
      </c>
      <c r="C308" s="84" t="s">
        <v>39</v>
      </c>
      <c r="D308" s="84" t="s">
        <v>43</v>
      </c>
      <c r="E308" s="84" t="s">
        <v>52</v>
      </c>
      <c r="F308" s="84" t="s">
        <v>25</v>
      </c>
      <c r="G308" s="84" t="s">
        <v>25</v>
      </c>
      <c r="H308" s="84" t="s">
        <v>33</v>
      </c>
      <c r="I308" s="90">
        <v>44562</v>
      </c>
      <c r="J308" s="91">
        <f>EFEITO!$J$308*EFEITO!$Y$265</f>
        <v>0</v>
      </c>
      <c r="K308" s="91">
        <f ca="1">EFEITO!$L$308*EFEITO!$Z$265</f>
        <v>95.72756193805408</v>
      </c>
      <c r="L308" s="91">
        <f>EFEITO!$N$308*EFEITO!$AA$265</f>
        <v>60.896545990513708</v>
      </c>
      <c r="M308" s="91">
        <f>$J$308-EFEITO!$K$308*EFEITO!$Y$308</f>
        <v>0</v>
      </c>
      <c r="N308" s="91">
        <f ca="1">$K$308-EFEITO!$M$308*EFEITO!$Z$308</f>
        <v>1.9145512387610779</v>
      </c>
      <c r="O308" s="91">
        <f>$L$308-EFEITO!$O$308*EFEITO!$AA$308</f>
        <v>1.2179309198102786</v>
      </c>
      <c r="P308" s="19"/>
      <c r="Q308" s="19"/>
      <c r="R308" s="19"/>
      <c r="S308" s="19"/>
      <c r="T308" s="19"/>
      <c r="U308" s="19"/>
      <c r="V308" s="19"/>
      <c r="W308" s="19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84" t="s">
        <v>21</v>
      </c>
      <c r="B309" s="84" t="s">
        <v>38</v>
      </c>
      <c r="C309" s="84" t="s">
        <v>39</v>
      </c>
      <c r="D309" s="84" t="s">
        <v>43</v>
      </c>
      <c r="E309" s="84" t="s">
        <v>52</v>
      </c>
      <c r="F309" s="84" t="s">
        <v>25</v>
      </c>
      <c r="G309" s="84" t="s">
        <v>25</v>
      </c>
      <c r="H309" s="84" t="s">
        <v>33</v>
      </c>
      <c r="I309" s="90">
        <v>44593</v>
      </c>
      <c r="J309" s="91">
        <f>EFEITO!$J$309*EFEITO!$Y$265</f>
        <v>0</v>
      </c>
      <c r="K309" s="91">
        <f ca="1">EFEITO!$L$309*EFEITO!$Z$265</f>
        <v>78.208792433050718</v>
      </c>
      <c r="L309" s="91">
        <f>EFEITO!$N$309*EFEITO!$AA$265</f>
        <v>49.752080057609241</v>
      </c>
      <c r="M309" s="91">
        <f>$J$309-EFEITO!$K$309*EFEITO!$Y$309</f>
        <v>0</v>
      </c>
      <c r="N309" s="91">
        <f ca="1">$K$309-EFEITO!$M$309*EFEITO!$Z$309</f>
        <v>1.5641758486610087</v>
      </c>
      <c r="O309" s="91">
        <f>$L$309-EFEITO!$O$309*EFEITO!$AA$309</f>
        <v>0.99504160115218809</v>
      </c>
      <c r="P309" s="19"/>
      <c r="Q309" s="19"/>
      <c r="R309" s="19"/>
      <c r="S309" s="19"/>
      <c r="T309" s="19"/>
      <c r="U309" s="19"/>
      <c r="V309" s="19"/>
      <c r="W309" s="19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84" t="s">
        <v>21</v>
      </c>
      <c r="B310" s="84" t="s">
        <v>38</v>
      </c>
      <c r="C310" s="84" t="s">
        <v>39</v>
      </c>
      <c r="D310" s="84" t="s">
        <v>43</v>
      </c>
      <c r="E310" s="84" t="s">
        <v>52</v>
      </c>
      <c r="F310" s="84" t="s">
        <v>25</v>
      </c>
      <c r="G310" s="84" t="s">
        <v>25</v>
      </c>
      <c r="H310" s="84" t="s">
        <v>33</v>
      </c>
      <c r="I310" s="90">
        <v>44621</v>
      </c>
      <c r="J310" s="91">
        <f>EFEITO!$J$310*EFEITO!$Y$265</f>
        <v>0</v>
      </c>
      <c r="K310" s="91">
        <f ca="1">EFEITO!$L$310*EFEITO!$Z$265</f>
        <v>42.545583083579594</v>
      </c>
      <c r="L310" s="91">
        <f>EFEITO!$N$310*EFEITO!$AA$265</f>
        <v>27.06513155133943</v>
      </c>
      <c r="M310" s="91">
        <f>$J$310-EFEITO!$K$310*EFEITO!$Y$310</f>
        <v>0</v>
      </c>
      <c r="N310" s="91">
        <f ca="1">$K$310-EFEITO!$M$310*EFEITO!$Z$310</f>
        <v>0.8509116616715886</v>
      </c>
      <c r="O310" s="91">
        <f>$L$310-EFEITO!$O$310*EFEITO!$AA$310</f>
        <v>0.54130263102679166</v>
      </c>
      <c r="P310" s="19"/>
      <c r="Q310" s="19"/>
      <c r="R310" s="19"/>
      <c r="S310" s="19"/>
      <c r="T310" s="19"/>
      <c r="U310" s="19"/>
      <c r="V310" s="19"/>
      <c r="W310" s="19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84" t="s">
        <v>21</v>
      </c>
      <c r="B311" s="84" t="s">
        <v>38</v>
      </c>
      <c r="C311" s="84" t="s">
        <v>39</v>
      </c>
      <c r="D311" s="84" t="s">
        <v>43</v>
      </c>
      <c r="E311" s="84" t="s">
        <v>52</v>
      </c>
      <c r="F311" s="84" t="s">
        <v>25</v>
      </c>
      <c r="G311" s="84" t="s">
        <v>25</v>
      </c>
      <c r="H311" s="84" t="s">
        <v>33</v>
      </c>
      <c r="I311" s="90">
        <v>44652</v>
      </c>
      <c r="J311" s="91">
        <f>EFEITO!$J$311*EFEITO!$Y$265</f>
        <v>0</v>
      </c>
      <c r="K311" s="91">
        <f ca="1">EFEITO!$L$311*EFEITO!$Z$265</f>
        <v>59.438682249118543</v>
      </c>
      <c r="L311" s="91">
        <f>EFEITO!$N$311*EFEITO!$AA$265</f>
        <v>37.811580843783027</v>
      </c>
      <c r="M311" s="91">
        <f>$J$311-EFEITO!$K$311*EFEITO!$Y$311</f>
        <v>0</v>
      </c>
      <c r="N311" s="91">
        <f ca="1">$K$311-EFEITO!$M$311*EFEITO!$Z$311</f>
        <v>1.188773644982362</v>
      </c>
      <c r="O311" s="91">
        <f>$L$311-EFEITO!$O$311*EFEITO!$AA$311</f>
        <v>0.75623161687566665</v>
      </c>
      <c r="P311" s="19"/>
      <c r="Q311" s="19"/>
      <c r="R311" s="19"/>
      <c r="S311" s="19"/>
      <c r="T311" s="19"/>
      <c r="U311" s="19"/>
      <c r="V311" s="19"/>
      <c r="W311" s="19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84" t="s">
        <v>21</v>
      </c>
      <c r="B312" s="84" t="s">
        <v>38</v>
      </c>
      <c r="C312" s="84" t="s">
        <v>39</v>
      </c>
      <c r="D312" s="84" t="s">
        <v>43</v>
      </c>
      <c r="E312" s="84" t="s">
        <v>52</v>
      </c>
      <c r="F312" s="84" t="s">
        <v>25</v>
      </c>
      <c r="G312" s="84" t="s">
        <v>25</v>
      </c>
      <c r="H312" s="84" t="s">
        <v>33</v>
      </c>
      <c r="I312" s="90">
        <v>44682</v>
      </c>
      <c r="J312" s="91">
        <f>EFEITO!$J$312*EFEITO!$Y$265</f>
        <v>0</v>
      </c>
      <c r="K312" s="91">
        <f ca="1">EFEITO!$L$312*EFEITO!$Z$265</f>
        <v>69.449407680549044</v>
      </c>
      <c r="L312" s="91">
        <f>EFEITO!$N$312*EFEITO!$AA$265</f>
        <v>44.179847091157008</v>
      </c>
      <c r="M312" s="91">
        <f>$J$312-EFEITO!$K$312*EFEITO!$Y$312</f>
        <v>0</v>
      </c>
      <c r="N312" s="91">
        <f ca="1">$K$312-EFEITO!$M$312*EFEITO!$Z$312</f>
        <v>1.3889881536109812</v>
      </c>
      <c r="O312" s="91">
        <f>$L$312-EFEITO!$O$312*EFEITO!$AA$312</f>
        <v>0.88359694182314286</v>
      </c>
      <c r="P312" s="19"/>
      <c r="Q312" s="19"/>
      <c r="R312" s="19"/>
      <c r="S312" s="19"/>
      <c r="T312" s="19"/>
      <c r="U312" s="19"/>
      <c r="V312" s="19"/>
      <c r="W312" s="19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84" t="s">
        <v>55</v>
      </c>
      <c r="B313" s="84" t="s">
        <v>38</v>
      </c>
      <c r="C313" s="84" t="s">
        <v>39</v>
      </c>
      <c r="D313" s="84" t="s">
        <v>43</v>
      </c>
      <c r="E313" s="84" t="s">
        <v>52</v>
      </c>
      <c r="F313" s="84" t="s">
        <v>25</v>
      </c>
      <c r="G313" s="84" t="s">
        <v>25</v>
      </c>
      <c r="H313" s="84" t="s">
        <v>33</v>
      </c>
      <c r="I313" s="90">
        <v>44713</v>
      </c>
      <c r="J313" s="91">
        <f>EFEITO!$J$313*EFEITO!$Y$265</f>
        <v>0</v>
      </c>
      <c r="K313" s="91">
        <f ca="1">EFEITO!$L$313*EFEITO!$Z$265</f>
        <v>69.449407680549044</v>
      </c>
      <c r="L313" s="91">
        <f>EFEITO!$N$313*EFEITO!$AA$265</f>
        <v>44.179847091157008</v>
      </c>
      <c r="M313" s="91">
        <f>$J$313-EFEITO!$K$313*EFEITO!$Y$313</f>
        <v>0</v>
      </c>
      <c r="N313" s="91">
        <f ca="1">$K$313-EFEITO!$M$313*EFEITO!$Z$313</f>
        <v>1.3889881536109812</v>
      </c>
      <c r="O313" s="91">
        <f>$L$313-EFEITO!$O$313*EFEITO!$AA$313</f>
        <v>0.88359694182314286</v>
      </c>
      <c r="P313" s="19"/>
      <c r="Q313" s="19"/>
      <c r="R313" s="19"/>
      <c r="S313" s="19"/>
      <c r="T313" s="19"/>
      <c r="U313" s="19"/>
      <c r="V313" s="19"/>
      <c r="W313" s="19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84" t="s">
        <v>21</v>
      </c>
      <c r="B314" s="84" t="s">
        <v>38</v>
      </c>
      <c r="C314" s="84" t="s">
        <v>39</v>
      </c>
      <c r="D314" s="84" t="s">
        <v>43</v>
      </c>
      <c r="E314" s="84" t="s">
        <v>25</v>
      </c>
      <c r="F314" s="84" t="s">
        <v>25</v>
      </c>
      <c r="G314" s="84" t="s">
        <v>25</v>
      </c>
      <c r="H314" s="84" t="s">
        <v>34</v>
      </c>
      <c r="I314" s="90">
        <v>44378</v>
      </c>
      <c r="J314" s="91">
        <f>EFEITO!$J$314*EFEITO!$Y$241</f>
        <v>0</v>
      </c>
      <c r="K314" s="91">
        <f ca="1">EFEITO!$L$314*EFEITO!$Z$241</f>
        <v>7860.6993623382432</v>
      </c>
      <c r="L314" s="91">
        <f>EFEITO!$N$314*EFEITO!$AA$241</f>
        <v>19307.284671987138</v>
      </c>
      <c r="M314" s="91">
        <f>$J$314-EFEITO!$K$314*EFEITO!$Y$314</f>
        <v>0</v>
      </c>
      <c r="N314" s="91">
        <f ca="1">$K$314-EFEITO!$M$314*EFEITO!$Z$314</f>
        <v>157.2139872467651</v>
      </c>
      <c r="O314" s="91">
        <f>$L$314-EFEITO!$O$314*EFEITO!$AA$314</f>
        <v>386.1456934397429</v>
      </c>
      <c r="P314" s="19"/>
      <c r="Q314" s="19"/>
      <c r="R314" s="19"/>
      <c r="S314" s="19"/>
      <c r="T314" s="19"/>
      <c r="U314" s="19"/>
      <c r="V314" s="19"/>
      <c r="W314" s="19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84" t="s">
        <v>21</v>
      </c>
      <c r="B315" s="84" t="s">
        <v>38</v>
      </c>
      <c r="C315" s="84" t="s">
        <v>39</v>
      </c>
      <c r="D315" s="84" t="s">
        <v>43</v>
      </c>
      <c r="E315" s="84" t="s">
        <v>25</v>
      </c>
      <c r="F315" s="84" t="s">
        <v>25</v>
      </c>
      <c r="G315" s="84" t="s">
        <v>25</v>
      </c>
      <c r="H315" s="84" t="s">
        <v>34</v>
      </c>
      <c r="I315" s="90">
        <v>44409</v>
      </c>
      <c r="J315" s="91">
        <f>EFEITO!$J$315*EFEITO!$Y$241</f>
        <v>0</v>
      </c>
      <c r="K315" s="91">
        <f ca="1">EFEITO!$L$315*EFEITO!$Z$241</f>
        <v>7333.3311359814697</v>
      </c>
      <c r="L315" s="91">
        <f>EFEITO!$N$315*EFEITO!$AA$241</f>
        <v>18011.973910960598</v>
      </c>
      <c r="M315" s="91">
        <f>$J$315-EFEITO!$K$315*EFEITO!$Y$315</f>
        <v>0</v>
      </c>
      <c r="N315" s="91">
        <f ca="1">$K$315-EFEITO!$M$315*EFEITO!$Z$315</f>
        <v>146.66662271962923</v>
      </c>
      <c r="O315" s="91">
        <f>$L$315-EFEITO!$O$315*EFEITO!$AA$315</f>
        <v>360.2394782192132</v>
      </c>
      <c r="P315" s="19"/>
      <c r="Q315" s="19"/>
      <c r="R315" s="19"/>
      <c r="S315" s="19"/>
      <c r="T315" s="19"/>
      <c r="U315" s="19"/>
      <c r="V315" s="19"/>
      <c r="W315" s="19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84" t="s">
        <v>21</v>
      </c>
      <c r="B316" s="84" t="s">
        <v>38</v>
      </c>
      <c r="C316" s="84" t="s">
        <v>39</v>
      </c>
      <c r="D316" s="84" t="s">
        <v>43</v>
      </c>
      <c r="E316" s="84" t="s">
        <v>25</v>
      </c>
      <c r="F316" s="84" t="s">
        <v>25</v>
      </c>
      <c r="G316" s="84" t="s">
        <v>25</v>
      </c>
      <c r="H316" s="84" t="s">
        <v>34</v>
      </c>
      <c r="I316" s="90">
        <v>44440</v>
      </c>
      <c r="J316" s="91">
        <f>EFEITO!$J$316*EFEITO!$Y$241</f>
        <v>0</v>
      </c>
      <c r="K316" s="91">
        <f ca="1">EFEITO!$L$316*EFEITO!$Z$241</f>
        <v>7097.6251336490441</v>
      </c>
      <c r="L316" s="91">
        <f>EFEITO!$N$316*EFEITO!$AA$241</f>
        <v>17433.037778670394</v>
      </c>
      <c r="M316" s="91">
        <f>$J$316-EFEITO!$K$316*EFEITO!$Y$316</f>
        <v>0</v>
      </c>
      <c r="N316" s="91">
        <f ca="1">$K$316-EFEITO!$M$316*EFEITO!$Z$316</f>
        <v>141.9525026729807</v>
      </c>
      <c r="O316" s="91">
        <f>$L$316-EFEITO!$O$316*EFEITO!$AA$316</f>
        <v>348.6607555734081</v>
      </c>
      <c r="P316" s="19"/>
      <c r="Q316" s="19"/>
      <c r="R316" s="19"/>
      <c r="S316" s="19"/>
      <c r="T316" s="19"/>
      <c r="U316" s="19"/>
      <c r="V316" s="19"/>
      <c r="W316" s="19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84" t="s">
        <v>21</v>
      </c>
      <c r="B317" s="84" t="s">
        <v>38</v>
      </c>
      <c r="C317" s="84" t="s">
        <v>39</v>
      </c>
      <c r="D317" s="84" t="s">
        <v>43</v>
      </c>
      <c r="E317" s="84" t="s">
        <v>25</v>
      </c>
      <c r="F317" s="84" t="s">
        <v>25</v>
      </c>
      <c r="G317" s="84" t="s">
        <v>25</v>
      </c>
      <c r="H317" s="84" t="s">
        <v>34</v>
      </c>
      <c r="I317" s="90">
        <v>44470</v>
      </c>
      <c r="J317" s="91">
        <f>EFEITO!$J$317*EFEITO!$Y$241</f>
        <v>0</v>
      </c>
      <c r="K317" s="91">
        <f ca="1">EFEITO!$L$317*EFEITO!$Z$241</f>
        <v>7626.7180380716654</v>
      </c>
      <c r="L317" s="91">
        <f>EFEITO!$N$317*EFEITO!$AA$241</f>
        <v>18732.58465773808</v>
      </c>
      <c r="M317" s="91">
        <f>$J$317-EFEITO!$K$317*EFEITO!$Y$317</f>
        <v>0</v>
      </c>
      <c r="N317" s="91">
        <f ca="1">$K$317-EFEITO!$M$317*EFEITO!$Z$317</f>
        <v>152.53436076143316</v>
      </c>
      <c r="O317" s="91">
        <f>$L$317-EFEITO!$O$317*EFEITO!$AA$317</f>
        <v>374.65169315476305</v>
      </c>
      <c r="P317" s="19"/>
      <c r="Q317" s="19"/>
      <c r="R317" s="19"/>
      <c r="S317" s="19"/>
      <c r="T317" s="19"/>
      <c r="U317" s="19"/>
      <c r="V317" s="19"/>
      <c r="W317" s="19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84" t="s">
        <v>21</v>
      </c>
      <c r="B318" s="84" t="s">
        <v>38</v>
      </c>
      <c r="C318" s="84" t="s">
        <v>39</v>
      </c>
      <c r="D318" s="84" t="s">
        <v>43</v>
      </c>
      <c r="E318" s="84" t="s">
        <v>25</v>
      </c>
      <c r="F318" s="84" t="s">
        <v>25</v>
      </c>
      <c r="G318" s="84" t="s">
        <v>25</v>
      </c>
      <c r="H318" s="84" t="s">
        <v>34</v>
      </c>
      <c r="I318" s="90">
        <v>44501</v>
      </c>
      <c r="J318" s="91">
        <f>EFEITO!$J$318*EFEITO!$Y$241</f>
        <v>0</v>
      </c>
      <c r="K318" s="91">
        <f ca="1">EFEITO!$L$318*EFEITO!$Z$241</f>
        <v>10102.78084793935</v>
      </c>
      <c r="L318" s="91">
        <f>EFEITO!$N$318*EFEITO!$AA$241</f>
        <v>24814.238125479322</v>
      </c>
      <c r="M318" s="91">
        <f>$J$318-EFEITO!$K$318*EFEITO!$Y$318</f>
        <v>0</v>
      </c>
      <c r="N318" s="91">
        <f ca="1">$K$318-EFEITO!$M$318*EFEITO!$Z$318</f>
        <v>202.05561695878714</v>
      </c>
      <c r="O318" s="91">
        <f>$L$318-EFEITO!$O$318*EFEITO!$AA$318</f>
        <v>496.28476250958556</v>
      </c>
      <c r="P318" s="19"/>
      <c r="Q318" s="19"/>
      <c r="R318" s="19"/>
      <c r="S318" s="19"/>
      <c r="T318" s="19"/>
      <c r="U318" s="19"/>
      <c r="V318" s="19"/>
      <c r="W318" s="19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84" t="s">
        <v>21</v>
      </c>
      <c r="B319" s="84" t="s">
        <v>38</v>
      </c>
      <c r="C319" s="84" t="s">
        <v>39</v>
      </c>
      <c r="D319" s="84" t="s">
        <v>43</v>
      </c>
      <c r="E319" s="84" t="s">
        <v>25</v>
      </c>
      <c r="F319" s="84" t="s">
        <v>25</v>
      </c>
      <c r="G319" s="84" t="s">
        <v>25</v>
      </c>
      <c r="H319" s="84" t="s">
        <v>34</v>
      </c>
      <c r="I319" s="90">
        <v>44531</v>
      </c>
      <c r="J319" s="91">
        <f>EFEITO!$J$319*EFEITO!$Y$241</f>
        <v>0</v>
      </c>
      <c r="K319" s="91">
        <f ca="1">EFEITO!$L$319*EFEITO!$Z$241</f>
        <v>8194.1371217353299</v>
      </c>
      <c r="L319" s="91">
        <f>EFEITO!$N$319*EFEITO!$AA$241</f>
        <v>20126.267493275718</v>
      </c>
      <c r="M319" s="91">
        <f>$J$319-EFEITO!$K$319*EFEITO!$Y$319</f>
        <v>0</v>
      </c>
      <c r="N319" s="91">
        <f ca="1">$K$319-EFEITO!$M$319*EFEITO!$Z$319</f>
        <v>163.88274243470642</v>
      </c>
      <c r="O319" s="91">
        <f>$L$319-EFEITO!$O$319*EFEITO!$AA$319</f>
        <v>402.52534986551473</v>
      </c>
      <c r="P319" s="19"/>
      <c r="Q319" s="19"/>
      <c r="R319" s="19"/>
      <c r="S319" s="19"/>
      <c r="T319" s="19"/>
      <c r="U319" s="19"/>
      <c r="V319" s="19"/>
      <c r="W319" s="19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84" t="s">
        <v>21</v>
      </c>
      <c r="B320" s="84" t="s">
        <v>38</v>
      </c>
      <c r="C320" s="84" t="s">
        <v>39</v>
      </c>
      <c r="D320" s="84" t="s">
        <v>43</v>
      </c>
      <c r="E320" s="84" t="s">
        <v>25</v>
      </c>
      <c r="F320" s="84" t="s">
        <v>25</v>
      </c>
      <c r="G320" s="84" t="s">
        <v>25</v>
      </c>
      <c r="H320" s="84" t="s">
        <v>34</v>
      </c>
      <c r="I320" s="90">
        <v>44562</v>
      </c>
      <c r="J320" s="91">
        <f>EFEITO!$J$320*EFEITO!$Y$241</f>
        <v>0</v>
      </c>
      <c r="K320" s="91">
        <f ca="1">EFEITO!$L$320*EFEITO!$Z$241</f>
        <v>10601.212808969134</v>
      </c>
      <c r="L320" s="91">
        <f>EFEITO!$N$320*EFEITO!$AA$241</f>
        <v>26038.476239371048</v>
      </c>
      <c r="M320" s="91">
        <f>$J$320-EFEITO!$K$320*EFEITO!$Y$320</f>
        <v>0</v>
      </c>
      <c r="N320" s="91">
        <f ca="1">$K$320-EFEITO!$M$320*EFEITO!$Z$320</f>
        <v>212.02425617938206</v>
      </c>
      <c r="O320" s="91">
        <f>$L$320-EFEITO!$O$320*EFEITO!$AA$320</f>
        <v>520.76952478742169</v>
      </c>
      <c r="P320" s="19"/>
      <c r="Q320" s="19"/>
      <c r="R320" s="19"/>
      <c r="S320" s="19"/>
      <c r="T320" s="19"/>
      <c r="U320" s="19"/>
      <c r="V320" s="19"/>
      <c r="W320" s="19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84" t="s">
        <v>21</v>
      </c>
      <c r="B321" s="84" t="s">
        <v>38</v>
      </c>
      <c r="C321" s="84" t="s">
        <v>39</v>
      </c>
      <c r="D321" s="84" t="s">
        <v>43</v>
      </c>
      <c r="E321" s="84" t="s">
        <v>25</v>
      </c>
      <c r="F321" s="84" t="s">
        <v>25</v>
      </c>
      <c r="G321" s="84" t="s">
        <v>25</v>
      </c>
      <c r="H321" s="84" t="s">
        <v>34</v>
      </c>
      <c r="I321" s="90">
        <v>44593</v>
      </c>
      <c r="J321" s="91">
        <f>EFEITO!$J$321*EFEITO!$Y$241</f>
        <v>0</v>
      </c>
      <c r="K321" s="91">
        <f ca="1">EFEITO!$L$321*EFEITO!$Z$241</f>
        <v>9994.5093915834004</v>
      </c>
      <c r="L321" s="91">
        <f>EFEITO!$N$321*EFEITO!$AA$241</f>
        <v>24548.304048451708</v>
      </c>
      <c r="M321" s="91">
        <f>$J$321-EFEITO!$K$321*EFEITO!$Y$321</f>
        <v>0</v>
      </c>
      <c r="N321" s="91">
        <f ca="1">$K$321-EFEITO!$M$321*EFEITO!$Z$321</f>
        <v>199.8901878316683</v>
      </c>
      <c r="O321" s="91">
        <f>$L$321-EFEITO!$O$321*EFEITO!$AA$321</f>
        <v>490.96608096903219</v>
      </c>
      <c r="P321" s="19"/>
      <c r="Q321" s="19"/>
      <c r="R321" s="19"/>
      <c r="S321" s="19"/>
      <c r="T321" s="19"/>
      <c r="U321" s="19"/>
      <c r="V321" s="19"/>
      <c r="W321" s="19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84" t="s">
        <v>21</v>
      </c>
      <c r="B322" s="84" t="s">
        <v>38</v>
      </c>
      <c r="C322" s="84" t="s">
        <v>39</v>
      </c>
      <c r="D322" s="84" t="s">
        <v>43</v>
      </c>
      <c r="E322" s="84" t="s">
        <v>25</v>
      </c>
      <c r="F322" s="84" t="s">
        <v>25</v>
      </c>
      <c r="G322" s="84" t="s">
        <v>25</v>
      </c>
      <c r="H322" s="84" t="s">
        <v>34</v>
      </c>
      <c r="I322" s="90">
        <v>44621</v>
      </c>
      <c r="J322" s="91">
        <f>EFEITO!$J$322*EFEITO!$Y$241</f>
        <v>0</v>
      </c>
      <c r="K322" s="91">
        <f ca="1">EFEITO!$L$322*EFEITO!$Z$241</f>
        <v>11035.927497010684</v>
      </c>
      <c r="L322" s="91">
        <f>EFEITO!$N$322*EFEITO!$AA$241</f>
        <v>27106.213325631477</v>
      </c>
      <c r="M322" s="91">
        <f>$J$322-EFEITO!$K$322*EFEITO!$Y$322</f>
        <v>0</v>
      </c>
      <c r="N322" s="91">
        <f ca="1">$K$322-EFEITO!$M$322*EFEITO!$Z$322</f>
        <v>220.71854994021305</v>
      </c>
      <c r="O322" s="91">
        <f>$L$322-EFEITO!$O$322*EFEITO!$AA$322</f>
        <v>542.12426651263013</v>
      </c>
      <c r="P322" s="19"/>
      <c r="Q322" s="19"/>
      <c r="R322" s="19"/>
      <c r="S322" s="19"/>
      <c r="T322" s="19"/>
      <c r="U322" s="19"/>
      <c r="V322" s="19"/>
      <c r="W322" s="19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84" t="s">
        <v>21</v>
      </c>
      <c r="B323" s="84" t="s">
        <v>38</v>
      </c>
      <c r="C323" s="84" t="s">
        <v>39</v>
      </c>
      <c r="D323" s="84" t="s">
        <v>43</v>
      </c>
      <c r="E323" s="84" t="s">
        <v>25</v>
      </c>
      <c r="F323" s="84" t="s">
        <v>25</v>
      </c>
      <c r="G323" s="84" t="s">
        <v>25</v>
      </c>
      <c r="H323" s="84" t="s">
        <v>34</v>
      </c>
      <c r="I323" s="90">
        <v>44652</v>
      </c>
      <c r="J323" s="91">
        <f>EFEITO!$J$323*EFEITO!$Y$241</f>
        <v>0</v>
      </c>
      <c r="K323" s="91">
        <f ca="1">EFEITO!$L$323*EFEITO!$Z$241</f>
        <v>13861.33343066049</v>
      </c>
      <c r="L323" s="91">
        <f>EFEITO!$N$323*EFEITO!$AA$241</f>
        <v>34045.916036596333</v>
      </c>
      <c r="M323" s="91">
        <f>$J$323-EFEITO!$K$323*EFEITO!$Y$323</f>
        <v>0</v>
      </c>
      <c r="N323" s="91">
        <f ca="1">$K$323-EFEITO!$M$323*EFEITO!$Z$323</f>
        <v>277.22666861320977</v>
      </c>
      <c r="O323" s="91">
        <f>$L$323-EFEITO!$O$323*EFEITO!$AA$323</f>
        <v>680.91832073192927</v>
      </c>
      <c r="P323" s="19"/>
      <c r="Q323" s="19"/>
      <c r="R323" s="19"/>
      <c r="S323" s="19"/>
      <c r="T323" s="19"/>
      <c r="U323" s="19"/>
      <c r="V323" s="19"/>
      <c r="W323" s="19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84" t="s">
        <v>21</v>
      </c>
      <c r="B324" s="84" t="s">
        <v>38</v>
      </c>
      <c r="C324" s="84" t="s">
        <v>39</v>
      </c>
      <c r="D324" s="84" t="s">
        <v>43</v>
      </c>
      <c r="E324" s="84" t="s">
        <v>25</v>
      </c>
      <c r="F324" s="84" t="s">
        <v>25</v>
      </c>
      <c r="G324" s="84" t="s">
        <v>25</v>
      </c>
      <c r="H324" s="84" t="s">
        <v>34</v>
      </c>
      <c r="I324" s="90">
        <v>44682</v>
      </c>
      <c r="J324" s="91">
        <f>EFEITO!$J$324*EFEITO!$Y$241</f>
        <v>0</v>
      </c>
      <c r="K324" s="91">
        <f ca="1">EFEITO!$L$324*EFEITO!$Z$241</f>
        <v>11228.324916800726</v>
      </c>
      <c r="L324" s="91">
        <f>EFEITO!$N$324*EFEITO!$AA$241</f>
        <v>27578.775827110636</v>
      </c>
      <c r="M324" s="91">
        <f>$J$324-EFEITO!$K$324*EFEITO!$Y$324</f>
        <v>0</v>
      </c>
      <c r="N324" s="91">
        <f ca="1">$K$324-EFEITO!$M$324*EFEITO!$Z$324</f>
        <v>224.56649833601296</v>
      </c>
      <c r="O324" s="91">
        <f>$L$324-EFEITO!$O$324*EFEITO!$AA$324</f>
        <v>551.57551654221243</v>
      </c>
      <c r="P324" s="19"/>
      <c r="Q324" s="19"/>
      <c r="R324" s="19"/>
      <c r="S324" s="19"/>
      <c r="T324" s="19"/>
      <c r="U324" s="19"/>
      <c r="V324" s="19"/>
      <c r="W324" s="19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84" t="s">
        <v>55</v>
      </c>
      <c r="B325" s="84" t="s">
        <v>38</v>
      </c>
      <c r="C325" s="84" t="s">
        <v>39</v>
      </c>
      <c r="D325" s="84" t="s">
        <v>43</v>
      </c>
      <c r="E325" s="84" t="s">
        <v>25</v>
      </c>
      <c r="F325" s="84" t="s">
        <v>25</v>
      </c>
      <c r="G325" s="84" t="s">
        <v>25</v>
      </c>
      <c r="H325" s="84" t="s">
        <v>34</v>
      </c>
      <c r="I325" s="90">
        <v>44713</v>
      </c>
      <c r="J325" s="91">
        <f>EFEITO!$J$325*EFEITO!$Y$241</f>
        <v>0</v>
      </c>
      <c r="K325" s="91">
        <f ca="1">EFEITO!$L$325*EFEITO!$Z$241</f>
        <v>11228.324916800726</v>
      </c>
      <c r="L325" s="91">
        <f>EFEITO!$N$325*EFEITO!$AA$241</f>
        <v>27578.775827110636</v>
      </c>
      <c r="M325" s="91">
        <f>$J$325-EFEITO!$K$325*EFEITO!$Y$325</f>
        <v>0</v>
      </c>
      <c r="N325" s="91">
        <f ca="1">$K$325-EFEITO!$M$325*EFEITO!$Z$325</f>
        <v>224.56649833601296</v>
      </c>
      <c r="O325" s="91">
        <f>$L$325-EFEITO!$O$325*EFEITO!$AA$325</f>
        <v>551.57551654221243</v>
      </c>
      <c r="P325" s="19"/>
      <c r="Q325" s="19"/>
      <c r="R325" s="19"/>
      <c r="S325" s="19"/>
      <c r="T325" s="19"/>
      <c r="U325" s="19"/>
      <c r="V325" s="19"/>
      <c r="W325" s="19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84" t="s">
        <v>21</v>
      </c>
      <c r="B326" s="84" t="s">
        <v>38</v>
      </c>
      <c r="C326" s="84" t="s">
        <v>39</v>
      </c>
      <c r="D326" s="84" t="s">
        <v>43</v>
      </c>
      <c r="E326" s="84" t="s">
        <v>25</v>
      </c>
      <c r="F326" s="84" t="s">
        <v>25</v>
      </c>
      <c r="G326" s="84" t="s">
        <v>25</v>
      </c>
      <c r="H326" s="84" t="s">
        <v>25</v>
      </c>
      <c r="I326" s="90">
        <v>44378</v>
      </c>
      <c r="J326" s="91">
        <f ca="1">EFEITO!$J$326*EFEITO!$Y$253</f>
        <v>10950.299086249655</v>
      </c>
      <c r="K326" s="91">
        <f>EFEITO!$L$326*EFEITO!$Z$253</f>
        <v>0</v>
      </c>
      <c r="L326" s="91">
        <f>EFEITO!$N$326*EFEITO!$AA$253</f>
        <v>0</v>
      </c>
      <c r="M326" s="91">
        <f ca="1">$J$326-EFEITO!$K$326*EFEITO!$Y$326</f>
        <v>219.00598172499303</v>
      </c>
      <c r="N326" s="91">
        <f>$K$326-EFEITO!$M$326*EFEITO!$Z$326</f>
        <v>0</v>
      </c>
      <c r="O326" s="91">
        <f>$L$326-EFEITO!$O$326*EFEITO!$AA$326</f>
        <v>0</v>
      </c>
      <c r="P326" s="19"/>
      <c r="Q326" s="19"/>
      <c r="R326" s="19"/>
      <c r="S326" s="19"/>
      <c r="T326" s="19"/>
      <c r="U326" s="19"/>
      <c r="V326" s="19"/>
      <c r="W326" s="19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84" t="s">
        <v>21</v>
      </c>
      <c r="B327" s="84" t="s">
        <v>38</v>
      </c>
      <c r="C327" s="84" t="s">
        <v>39</v>
      </c>
      <c r="D327" s="84" t="s">
        <v>43</v>
      </c>
      <c r="E327" s="84" t="s">
        <v>25</v>
      </c>
      <c r="F327" s="84" t="s">
        <v>25</v>
      </c>
      <c r="G327" s="84" t="s">
        <v>25</v>
      </c>
      <c r="H327" s="84" t="s">
        <v>25</v>
      </c>
      <c r="I327" s="90">
        <v>44409</v>
      </c>
      <c r="J327" s="91">
        <f ca="1">EFEITO!$J$327*EFEITO!$Y$253</f>
        <v>8033.037939719824</v>
      </c>
      <c r="K327" s="91">
        <f>EFEITO!$L$327*EFEITO!$Z$253</f>
        <v>0</v>
      </c>
      <c r="L327" s="91">
        <f>EFEITO!$N$327*EFEITO!$AA$253</f>
        <v>0</v>
      </c>
      <c r="M327" s="91">
        <f ca="1">$J$327-EFEITO!$K$327*EFEITO!$Y$327</f>
        <v>160.66075879439632</v>
      </c>
      <c r="N327" s="91">
        <f>$K$327-EFEITO!$M$327*EFEITO!$Z$327</f>
        <v>0</v>
      </c>
      <c r="O327" s="91">
        <f>$L$327-EFEITO!$O$327*EFEITO!$AA$327</f>
        <v>0</v>
      </c>
      <c r="P327" s="19"/>
      <c r="Q327" s="19"/>
      <c r="R327" s="19"/>
      <c r="S327" s="19"/>
      <c r="T327" s="19"/>
      <c r="U327" s="19"/>
      <c r="V327" s="19"/>
      <c r="W327" s="19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84" t="s">
        <v>21</v>
      </c>
      <c r="B328" s="84" t="s">
        <v>38</v>
      </c>
      <c r="C328" s="84" t="s">
        <v>39</v>
      </c>
      <c r="D328" s="84" t="s">
        <v>43</v>
      </c>
      <c r="E328" s="84" t="s">
        <v>25</v>
      </c>
      <c r="F328" s="84" t="s">
        <v>25</v>
      </c>
      <c r="G328" s="84" t="s">
        <v>25</v>
      </c>
      <c r="H328" s="84" t="s">
        <v>25</v>
      </c>
      <c r="I328" s="90">
        <v>44440</v>
      </c>
      <c r="J328" s="91">
        <f ca="1">EFEITO!$J$328*EFEITO!$Y$253</f>
        <v>6785.8031017106932</v>
      </c>
      <c r="K328" s="91">
        <f>EFEITO!$L$328*EFEITO!$Z$253</f>
        <v>0</v>
      </c>
      <c r="L328" s="91">
        <f>EFEITO!$N$328*EFEITO!$AA$253</f>
        <v>0</v>
      </c>
      <c r="M328" s="91">
        <f ca="1">$J$328-EFEITO!$K$328*EFEITO!$Y$328</f>
        <v>135.71606203421379</v>
      </c>
      <c r="N328" s="91">
        <f>$K$328-EFEITO!$M$328*EFEITO!$Z$328</f>
        <v>0</v>
      </c>
      <c r="O328" s="91">
        <f>$L$328-EFEITO!$O$328*EFEITO!$AA$328</f>
        <v>0</v>
      </c>
      <c r="P328" s="19"/>
      <c r="Q328" s="19"/>
      <c r="R328" s="19"/>
      <c r="S328" s="19"/>
      <c r="T328" s="19"/>
      <c r="U328" s="19"/>
      <c r="V328" s="19"/>
      <c r="W328" s="19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84" t="s">
        <v>21</v>
      </c>
      <c r="B329" s="84" t="s">
        <v>38</v>
      </c>
      <c r="C329" s="84" t="s">
        <v>39</v>
      </c>
      <c r="D329" s="84" t="s">
        <v>43</v>
      </c>
      <c r="E329" s="84" t="s">
        <v>25</v>
      </c>
      <c r="F329" s="84" t="s">
        <v>25</v>
      </c>
      <c r="G329" s="84" t="s">
        <v>25</v>
      </c>
      <c r="H329" s="84" t="s">
        <v>25</v>
      </c>
      <c r="I329" s="90">
        <v>44470</v>
      </c>
      <c r="J329" s="91">
        <f ca="1">EFEITO!$J$329*EFEITO!$Y$253</f>
        <v>9512.8080865103184</v>
      </c>
      <c r="K329" s="91">
        <f>EFEITO!$L$329*EFEITO!$Z$253</f>
        <v>0</v>
      </c>
      <c r="L329" s="91">
        <f>EFEITO!$N$329*EFEITO!$AA$253</f>
        <v>0</v>
      </c>
      <c r="M329" s="91">
        <f ca="1">$J$329-EFEITO!$K$329*EFEITO!$Y$329</f>
        <v>190.25616173020717</v>
      </c>
      <c r="N329" s="91">
        <f>$K$329-EFEITO!$M$329*EFEITO!$Z$329</f>
        <v>0</v>
      </c>
      <c r="O329" s="91">
        <f>$L$329-EFEITO!$O$329*EFEITO!$AA$329</f>
        <v>0</v>
      </c>
      <c r="P329" s="19"/>
      <c r="Q329" s="19"/>
      <c r="R329" s="19"/>
      <c r="S329" s="19"/>
      <c r="T329" s="19"/>
      <c r="U329" s="19"/>
      <c r="V329" s="19"/>
      <c r="W329" s="19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84" t="s">
        <v>21</v>
      </c>
      <c r="B330" s="84" t="s">
        <v>38</v>
      </c>
      <c r="C330" s="84" t="s">
        <v>39</v>
      </c>
      <c r="D330" s="84" t="s">
        <v>43</v>
      </c>
      <c r="E330" s="84" t="s">
        <v>25</v>
      </c>
      <c r="F330" s="84" t="s">
        <v>25</v>
      </c>
      <c r="G330" s="84" t="s">
        <v>25</v>
      </c>
      <c r="H330" s="84" t="s">
        <v>25</v>
      </c>
      <c r="I330" s="90">
        <v>44501</v>
      </c>
      <c r="J330" s="91">
        <f ca="1">EFEITO!$J$330*EFEITO!$Y$253</f>
        <v>11351.950983235645</v>
      </c>
      <c r="K330" s="91">
        <f>EFEITO!$L$330*EFEITO!$Z$253</f>
        <v>0</v>
      </c>
      <c r="L330" s="91">
        <f>EFEITO!$N$330*EFEITO!$AA$253</f>
        <v>0</v>
      </c>
      <c r="M330" s="91">
        <f ca="1">$J$330-EFEITO!$K$330*EFEITO!$Y$330</f>
        <v>227.0390196647113</v>
      </c>
      <c r="N330" s="91">
        <f>$K$330-EFEITO!$M$330*EFEITO!$Z$330</f>
        <v>0</v>
      </c>
      <c r="O330" s="91">
        <f>$L$330-EFEITO!$O$330*EFEITO!$AA$330</f>
        <v>0</v>
      </c>
      <c r="P330" s="19"/>
      <c r="Q330" s="19"/>
      <c r="R330" s="19"/>
      <c r="S330" s="19"/>
      <c r="T330" s="19"/>
      <c r="U330" s="19"/>
      <c r="V330" s="19"/>
      <c r="W330" s="19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84" t="s">
        <v>21</v>
      </c>
      <c r="B331" s="84" t="s">
        <v>38</v>
      </c>
      <c r="C331" s="84" t="s">
        <v>39</v>
      </c>
      <c r="D331" s="84" t="s">
        <v>43</v>
      </c>
      <c r="E331" s="84" t="s">
        <v>25</v>
      </c>
      <c r="F331" s="84" t="s">
        <v>25</v>
      </c>
      <c r="G331" s="84" t="s">
        <v>25</v>
      </c>
      <c r="H331" s="84" t="s">
        <v>25</v>
      </c>
      <c r="I331" s="90">
        <v>44531</v>
      </c>
      <c r="J331" s="91">
        <f ca="1">EFEITO!$J$331*EFEITO!$Y$253</f>
        <v>8540.387704333707</v>
      </c>
      <c r="K331" s="91">
        <f>EFEITO!$L$331*EFEITO!$Z$253</f>
        <v>0</v>
      </c>
      <c r="L331" s="91">
        <f>EFEITO!$N$331*EFEITO!$AA$253</f>
        <v>0</v>
      </c>
      <c r="M331" s="91">
        <f ca="1">$J$331-EFEITO!$K$331*EFEITO!$Y$331</f>
        <v>170.80775408667432</v>
      </c>
      <c r="N331" s="91">
        <f>$K$331-EFEITO!$M$331*EFEITO!$Z$331</f>
        <v>0</v>
      </c>
      <c r="O331" s="91">
        <f>$L$331-EFEITO!$O$331*EFEITO!$AA$331</f>
        <v>0</v>
      </c>
      <c r="P331" s="19"/>
      <c r="Q331" s="19"/>
      <c r="R331" s="19"/>
      <c r="S331" s="19"/>
      <c r="T331" s="19"/>
      <c r="U331" s="19"/>
      <c r="V331" s="19"/>
      <c r="W331" s="19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84" t="s">
        <v>21</v>
      </c>
      <c r="B332" s="84" t="s">
        <v>38</v>
      </c>
      <c r="C332" s="84" t="s">
        <v>39</v>
      </c>
      <c r="D332" s="84" t="s">
        <v>43</v>
      </c>
      <c r="E332" s="84" t="s">
        <v>25</v>
      </c>
      <c r="F332" s="84" t="s">
        <v>25</v>
      </c>
      <c r="G332" s="84" t="s">
        <v>25</v>
      </c>
      <c r="H332" s="84" t="s">
        <v>25</v>
      </c>
      <c r="I332" s="90">
        <v>44562</v>
      </c>
      <c r="J332" s="91">
        <f ca="1">EFEITO!$J$332*EFEITO!$Y$253</f>
        <v>11098.276100928704</v>
      </c>
      <c r="K332" s="91">
        <f>EFEITO!$L$332*EFEITO!$Z$253</f>
        <v>0</v>
      </c>
      <c r="L332" s="91">
        <f>EFEITO!$N$332*EFEITO!$AA$253</f>
        <v>0</v>
      </c>
      <c r="M332" s="91">
        <f ca="1">$J$332-EFEITO!$K$332*EFEITO!$Y$332</f>
        <v>221.96552201857412</v>
      </c>
      <c r="N332" s="91">
        <f>$K$332-EFEITO!$M$332*EFEITO!$Z$332</f>
        <v>0</v>
      </c>
      <c r="O332" s="91">
        <f>$L$332-EFEITO!$O$332*EFEITO!$AA$332</f>
        <v>0</v>
      </c>
      <c r="P332" s="19"/>
      <c r="Q332" s="19"/>
      <c r="R332" s="19"/>
      <c r="S332" s="19"/>
      <c r="T332" s="19"/>
      <c r="U332" s="19"/>
      <c r="V332" s="19"/>
      <c r="W332" s="19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84" t="s">
        <v>21</v>
      </c>
      <c r="B333" s="84" t="s">
        <v>38</v>
      </c>
      <c r="C333" s="84" t="s">
        <v>39</v>
      </c>
      <c r="D333" s="84" t="s">
        <v>43</v>
      </c>
      <c r="E333" s="84" t="s">
        <v>25</v>
      </c>
      <c r="F333" s="84" t="s">
        <v>25</v>
      </c>
      <c r="G333" s="84" t="s">
        <v>25</v>
      </c>
      <c r="H333" s="84" t="s">
        <v>25</v>
      </c>
      <c r="I333" s="90">
        <v>44593</v>
      </c>
      <c r="J333" s="91">
        <f ca="1">EFEITO!$J$333*EFEITO!$Y$253</f>
        <v>12578.046247719198</v>
      </c>
      <c r="K333" s="91">
        <f>EFEITO!$L$333*EFEITO!$Z$253</f>
        <v>0</v>
      </c>
      <c r="L333" s="91">
        <f>EFEITO!$N$333*EFEITO!$AA$253</f>
        <v>0</v>
      </c>
      <c r="M333" s="91">
        <f ca="1">$J$333-EFEITO!$K$333*EFEITO!$Y$333</f>
        <v>251.56092495438315</v>
      </c>
      <c r="N333" s="91">
        <f>$K$333-EFEITO!$M$333*EFEITO!$Z$333</f>
        <v>0</v>
      </c>
      <c r="O333" s="91">
        <f>$L$333-EFEITO!$O$333*EFEITO!$AA$333</f>
        <v>0</v>
      </c>
      <c r="P333" s="19"/>
      <c r="Q333" s="19"/>
      <c r="R333" s="19"/>
      <c r="S333" s="19"/>
      <c r="T333" s="19"/>
      <c r="U333" s="19"/>
      <c r="V333" s="19"/>
      <c r="W333" s="19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84" t="s">
        <v>21</v>
      </c>
      <c r="B334" s="84" t="s">
        <v>38</v>
      </c>
      <c r="C334" s="84" t="s">
        <v>39</v>
      </c>
      <c r="D334" s="84" t="s">
        <v>43</v>
      </c>
      <c r="E334" s="84" t="s">
        <v>25</v>
      </c>
      <c r="F334" s="84" t="s">
        <v>25</v>
      </c>
      <c r="G334" s="84" t="s">
        <v>25</v>
      </c>
      <c r="H334" s="84" t="s">
        <v>25</v>
      </c>
      <c r="I334" s="90">
        <v>44621</v>
      </c>
      <c r="J334" s="91">
        <f ca="1">EFEITO!$J$334*EFEITO!$Y$253</f>
        <v>15579.865688351343</v>
      </c>
      <c r="K334" s="91">
        <f>EFEITO!$L$334*EFEITO!$Z$253</f>
        <v>0</v>
      </c>
      <c r="L334" s="91">
        <f>EFEITO!$N$334*EFEITO!$AA$253</f>
        <v>0</v>
      </c>
      <c r="M334" s="91">
        <f ca="1">$J$334-EFEITO!$K$334*EFEITO!$Y$334</f>
        <v>311.59731376702621</v>
      </c>
      <c r="N334" s="91">
        <f>$K$334-EFEITO!$M$334*EFEITO!$Z$334</f>
        <v>0</v>
      </c>
      <c r="O334" s="91">
        <f>$L$334-EFEITO!$O$334*EFEITO!$AA$334</f>
        <v>0</v>
      </c>
      <c r="P334" s="19"/>
      <c r="Q334" s="19"/>
      <c r="R334" s="19"/>
      <c r="S334" s="19"/>
      <c r="T334" s="19"/>
      <c r="U334" s="19"/>
      <c r="V334" s="19"/>
      <c r="W334" s="19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84" t="s">
        <v>21</v>
      </c>
      <c r="B335" s="84" t="s">
        <v>38</v>
      </c>
      <c r="C335" s="84" t="s">
        <v>39</v>
      </c>
      <c r="D335" s="84" t="s">
        <v>43</v>
      </c>
      <c r="E335" s="84" t="s">
        <v>25</v>
      </c>
      <c r="F335" s="84" t="s">
        <v>25</v>
      </c>
      <c r="G335" s="84" t="s">
        <v>25</v>
      </c>
      <c r="H335" s="84" t="s">
        <v>25</v>
      </c>
      <c r="I335" s="90">
        <v>44652</v>
      </c>
      <c r="J335" s="91">
        <f ca="1">EFEITO!$J$335*EFEITO!$Y$253</f>
        <v>17123.054555718572</v>
      </c>
      <c r="K335" s="91">
        <f>EFEITO!$L$335*EFEITO!$Z$253</f>
        <v>0</v>
      </c>
      <c r="L335" s="91">
        <f>EFEITO!$N$335*EFEITO!$AA$253</f>
        <v>0</v>
      </c>
      <c r="M335" s="91">
        <f ca="1">$J$335-EFEITO!$K$335*EFEITO!$Y$335</f>
        <v>342.46109111437181</v>
      </c>
      <c r="N335" s="91">
        <f>$K$335-EFEITO!$M$335*EFEITO!$Z$335</f>
        <v>0</v>
      </c>
      <c r="O335" s="91">
        <f>$L$335-EFEITO!$O$335*EFEITO!$AA$335</f>
        <v>0</v>
      </c>
      <c r="P335" s="19"/>
      <c r="Q335" s="19"/>
      <c r="R335" s="19"/>
      <c r="S335" s="19"/>
      <c r="T335" s="19"/>
      <c r="U335" s="19"/>
      <c r="V335" s="19"/>
      <c r="W335" s="19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84" t="s">
        <v>21</v>
      </c>
      <c r="B336" s="84" t="s">
        <v>38</v>
      </c>
      <c r="C336" s="84" t="s">
        <v>39</v>
      </c>
      <c r="D336" s="84" t="s">
        <v>43</v>
      </c>
      <c r="E336" s="84" t="s">
        <v>25</v>
      </c>
      <c r="F336" s="84" t="s">
        <v>25</v>
      </c>
      <c r="G336" s="84" t="s">
        <v>25</v>
      </c>
      <c r="H336" s="84" t="s">
        <v>25</v>
      </c>
      <c r="I336" s="90">
        <v>44682</v>
      </c>
      <c r="J336" s="91">
        <f ca="1">EFEITO!$J$336*EFEITO!$Y$253</f>
        <v>16340.890335272168</v>
      </c>
      <c r="K336" s="91">
        <f>EFEITO!$L$336*EFEITO!$Z$253</f>
        <v>0</v>
      </c>
      <c r="L336" s="91">
        <f>EFEITO!$N$336*EFEITO!$AA$253</f>
        <v>0</v>
      </c>
      <c r="M336" s="91">
        <f ca="1">$J$336-EFEITO!$K$336*EFEITO!$Y$336</f>
        <v>326.81780670544322</v>
      </c>
      <c r="N336" s="91">
        <f>$K$336-EFEITO!$M$336*EFEITO!$Z$336</f>
        <v>0</v>
      </c>
      <c r="O336" s="91">
        <f>$L$336-EFEITO!$O$336*EFEITO!$AA$336</f>
        <v>0</v>
      </c>
      <c r="P336" s="19"/>
      <c r="Q336" s="19"/>
      <c r="R336" s="19"/>
      <c r="S336" s="19"/>
      <c r="T336" s="19"/>
      <c r="U336" s="19"/>
      <c r="V336" s="19"/>
      <c r="W336" s="19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84" t="s">
        <v>55</v>
      </c>
      <c r="B337" s="84" t="s">
        <v>38</v>
      </c>
      <c r="C337" s="84" t="s">
        <v>39</v>
      </c>
      <c r="D337" s="84" t="s">
        <v>43</v>
      </c>
      <c r="E337" s="84" t="s">
        <v>25</v>
      </c>
      <c r="F337" s="84" t="s">
        <v>25</v>
      </c>
      <c r="G337" s="84" t="s">
        <v>25</v>
      </c>
      <c r="H337" s="84" t="s">
        <v>25</v>
      </c>
      <c r="I337" s="90">
        <v>44713</v>
      </c>
      <c r="J337" s="91">
        <f ca="1">EFEITO!$J$337*EFEITO!$Y$253</f>
        <v>16340.890335272168</v>
      </c>
      <c r="K337" s="91">
        <f>EFEITO!$L$337*EFEITO!$Z$253</f>
        <v>0</v>
      </c>
      <c r="L337" s="91">
        <f>EFEITO!$N$337*EFEITO!$AA$253</f>
        <v>0</v>
      </c>
      <c r="M337" s="91">
        <f ca="1">$J$337-EFEITO!$K$337*EFEITO!$Y$337</f>
        <v>326.81780670544322</v>
      </c>
      <c r="N337" s="91">
        <f>$K$337-EFEITO!$M$337*EFEITO!$Z$337</f>
        <v>0</v>
      </c>
      <c r="O337" s="91">
        <f>$L$337-EFEITO!$O$337*EFEITO!$AA$337</f>
        <v>0</v>
      </c>
      <c r="P337" s="19"/>
      <c r="Q337" s="19"/>
      <c r="R337" s="19"/>
      <c r="S337" s="19"/>
      <c r="T337" s="19"/>
      <c r="U337" s="19"/>
      <c r="V337" s="19"/>
      <c r="W337" s="19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84" t="s">
        <v>21</v>
      </c>
      <c r="B338" s="84" t="s">
        <v>38</v>
      </c>
      <c r="C338" s="84" t="s">
        <v>39</v>
      </c>
      <c r="D338" s="84" t="s">
        <v>43</v>
      </c>
      <c r="E338" s="84" t="s">
        <v>25</v>
      </c>
      <c r="F338" s="84" t="s">
        <v>25</v>
      </c>
      <c r="G338" s="84" t="s">
        <v>25</v>
      </c>
      <c r="H338" s="84" t="s">
        <v>33</v>
      </c>
      <c r="I338" s="90">
        <v>44378</v>
      </c>
      <c r="J338" s="91">
        <f>EFEITO!$J$338*EFEITO!$Y$265</f>
        <v>0</v>
      </c>
      <c r="K338" s="91">
        <f ca="1">EFEITO!$L$338*EFEITO!$Z$265</f>
        <v>1937.0753709818002</v>
      </c>
      <c r="L338" s="91">
        <f>EFEITO!$N$338*EFEITO!$AA$265</f>
        <v>1232.2595188668656</v>
      </c>
      <c r="M338" s="91">
        <f>$J$338-EFEITO!$K$338*EFEITO!$Y$338</f>
        <v>0</v>
      </c>
      <c r="N338" s="91">
        <f ca="1">$K$338-EFEITO!$M$338*EFEITO!$Z$338</f>
        <v>38.741507419635809</v>
      </c>
      <c r="O338" s="91">
        <f>$L$338-EFEITO!$O$338*EFEITO!$AA$338</f>
        <v>24.645190377337258</v>
      </c>
      <c r="P338" s="19"/>
      <c r="Q338" s="19"/>
      <c r="R338" s="19"/>
      <c r="S338" s="19"/>
      <c r="T338" s="19"/>
      <c r="U338" s="19"/>
      <c r="V338" s="19"/>
      <c r="W338" s="19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84" t="s">
        <v>21</v>
      </c>
      <c r="B339" s="84" t="s">
        <v>38</v>
      </c>
      <c r="C339" s="84" t="s">
        <v>39</v>
      </c>
      <c r="D339" s="84" t="s">
        <v>43</v>
      </c>
      <c r="E339" s="84" t="s">
        <v>25</v>
      </c>
      <c r="F339" s="84" t="s">
        <v>25</v>
      </c>
      <c r="G339" s="84" t="s">
        <v>25</v>
      </c>
      <c r="H339" s="84" t="s">
        <v>33</v>
      </c>
      <c r="I339" s="90">
        <v>44409</v>
      </c>
      <c r="J339" s="91">
        <f>EFEITO!$J$339*EFEITO!$Y$265</f>
        <v>0</v>
      </c>
      <c r="K339" s="91">
        <f ca="1">EFEITO!$L$339*EFEITO!$Z$265</f>
        <v>1963.9791955787696</v>
      </c>
      <c r="L339" s="91">
        <f>EFEITO!$N$339*EFEITO!$AA$265</f>
        <v>1249.3742344066832</v>
      </c>
      <c r="M339" s="91">
        <f>$J$339-EFEITO!$K$339*EFEITO!$Y$339</f>
        <v>0</v>
      </c>
      <c r="N339" s="91">
        <f ca="1">$K$339-EFEITO!$M$339*EFEITO!$Z$339</f>
        <v>39.279583911575401</v>
      </c>
      <c r="O339" s="91">
        <f>$L$339-EFEITO!$O$339*EFEITO!$AA$339</f>
        <v>24.987484688133691</v>
      </c>
      <c r="P339" s="19"/>
      <c r="Q339" s="19"/>
      <c r="R339" s="19"/>
      <c r="S339" s="19"/>
      <c r="T339" s="19"/>
      <c r="U339" s="19"/>
      <c r="V339" s="19"/>
      <c r="W339" s="19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84" t="s">
        <v>21</v>
      </c>
      <c r="B340" s="84" t="s">
        <v>38</v>
      </c>
      <c r="C340" s="84" t="s">
        <v>39</v>
      </c>
      <c r="D340" s="84" t="s">
        <v>43</v>
      </c>
      <c r="E340" s="84" t="s">
        <v>25</v>
      </c>
      <c r="F340" s="84" t="s">
        <v>25</v>
      </c>
      <c r="G340" s="84" t="s">
        <v>25</v>
      </c>
      <c r="H340" s="84" t="s">
        <v>33</v>
      </c>
      <c r="I340" s="90">
        <v>44440</v>
      </c>
      <c r="J340" s="91">
        <f>EFEITO!$J$340*EFEITO!$Y$265</f>
        <v>0</v>
      </c>
      <c r="K340" s="91">
        <f ca="1">EFEITO!$L$340*EFEITO!$Z$265</f>
        <v>1967.733217615556</v>
      </c>
      <c r="L340" s="91">
        <f>EFEITO!$N$340*EFEITO!$AA$265</f>
        <v>1251.7623342494485</v>
      </c>
      <c r="M340" s="91">
        <f>$J$340-EFEITO!$K$340*EFEITO!$Y$340</f>
        <v>0</v>
      </c>
      <c r="N340" s="91">
        <f ca="1">$K$340-EFEITO!$M$340*EFEITO!$Z$340</f>
        <v>39.35466435231092</v>
      </c>
      <c r="O340" s="91">
        <f>$L$340-EFEITO!$O$340*EFEITO!$AA$340</f>
        <v>25.035246684989033</v>
      </c>
      <c r="P340" s="19"/>
      <c r="Q340" s="19"/>
      <c r="R340" s="19"/>
      <c r="S340" s="19"/>
      <c r="T340" s="19"/>
      <c r="U340" s="19"/>
      <c r="V340" s="19"/>
      <c r="W340" s="19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84" t="s">
        <v>21</v>
      </c>
      <c r="B341" s="84" t="s">
        <v>38</v>
      </c>
      <c r="C341" s="84" t="s">
        <v>39</v>
      </c>
      <c r="D341" s="84" t="s">
        <v>43</v>
      </c>
      <c r="E341" s="84" t="s">
        <v>25</v>
      </c>
      <c r="F341" s="84" t="s">
        <v>25</v>
      </c>
      <c r="G341" s="84" t="s">
        <v>25</v>
      </c>
      <c r="H341" s="84" t="s">
        <v>33</v>
      </c>
      <c r="I341" s="90">
        <v>44470</v>
      </c>
      <c r="J341" s="91">
        <f>EFEITO!$J$341*EFEITO!$Y$265</f>
        <v>0</v>
      </c>
      <c r="K341" s="91">
        <f ca="1">EFEITO!$L$341*EFEITO!$Z$265</f>
        <v>4897.7474173273686</v>
      </c>
      <c r="L341" s="91">
        <f>EFEITO!$N$341*EFEITO!$AA$265</f>
        <v>3115.6742615277212</v>
      </c>
      <c r="M341" s="91">
        <f>$J$341-EFEITO!$K$341*EFEITO!$Y$341</f>
        <v>0</v>
      </c>
      <c r="N341" s="91">
        <f ca="1">$K$341-EFEITO!$M$341*EFEITO!$Z$341</f>
        <v>97.954948346547098</v>
      </c>
      <c r="O341" s="91">
        <f>$L$341-EFEITO!$O$341*EFEITO!$AA$341</f>
        <v>62.313485230554761</v>
      </c>
      <c r="P341" s="19"/>
      <c r="Q341" s="19"/>
      <c r="R341" s="19"/>
      <c r="S341" s="19"/>
      <c r="T341" s="19"/>
      <c r="U341" s="19"/>
      <c r="V341" s="19"/>
      <c r="W341" s="19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84" t="s">
        <v>21</v>
      </c>
      <c r="B342" s="84" t="s">
        <v>38</v>
      </c>
      <c r="C342" s="84" t="s">
        <v>39</v>
      </c>
      <c r="D342" s="84" t="s">
        <v>43</v>
      </c>
      <c r="E342" s="84" t="s">
        <v>25</v>
      </c>
      <c r="F342" s="84" t="s">
        <v>25</v>
      </c>
      <c r="G342" s="84" t="s">
        <v>25</v>
      </c>
      <c r="H342" s="84" t="s">
        <v>33</v>
      </c>
      <c r="I342" s="90">
        <v>44501</v>
      </c>
      <c r="J342" s="91">
        <f>EFEITO!$J$342*EFEITO!$Y$265</f>
        <v>0</v>
      </c>
      <c r="K342" s="91">
        <f ca="1">EFEITO!$L$342*EFEITO!$Z$265</f>
        <v>5860.0283994236243</v>
      </c>
      <c r="L342" s="91">
        <f>EFEITO!$N$342*EFEITO!$AA$265</f>
        <v>3727.823854556545</v>
      </c>
      <c r="M342" s="91">
        <f>$J$342-EFEITO!$K$342*EFEITO!$Y$342</f>
        <v>0</v>
      </c>
      <c r="N342" s="91">
        <f ca="1">$K$342-EFEITO!$M$342*EFEITO!$Z$342</f>
        <v>117.20056798847236</v>
      </c>
      <c r="O342" s="91">
        <f>$L$342-EFEITO!$O$342*EFEITO!$AA$342</f>
        <v>74.556477091131001</v>
      </c>
      <c r="P342" s="19"/>
      <c r="Q342" s="19"/>
      <c r="R342" s="19"/>
      <c r="S342" s="19"/>
      <c r="T342" s="19"/>
      <c r="U342" s="19"/>
      <c r="V342" s="19"/>
      <c r="W342" s="19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84" t="s">
        <v>21</v>
      </c>
      <c r="B343" s="84" t="s">
        <v>38</v>
      </c>
      <c r="C343" s="84" t="s">
        <v>39</v>
      </c>
      <c r="D343" s="84" t="s">
        <v>43</v>
      </c>
      <c r="E343" s="84" t="s">
        <v>25</v>
      </c>
      <c r="F343" s="84" t="s">
        <v>25</v>
      </c>
      <c r="G343" s="84" t="s">
        <v>25</v>
      </c>
      <c r="H343" s="84" t="s">
        <v>33</v>
      </c>
      <c r="I343" s="90">
        <v>44531</v>
      </c>
      <c r="J343" s="91">
        <f>EFEITO!$J$343*EFEITO!$Y$265</f>
        <v>0</v>
      </c>
      <c r="K343" s="91">
        <f ca="1">EFEITO!$L$343*EFEITO!$Z$265</f>
        <v>2381.3013120015285</v>
      </c>
      <c r="L343" s="91">
        <f>EFEITO!$N$343*EFEITO!$AA$265</f>
        <v>1514.8513335940861</v>
      </c>
      <c r="M343" s="91">
        <f>$J$343-EFEITO!$K$343*EFEITO!$Y$343</f>
        <v>0</v>
      </c>
      <c r="N343" s="91">
        <f ca="1">$K$343-EFEITO!$M$343*EFEITO!$Z$343</f>
        <v>47.626026240030569</v>
      </c>
      <c r="O343" s="91">
        <f>$L$343-EFEITO!$O$343*EFEITO!$AA$343</f>
        <v>30.297026671881667</v>
      </c>
      <c r="P343" s="19"/>
      <c r="Q343" s="19"/>
      <c r="R343" s="19"/>
      <c r="S343" s="19"/>
      <c r="T343" s="19"/>
      <c r="U343" s="19"/>
      <c r="V343" s="19"/>
      <c r="W343" s="19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84" t="s">
        <v>21</v>
      </c>
      <c r="B344" s="84" t="s">
        <v>38</v>
      </c>
      <c r="C344" s="84" t="s">
        <v>39</v>
      </c>
      <c r="D344" s="84" t="s">
        <v>43</v>
      </c>
      <c r="E344" s="84" t="s">
        <v>25</v>
      </c>
      <c r="F344" s="84" t="s">
        <v>25</v>
      </c>
      <c r="G344" s="84" t="s">
        <v>25</v>
      </c>
      <c r="H344" s="84" t="s">
        <v>33</v>
      </c>
      <c r="I344" s="90">
        <v>44562</v>
      </c>
      <c r="J344" s="91">
        <f>EFEITO!$J$344*EFEITO!$Y$265</f>
        <v>0</v>
      </c>
      <c r="K344" s="91">
        <f ca="1">EFEITO!$L$344*EFEITO!$Z$265</f>
        <v>4345.9061779197618</v>
      </c>
      <c r="L344" s="91">
        <f>EFEITO!$N$344*EFEITO!$AA$265</f>
        <v>2764.6235846412301</v>
      </c>
      <c r="M344" s="91">
        <f>$J$344-EFEITO!$K$344*EFEITO!$Y$344</f>
        <v>0</v>
      </c>
      <c r="N344" s="91">
        <f ca="1">$K$344-EFEITO!$M$344*EFEITO!$Z$344</f>
        <v>86.918123558394655</v>
      </c>
      <c r="O344" s="91">
        <f>$L$344-EFEITO!$O$344*EFEITO!$AA$344</f>
        <v>55.29247169282462</v>
      </c>
      <c r="P344" s="19"/>
      <c r="Q344" s="19"/>
      <c r="R344" s="19"/>
      <c r="S344" s="19"/>
      <c r="T344" s="19"/>
      <c r="U344" s="19"/>
      <c r="V344" s="19"/>
      <c r="W344" s="19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84" t="s">
        <v>21</v>
      </c>
      <c r="B345" s="84" t="s">
        <v>38</v>
      </c>
      <c r="C345" s="84" t="s">
        <v>39</v>
      </c>
      <c r="D345" s="84" t="s">
        <v>43</v>
      </c>
      <c r="E345" s="84" t="s">
        <v>25</v>
      </c>
      <c r="F345" s="84" t="s">
        <v>25</v>
      </c>
      <c r="G345" s="84" t="s">
        <v>25</v>
      </c>
      <c r="H345" s="84" t="s">
        <v>33</v>
      </c>
      <c r="I345" s="90">
        <v>44593</v>
      </c>
      <c r="J345" s="91">
        <f>EFEITO!$J$345*EFEITO!$Y$265</f>
        <v>0</v>
      </c>
      <c r="K345" s="91">
        <f ca="1">EFEITO!$L$345*EFEITO!$Z$265</f>
        <v>4841.4370867755715</v>
      </c>
      <c r="L345" s="91">
        <f>EFEITO!$N$345*EFEITO!$AA$265</f>
        <v>3079.8527638862424</v>
      </c>
      <c r="M345" s="91">
        <f>$J$345-EFEITO!$K$345*EFEITO!$Y$345</f>
        <v>0</v>
      </c>
      <c r="N345" s="91">
        <f ca="1">$K$345-EFEITO!$M$345*EFEITO!$Z$345</f>
        <v>96.828741735510448</v>
      </c>
      <c r="O345" s="91">
        <f>$L$345-EFEITO!$O$345*EFEITO!$AA$345</f>
        <v>61.597055277724849</v>
      </c>
      <c r="P345" s="19"/>
      <c r="Q345" s="19"/>
      <c r="R345" s="19"/>
      <c r="S345" s="19"/>
      <c r="T345" s="19"/>
      <c r="U345" s="19"/>
      <c r="V345" s="19"/>
      <c r="W345" s="19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84" t="s">
        <v>21</v>
      </c>
      <c r="B346" s="84" t="s">
        <v>38</v>
      </c>
      <c r="C346" s="84" t="s">
        <v>39</v>
      </c>
      <c r="D346" s="84" t="s">
        <v>43</v>
      </c>
      <c r="E346" s="84" t="s">
        <v>25</v>
      </c>
      <c r="F346" s="84" t="s">
        <v>25</v>
      </c>
      <c r="G346" s="84" t="s">
        <v>25</v>
      </c>
      <c r="H346" s="84" t="s">
        <v>33</v>
      </c>
      <c r="I346" s="90">
        <v>44621</v>
      </c>
      <c r="J346" s="91">
        <f>EFEITO!$J$346*EFEITO!$Y$265</f>
        <v>0</v>
      </c>
      <c r="K346" s="91">
        <f ca="1">EFEITO!$L$346*EFEITO!$Z$265</f>
        <v>7588.1298770243129</v>
      </c>
      <c r="L346" s="91">
        <f>EFEITO!$N$346*EFEITO!$AA$265</f>
        <v>4827.1458155094788</v>
      </c>
      <c r="M346" s="91">
        <f>$J$346-EFEITO!$K$346*EFEITO!$Y$346</f>
        <v>0</v>
      </c>
      <c r="N346" s="91">
        <f ca="1">$K$346-EFEITO!$M$346*EFEITO!$Z$346</f>
        <v>151.76259754048533</v>
      </c>
      <c r="O346" s="91">
        <f>$L$346-EFEITO!$O$346*EFEITO!$AA$346</f>
        <v>96.542916310189867</v>
      </c>
      <c r="P346" s="19"/>
      <c r="Q346" s="19"/>
      <c r="R346" s="19"/>
      <c r="S346" s="19"/>
      <c r="T346" s="19"/>
      <c r="U346" s="19"/>
      <c r="V346" s="19"/>
      <c r="W346" s="19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84" t="s">
        <v>21</v>
      </c>
      <c r="B347" s="84" t="s">
        <v>38</v>
      </c>
      <c r="C347" s="84" t="s">
        <v>39</v>
      </c>
      <c r="D347" s="84" t="s">
        <v>43</v>
      </c>
      <c r="E347" s="84" t="s">
        <v>25</v>
      </c>
      <c r="F347" s="84" t="s">
        <v>25</v>
      </c>
      <c r="G347" s="84" t="s">
        <v>25</v>
      </c>
      <c r="H347" s="84" t="s">
        <v>33</v>
      </c>
      <c r="I347" s="90">
        <v>44652</v>
      </c>
      <c r="J347" s="91">
        <f>EFEITO!$J$347*EFEITO!$Y$265</f>
        <v>0</v>
      </c>
      <c r="K347" s="91">
        <f ca="1">EFEITO!$L$347*EFEITO!$Z$265</f>
        <v>8627.36831087469</v>
      </c>
      <c r="L347" s="91">
        <f>EFEITO!$N$347*EFEITO!$AA$265</f>
        <v>5488.2514553149904</v>
      </c>
      <c r="M347" s="91">
        <f>$J$347-EFEITO!$K$347*EFEITO!$Y$347</f>
        <v>0</v>
      </c>
      <c r="N347" s="91">
        <f ca="1">$K$347-EFEITO!$M$347*EFEITO!$Z$347</f>
        <v>172.5473662174918</v>
      </c>
      <c r="O347" s="91">
        <f>$L$347-EFEITO!$O$347*EFEITO!$AA$347</f>
        <v>109.76502910630006</v>
      </c>
      <c r="P347" s="19"/>
      <c r="Q347" s="19"/>
      <c r="R347" s="19"/>
      <c r="S347" s="19"/>
      <c r="T347" s="19"/>
      <c r="U347" s="19"/>
      <c r="V347" s="19"/>
      <c r="W347" s="19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84" t="s">
        <v>21</v>
      </c>
      <c r="B348" s="84" t="s">
        <v>38</v>
      </c>
      <c r="C348" s="84" t="s">
        <v>39</v>
      </c>
      <c r="D348" s="84" t="s">
        <v>43</v>
      </c>
      <c r="E348" s="84" t="s">
        <v>25</v>
      </c>
      <c r="F348" s="84" t="s">
        <v>25</v>
      </c>
      <c r="G348" s="84" t="s">
        <v>25</v>
      </c>
      <c r="H348" s="84" t="s">
        <v>33</v>
      </c>
      <c r="I348" s="90">
        <v>44682</v>
      </c>
      <c r="J348" s="91">
        <f>EFEITO!$J$348*EFEITO!$Y$265</f>
        <v>0</v>
      </c>
      <c r="K348" s="91">
        <f ca="1">EFEITO!$L$348*EFEITO!$Z$265</f>
        <v>5087.9512005245469</v>
      </c>
      <c r="L348" s="91">
        <f>EFEITO!$N$348*EFEITO!$AA$265</f>
        <v>3236.6713202278265</v>
      </c>
      <c r="M348" s="91">
        <f>$J$348-EFEITO!$K$348*EFEITO!$Y$348</f>
        <v>0</v>
      </c>
      <c r="N348" s="91">
        <f ca="1">$K$348-EFEITO!$M$348*EFEITO!$Z$348</f>
        <v>101.75902401049007</v>
      </c>
      <c r="O348" s="91">
        <f>$L$348-EFEITO!$O$348*EFEITO!$AA$348</f>
        <v>64.733426404556667</v>
      </c>
      <c r="P348" s="19"/>
      <c r="Q348" s="19"/>
      <c r="R348" s="19"/>
      <c r="S348" s="19"/>
      <c r="T348" s="19"/>
      <c r="U348" s="19"/>
      <c r="V348" s="19"/>
      <c r="W348" s="19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84" t="s">
        <v>55</v>
      </c>
      <c r="B349" s="84" t="s">
        <v>38</v>
      </c>
      <c r="C349" s="84" t="s">
        <v>39</v>
      </c>
      <c r="D349" s="84" t="s">
        <v>43</v>
      </c>
      <c r="E349" s="84" t="s">
        <v>25</v>
      </c>
      <c r="F349" s="84" t="s">
        <v>25</v>
      </c>
      <c r="G349" s="84" t="s">
        <v>25</v>
      </c>
      <c r="H349" s="84" t="s">
        <v>33</v>
      </c>
      <c r="I349" s="90">
        <v>44713</v>
      </c>
      <c r="J349" s="91">
        <f>EFEITO!$J$349*EFEITO!$Y$265</f>
        <v>0</v>
      </c>
      <c r="K349" s="91">
        <f ca="1">EFEITO!$L$349*EFEITO!$Z$265</f>
        <v>5087.9512005245469</v>
      </c>
      <c r="L349" s="91">
        <f>EFEITO!$N$349*EFEITO!$AA$265</f>
        <v>3236.6713202278265</v>
      </c>
      <c r="M349" s="91">
        <f>$J$349-EFEITO!$K$349*EFEITO!$Y$349</f>
        <v>0</v>
      </c>
      <c r="N349" s="91">
        <f ca="1">$K$349-EFEITO!$M$349*EFEITO!$Z$349</f>
        <v>101.75902401049007</v>
      </c>
      <c r="O349" s="91">
        <f>$L$349-EFEITO!$O$349*EFEITO!$AA$349</f>
        <v>64.733426404556667</v>
      </c>
      <c r="P349" s="19"/>
      <c r="Q349" s="19"/>
      <c r="R349" s="19"/>
      <c r="S349" s="19"/>
      <c r="T349" s="19"/>
      <c r="U349" s="19"/>
      <c r="V349" s="19"/>
      <c r="W349" s="19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84" t="s">
        <v>21</v>
      </c>
      <c r="B350" s="84" t="s">
        <v>22</v>
      </c>
      <c r="C350" s="84" t="s">
        <v>32</v>
      </c>
      <c r="D350" s="84" t="s">
        <v>24</v>
      </c>
      <c r="E350" s="84" t="s">
        <v>24</v>
      </c>
      <c r="F350" s="84" t="s">
        <v>25</v>
      </c>
      <c r="G350" s="84" t="s">
        <v>25</v>
      </c>
      <c r="H350" s="84" t="s">
        <v>34</v>
      </c>
      <c r="I350" s="90">
        <v>44378</v>
      </c>
      <c r="J350" s="91">
        <f>EFEITO!$J$350*EFEITO!$Y$350</f>
        <v>0</v>
      </c>
      <c r="K350" s="91">
        <f ca="1">EFEITO!$L$350*EFEITO!$Z$350</f>
        <v>393.47879791153753</v>
      </c>
      <c r="L350" s="91">
        <f>EFEITO!$N$350*EFEITO!$AA$350</f>
        <v>496.80251027017124</v>
      </c>
      <c r="M350" s="91">
        <f>$J$350-EFEITO!$K$350*EFEITO!$Y$350</f>
        <v>0</v>
      </c>
      <c r="N350" s="91">
        <f ca="1">$K$350-EFEITO!$M$350*EFEITO!$Z$350</f>
        <v>0</v>
      </c>
      <c r="O350" s="91">
        <f>$L$350-EFEITO!$O$350*EFEITO!$AA$350</f>
        <v>0</v>
      </c>
      <c r="P350" s="19"/>
      <c r="Q350" s="19"/>
      <c r="R350" s="19"/>
      <c r="S350" s="19"/>
      <c r="T350" s="19"/>
      <c r="U350" s="19"/>
      <c r="V350" s="19"/>
      <c r="W350" s="19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84" t="s">
        <v>21</v>
      </c>
      <c r="B351" s="84" t="s">
        <v>22</v>
      </c>
      <c r="C351" s="84" t="s">
        <v>32</v>
      </c>
      <c r="D351" s="84" t="s">
        <v>24</v>
      </c>
      <c r="E351" s="84" t="s">
        <v>24</v>
      </c>
      <c r="F351" s="84" t="s">
        <v>25</v>
      </c>
      <c r="G351" s="84" t="s">
        <v>25</v>
      </c>
      <c r="H351" s="84" t="s">
        <v>34</v>
      </c>
      <c r="I351" s="90">
        <v>44409</v>
      </c>
      <c r="J351" s="91">
        <f>EFEITO!$J$351*EFEITO!$Y$351</f>
        <v>0</v>
      </c>
      <c r="K351" s="91">
        <f ca="1">EFEITO!$L$351*EFEITO!$Z$351</f>
        <v>353.03119054687448</v>
      </c>
      <c r="L351" s="91">
        <f>EFEITO!$N$351*EFEITO!$AA$351</f>
        <v>445.73375388522226</v>
      </c>
      <c r="M351" s="91">
        <f>$J$351-EFEITO!$K$351*EFEITO!$Y$351</f>
        <v>0</v>
      </c>
      <c r="N351" s="91">
        <f ca="1">$K$351-EFEITO!$M$351*EFEITO!$Z$351</f>
        <v>0</v>
      </c>
      <c r="O351" s="91">
        <f>$L$351-EFEITO!$O$351*EFEITO!$AA$351</f>
        <v>0</v>
      </c>
      <c r="P351" s="19"/>
      <c r="Q351" s="19"/>
      <c r="R351" s="19"/>
      <c r="S351" s="19"/>
      <c r="T351" s="19"/>
      <c r="U351" s="19"/>
      <c r="V351" s="19"/>
      <c r="W351" s="19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84" t="s">
        <v>21</v>
      </c>
      <c r="B352" s="84" t="s">
        <v>22</v>
      </c>
      <c r="C352" s="84" t="s">
        <v>32</v>
      </c>
      <c r="D352" s="84" t="s">
        <v>24</v>
      </c>
      <c r="E352" s="84" t="s">
        <v>24</v>
      </c>
      <c r="F352" s="84" t="s">
        <v>25</v>
      </c>
      <c r="G352" s="84" t="s">
        <v>25</v>
      </c>
      <c r="H352" s="84" t="s">
        <v>34</v>
      </c>
      <c r="I352" s="90">
        <v>44440</v>
      </c>
      <c r="J352" s="91">
        <f>EFEITO!$J$352*EFEITO!$Y$352</f>
        <v>0</v>
      </c>
      <c r="K352" s="91">
        <f ca="1">EFEITO!$L$352*EFEITO!$Z$352</f>
        <v>254.98768145096321</v>
      </c>
      <c r="L352" s="91">
        <f>EFEITO!$N$352*EFEITO!$AA$352</f>
        <v>321.94497112723553</v>
      </c>
      <c r="M352" s="91">
        <f>$J$352-EFEITO!$K$352*EFEITO!$Y$352</f>
        <v>0</v>
      </c>
      <c r="N352" s="91">
        <f ca="1">$K$352-EFEITO!$M$352*EFEITO!$Z$352</f>
        <v>0</v>
      </c>
      <c r="O352" s="91">
        <f>$L$352-EFEITO!$O$352*EFEITO!$AA$352</f>
        <v>0</v>
      </c>
      <c r="P352" s="19"/>
      <c r="Q352" s="19"/>
      <c r="R352" s="19"/>
      <c r="S352" s="19"/>
      <c r="T352" s="19"/>
      <c r="U352" s="19"/>
      <c r="V352" s="19"/>
      <c r="W352" s="19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84" t="s">
        <v>21</v>
      </c>
      <c r="B353" s="84" t="s">
        <v>22</v>
      </c>
      <c r="C353" s="84" t="s">
        <v>32</v>
      </c>
      <c r="D353" s="84" t="s">
        <v>24</v>
      </c>
      <c r="E353" s="84" t="s">
        <v>24</v>
      </c>
      <c r="F353" s="84" t="s">
        <v>25</v>
      </c>
      <c r="G353" s="84" t="s">
        <v>25</v>
      </c>
      <c r="H353" s="84" t="s">
        <v>34</v>
      </c>
      <c r="I353" s="90">
        <v>44470</v>
      </c>
      <c r="J353" s="91">
        <f>EFEITO!$J$353*EFEITO!$Y$353</f>
        <v>0</v>
      </c>
      <c r="K353" s="91">
        <f ca="1">EFEITO!$L$353*EFEITO!$Z$353</f>
        <v>197.20538521573033</v>
      </c>
      <c r="L353" s="91">
        <f>EFEITO!$N$353*EFEITO!$AA$353</f>
        <v>248.98960486302281</v>
      </c>
      <c r="M353" s="91">
        <f>$J$353-EFEITO!$K$353*EFEITO!$Y$353</f>
        <v>0</v>
      </c>
      <c r="N353" s="91">
        <f ca="1">$K$353-EFEITO!$M$353*EFEITO!$Z$353</f>
        <v>0</v>
      </c>
      <c r="O353" s="91">
        <f>$L$353-EFEITO!$O$353*EFEITO!$AA$353</f>
        <v>0</v>
      </c>
      <c r="P353" s="19"/>
      <c r="Q353" s="19"/>
      <c r="R353" s="19"/>
      <c r="S353" s="19"/>
      <c r="T353" s="19"/>
      <c r="U353" s="19"/>
      <c r="V353" s="19"/>
      <c r="W353" s="19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84" t="s">
        <v>21</v>
      </c>
      <c r="B354" s="84" t="s">
        <v>22</v>
      </c>
      <c r="C354" s="84" t="s">
        <v>32</v>
      </c>
      <c r="D354" s="84" t="s">
        <v>24</v>
      </c>
      <c r="E354" s="84" t="s">
        <v>24</v>
      </c>
      <c r="F354" s="84" t="s">
        <v>25</v>
      </c>
      <c r="G354" s="84" t="s">
        <v>25</v>
      </c>
      <c r="H354" s="84" t="s">
        <v>34</v>
      </c>
      <c r="I354" s="90">
        <v>44501</v>
      </c>
      <c r="J354" s="91">
        <f>EFEITO!$J$354*EFEITO!$Y$354</f>
        <v>0</v>
      </c>
      <c r="K354" s="91">
        <f ca="1">EFEITO!$L$354*EFEITO!$Z$354</f>
        <v>224.41898279748514</v>
      </c>
      <c r="L354" s="91">
        <f>EFEITO!$N$354*EFEITO!$AA$354</f>
        <v>283.34922897455522</v>
      </c>
      <c r="M354" s="91">
        <f>$J$354-EFEITO!$K$354*EFEITO!$Y$354</f>
        <v>0</v>
      </c>
      <c r="N354" s="91">
        <f ca="1">$K$354-EFEITO!$M$354*EFEITO!$Z$354</f>
        <v>0</v>
      </c>
      <c r="O354" s="91">
        <f>$L$354-EFEITO!$O$354*EFEITO!$AA$354</f>
        <v>0</v>
      </c>
      <c r="P354" s="19"/>
      <c r="Q354" s="19"/>
      <c r="R354" s="19"/>
      <c r="S354" s="19"/>
      <c r="T354" s="19"/>
      <c r="U354" s="19"/>
      <c r="V354" s="19"/>
      <c r="W354" s="19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84" t="s">
        <v>21</v>
      </c>
      <c r="B355" s="84" t="s">
        <v>22</v>
      </c>
      <c r="C355" s="84" t="s">
        <v>32</v>
      </c>
      <c r="D355" s="84" t="s">
        <v>24</v>
      </c>
      <c r="E355" s="84" t="s">
        <v>24</v>
      </c>
      <c r="F355" s="84" t="s">
        <v>25</v>
      </c>
      <c r="G355" s="84" t="s">
        <v>25</v>
      </c>
      <c r="H355" s="84" t="s">
        <v>34</v>
      </c>
      <c r="I355" s="90">
        <v>44531</v>
      </c>
      <c r="J355" s="91">
        <f>EFEITO!$J$355*EFEITO!$Y$355</f>
        <v>0</v>
      </c>
      <c r="K355" s="91">
        <f ca="1">EFEITO!$L$355*EFEITO!$Z$355</f>
        <v>251.25979137127078</v>
      </c>
      <c r="L355" s="91">
        <f>EFEITO!$N$355*EFEITO!$AA$355</f>
        <v>317.23817330373794</v>
      </c>
      <c r="M355" s="91">
        <f>$J$355-EFEITO!$K$355*EFEITO!$Y$355</f>
        <v>0</v>
      </c>
      <c r="N355" s="91">
        <f ca="1">$K$355-EFEITO!$M$355*EFEITO!$Z$355</f>
        <v>0</v>
      </c>
      <c r="O355" s="91">
        <f>$L$355-EFEITO!$O$355*EFEITO!$AA$355</f>
        <v>0</v>
      </c>
      <c r="P355" s="19"/>
      <c r="Q355" s="19"/>
      <c r="R355" s="19"/>
      <c r="S355" s="19"/>
      <c r="T355" s="19"/>
      <c r="U355" s="19"/>
      <c r="V355" s="19"/>
      <c r="W355" s="19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84" t="s">
        <v>21</v>
      </c>
      <c r="B356" s="84" t="s">
        <v>22</v>
      </c>
      <c r="C356" s="84" t="s">
        <v>32</v>
      </c>
      <c r="D356" s="84" t="s">
        <v>24</v>
      </c>
      <c r="E356" s="84" t="s">
        <v>24</v>
      </c>
      <c r="F356" s="84" t="s">
        <v>25</v>
      </c>
      <c r="G356" s="84" t="s">
        <v>25</v>
      </c>
      <c r="H356" s="84" t="s">
        <v>34</v>
      </c>
      <c r="I356" s="90">
        <v>44562</v>
      </c>
      <c r="J356" s="91">
        <f>EFEITO!$J$356*EFEITO!$Y$356</f>
        <v>0</v>
      </c>
      <c r="K356" s="91">
        <f ca="1">EFEITO!$L$356*EFEITO!$Z$356</f>
        <v>312.02439967025759</v>
      </c>
      <c r="L356" s="91">
        <f>EFEITO!$N$356*EFEITO!$AA$356</f>
        <v>393.95897782674871</v>
      </c>
      <c r="M356" s="91">
        <f>$J$356-EFEITO!$K$356*EFEITO!$Y$356</f>
        <v>0</v>
      </c>
      <c r="N356" s="91">
        <f ca="1">$K$356-EFEITO!$M$356*EFEITO!$Z$356</f>
        <v>0</v>
      </c>
      <c r="O356" s="91">
        <f>$L$356-EFEITO!$O$356*EFEITO!$AA$356</f>
        <v>0</v>
      </c>
      <c r="P356" s="19"/>
      <c r="Q356" s="19"/>
      <c r="R356" s="19"/>
      <c r="S356" s="19"/>
      <c r="T356" s="19"/>
      <c r="U356" s="19"/>
      <c r="V356" s="19"/>
      <c r="W356" s="19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84" t="s">
        <v>21</v>
      </c>
      <c r="B357" s="84" t="s">
        <v>22</v>
      </c>
      <c r="C357" s="84" t="s">
        <v>32</v>
      </c>
      <c r="D357" s="84" t="s">
        <v>24</v>
      </c>
      <c r="E357" s="84" t="s">
        <v>24</v>
      </c>
      <c r="F357" s="84" t="s">
        <v>25</v>
      </c>
      <c r="G357" s="84" t="s">
        <v>25</v>
      </c>
      <c r="H357" s="84" t="s">
        <v>34</v>
      </c>
      <c r="I357" s="90">
        <v>44593</v>
      </c>
      <c r="J357" s="91">
        <f>EFEITO!$J$357*EFEITO!$Y$357</f>
        <v>0</v>
      </c>
      <c r="K357" s="91">
        <f ca="1">EFEITO!$L$357*EFEITO!$Z$357</f>
        <v>277.7278109370871</v>
      </c>
      <c r="L357" s="91">
        <f>EFEITO!$N$357*EFEITO!$AA$357</f>
        <v>350.65643785057085</v>
      </c>
      <c r="M357" s="91">
        <f>$J$357-EFEITO!$K$357*EFEITO!$Y$357</f>
        <v>0</v>
      </c>
      <c r="N357" s="91">
        <f ca="1">$K$357-EFEITO!$M$357*EFEITO!$Z$357</f>
        <v>0</v>
      </c>
      <c r="O357" s="91">
        <f>$L$357-EFEITO!$O$357*EFEITO!$AA$357</f>
        <v>0</v>
      </c>
      <c r="P357" s="19"/>
      <c r="Q357" s="19"/>
      <c r="R357" s="19"/>
      <c r="S357" s="19"/>
      <c r="T357" s="19"/>
      <c r="U357" s="19"/>
      <c r="V357" s="19"/>
      <c r="W357" s="19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84" t="s">
        <v>21</v>
      </c>
      <c r="B358" s="84" t="s">
        <v>22</v>
      </c>
      <c r="C358" s="84" t="s">
        <v>32</v>
      </c>
      <c r="D358" s="84" t="s">
        <v>24</v>
      </c>
      <c r="E358" s="84" t="s">
        <v>24</v>
      </c>
      <c r="F358" s="84" t="s">
        <v>25</v>
      </c>
      <c r="G358" s="84" t="s">
        <v>25</v>
      </c>
      <c r="H358" s="84" t="s">
        <v>34</v>
      </c>
      <c r="I358" s="90">
        <v>44621</v>
      </c>
      <c r="J358" s="91">
        <f>EFEITO!$J$358*EFEITO!$Y$358</f>
        <v>0</v>
      </c>
      <c r="K358" s="91">
        <f ca="1">EFEITO!$L$358*EFEITO!$Z$358</f>
        <v>284.25161857654888</v>
      </c>
      <c r="L358" s="91">
        <f>EFEITO!$N$358*EFEITO!$AA$358</f>
        <v>358.89333404169162</v>
      </c>
      <c r="M358" s="91">
        <f>$J$358-EFEITO!$K$358*EFEITO!$Y$358</f>
        <v>0</v>
      </c>
      <c r="N358" s="91">
        <f ca="1">$K$358-EFEITO!$M$358*EFEITO!$Z$358</f>
        <v>0</v>
      </c>
      <c r="O358" s="91">
        <f>$L$358-EFEITO!$O$358*EFEITO!$AA$358</f>
        <v>0</v>
      </c>
      <c r="P358" s="19"/>
      <c r="Q358" s="19"/>
      <c r="R358" s="19"/>
      <c r="S358" s="19"/>
      <c r="T358" s="19"/>
      <c r="U358" s="19"/>
      <c r="V358" s="19"/>
      <c r="W358" s="19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84" t="s">
        <v>21</v>
      </c>
      <c r="B359" s="84" t="s">
        <v>22</v>
      </c>
      <c r="C359" s="84" t="s">
        <v>32</v>
      </c>
      <c r="D359" s="84" t="s">
        <v>24</v>
      </c>
      <c r="E359" s="84" t="s">
        <v>24</v>
      </c>
      <c r="F359" s="84" t="s">
        <v>25</v>
      </c>
      <c r="G359" s="84" t="s">
        <v>25</v>
      </c>
      <c r="H359" s="84" t="s">
        <v>34</v>
      </c>
      <c r="I359" s="90">
        <v>44652</v>
      </c>
      <c r="J359" s="91">
        <f>EFEITO!$J$359*EFEITO!$Y$359</f>
        <v>0</v>
      </c>
      <c r="K359" s="91">
        <f ca="1">EFEITO!$L$359*EFEITO!$Z$359</f>
        <v>174.46525572960641</v>
      </c>
      <c r="L359" s="91">
        <f>EFEITO!$N$359*EFEITO!$AA$359</f>
        <v>220.27813813968748</v>
      </c>
      <c r="M359" s="91">
        <f>$J$359-EFEITO!$K$359*EFEITO!$Y$359</f>
        <v>0</v>
      </c>
      <c r="N359" s="91">
        <f ca="1">$K$359-EFEITO!$M$359*EFEITO!$Z$359</f>
        <v>0</v>
      </c>
      <c r="O359" s="91">
        <f>$L$359-EFEITO!$O$359*EFEITO!$AA$359</f>
        <v>0</v>
      </c>
      <c r="P359" s="19"/>
      <c r="Q359" s="19"/>
      <c r="R359" s="19"/>
      <c r="S359" s="19"/>
      <c r="T359" s="19"/>
      <c r="U359" s="19"/>
      <c r="V359" s="19"/>
      <c r="W359" s="19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84" t="s">
        <v>21</v>
      </c>
      <c r="B360" s="84" t="s">
        <v>22</v>
      </c>
      <c r="C360" s="84" t="s">
        <v>32</v>
      </c>
      <c r="D360" s="84" t="s">
        <v>24</v>
      </c>
      <c r="E360" s="84" t="s">
        <v>24</v>
      </c>
      <c r="F360" s="84" t="s">
        <v>25</v>
      </c>
      <c r="G360" s="84" t="s">
        <v>25</v>
      </c>
      <c r="H360" s="84" t="s">
        <v>34</v>
      </c>
      <c r="I360" s="90">
        <v>44682</v>
      </c>
      <c r="J360" s="91">
        <f>EFEITO!$J$360*EFEITO!$Y$360</f>
        <v>0</v>
      </c>
      <c r="K360" s="91">
        <f ca="1">EFEITO!$L$360*EFEITO!$Z$360</f>
        <v>203.72919285519208</v>
      </c>
      <c r="L360" s="91">
        <f>EFEITO!$N$360*EFEITO!$AA$360</f>
        <v>257.22650105414357</v>
      </c>
      <c r="M360" s="91">
        <f>$J$360-EFEITO!$K$360*EFEITO!$Y$360</f>
        <v>0</v>
      </c>
      <c r="N360" s="91">
        <f ca="1">$K$360-EFEITO!$M$360*EFEITO!$Z$360</f>
        <v>0</v>
      </c>
      <c r="O360" s="91">
        <f>$L$360-EFEITO!$O$360*EFEITO!$AA$360</f>
        <v>0</v>
      </c>
      <c r="P360" s="19"/>
      <c r="Q360" s="19"/>
      <c r="R360" s="19"/>
      <c r="S360" s="19"/>
      <c r="T360" s="19"/>
      <c r="U360" s="19"/>
      <c r="V360" s="19"/>
      <c r="W360" s="19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84" t="s">
        <v>55</v>
      </c>
      <c r="B361" s="84" t="s">
        <v>22</v>
      </c>
      <c r="C361" s="84" t="s">
        <v>32</v>
      </c>
      <c r="D361" s="84" t="s">
        <v>24</v>
      </c>
      <c r="E361" s="84" t="s">
        <v>24</v>
      </c>
      <c r="F361" s="84" t="s">
        <v>25</v>
      </c>
      <c r="G361" s="84" t="s">
        <v>25</v>
      </c>
      <c r="H361" s="84" t="s">
        <v>34</v>
      </c>
      <c r="I361" s="90">
        <v>44713</v>
      </c>
      <c r="J361" s="91">
        <f>EFEITO!$J$361*EFEITO!$Y$361</f>
        <v>0</v>
      </c>
      <c r="K361" s="91">
        <f ca="1">EFEITO!$L$361*EFEITO!$Z$361</f>
        <v>203.72919285519208</v>
      </c>
      <c r="L361" s="91">
        <f>EFEITO!$N$361*EFEITO!$AA$361</f>
        <v>257.22650105414357</v>
      </c>
      <c r="M361" s="91">
        <f>$J$361-EFEITO!$K$361*EFEITO!$Y$361</f>
        <v>0</v>
      </c>
      <c r="N361" s="91">
        <f ca="1">$K$361-EFEITO!$M$361*EFEITO!$Z$361</f>
        <v>0</v>
      </c>
      <c r="O361" s="91">
        <f>$L$361-EFEITO!$O$361*EFEITO!$AA$361</f>
        <v>0</v>
      </c>
      <c r="P361" s="19"/>
      <c r="Q361" s="19"/>
      <c r="R361" s="19"/>
      <c r="S361" s="19"/>
      <c r="T361" s="19"/>
      <c r="U361" s="19"/>
      <c r="V361" s="19"/>
      <c r="W361" s="19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84" t="s">
        <v>21</v>
      </c>
      <c r="B362" s="84" t="s">
        <v>22</v>
      </c>
      <c r="C362" s="84" t="s">
        <v>32</v>
      </c>
      <c r="D362" s="84" t="s">
        <v>24</v>
      </c>
      <c r="E362" s="84" t="s">
        <v>24</v>
      </c>
      <c r="F362" s="84" t="s">
        <v>25</v>
      </c>
      <c r="G362" s="84" t="s">
        <v>25</v>
      </c>
      <c r="H362" s="84" t="s">
        <v>35</v>
      </c>
      <c r="I362" s="90">
        <v>44378</v>
      </c>
      <c r="J362" s="91">
        <f>EFEITO!$J$362*EFEITO!$Y$362</f>
        <v>0</v>
      </c>
      <c r="K362" s="91">
        <f ca="1">EFEITO!$L$362*EFEITO!$Z$362</f>
        <v>84.024350319097906</v>
      </c>
      <c r="L362" s="91">
        <f>EFEITO!$N$362*EFEITO!$AA$362</f>
        <v>45.185259105576918</v>
      </c>
      <c r="M362" s="91">
        <f>$J$362-EFEITO!$K$362*EFEITO!$Y$362</f>
        <v>0</v>
      </c>
      <c r="N362" s="91">
        <f ca="1">$K$362-EFEITO!$M$362*EFEITO!$Z$362</f>
        <v>0</v>
      </c>
      <c r="O362" s="91">
        <f>$L$362-EFEITO!$O$362*EFEITO!$AA$362</f>
        <v>0</v>
      </c>
      <c r="P362" s="19"/>
      <c r="Q362" s="19"/>
      <c r="R362" s="19"/>
      <c r="S362" s="19"/>
      <c r="T362" s="19"/>
      <c r="U362" s="19"/>
      <c r="V362" s="19"/>
      <c r="W362" s="19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84" t="s">
        <v>21</v>
      </c>
      <c r="B363" s="84" t="s">
        <v>22</v>
      </c>
      <c r="C363" s="84" t="s">
        <v>32</v>
      </c>
      <c r="D363" s="84" t="s">
        <v>24</v>
      </c>
      <c r="E363" s="84" t="s">
        <v>24</v>
      </c>
      <c r="F363" s="84" t="s">
        <v>25</v>
      </c>
      <c r="G363" s="84" t="s">
        <v>25</v>
      </c>
      <c r="H363" s="84" t="s">
        <v>35</v>
      </c>
      <c r="I363" s="90">
        <v>44409</v>
      </c>
      <c r="J363" s="91">
        <f>EFEITO!$J$363*EFEITO!$Y$363</f>
        <v>0</v>
      </c>
      <c r="K363" s="91">
        <f ca="1">EFEITO!$L$363*EFEITO!$Z$363</f>
        <v>80.523335722468829</v>
      </c>
      <c r="L363" s="91">
        <f>EFEITO!$N$363*EFEITO!$AA$363</f>
        <v>43.302539976177876</v>
      </c>
      <c r="M363" s="91">
        <f>$J$363-EFEITO!$K$363*EFEITO!$Y$363</f>
        <v>0</v>
      </c>
      <c r="N363" s="91">
        <f ca="1">$K$363-EFEITO!$M$363*EFEITO!$Z$363</f>
        <v>0</v>
      </c>
      <c r="O363" s="91">
        <f>$L$363-EFEITO!$O$363*EFEITO!$AA$363</f>
        <v>0</v>
      </c>
      <c r="P363" s="19"/>
      <c r="Q363" s="19"/>
      <c r="R363" s="19"/>
      <c r="S363" s="19"/>
      <c r="T363" s="19"/>
      <c r="U363" s="19"/>
      <c r="V363" s="19"/>
      <c r="W363" s="19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84" t="s">
        <v>21</v>
      </c>
      <c r="B364" s="84" t="s">
        <v>22</v>
      </c>
      <c r="C364" s="84" t="s">
        <v>32</v>
      </c>
      <c r="D364" s="84" t="s">
        <v>24</v>
      </c>
      <c r="E364" s="84" t="s">
        <v>24</v>
      </c>
      <c r="F364" s="84" t="s">
        <v>25</v>
      </c>
      <c r="G364" s="84" t="s">
        <v>25</v>
      </c>
      <c r="H364" s="84" t="s">
        <v>35</v>
      </c>
      <c r="I364" s="90">
        <v>44440</v>
      </c>
      <c r="J364" s="91">
        <f>EFEITO!$J$364*EFEITO!$Y$364</f>
        <v>0</v>
      </c>
      <c r="K364" s="91">
        <f ca="1">EFEITO!$L$364*EFEITO!$Z$364</f>
        <v>53.828099423172091</v>
      </c>
      <c r="L364" s="91">
        <f>EFEITO!$N$364*EFEITO!$AA$364</f>
        <v>28.946806614510212</v>
      </c>
      <c r="M364" s="91">
        <f>$J$364-EFEITO!$K$364*EFEITO!$Y$364</f>
        <v>0</v>
      </c>
      <c r="N364" s="91">
        <f ca="1">$K$364-EFEITO!$M$364*EFEITO!$Z$364</f>
        <v>0</v>
      </c>
      <c r="O364" s="91">
        <f>$L$364-EFEITO!$O$364*EFEITO!$AA$364</f>
        <v>0</v>
      </c>
      <c r="P364" s="19"/>
      <c r="Q364" s="19"/>
      <c r="R364" s="19"/>
      <c r="S364" s="19"/>
      <c r="T364" s="19"/>
      <c r="U364" s="19"/>
      <c r="V364" s="19"/>
      <c r="W364" s="19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84" t="s">
        <v>21</v>
      </c>
      <c r="B365" s="84" t="s">
        <v>22</v>
      </c>
      <c r="C365" s="84" t="s">
        <v>32</v>
      </c>
      <c r="D365" s="84" t="s">
        <v>24</v>
      </c>
      <c r="E365" s="84" t="s">
        <v>24</v>
      </c>
      <c r="F365" s="84" t="s">
        <v>25</v>
      </c>
      <c r="G365" s="84" t="s">
        <v>25</v>
      </c>
      <c r="H365" s="84" t="s">
        <v>35</v>
      </c>
      <c r="I365" s="90">
        <v>44470</v>
      </c>
      <c r="J365" s="91">
        <f>EFEITO!$J$365*EFEITO!$Y$365</f>
        <v>0</v>
      </c>
      <c r="K365" s="91">
        <f ca="1">EFEITO!$L$365*EFEITO!$Z$365</f>
        <v>45.950816580756666</v>
      </c>
      <c r="L365" s="91">
        <f>EFEITO!$N$365*EFEITO!$AA$365</f>
        <v>24.710688573362376</v>
      </c>
      <c r="M365" s="91">
        <f>$J$365-EFEITO!$K$365*EFEITO!$Y$365</f>
        <v>0</v>
      </c>
      <c r="N365" s="91">
        <f ca="1">$K$365-EFEITO!$M$365*EFEITO!$Z$365</f>
        <v>0</v>
      </c>
      <c r="O365" s="91">
        <f>$L$365-EFEITO!$O$365*EFEITO!$AA$365</f>
        <v>0</v>
      </c>
      <c r="P365" s="19"/>
      <c r="Q365" s="19"/>
      <c r="R365" s="19"/>
      <c r="S365" s="19"/>
      <c r="T365" s="19"/>
      <c r="U365" s="19"/>
      <c r="V365" s="19"/>
      <c r="W365" s="19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84" t="s">
        <v>21</v>
      </c>
      <c r="B366" s="84" t="s">
        <v>22</v>
      </c>
      <c r="C366" s="84" t="s">
        <v>32</v>
      </c>
      <c r="D366" s="84" t="s">
        <v>24</v>
      </c>
      <c r="E366" s="84" t="s">
        <v>24</v>
      </c>
      <c r="F366" s="84" t="s">
        <v>25</v>
      </c>
      <c r="G366" s="84" t="s">
        <v>25</v>
      </c>
      <c r="H366" s="84" t="s">
        <v>35</v>
      </c>
      <c r="I366" s="90">
        <v>44501</v>
      </c>
      <c r="J366" s="91">
        <f>EFEITO!$J$366*EFEITO!$Y$366</f>
        <v>0</v>
      </c>
      <c r="K366" s="91">
        <f ca="1">EFEITO!$L$366*EFEITO!$Z$366</f>
        <v>42.449801984127589</v>
      </c>
      <c r="L366" s="91">
        <f>EFEITO!$N$366*EFEITO!$AA$366</f>
        <v>22.827969443963337</v>
      </c>
      <c r="M366" s="91">
        <f>$J$366-EFEITO!$K$366*EFEITO!$Y$366</f>
        <v>0</v>
      </c>
      <c r="N366" s="91">
        <f ca="1">$K$366-EFEITO!$M$366*EFEITO!$Z$366</f>
        <v>0</v>
      </c>
      <c r="O366" s="91">
        <f>$L$366-EFEITO!$O$366*EFEITO!$AA$366</f>
        <v>0</v>
      </c>
      <c r="P366" s="19"/>
      <c r="Q366" s="19"/>
      <c r="R366" s="19"/>
      <c r="S366" s="19"/>
      <c r="T366" s="19"/>
      <c r="U366" s="19"/>
      <c r="V366" s="19"/>
      <c r="W366" s="19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84" t="s">
        <v>21</v>
      </c>
      <c r="B367" s="84" t="s">
        <v>22</v>
      </c>
      <c r="C367" s="84" t="s">
        <v>32</v>
      </c>
      <c r="D367" s="84" t="s">
        <v>24</v>
      </c>
      <c r="E367" s="84" t="s">
        <v>24</v>
      </c>
      <c r="F367" s="84" t="s">
        <v>25</v>
      </c>
      <c r="G367" s="84" t="s">
        <v>25</v>
      </c>
      <c r="H367" s="84" t="s">
        <v>35</v>
      </c>
      <c r="I367" s="90">
        <v>44531</v>
      </c>
      <c r="J367" s="91">
        <f>EFEITO!$J$367*EFEITO!$Y$367</f>
        <v>0</v>
      </c>
      <c r="K367" s="91">
        <f ca="1">EFEITO!$L$367*EFEITO!$Z$367</f>
        <v>47.263697054492567</v>
      </c>
      <c r="L367" s="91">
        <f>EFEITO!$N$367*EFEITO!$AA$367</f>
        <v>25.416708246887016</v>
      </c>
      <c r="M367" s="91">
        <f>$J$367-EFEITO!$K$367*EFEITO!$Y$367</f>
        <v>0</v>
      </c>
      <c r="N367" s="91">
        <f ca="1">$K$367-EFEITO!$M$367*EFEITO!$Z$367</f>
        <v>0</v>
      </c>
      <c r="O367" s="91">
        <f>$L$367-EFEITO!$O$367*EFEITO!$AA$367</f>
        <v>0</v>
      </c>
      <c r="P367" s="19"/>
      <c r="Q367" s="19"/>
      <c r="R367" s="19"/>
      <c r="S367" s="19"/>
      <c r="T367" s="19"/>
      <c r="U367" s="19"/>
      <c r="V367" s="19"/>
      <c r="W367" s="19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84" t="s">
        <v>21</v>
      </c>
      <c r="B368" s="84" t="s">
        <v>22</v>
      </c>
      <c r="C368" s="84" t="s">
        <v>32</v>
      </c>
      <c r="D368" s="84" t="s">
        <v>24</v>
      </c>
      <c r="E368" s="84" t="s">
        <v>24</v>
      </c>
      <c r="F368" s="84" t="s">
        <v>25</v>
      </c>
      <c r="G368" s="84" t="s">
        <v>25</v>
      </c>
      <c r="H368" s="84" t="s">
        <v>35</v>
      </c>
      <c r="I368" s="90">
        <v>44562</v>
      </c>
      <c r="J368" s="91">
        <f>EFEITO!$J$368*EFEITO!$Y$368</f>
        <v>0</v>
      </c>
      <c r="K368" s="91">
        <f ca="1">EFEITO!$L$368*EFEITO!$Z$368</f>
        <v>71.333172406317487</v>
      </c>
      <c r="L368" s="91">
        <f>EFEITO!$N$368*EFEITO!$AA$368</f>
        <v>38.360402261505406</v>
      </c>
      <c r="M368" s="91">
        <f>$J$368-EFEITO!$K$368*EFEITO!$Y$368</f>
        <v>0</v>
      </c>
      <c r="N368" s="91">
        <f ca="1">$K$368-EFEITO!$M$368*EFEITO!$Z$368</f>
        <v>0</v>
      </c>
      <c r="O368" s="91">
        <f>$L$368-EFEITO!$O$368*EFEITO!$AA$368</f>
        <v>0</v>
      </c>
      <c r="P368" s="19"/>
      <c r="Q368" s="19"/>
      <c r="R368" s="19"/>
      <c r="S368" s="19"/>
      <c r="T368" s="19"/>
      <c r="U368" s="19"/>
      <c r="V368" s="19"/>
      <c r="W368" s="19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84" t="s">
        <v>21</v>
      </c>
      <c r="B369" s="84" t="s">
        <v>22</v>
      </c>
      <c r="C369" s="84" t="s">
        <v>32</v>
      </c>
      <c r="D369" s="84" t="s">
        <v>24</v>
      </c>
      <c r="E369" s="84" t="s">
        <v>24</v>
      </c>
      <c r="F369" s="84" t="s">
        <v>25</v>
      </c>
      <c r="G369" s="84" t="s">
        <v>25</v>
      </c>
      <c r="H369" s="84" t="s">
        <v>35</v>
      </c>
      <c r="I369" s="90">
        <v>44593</v>
      </c>
      <c r="J369" s="91">
        <f>EFEITO!$J$369*EFEITO!$Y$369</f>
        <v>0</v>
      </c>
      <c r="K369" s="91">
        <f ca="1">EFEITO!$L$369*EFEITO!$Z$369</f>
        <v>57.766740844379811</v>
      </c>
      <c r="L369" s="91">
        <f>EFEITO!$N$369*EFEITO!$AA$369</f>
        <v>31.064865635084132</v>
      </c>
      <c r="M369" s="91">
        <f>$J$369-EFEITO!$K$369*EFEITO!$Y$369</f>
        <v>0</v>
      </c>
      <c r="N369" s="91">
        <f ca="1">$K$369-EFEITO!$M$369*EFEITO!$Z$369</f>
        <v>0</v>
      </c>
      <c r="O369" s="91">
        <f>$L$369-EFEITO!$O$369*EFEITO!$AA$369</f>
        <v>0</v>
      </c>
      <c r="P369" s="19"/>
      <c r="Q369" s="19"/>
      <c r="R369" s="19"/>
      <c r="S369" s="19"/>
      <c r="T369" s="19"/>
      <c r="U369" s="19"/>
      <c r="V369" s="19"/>
      <c r="W369" s="19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84" t="s">
        <v>21</v>
      </c>
      <c r="B370" s="84" t="s">
        <v>22</v>
      </c>
      <c r="C370" s="84" t="s">
        <v>32</v>
      </c>
      <c r="D370" s="84" t="s">
        <v>24</v>
      </c>
      <c r="E370" s="84" t="s">
        <v>24</v>
      </c>
      <c r="F370" s="84" t="s">
        <v>25</v>
      </c>
      <c r="G370" s="84" t="s">
        <v>25</v>
      </c>
      <c r="H370" s="84" t="s">
        <v>35</v>
      </c>
      <c r="I370" s="90">
        <v>44621</v>
      </c>
      <c r="J370" s="91">
        <f>EFEITO!$J$370*EFEITO!$Y$370</f>
        <v>0</v>
      </c>
      <c r="K370" s="91">
        <f ca="1">EFEITO!$L$370*EFEITO!$Z$370</f>
        <v>65.206396862216593</v>
      </c>
      <c r="L370" s="91">
        <f>EFEITO!$N$370*EFEITO!$AA$370</f>
        <v>35.065643785057084</v>
      </c>
      <c r="M370" s="91">
        <f>$J$370-EFEITO!$K$370*EFEITO!$Y$370</f>
        <v>0</v>
      </c>
      <c r="N370" s="91">
        <f ca="1">$K$370-EFEITO!$M$370*EFEITO!$Z$370</f>
        <v>0</v>
      </c>
      <c r="O370" s="91">
        <f>$L$370-EFEITO!$O$370*EFEITO!$AA$370</f>
        <v>0</v>
      </c>
      <c r="P370" s="19"/>
      <c r="Q370" s="19"/>
      <c r="R370" s="19"/>
      <c r="S370" s="19"/>
      <c r="T370" s="19"/>
      <c r="U370" s="19"/>
      <c r="V370" s="19"/>
      <c r="W370" s="19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84" t="s">
        <v>21</v>
      </c>
      <c r="B371" s="84" t="s">
        <v>22</v>
      </c>
      <c r="C371" s="84" t="s">
        <v>32</v>
      </c>
      <c r="D371" s="84" t="s">
        <v>24</v>
      </c>
      <c r="E371" s="84" t="s">
        <v>24</v>
      </c>
      <c r="F371" s="84" t="s">
        <v>25</v>
      </c>
      <c r="G371" s="84" t="s">
        <v>25</v>
      </c>
      <c r="H371" s="84" t="s">
        <v>35</v>
      </c>
      <c r="I371" s="90">
        <v>44652</v>
      </c>
      <c r="J371" s="91">
        <f>EFEITO!$J$371*EFEITO!$Y$371</f>
        <v>0</v>
      </c>
      <c r="K371" s="91">
        <f ca="1">EFEITO!$L$371*EFEITO!$Z$371</f>
        <v>36.760653264605338</v>
      </c>
      <c r="L371" s="91">
        <f>EFEITO!$N$371*EFEITO!$AA$371</f>
        <v>19.768550858689903</v>
      </c>
      <c r="M371" s="91">
        <f>$J$371-EFEITO!$K$371*EFEITO!$Y$371</f>
        <v>0</v>
      </c>
      <c r="N371" s="91">
        <f ca="1">$K$371-EFEITO!$M$371*EFEITO!$Z$371</f>
        <v>0</v>
      </c>
      <c r="O371" s="91">
        <f>$L$371-EFEITO!$O$371*EFEITO!$AA$371</f>
        <v>0</v>
      </c>
      <c r="P371" s="19"/>
      <c r="Q371" s="19"/>
      <c r="R371" s="19"/>
      <c r="S371" s="19"/>
      <c r="T371" s="19"/>
      <c r="U371" s="19"/>
      <c r="V371" s="19"/>
      <c r="W371" s="19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84" t="s">
        <v>21</v>
      </c>
      <c r="B372" s="84" t="s">
        <v>22</v>
      </c>
      <c r="C372" s="84" t="s">
        <v>32</v>
      </c>
      <c r="D372" s="84" t="s">
        <v>24</v>
      </c>
      <c r="E372" s="84" t="s">
        <v>24</v>
      </c>
      <c r="F372" s="84" t="s">
        <v>25</v>
      </c>
      <c r="G372" s="84" t="s">
        <v>25</v>
      </c>
      <c r="H372" s="84" t="s">
        <v>35</v>
      </c>
      <c r="I372" s="90">
        <v>44682</v>
      </c>
      <c r="J372" s="91">
        <f>EFEITO!$J$372*EFEITO!$Y$372</f>
        <v>0</v>
      </c>
      <c r="K372" s="91">
        <f ca="1">EFEITO!$L$372*EFEITO!$Z$372</f>
        <v>142.22871798805636</v>
      </c>
      <c r="L372" s="91">
        <f>EFEITO!$N$372*EFEITO!$AA$372</f>
        <v>76.485464631835924</v>
      </c>
      <c r="M372" s="91">
        <f>$J$372-EFEITO!$K$372*EFEITO!$Y$372</f>
        <v>0</v>
      </c>
      <c r="N372" s="91">
        <f ca="1">$K$372-EFEITO!$M$372*EFEITO!$Z$372</f>
        <v>0</v>
      </c>
      <c r="O372" s="91">
        <f>$L$372-EFEITO!$O$372*EFEITO!$AA$372</f>
        <v>0</v>
      </c>
      <c r="P372" s="19"/>
      <c r="Q372" s="19"/>
      <c r="R372" s="19"/>
      <c r="S372" s="19"/>
      <c r="T372" s="19"/>
      <c r="U372" s="19"/>
      <c r="V372" s="19"/>
      <c r="W372" s="19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84" t="s">
        <v>55</v>
      </c>
      <c r="B373" s="84" t="s">
        <v>22</v>
      </c>
      <c r="C373" s="84" t="s">
        <v>32</v>
      </c>
      <c r="D373" s="84" t="s">
        <v>24</v>
      </c>
      <c r="E373" s="84" t="s">
        <v>24</v>
      </c>
      <c r="F373" s="84" t="s">
        <v>25</v>
      </c>
      <c r="G373" s="84" t="s">
        <v>25</v>
      </c>
      <c r="H373" s="84" t="s">
        <v>35</v>
      </c>
      <c r="I373" s="90">
        <v>44713</v>
      </c>
      <c r="J373" s="91">
        <f>EFEITO!$J$373*EFEITO!$Y$373</f>
        <v>0</v>
      </c>
      <c r="K373" s="91">
        <f ca="1">EFEITO!$L$373*EFEITO!$Z$373</f>
        <v>142.22871798805636</v>
      </c>
      <c r="L373" s="91">
        <f>EFEITO!$N$373*EFEITO!$AA$373</f>
        <v>76.485464631835924</v>
      </c>
      <c r="M373" s="91">
        <f>$J$373-EFEITO!$K$373*EFEITO!$Y$373</f>
        <v>0</v>
      </c>
      <c r="N373" s="91">
        <f ca="1">$K$373-EFEITO!$M$373*EFEITO!$Z$373</f>
        <v>0</v>
      </c>
      <c r="O373" s="91">
        <f>$L$373-EFEITO!$O$373*EFEITO!$AA$373</f>
        <v>0</v>
      </c>
      <c r="P373" s="19"/>
      <c r="Q373" s="19"/>
      <c r="R373" s="19"/>
      <c r="S373" s="19"/>
      <c r="T373" s="19"/>
      <c r="U373" s="19"/>
      <c r="V373" s="19"/>
      <c r="W373" s="19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84" t="s">
        <v>21</v>
      </c>
      <c r="B374" s="84" t="s">
        <v>22</v>
      </c>
      <c r="C374" s="84" t="s">
        <v>32</v>
      </c>
      <c r="D374" s="84" t="s">
        <v>24</v>
      </c>
      <c r="E374" s="84" t="s">
        <v>24</v>
      </c>
      <c r="F374" s="84" t="s">
        <v>25</v>
      </c>
      <c r="G374" s="84" t="s">
        <v>25</v>
      </c>
      <c r="H374" s="84" t="s">
        <v>33</v>
      </c>
      <c r="I374" s="90">
        <v>44378</v>
      </c>
      <c r="J374" s="91">
        <f>EFEITO!$J$374*EFEITO!$Y$374</f>
        <v>0</v>
      </c>
      <c r="K374" s="91">
        <f ca="1">EFEITO!$L$374*EFEITO!$Z$374</f>
        <v>246.54684529535626</v>
      </c>
      <c r="L374" s="91">
        <f>EFEITO!$N$374*EFEITO!$AA$374</f>
        <v>130.54945807116667</v>
      </c>
      <c r="M374" s="91">
        <f>$J$374-EFEITO!$K$374*EFEITO!$Y$374</f>
        <v>0</v>
      </c>
      <c r="N374" s="91">
        <f ca="1">$K$374-EFEITO!$M$374*EFEITO!$Z$374</f>
        <v>0</v>
      </c>
      <c r="O374" s="91">
        <f>$L$374-EFEITO!$O$374*EFEITO!$AA$374</f>
        <v>0</v>
      </c>
      <c r="P374" s="19"/>
      <c r="Q374" s="19"/>
      <c r="R374" s="19"/>
      <c r="S374" s="19"/>
      <c r="T374" s="19"/>
      <c r="U374" s="19"/>
      <c r="V374" s="19"/>
      <c r="W374" s="19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84" t="s">
        <v>21</v>
      </c>
      <c r="B375" s="84" t="s">
        <v>22</v>
      </c>
      <c r="C375" s="84" t="s">
        <v>32</v>
      </c>
      <c r="D375" s="84" t="s">
        <v>24</v>
      </c>
      <c r="E375" s="84" t="s">
        <v>24</v>
      </c>
      <c r="F375" s="84" t="s">
        <v>25</v>
      </c>
      <c r="G375" s="84" t="s">
        <v>25</v>
      </c>
      <c r="H375" s="84" t="s">
        <v>33</v>
      </c>
      <c r="I375" s="90">
        <v>44409</v>
      </c>
      <c r="J375" s="91">
        <f>EFEITO!$J$375*EFEITO!$Y$375</f>
        <v>0</v>
      </c>
      <c r="K375" s="91">
        <f ca="1">EFEITO!$L$375*EFEITO!$Z$375</f>
        <v>228.50683222496431</v>
      </c>
      <c r="L375" s="91">
        <f>EFEITO!$N$375*EFEITO!$AA$375</f>
        <v>120.99705870010567</v>
      </c>
      <c r="M375" s="91">
        <f>$J$375-EFEITO!$K$375*EFEITO!$Y$375</f>
        <v>0</v>
      </c>
      <c r="N375" s="91">
        <f ca="1">$K$375-EFEITO!$M$375*EFEITO!$Z$375</f>
        <v>0</v>
      </c>
      <c r="O375" s="91">
        <f>$L$375-EFEITO!$O$375*EFEITO!$AA$375</f>
        <v>0</v>
      </c>
      <c r="P375" s="19"/>
      <c r="Q375" s="19"/>
      <c r="R375" s="19"/>
      <c r="S375" s="19"/>
      <c r="T375" s="19"/>
      <c r="U375" s="19"/>
      <c r="V375" s="19"/>
      <c r="W375" s="19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84" t="s">
        <v>21</v>
      </c>
      <c r="B376" s="84" t="s">
        <v>22</v>
      </c>
      <c r="C376" s="84" t="s">
        <v>32</v>
      </c>
      <c r="D376" s="84" t="s">
        <v>24</v>
      </c>
      <c r="E376" s="84" t="s">
        <v>24</v>
      </c>
      <c r="F376" s="84" t="s">
        <v>25</v>
      </c>
      <c r="G376" s="84" t="s">
        <v>25</v>
      </c>
      <c r="H376" s="84" t="s">
        <v>33</v>
      </c>
      <c r="I376" s="90">
        <v>44440</v>
      </c>
      <c r="J376" s="91">
        <f>EFEITO!$J$376*EFEITO!$Y$376</f>
        <v>0</v>
      </c>
      <c r="K376" s="91">
        <f ca="1">EFEITO!$L$376*EFEITO!$Z$376</f>
        <v>167.62178811239158</v>
      </c>
      <c r="L376" s="91">
        <f>EFEITO!$N$376*EFEITO!$AA$376</f>
        <v>88.757710822774882</v>
      </c>
      <c r="M376" s="91">
        <f>$J$376-EFEITO!$K$376*EFEITO!$Y$376</f>
        <v>0</v>
      </c>
      <c r="N376" s="91">
        <f ca="1">$K$376-EFEITO!$M$376*EFEITO!$Z$376</f>
        <v>0</v>
      </c>
      <c r="O376" s="91">
        <f>$L$376-EFEITO!$O$376*EFEITO!$AA$376</f>
        <v>0</v>
      </c>
      <c r="P376" s="19"/>
      <c r="Q376" s="19"/>
      <c r="R376" s="19"/>
      <c r="S376" s="19"/>
      <c r="T376" s="19"/>
      <c r="U376" s="19"/>
      <c r="V376" s="19"/>
      <c r="W376" s="19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84" t="s">
        <v>21</v>
      </c>
      <c r="B377" s="84" t="s">
        <v>22</v>
      </c>
      <c r="C377" s="84" t="s">
        <v>32</v>
      </c>
      <c r="D377" s="84" t="s">
        <v>24</v>
      </c>
      <c r="E377" s="84" t="s">
        <v>24</v>
      </c>
      <c r="F377" s="84" t="s">
        <v>25</v>
      </c>
      <c r="G377" s="84" t="s">
        <v>25</v>
      </c>
      <c r="H377" s="84" t="s">
        <v>33</v>
      </c>
      <c r="I377" s="90">
        <v>44470</v>
      </c>
      <c r="J377" s="91">
        <f>EFEITO!$J$377*EFEITO!$Y$377</f>
        <v>0</v>
      </c>
      <c r="K377" s="91">
        <f ca="1">EFEITO!$L$377*EFEITO!$Z$377</f>
        <v>144.32010456313537</v>
      </c>
      <c r="L377" s="91">
        <f>EFEITO!$N$377*EFEITO!$AA$377</f>
        <v>76.419194968487801</v>
      </c>
      <c r="M377" s="91">
        <f>$J$377-EFEITO!$K$377*EFEITO!$Y$377</f>
        <v>0</v>
      </c>
      <c r="N377" s="91">
        <f ca="1">$K$377-EFEITO!$M$377*EFEITO!$Z$377</f>
        <v>0</v>
      </c>
      <c r="O377" s="91">
        <f>$L$377-EFEITO!$O$377*EFEITO!$AA$377</f>
        <v>0</v>
      </c>
      <c r="P377" s="19"/>
      <c r="Q377" s="19"/>
      <c r="R377" s="19"/>
      <c r="S377" s="19"/>
      <c r="T377" s="19"/>
      <c r="U377" s="19"/>
      <c r="V377" s="19"/>
      <c r="W377" s="19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84" t="s">
        <v>21</v>
      </c>
      <c r="B378" s="84" t="s">
        <v>22</v>
      </c>
      <c r="C378" s="84" t="s">
        <v>32</v>
      </c>
      <c r="D378" s="84" t="s">
        <v>24</v>
      </c>
      <c r="E378" s="84" t="s">
        <v>24</v>
      </c>
      <c r="F378" s="84" t="s">
        <v>25</v>
      </c>
      <c r="G378" s="84" t="s">
        <v>25</v>
      </c>
      <c r="H378" s="84" t="s">
        <v>33</v>
      </c>
      <c r="I378" s="90">
        <v>44501</v>
      </c>
      <c r="J378" s="91">
        <f>EFEITO!$J$378*EFEITO!$Y$378</f>
        <v>0</v>
      </c>
      <c r="K378" s="91">
        <f ca="1">EFEITO!$L$378*EFEITO!$Z$378</f>
        <v>150.33344225326601</v>
      </c>
      <c r="L378" s="91">
        <f>EFEITO!$N$378*EFEITO!$AA$378</f>
        <v>79.603328092174792</v>
      </c>
      <c r="M378" s="91">
        <f>$J$378-EFEITO!$K$378*EFEITO!$Y$378</f>
        <v>0</v>
      </c>
      <c r="N378" s="91">
        <f ca="1">$K$378-EFEITO!$M$378*EFEITO!$Z$378</f>
        <v>0</v>
      </c>
      <c r="O378" s="91">
        <f>$L$378-EFEITO!$O$378*EFEITO!$AA$378</f>
        <v>0</v>
      </c>
      <c r="P378" s="19"/>
      <c r="Q378" s="19"/>
      <c r="R378" s="19"/>
      <c r="S378" s="19"/>
      <c r="T378" s="19"/>
      <c r="U378" s="19"/>
      <c r="V378" s="19"/>
      <c r="W378" s="19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84" t="s">
        <v>21</v>
      </c>
      <c r="B379" s="84" t="s">
        <v>22</v>
      </c>
      <c r="C379" s="84" t="s">
        <v>32</v>
      </c>
      <c r="D379" s="84" t="s">
        <v>24</v>
      </c>
      <c r="E379" s="84" t="s">
        <v>24</v>
      </c>
      <c r="F379" s="84" t="s">
        <v>25</v>
      </c>
      <c r="G379" s="84" t="s">
        <v>25</v>
      </c>
      <c r="H379" s="84" t="s">
        <v>33</v>
      </c>
      <c r="I379" s="90">
        <v>44531</v>
      </c>
      <c r="J379" s="91">
        <f>EFEITO!$J$379*EFEITO!$Y$379</f>
        <v>0</v>
      </c>
      <c r="K379" s="91">
        <f ca="1">EFEITO!$L$379*EFEITO!$Z$379</f>
        <v>140.5617685068037</v>
      </c>
      <c r="L379" s="91">
        <f>EFEITO!$N$379*EFEITO!$AA$379</f>
        <v>74.429111766183425</v>
      </c>
      <c r="M379" s="91">
        <f>$J$379-EFEITO!$K$379*EFEITO!$Y$379</f>
        <v>0</v>
      </c>
      <c r="N379" s="91">
        <f ca="1">$K$379-EFEITO!$M$379*EFEITO!$Z$379</f>
        <v>0</v>
      </c>
      <c r="O379" s="91">
        <f>$L$379-EFEITO!$O$379*EFEITO!$AA$379</f>
        <v>0</v>
      </c>
      <c r="P379" s="19"/>
      <c r="Q379" s="19"/>
      <c r="R379" s="19"/>
      <c r="S379" s="19"/>
      <c r="T379" s="19"/>
      <c r="U379" s="19"/>
      <c r="V379" s="19"/>
      <c r="W379" s="19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84" t="s">
        <v>21</v>
      </c>
      <c r="B380" s="84" t="s">
        <v>22</v>
      </c>
      <c r="C380" s="84" t="s">
        <v>32</v>
      </c>
      <c r="D380" s="84" t="s">
        <v>24</v>
      </c>
      <c r="E380" s="84" t="s">
        <v>24</v>
      </c>
      <c r="F380" s="84" t="s">
        <v>25</v>
      </c>
      <c r="G380" s="84" t="s">
        <v>25</v>
      </c>
      <c r="H380" s="84" t="s">
        <v>33</v>
      </c>
      <c r="I380" s="90">
        <v>44562</v>
      </c>
      <c r="J380" s="91">
        <f>EFEITO!$J$380*EFEITO!$Y$380</f>
        <v>0</v>
      </c>
      <c r="K380" s="91">
        <f ca="1">EFEITO!$L$380*EFEITO!$Z$380</f>
        <v>189.42013723911518</v>
      </c>
      <c r="L380" s="91">
        <f>EFEITO!$N$380*EFEITO!$AA$380</f>
        <v>100.30019339614023</v>
      </c>
      <c r="M380" s="91">
        <f>$J$380-EFEITO!$K$380*EFEITO!$Y$380</f>
        <v>0</v>
      </c>
      <c r="N380" s="91">
        <f ca="1">$K$380-EFEITO!$M$380*EFEITO!$Z$380</f>
        <v>0</v>
      </c>
      <c r="O380" s="91">
        <f>$L$380-EFEITO!$O$380*EFEITO!$AA$380</f>
        <v>0</v>
      </c>
      <c r="P380" s="19"/>
      <c r="Q380" s="19"/>
      <c r="R380" s="19"/>
      <c r="S380" s="19"/>
      <c r="T380" s="19"/>
      <c r="U380" s="19"/>
      <c r="V380" s="19"/>
      <c r="W380" s="19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84" t="s">
        <v>21</v>
      </c>
      <c r="B381" s="84" t="s">
        <v>22</v>
      </c>
      <c r="C381" s="84" t="s">
        <v>32</v>
      </c>
      <c r="D381" s="84" t="s">
        <v>24</v>
      </c>
      <c r="E381" s="84" t="s">
        <v>24</v>
      </c>
      <c r="F381" s="84" t="s">
        <v>25</v>
      </c>
      <c r="G381" s="84" t="s">
        <v>25</v>
      </c>
      <c r="H381" s="84" t="s">
        <v>33</v>
      </c>
      <c r="I381" s="90">
        <v>44593</v>
      </c>
      <c r="J381" s="91">
        <f>EFEITO!$J$381*EFEITO!$Y$381</f>
        <v>0</v>
      </c>
      <c r="K381" s="91">
        <f ca="1">EFEITO!$L$381*EFEITO!$Z$381</f>
        <v>152.58844388706501</v>
      </c>
      <c r="L381" s="91">
        <f>EFEITO!$N$381*EFEITO!$AA$381</f>
        <v>80.79737801355742</v>
      </c>
      <c r="M381" s="91">
        <f>$J$381-EFEITO!$K$381*EFEITO!$Y$381</f>
        <v>0</v>
      </c>
      <c r="N381" s="91">
        <f ca="1">$K$381-EFEITO!$M$381*EFEITO!$Z$381</f>
        <v>0</v>
      </c>
      <c r="O381" s="91">
        <f>$L$381-EFEITO!$O$381*EFEITO!$AA$381</f>
        <v>0</v>
      </c>
      <c r="P381" s="19"/>
      <c r="Q381" s="19"/>
      <c r="R381" s="19"/>
      <c r="S381" s="19"/>
      <c r="T381" s="19"/>
      <c r="U381" s="19"/>
      <c r="V381" s="19"/>
      <c r="W381" s="19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84" t="s">
        <v>21</v>
      </c>
      <c r="B382" s="84" t="s">
        <v>22</v>
      </c>
      <c r="C382" s="84" t="s">
        <v>32</v>
      </c>
      <c r="D382" s="84" t="s">
        <v>24</v>
      </c>
      <c r="E382" s="84" t="s">
        <v>24</v>
      </c>
      <c r="F382" s="84" t="s">
        <v>25</v>
      </c>
      <c r="G382" s="84" t="s">
        <v>25</v>
      </c>
      <c r="H382" s="84" t="s">
        <v>33</v>
      </c>
      <c r="I382" s="90">
        <v>44621</v>
      </c>
      <c r="J382" s="91">
        <f>EFEITO!$J$382*EFEITO!$Y$382</f>
        <v>0</v>
      </c>
      <c r="K382" s="91">
        <f ca="1">EFEITO!$L$382*EFEITO!$Z$382</f>
        <v>182.65513233771819</v>
      </c>
      <c r="L382" s="91">
        <f>EFEITO!$N$382*EFEITO!$AA$382</f>
        <v>96.718043631992359</v>
      </c>
      <c r="M382" s="91">
        <f>$J$382-EFEITO!$K$382*EFEITO!$Y$382</f>
        <v>0</v>
      </c>
      <c r="N382" s="91">
        <f ca="1">$K$382-EFEITO!$M$382*EFEITO!$Z$382</f>
        <v>0</v>
      </c>
      <c r="O382" s="91">
        <f>$L$382-EFEITO!$O$382*EFEITO!$AA$382</f>
        <v>0</v>
      </c>
      <c r="P382" s="19"/>
      <c r="Q382" s="19"/>
      <c r="R382" s="19"/>
      <c r="S382" s="19"/>
      <c r="T382" s="19"/>
      <c r="U382" s="19"/>
      <c r="V382" s="19"/>
      <c r="W382" s="19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84" t="s">
        <v>21</v>
      </c>
      <c r="B383" s="84" t="s">
        <v>22</v>
      </c>
      <c r="C383" s="84" t="s">
        <v>32</v>
      </c>
      <c r="D383" s="84" t="s">
        <v>24</v>
      </c>
      <c r="E383" s="84" t="s">
        <v>24</v>
      </c>
      <c r="F383" s="84" t="s">
        <v>25</v>
      </c>
      <c r="G383" s="84" t="s">
        <v>25</v>
      </c>
      <c r="H383" s="84" t="s">
        <v>33</v>
      </c>
      <c r="I383" s="90">
        <v>44652</v>
      </c>
      <c r="J383" s="91">
        <f>EFEITO!$J$383*EFEITO!$Y$383</f>
        <v>0</v>
      </c>
      <c r="K383" s="91">
        <f ca="1">EFEITO!$L$383*EFEITO!$Z$383</f>
        <v>138.30676687300473</v>
      </c>
      <c r="L383" s="91">
        <f>EFEITO!$N$383*EFEITO!$AA$383</f>
        <v>73.235061844800796</v>
      </c>
      <c r="M383" s="91">
        <f>$J$383-EFEITO!$K$383*EFEITO!$Y$383</f>
        <v>0</v>
      </c>
      <c r="N383" s="91">
        <f ca="1">$K$383-EFEITO!$M$383*EFEITO!$Z$383</f>
        <v>0</v>
      </c>
      <c r="O383" s="91">
        <f>$L$383-EFEITO!$O$383*EFEITO!$AA$383</f>
        <v>0</v>
      </c>
      <c r="P383" s="19"/>
      <c r="Q383" s="19"/>
      <c r="R383" s="19"/>
      <c r="S383" s="19"/>
      <c r="T383" s="19"/>
      <c r="U383" s="19"/>
      <c r="V383" s="19"/>
      <c r="W383" s="19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84" t="s">
        <v>21</v>
      </c>
      <c r="B384" s="84" t="s">
        <v>22</v>
      </c>
      <c r="C384" s="84" t="s">
        <v>32</v>
      </c>
      <c r="D384" s="84" t="s">
        <v>24</v>
      </c>
      <c r="E384" s="84" t="s">
        <v>24</v>
      </c>
      <c r="F384" s="84" t="s">
        <v>25</v>
      </c>
      <c r="G384" s="84" t="s">
        <v>25</v>
      </c>
      <c r="H384" s="84" t="s">
        <v>33</v>
      </c>
      <c r="I384" s="90">
        <v>44682</v>
      </c>
      <c r="J384" s="91">
        <f>EFEITO!$J$384*EFEITO!$Y$384</f>
        <v>0</v>
      </c>
      <c r="K384" s="91">
        <f ca="1">EFEITO!$L$384*EFEITO!$Z$384</f>
        <v>166.11845368985894</v>
      </c>
      <c r="L384" s="91">
        <f>EFEITO!$N$384*EFEITO!$AA$384</f>
        <v>87.961677541853135</v>
      </c>
      <c r="M384" s="91">
        <f>$J$384-EFEITO!$K$384*EFEITO!$Y$384</f>
        <v>0</v>
      </c>
      <c r="N384" s="91">
        <f ca="1">$K$384-EFEITO!$M$384*EFEITO!$Z$384</f>
        <v>0</v>
      </c>
      <c r="O384" s="91">
        <f>$L$384-EFEITO!$O$384*EFEITO!$AA$384</f>
        <v>0</v>
      </c>
      <c r="P384" s="19"/>
      <c r="Q384" s="19"/>
      <c r="R384" s="19"/>
      <c r="S384" s="19"/>
      <c r="T384" s="19"/>
      <c r="U384" s="19"/>
      <c r="V384" s="19"/>
      <c r="W384" s="19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84" t="s">
        <v>55</v>
      </c>
      <c r="B385" s="84" t="s">
        <v>22</v>
      </c>
      <c r="C385" s="84" t="s">
        <v>32</v>
      </c>
      <c r="D385" s="84" t="s">
        <v>24</v>
      </c>
      <c r="E385" s="84" t="s">
        <v>24</v>
      </c>
      <c r="F385" s="84" t="s">
        <v>25</v>
      </c>
      <c r="G385" s="84" t="s">
        <v>25</v>
      </c>
      <c r="H385" s="84" t="s">
        <v>33</v>
      </c>
      <c r="I385" s="90">
        <v>44713</v>
      </c>
      <c r="J385" s="91">
        <f>EFEITO!$J$385*EFEITO!$Y$385</f>
        <v>0</v>
      </c>
      <c r="K385" s="91">
        <f ca="1">EFEITO!$L$385*EFEITO!$Z$385</f>
        <v>166.11845368985894</v>
      </c>
      <c r="L385" s="91">
        <f>EFEITO!$N$385*EFEITO!$AA$385</f>
        <v>87.961677541853135</v>
      </c>
      <c r="M385" s="91">
        <f>$J$385-EFEITO!$K$385*EFEITO!$Y$385</f>
        <v>0</v>
      </c>
      <c r="N385" s="91">
        <f ca="1">$K$385-EFEITO!$M$385*EFEITO!$Z$385</f>
        <v>0</v>
      </c>
      <c r="O385" s="91">
        <f>$L$385-EFEITO!$O$385*EFEITO!$AA$385</f>
        <v>0</v>
      </c>
      <c r="P385" s="19"/>
      <c r="Q385" s="19"/>
      <c r="R385" s="19"/>
      <c r="S385" s="19"/>
      <c r="T385" s="19"/>
      <c r="U385" s="19"/>
      <c r="V385" s="19"/>
      <c r="W385" s="19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84" t="s">
        <v>21</v>
      </c>
      <c r="B386" s="84" t="s">
        <v>22</v>
      </c>
      <c r="C386" s="84" t="s">
        <v>23</v>
      </c>
      <c r="D386" s="84" t="s">
        <v>24</v>
      </c>
      <c r="E386" s="84" t="s">
        <v>24</v>
      </c>
      <c r="F386" s="84" t="s">
        <v>25</v>
      </c>
      <c r="G386" s="84" t="s">
        <v>25</v>
      </c>
      <c r="H386" s="84" t="s">
        <v>25</v>
      </c>
      <c r="I386" s="90">
        <v>44378</v>
      </c>
      <c r="J386" s="91">
        <f>EFEITO!$J$386*EFEITO!$Y$386</f>
        <v>0</v>
      </c>
      <c r="K386" s="91">
        <f ca="1">EFEITO!$L$386*EFEITO!$Z$386</f>
        <v>990175.68021142681</v>
      </c>
      <c r="L386" s="91">
        <f>EFEITO!$N$386*EFEITO!$AA$386</f>
        <v>785091.31785574183</v>
      </c>
      <c r="M386" s="91">
        <f>$J$386-EFEITO!$K$386*EFEITO!$Y$386</f>
        <v>0</v>
      </c>
      <c r="N386" s="91">
        <f ca="1">$K$386-EFEITO!$M$386*EFEITO!$Z$386</f>
        <v>0</v>
      </c>
      <c r="O386" s="91">
        <f>$L$386-EFEITO!$O$386*EFEITO!$AA$386</f>
        <v>0</v>
      </c>
      <c r="P386" s="19"/>
      <c r="Q386" s="19"/>
      <c r="R386" s="19"/>
      <c r="S386" s="19"/>
      <c r="T386" s="19"/>
      <c r="U386" s="19"/>
      <c r="V386" s="19"/>
      <c r="W386" s="19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84" t="s">
        <v>27</v>
      </c>
      <c r="B387" s="84" t="s">
        <v>22</v>
      </c>
      <c r="C387" s="84" t="s">
        <v>23</v>
      </c>
      <c r="D387" s="84" t="s">
        <v>24</v>
      </c>
      <c r="E387" s="84" t="s">
        <v>24</v>
      </c>
      <c r="F387" s="84" t="s">
        <v>25</v>
      </c>
      <c r="G387" s="84" t="s">
        <v>25</v>
      </c>
      <c r="H387" s="84" t="s">
        <v>25</v>
      </c>
      <c r="I387" s="90">
        <v>44378</v>
      </c>
      <c r="J387" s="91">
        <f>EFEITO!$J$387*EFEITO!$Y$387</f>
        <v>0</v>
      </c>
      <c r="K387" s="91">
        <f ca="1">EFEITO!$L$387*EFEITO!$Z$387</f>
        <v>14680.80974027057</v>
      </c>
      <c r="L387" s="91">
        <f>EFEITO!$N$387*EFEITO!$AA$387</f>
        <v>11640.132651730446</v>
      </c>
      <c r="M387" s="91">
        <f>$J$387-EFEITO!$K$387*EFEITO!$Y$387</f>
        <v>0</v>
      </c>
      <c r="N387" s="91">
        <f ca="1">$K$387-EFEITO!$M$387*EFEITO!$Z$387</f>
        <v>0</v>
      </c>
      <c r="O387" s="91">
        <f>$L$387-EFEITO!$O$387*EFEITO!$AA$387</f>
        <v>0</v>
      </c>
      <c r="P387" s="19"/>
      <c r="Q387" s="19"/>
      <c r="R387" s="19"/>
      <c r="S387" s="19"/>
      <c r="T387" s="19"/>
      <c r="U387" s="19"/>
      <c r="V387" s="19"/>
      <c r="W387" s="19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84" t="s">
        <v>21</v>
      </c>
      <c r="B388" s="84" t="s">
        <v>22</v>
      </c>
      <c r="C388" s="84" t="s">
        <v>23</v>
      </c>
      <c r="D388" s="84" t="s">
        <v>24</v>
      </c>
      <c r="E388" s="84" t="s">
        <v>24</v>
      </c>
      <c r="F388" s="84" t="s">
        <v>25</v>
      </c>
      <c r="G388" s="84" t="s">
        <v>25</v>
      </c>
      <c r="H388" s="84" t="s">
        <v>25</v>
      </c>
      <c r="I388" s="90">
        <v>44409</v>
      </c>
      <c r="J388" s="91">
        <f>EFEITO!$J$388*EFEITO!$Y$388</f>
        <v>0</v>
      </c>
      <c r="K388" s="91">
        <f ca="1">EFEITO!$L$388*EFEITO!$Z$388</f>
        <v>970164.6130377138</v>
      </c>
      <c r="L388" s="91">
        <f>EFEITO!$N$388*EFEITO!$AA$388</f>
        <v>769224.92625162215</v>
      </c>
      <c r="M388" s="91">
        <f>$J$388-EFEITO!$K$388*EFEITO!$Y$388</f>
        <v>0</v>
      </c>
      <c r="N388" s="91">
        <f ca="1">$K$388-EFEITO!$M$388*EFEITO!$Z$388</f>
        <v>0</v>
      </c>
      <c r="O388" s="91">
        <f>$L$388-EFEITO!$O$388*EFEITO!$AA$388</f>
        <v>0</v>
      </c>
      <c r="P388" s="19"/>
      <c r="Q388" s="19"/>
      <c r="R388" s="19"/>
      <c r="S388" s="19"/>
      <c r="T388" s="19"/>
      <c r="U388" s="19"/>
      <c r="V388" s="19"/>
      <c r="W388" s="19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84" t="s">
        <v>41</v>
      </c>
      <c r="B389" s="84" t="s">
        <v>22</v>
      </c>
      <c r="C389" s="84" t="s">
        <v>23</v>
      </c>
      <c r="D389" s="84" t="s">
        <v>24</v>
      </c>
      <c r="E389" s="84" t="s">
        <v>24</v>
      </c>
      <c r="F389" s="84" t="s">
        <v>25</v>
      </c>
      <c r="G389" s="84" t="s">
        <v>25</v>
      </c>
      <c r="H389" s="84" t="s">
        <v>25</v>
      </c>
      <c r="I389" s="90">
        <v>44409</v>
      </c>
      <c r="J389" s="91">
        <f>EFEITO!$J$389*EFEITO!$Y$389</f>
        <v>0</v>
      </c>
      <c r="K389" s="91">
        <f ca="1">EFEITO!$L$389*EFEITO!$Z$389</f>
        <v>-43.320113416668562</v>
      </c>
      <c r="L389" s="91">
        <f>EFEITO!$N$389*EFEITO!$AA$389</f>
        <v>-34.347687598922349</v>
      </c>
      <c r="M389" s="91">
        <f>$J$389-EFEITO!$K$389*EFEITO!$Y$389</f>
        <v>0</v>
      </c>
      <c r="N389" s="91">
        <f ca="1">$K$389-EFEITO!$M$389*EFEITO!$Z$389</f>
        <v>0</v>
      </c>
      <c r="O389" s="91">
        <f>$L$389-EFEITO!$O$389*EFEITO!$AA$389</f>
        <v>0</v>
      </c>
      <c r="P389" s="19"/>
      <c r="Q389" s="19"/>
      <c r="R389" s="19"/>
      <c r="S389" s="19"/>
      <c r="T389" s="19"/>
      <c r="U389" s="19"/>
      <c r="V389" s="19"/>
      <c r="W389" s="19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84" t="s">
        <v>27</v>
      </c>
      <c r="B390" s="84" t="s">
        <v>22</v>
      </c>
      <c r="C390" s="84" t="s">
        <v>23</v>
      </c>
      <c r="D390" s="84" t="s">
        <v>24</v>
      </c>
      <c r="E390" s="84" t="s">
        <v>24</v>
      </c>
      <c r="F390" s="84" t="s">
        <v>25</v>
      </c>
      <c r="G390" s="84" t="s">
        <v>25</v>
      </c>
      <c r="H390" s="84" t="s">
        <v>25</v>
      </c>
      <c r="I390" s="90">
        <v>44409</v>
      </c>
      <c r="J390" s="91">
        <f>EFEITO!$J$390*EFEITO!$Y$390</f>
        <v>0</v>
      </c>
      <c r="K390" s="91">
        <f ca="1">EFEITO!$L$390*EFEITO!$Z$390</f>
        <v>13621.664358619557</v>
      </c>
      <c r="L390" s="91">
        <f>EFEITO!$N$390*EFEITO!$AA$390</f>
        <v>10800.356579565489</v>
      </c>
      <c r="M390" s="91">
        <f>$J$390-EFEITO!$K$390*EFEITO!$Y$390</f>
        <v>0</v>
      </c>
      <c r="N390" s="91">
        <f ca="1">$K$390-EFEITO!$M$390*EFEITO!$Z$390</f>
        <v>0</v>
      </c>
      <c r="O390" s="91">
        <f>$L$390-EFEITO!$O$390*EFEITO!$AA$390</f>
        <v>0</v>
      </c>
      <c r="P390" s="19"/>
      <c r="Q390" s="19"/>
      <c r="R390" s="19"/>
      <c r="S390" s="19"/>
      <c r="T390" s="19"/>
      <c r="U390" s="19"/>
      <c r="V390" s="19"/>
      <c r="W390" s="19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84" t="s">
        <v>21</v>
      </c>
      <c r="B391" s="84" t="s">
        <v>22</v>
      </c>
      <c r="C391" s="84" t="s">
        <v>23</v>
      </c>
      <c r="D391" s="84" t="s">
        <v>24</v>
      </c>
      <c r="E391" s="84" t="s">
        <v>24</v>
      </c>
      <c r="F391" s="84" t="s">
        <v>25</v>
      </c>
      <c r="G391" s="84" t="s">
        <v>25</v>
      </c>
      <c r="H391" s="84" t="s">
        <v>25</v>
      </c>
      <c r="I391" s="90">
        <v>44440</v>
      </c>
      <c r="J391" s="91">
        <f>EFEITO!$J$391*EFEITO!$Y$391</f>
        <v>0</v>
      </c>
      <c r="K391" s="91">
        <f ca="1">EFEITO!$L$391*EFEITO!$Z$391</f>
        <v>889486.23833487951</v>
      </c>
      <c r="L391" s="91">
        <f>EFEITO!$N$391*EFEITO!$AA$391</f>
        <v>705256.58933550748</v>
      </c>
      <c r="M391" s="91">
        <f>$J$391-EFEITO!$K$391*EFEITO!$Y$391</f>
        <v>0</v>
      </c>
      <c r="N391" s="91">
        <f ca="1">$K$391-EFEITO!$M$391*EFEITO!$Z$391</f>
        <v>0</v>
      </c>
      <c r="O391" s="91">
        <f>$L$391-EFEITO!$O$391*EFEITO!$AA$391</f>
        <v>0</v>
      </c>
      <c r="P391" s="19"/>
      <c r="Q391" s="19"/>
      <c r="R391" s="19"/>
      <c r="S391" s="19"/>
      <c r="T391" s="19"/>
      <c r="U391" s="19"/>
      <c r="V391" s="19"/>
      <c r="W391" s="19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84" t="s">
        <v>41</v>
      </c>
      <c r="B392" s="84" t="s">
        <v>22</v>
      </c>
      <c r="C392" s="84" t="s">
        <v>23</v>
      </c>
      <c r="D392" s="84" t="s">
        <v>24</v>
      </c>
      <c r="E392" s="84" t="s">
        <v>24</v>
      </c>
      <c r="F392" s="84" t="s">
        <v>25</v>
      </c>
      <c r="G392" s="84" t="s">
        <v>25</v>
      </c>
      <c r="H392" s="84" t="s">
        <v>25</v>
      </c>
      <c r="I392" s="90">
        <v>44440</v>
      </c>
      <c r="J392" s="91">
        <f>EFEITO!$J$392*EFEITO!$Y$392</f>
        <v>0</v>
      </c>
      <c r="K392" s="91">
        <f ca="1">EFEITO!$L$392*EFEITO!$Z$392</f>
        <v>-241.71367631039703</v>
      </c>
      <c r="L392" s="91">
        <f>EFEITO!$N$392*EFEITO!$AA$392</f>
        <v>-191.65014095050876</v>
      </c>
      <c r="M392" s="91">
        <f>$J$392-EFEITO!$K$392*EFEITO!$Y$392</f>
        <v>0</v>
      </c>
      <c r="N392" s="91">
        <f ca="1">$K$392-EFEITO!$M$392*EFEITO!$Z$392</f>
        <v>0</v>
      </c>
      <c r="O392" s="91">
        <f>$L$392-EFEITO!$O$392*EFEITO!$AA$392</f>
        <v>0</v>
      </c>
      <c r="P392" s="19"/>
      <c r="Q392" s="19"/>
      <c r="R392" s="19"/>
      <c r="S392" s="19"/>
      <c r="T392" s="19"/>
      <c r="U392" s="19"/>
      <c r="V392" s="19"/>
      <c r="W392" s="19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84" t="s">
        <v>27</v>
      </c>
      <c r="B393" s="84" t="s">
        <v>22</v>
      </c>
      <c r="C393" s="84" t="s">
        <v>23</v>
      </c>
      <c r="D393" s="84" t="s">
        <v>24</v>
      </c>
      <c r="E393" s="84" t="s">
        <v>24</v>
      </c>
      <c r="F393" s="84" t="s">
        <v>25</v>
      </c>
      <c r="G393" s="84" t="s">
        <v>25</v>
      </c>
      <c r="H393" s="84" t="s">
        <v>25</v>
      </c>
      <c r="I393" s="90">
        <v>44440</v>
      </c>
      <c r="J393" s="91">
        <f>EFEITO!$J$393*EFEITO!$Y$393</f>
        <v>0</v>
      </c>
      <c r="K393" s="91">
        <f ca="1">EFEITO!$L$393*EFEITO!$Z$393</f>
        <v>12788.536960012032</v>
      </c>
      <c r="L393" s="91">
        <f>EFEITO!$N$393*EFEITO!$AA$393</f>
        <v>10139.785834003604</v>
      </c>
      <c r="M393" s="91">
        <f>$J$393-EFEITO!$K$393*EFEITO!$Y$393</f>
        <v>0</v>
      </c>
      <c r="N393" s="91">
        <f ca="1">$K$393-EFEITO!$M$393*EFEITO!$Z$393</f>
        <v>0</v>
      </c>
      <c r="O393" s="91">
        <f>$L$393-EFEITO!$O$393*EFEITO!$AA$393</f>
        <v>0</v>
      </c>
      <c r="P393" s="19"/>
      <c r="Q393" s="19"/>
      <c r="R393" s="19"/>
      <c r="S393" s="19"/>
      <c r="T393" s="19"/>
      <c r="U393" s="19"/>
      <c r="V393" s="19"/>
      <c r="W393" s="19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84" t="s">
        <v>21</v>
      </c>
      <c r="B394" s="84" t="s">
        <v>22</v>
      </c>
      <c r="C394" s="84" t="s">
        <v>23</v>
      </c>
      <c r="D394" s="84" t="s">
        <v>24</v>
      </c>
      <c r="E394" s="84" t="s">
        <v>24</v>
      </c>
      <c r="F394" s="84" t="s">
        <v>25</v>
      </c>
      <c r="G394" s="84" t="s">
        <v>25</v>
      </c>
      <c r="H394" s="84" t="s">
        <v>25</v>
      </c>
      <c r="I394" s="90">
        <v>44470</v>
      </c>
      <c r="J394" s="91">
        <f>EFEITO!$J$394*EFEITO!$Y$394</f>
        <v>0</v>
      </c>
      <c r="K394" s="91">
        <f ca="1">EFEITO!$L$394*EFEITO!$Z$394</f>
        <v>870431.98062271741</v>
      </c>
      <c r="L394" s="91">
        <f>EFEITO!$N$394*EFEITO!$AA$394</f>
        <v>690148.83361400757</v>
      </c>
      <c r="M394" s="91">
        <f>$J$394-EFEITO!$K$394*EFEITO!$Y$394</f>
        <v>0</v>
      </c>
      <c r="N394" s="91">
        <f ca="1">$K$394-EFEITO!$M$394*EFEITO!$Z$394</f>
        <v>0</v>
      </c>
      <c r="O394" s="91">
        <f>$L$394-EFEITO!$O$394*EFEITO!$AA$394</f>
        <v>0</v>
      </c>
      <c r="P394" s="19"/>
      <c r="Q394" s="19"/>
      <c r="R394" s="19"/>
      <c r="S394" s="19"/>
      <c r="T394" s="19"/>
      <c r="U394" s="19"/>
      <c r="V394" s="19"/>
      <c r="W394" s="19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84" t="s">
        <v>41</v>
      </c>
      <c r="B395" s="84" t="s">
        <v>22</v>
      </c>
      <c r="C395" s="84" t="s">
        <v>23</v>
      </c>
      <c r="D395" s="84" t="s">
        <v>24</v>
      </c>
      <c r="E395" s="84" t="s">
        <v>24</v>
      </c>
      <c r="F395" s="84" t="s">
        <v>25</v>
      </c>
      <c r="G395" s="84" t="s">
        <v>25</v>
      </c>
      <c r="H395" s="84" t="s">
        <v>25</v>
      </c>
      <c r="I395" s="90">
        <v>44470</v>
      </c>
      <c r="J395" s="91">
        <f>EFEITO!$J$395*EFEITO!$Y$395</f>
        <v>0</v>
      </c>
      <c r="K395" s="91">
        <f ca="1">EFEITO!$L$395*EFEITO!$Z$395</f>
        <v>-424.72545980255478</v>
      </c>
      <c r="L395" s="91">
        <f>EFEITO!$N$395*EFEITO!$AA$395</f>
        <v>-336.7566762416082</v>
      </c>
      <c r="M395" s="91">
        <f>$J$395-EFEITO!$K$395*EFEITO!$Y$395</f>
        <v>0</v>
      </c>
      <c r="N395" s="91">
        <f ca="1">$K$395-EFEITO!$M$395*EFEITO!$Z$395</f>
        <v>0</v>
      </c>
      <c r="O395" s="91">
        <f>$L$395-EFEITO!$O$395*EFEITO!$AA$395</f>
        <v>0</v>
      </c>
      <c r="P395" s="19"/>
      <c r="Q395" s="19"/>
      <c r="R395" s="19"/>
      <c r="S395" s="19"/>
      <c r="T395" s="19"/>
      <c r="U395" s="19"/>
      <c r="V395" s="19"/>
      <c r="W395" s="19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84" t="s">
        <v>27</v>
      </c>
      <c r="B396" s="84" t="s">
        <v>22</v>
      </c>
      <c r="C396" s="84" t="s">
        <v>23</v>
      </c>
      <c r="D396" s="84" t="s">
        <v>24</v>
      </c>
      <c r="E396" s="84" t="s">
        <v>24</v>
      </c>
      <c r="F396" s="84" t="s">
        <v>25</v>
      </c>
      <c r="G396" s="84" t="s">
        <v>25</v>
      </c>
      <c r="H396" s="84" t="s">
        <v>25</v>
      </c>
      <c r="I396" s="90">
        <v>44470</v>
      </c>
      <c r="J396" s="91">
        <f>EFEITO!$J$396*EFEITO!$Y$396</f>
        <v>0</v>
      </c>
      <c r="K396" s="91">
        <f ca="1">EFEITO!$L$396*EFEITO!$Z$396</f>
        <v>11970.477426940741</v>
      </c>
      <c r="L396" s="91">
        <f>EFEITO!$N$396*EFEITO!$AA$396</f>
        <v>9491.1621102152603</v>
      </c>
      <c r="M396" s="91">
        <f>$J$396-EFEITO!$K$396*EFEITO!$Y$396</f>
        <v>0</v>
      </c>
      <c r="N396" s="91">
        <f ca="1">$K$396-EFEITO!$M$396*EFEITO!$Z$396</f>
        <v>0</v>
      </c>
      <c r="O396" s="91">
        <f>$L$396-EFEITO!$O$396*EFEITO!$AA$396</f>
        <v>0</v>
      </c>
      <c r="P396" s="19"/>
      <c r="Q396" s="19"/>
      <c r="R396" s="19"/>
      <c r="S396" s="19"/>
      <c r="T396" s="19"/>
      <c r="U396" s="19"/>
      <c r="V396" s="19"/>
      <c r="W396" s="19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84" t="s">
        <v>21</v>
      </c>
      <c r="B397" s="84" t="s">
        <v>22</v>
      </c>
      <c r="C397" s="84" t="s">
        <v>23</v>
      </c>
      <c r="D397" s="84" t="s">
        <v>24</v>
      </c>
      <c r="E397" s="84" t="s">
        <v>24</v>
      </c>
      <c r="F397" s="84" t="s">
        <v>25</v>
      </c>
      <c r="G397" s="84" t="s">
        <v>25</v>
      </c>
      <c r="H397" s="84" t="s">
        <v>25</v>
      </c>
      <c r="I397" s="90">
        <v>44501</v>
      </c>
      <c r="J397" s="91">
        <f>EFEITO!$J$397*EFEITO!$Y$397</f>
        <v>0</v>
      </c>
      <c r="K397" s="91">
        <f ca="1">EFEITO!$L$397*EFEITO!$Z$397</f>
        <v>977639.5299991467</v>
      </c>
      <c r="L397" s="91">
        <f>EFEITO!$N$397*EFEITO!$AA$397</f>
        <v>775151.64463644498</v>
      </c>
      <c r="M397" s="91">
        <f>$J$397-EFEITO!$K$397*EFEITO!$Y$397</f>
        <v>0</v>
      </c>
      <c r="N397" s="91">
        <f ca="1">$K$397-EFEITO!$M$397*EFEITO!$Z$397</f>
        <v>0</v>
      </c>
      <c r="O397" s="91">
        <f>$L$397-EFEITO!$O$397*EFEITO!$AA$397</f>
        <v>0</v>
      </c>
      <c r="P397" s="19"/>
      <c r="Q397" s="19"/>
      <c r="R397" s="19"/>
      <c r="S397" s="19"/>
      <c r="T397" s="19"/>
      <c r="U397" s="19"/>
      <c r="V397" s="19"/>
      <c r="W397" s="19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84" t="s">
        <v>41</v>
      </c>
      <c r="B398" s="84" t="s">
        <v>22</v>
      </c>
      <c r="C398" s="84" t="s">
        <v>23</v>
      </c>
      <c r="D398" s="84" t="s">
        <v>24</v>
      </c>
      <c r="E398" s="84" t="s">
        <v>24</v>
      </c>
      <c r="F398" s="84" t="s">
        <v>25</v>
      </c>
      <c r="G398" s="84" t="s">
        <v>25</v>
      </c>
      <c r="H398" s="84" t="s">
        <v>25</v>
      </c>
      <c r="I398" s="90">
        <v>44501</v>
      </c>
      <c r="J398" s="91">
        <f>EFEITO!$J$398*EFEITO!$Y$398</f>
        <v>0</v>
      </c>
      <c r="K398" s="91">
        <f ca="1">EFEITO!$L$398*EFEITO!$Z$398</f>
        <v>-357.23397875484648</v>
      </c>
      <c r="L398" s="91">
        <f>EFEITO!$N$398*EFEITO!$AA$398</f>
        <v>-283.24397454763499</v>
      </c>
      <c r="M398" s="91">
        <f>$J$398-EFEITO!$K$398*EFEITO!$Y$398</f>
        <v>0</v>
      </c>
      <c r="N398" s="91">
        <f ca="1">$K$398-EFEITO!$M$398*EFEITO!$Z$398</f>
        <v>0</v>
      </c>
      <c r="O398" s="91">
        <f>$L$398-EFEITO!$O$398*EFEITO!$AA$398</f>
        <v>0</v>
      </c>
      <c r="P398" s="19"/>
      <c r="Q398" s="19"/>
      <c r="R398" s="19"/>
      <c r="S398" s="19"/>
      <c r="T398" s="19"/>
      <c r="U398" s="19"/>
      <c r="V398" s="19"/>
      <c r="W398" s="19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84" t="s">
        <v>27</v>
      </c>
      <c r="B399" s="84" t="s">
        <v>22</v>
      </c>
      <c r="C399" s="84" t="s">
        <v>23</v>
      </c>
      <c r="D399" s="84" t="s">
        <v>24</v>
      </c>
      <c r="E399" s="84" t="s">
        <v>24</v>
      </c>
      <c r="F399" s="84" t="s">
        <v>25</v>
      </c>
      <c r="G399" s="84" t="s">
        <v>25</v>
      </c>
      <c r="H399" s="84" t="s">
        <v>25</v>
      </c>
      <c r="I399" s="90">
        <v>44501</v>
      </c>
      <c r="J399" s="91">
        <f>EFEITO!$J$399*EFEITO!$Y$399</f>
        <v>0</v>
      </c>
      <c r="K399" s="91">
        <f ca="1">EFEITO!$L$399*EFEITO!$Z$399</f>
        <v>14205.858062013906</v>
      </c>
      <c r="L399" s="91">
        <f>EFEITO!$N$399*EFEITO!$AA$399</f>
        <v>11263.552569577041</v>
      </c>
      <c r="M399" s="91">
        <f>$J$399-EFEITO!$K$399*EFEITO!$Y$399</f>
        <v>0</v>
      </c>
      <c r="N399" s="91">
        <f ca="1">$K$399-EFEITO!$M$399*EFEITO!$Z$399</f>
        <v>0</v>
      </c>
      <c r="O399" s="91">
        <f>$L$399-EFEITO!$O$399*EFEITO!$AA$399</f>
        <v>0</v>
      </c>
      <c r="P399" s="19"/>
      <c r="Q399" s="19"/>
      <c r="R399" s="19"/>
      <c r="S399" s="19"/>
      <c r="T399" s="19"/>
      <c r="U399" s="19"/>
      <c r="V399" s="19"/>
      <c r="W399" s="19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84" t="s">
        <v>21</v>
      </c>
      <c r="B400" s="84" t="s">
        <v>22</v>
      </c>
      <c r="C400" s="84" t="s">
        <v>23</v>
      </c>
      <c r="D400" s="84" t="s">
        <v>24</v>
      </c>
      <c r="E400" s="84" t="s">
        <v>24</v>
      </c>
      <c r="F400" s="84" t="s">
        <v>25</v>
      </c>
      <c r="G400" s="84" t="s">
        <v>25</v>
      </c>
      <c r="H400" s="84" t="s">
        <v>25</v>
      </c>
      <c r="I400" s="90">
        <v>44531</v>
      </c>
      <c r="J400" s="91">
        <f>EFEITO!$J$400*EFEITO!$Y$400</f>
        <v>0</v>
      </c>
      <c r="K400" s="91">
        <f ca="1">EFEITO!$L$400*EFEITO!$Z$400</f>
        <v>1046065.5326239667</v>
      </c>
      <c r="L400" s="91">
        <f>EFEITO!$N$400*EFEITO!$AA$400</f>
        <v>829405.31057666452</v>
      </c>
      <c r="M400" s="91">
        <f>$J$400-EFEITO!$K$400*EFEITO!$Y$400</f>
        <v>0</v>
      </c>
      <c r="N400" s="91">
        <f ca="1">$K$400-EFEITO!$M$400*EFEITO!$Z$400</f>
        <v>0</v>
      </c>
      <c r="O400" s="91">
        <f>$L$400-EFEITO!$O$400*EFEITO!$AA$400</f>
        <v>0</v>
      </c>
      <c r="P400" s="19"/>
      <c r="Q400" s="19"/>
      <c r="R400" s="19"/>
      <c r="S400" s="19"/>
      <c r="T400" s="19"/>
      <c r="U400" s="19"/>
      <c r="V400" s="19"/>
      <c r="W400" s="19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84" t="s">
        <v>41</v>
      </c>
      <c r="B401" s="84" t="s">
        <v>22</v>
      </c>
      <c r="C401" s="84" t="s">
        <v>23</v>
      </c>
      <c r="D401" s="84" t="s">
        <v>24</v>
      </c>
      <c r="E401" s="84" t="s">
        <v>24</v>
      </c>
      <c r="F401" s="84" t="s">
        <v>25</v>
      </c>
      <c r="G401" s="84" t="s">
        <v>25</v>
      </c>
      <c r="H401" s="84" t="s">
        <v>25</v>
      </c>
      <c r="I401" s="90">
        <v>44531</v>
      </c>
      <c r="J401" s="91">
        <f>EFEITO!$J$401*EFEITO!$Y$401</f>
        <v>0</v>
      </c>
      <c r="K401" s="91">
        <f ca="1">EFEITO!$L$401*EFEITO!$Z$401</f>
        <v>-306.69384643539985</v>
      </c>
      <c r="L401" s="91">
        <f>EFEITO!$N$401*EFEITO!$AA$401</f>
        <v>-243.17167234889226</v>
      </c>
      <c r="M401" s="91">
        <f>$J$401-EFEITO!$K$401*EFEITO!$Y$401</f>
        <v>0</v>
      </c>
      <c r="N401" s="91">
        <f ca="1">$K$401-EFEITO!$M$401*EFEITO!$Z$401</f>
        <v>0</v>
      </c>
      <c r="O401" s="91">
        <f>$L$401-EFEITO!$O$401*EFEITO!$AA$401</f>
        <v>0</v>
      </c>
      <c r="P401" s="19"/>
      <c r="Q401" s="19"/>
      <c r="R401" s="19"/>
      <c r="S401" s="19"/>
      <c r="T401" s="19"/>
      <c r="U401" s="19"/>
      <c r="V401" s="19"/>
      <c r="W401" s="19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84" t="s">
        <v>27</v>
      </c>
      <c r="B402" s="84" t="s">
        <v>22</v>
      </c>
      <c r="C402" s="84" t="s">
        <v>23</v>
      </c>
      <c r="D402" s="84" t="s">
        <v>24</v>
      </c>
      <c r="E402" s="84" t="s">
        <v>24</v>
      </c>
      <c r="F402" s="84" t="s">
        <v>25</v>
      </c>
      <c r="G402" s="84" t="s">
        <v>25</v>
      </c>
      <c r="H402" s="84" t="s">
        <v>25</v>
      </c>
      <c r="I402" s="90">
        <v>44531</v>
      </c>
      <c r="J402" s="91">
        <f>EFEITO!$J$402*EFEITO!$Y$402</f>
        <v>0</v>
      </c>
      <c r="K402" s="91">
        <f ca="1">EFEITO!$L$402*EFEITO!$Z$402</f>
        <v>15861.125873942119</v>
      </c>
      <c r="L402" s="91">
        <f>EFEITO!$N$402*EFEITO!$AA$402</f>
        <v>12575.982690657605</v>
      </c>
      <c r="M402" s="91">
        <f>$J$402-EFEITO!$K$402*EFEITO!$Y$402</f>
        <v>0</v>
      </c>
      <c r="N402" s="91">
        <f ca="1">$K$402-EFEITO!$M$402*EFEITO!$Z$402</f>
        <v>0</v>
      </c>
      <c r="O402" s="91">
        <f>$L$402-EFEITO!$O$402*EFEITO!$AA$402</f>
        <v>0</v>
      </c>
      <c r="P402" s="19"/>
      <c r="Q402" s="19"/>
      <c r="R402" s="19"/>
      <c r="S402" s="19"/>
      <c r="T402" s="19"/>
      <c r="U402" s="19"/>
      <c r="V402" s="19"/>
      <c r="W402" s="19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84" t="s">
        <v>21</v>
      </c>
      <c r="B403" s="84" t="s">
        <v>22</v>
      </c>
      <c r="C403" s="84" t="s">
        <v>23</v>
      </c>
      <c r="D403" s="84" t="s">
        <v>24</v>
      </c>
      <c r="E403" s="84" t="s">
        <v>24</v>
      </c>
      <c r="F403" s="84" t="s">
        <v>25</v>
      </c>
      <c r="G403" s="84" t="s">
        <v>25</v>
      </c>
      <c r="H403" s="84" t="s">
        <v>25</v>
      </c>
      <c r="I403" s="90">
        <v>44562</v>
      </c>
      <c r="J403" s="91">
        <f>EFEITO!$J$403*EFEITO!$Y$403</f>
        <v>0</v>
      </c>
      <c r="K403" s="91">
        <f ca="1">EFEITO!$L$403*EFEITO!$Z$403</f>
        <v>1199027.9113566272</v>
      </c>
      <c r="L403" s="91">
        <f>EFEITO!$N$403*EFEITO!$AA$403</f>
        <v>950686.24879959854</v>
      </c>
      <c r="M403" s="91">
        <f>$J$403-EFEITO!$K$403*EFEITO!$Y$403</f>
        <v>0</v>
      </c>
      <c r="N403" s="91">
        <f ca="1">$K$403-EFEITO!$M$403*EFEITO!$Z$403</f>
        <v>0</v>
      </c>
      <c r="O403" s="91">
        <f>$L$403-EFEITO!$O$403*EFEITO!$AA$403</f>
        <v>0</v>
      </c>
      <c r="P403" s="19"/>
      <c r="Q403" s="19"/>
      <c r="R403" s="19"/>
      <c r="S403" s="19"/>
      <c r="T403" s="19"/>
      <c r="U403" s="19"/>
      <c r="V403" s="19"/>
      <c r="W403" s="19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84" t="s">
        <v>27</v>
      </c>
      <c r="B404" s="84" t="s">
        <v>22</v>
      </c>
      <c r="C404" s="84" t="s">
        <v>23</v>
      </c>
      <c r="D404" s="84" t="s">
        <v>24</v>
      </c>
      <c r="E404" s="84" t="s">
        <v>24</v>
      </c>
      <c r="F404" s="84" t="s">
        <v>25</v>
      </c>
      <c r="G404" s="84" t="s">
        <v>25</v>
      </c>
      <c r="H404" s="84" t="s">
        <v>25</v>
      </c>
      <c r="I404" s="90">
        <v>44562</v>
      </c>
      <c r="J404" s="91">
        <f>EFEITO!$J$404*EFEITO!$Y$404</f>
        <v>0</v>
      </c>
      <c r="K404" s="91">
        <f ca="1">EFEITO!$L$404*EFEITO!$Z$404</f>
        <v>22454.886615370546</v>
      </c>
      <c r="L404" s="91">
        <f>EFEITO!$N$404*EFEITO!$AA$404</f>
        <v>17804.049198015313</v>
      </c>
      <c r="M404" s="91">
        <f>$J$404-EFEITO!$K$404*EFEITO!$Y$404</f>
        <v>0</v>
      </c>
      <c r="N404" s="91">
        <f ca="1">$K$404-EFEITO!$M$404*EFEITO!$Z$404</f>
        <v>0</v>
      </c>
      <c r="O404" s="91">
        <f>$L$404-EFEITO!$O$404*EFEITO!$AA$404</f>
        <v>0</v>
      </c>
      <c r="P404" s="19"/>
      <c r="Q404" s="19"/>
      <c r="R404" s="19"/>
      <c r="S404" s="19"/>
      <c r="T404" s="19"/>
      <c r="U404" s="19"/>
      <c r="V404" s="19"/>
      <c r="W404" s="19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84" t="s">
        <v>21</v>
      </c>
      <c r="B405" s="84" t="s">
        <v>22</v>
      </c>
      <c r="C405" s="84" t="s">
        <v>23</v>
      </c>
      <c r="D405" s="84" t="s">
        <v>24</v>
      </c>
      <c r="E405" s="84" t="s">
        <v>24</v>
      </c>
      <c r="F405" s="84" t="s">
        <v>25</v>
      </c>
      <c r="G405" s="84" t="s">
        <v>25</v>
      </c>
      <c r="H405" s="84" t="s">
        <v>25</v>
      </c>
      <c r="I405" s="90">
        <v>44593</v>
      </c>
      <c r="J405" s="91">
        <f>EFEITO!$J$405*EFEITO!$Y$405</f>
        <v>0</v>
      </c>
      <c r="K405" s="91">
        <f ca="1">EFEITO!$L$405*EFEITO!$Z$405</f>
        <v>1058860.0339474201</v>
      </c>
      <c r="L405" s="91">
        <f>EFEITO!$N$405*EFEITO!$AA$405</f>
        <v>839549.82544012007</v>
      </c>
      <c r="M405" s="91">
        <f>$J$405-EFEITO!$K$405*EFEITO!$Y$405</f>
        <v>0</v>
      </c>
      <c r="N405" s="91">
        <f ca="1">$K$405-EFEITO!$M$405*EFEITO!$Z$405</f>
        <v>0</v>
      </c>
      <c r="O405" s="91">
        <f>$L$405-EFEITO!$O$405*EFEITO!$AA$405</f>
        <v>0</v>
      </c>
      <c r="P405" s="19"/>
      <c r="Q405" s="19"/>
      <c r="R405" s="19"/>
      <c r="S405" s="19"/>
      <c r="T405" s="19"/>
      <c r="U405" s="19"/>
      <c r="V405" s="19"/>
      <c r="W405" s="19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84" t="s">
        <v>27</v>
      </c>
      <c r="B406" s="84" t="s">
        <v>22</v>
      </c>
      <c r="C406" s="84" t="s">
        <v>23</v>
      </c>
      <c r="D406" s="84" t="s">
        <v>24</v>
      </c>
      <c r="E406" s="84" t="s">
        <v>24</v>
      </c>
      <c r="F406" s="84" t="s">
        <v>25</v>
      </c>
      <c r="G406" s="84" t="s">
        <v>25</v>
      </c>
      <c r="H406" s="84" t="s">
        <v>25</v>
      </c>
      <c r="I406" s="90">
        <v>44593</v>
      </c>
      <c r="J406" s="91">
        <f>EFEITO!$J$406*EFEITO!$Y$406</f>
        <v>0</v>
      </c>
      <c r="K406" s="91">
        <f ca="1">EFEITO!$L$406*EFEITO!$Z$406</f>
        <v>16788.113518285758</v>
      </c>
      <c r="L406" s="91">
        <f>EFEITO!$N$406*EFEITO!$AA$406</f>
        <v>13310.973426017152</v>
      </c>
      <c r="M406" s="91">
        <f>$J$406-EFEITO!$K$406*EFEITO!$Y$406</f>
        <v>0</v>
      </c>
      <c r="N406" s="91">
        <f ca="1">$K$406-EFEITO!$M$406*EFEITO!$Z$406</f>
        <v>0</v>
      </c>
      <c r="O406" s="91">
        <f>$L$406-EFEITO!$O$406*EFEITO!$AA$406</f>
        <v>0</v>
      </c>
      <c r="P406" s="19"/>
      <c r="Q406" s="19"/>
      <c r="R406" s="19"/>
      <c r="S406" s="19"/>
      <c r="T406" s="19"/>
      <c r="U406" s="19"/>
      <c r="V406" s="19"/>
      <c r="W406" s="19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84" t="s">
        <v>21</v>
      </c>
      <c r="B407" s="84" t="s">
        <v>22</v>
      </c>
      <c r="C407" s="84" t="s">
        <v>23</v>
      </c>
      <c r="D407" s="84" t="s">
        <v>24</v>
      </c>
      <c r="E407" s="84" t="s">
        <v>24</v>
      </c>
      <c r="F407" s="84" t="s">
        <v>25</v>
      </c>
      <c r="G407" s="84" t="s">
        <v>25</v>
      </c>
      <c r="H407" s="84" t="s">
        <v>25</v>
      </c>
      <c r="I407" s="90">
        <v>44621</v>
      </c>
      <c r="J407" s="91">
        <f>EFEITO!$J$407*EFEITO!$Y$407</f>
        <v>0</v>
      </c>
      <c r="K407" s="91">
        <f ca="1">EFEITO!$L$407*EFEITO!$Z$407</f>
        <v>1108345.4156793305</v>
      </c>
      <c r="L407" s="91">
        <f>EFEITO!$N$407*EFEITO!$AA$407</f>
        <v>878785.8361147152</v>
      </c>
      <c r="M407" s="91">
        <f>$J$407-EFEITO!$K$407*EFEITO!$Y$407</f>
        <v>0</v>
      </c>
      <c r="N407" s="91">
        <f ca="1">$K$407-EFEITO!$M$407*EFEITO!$Z$407</f>
        <v>0</v>
      </c>
      <c r="O407" s="91">
        <f>$L$407-EFEITO!$O$407*EFEITO!$AA$407</f>
        <v>0</v>
      </c>
      <c r="P407" s="19"/>
      <c r="Q407" s="19"/>
      <c r="R407" s="19"/>
      <c r="S407" s="19"/>
      <c r="T407" s="19"/>
      <c r="U407" s="19"/>
      <c r="V407" s="19"/>
      <c r="W407" s="19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84" t="s">
        <v>41</v>
      </c>
      <c r="B408" s="84" t="s">
        <v>22</v>
      </c>
      <c r="C408" s="84" t="s">
        <v>23</v>
      </c>
      <c r="D408" s="84" t="s">
        <v>24</v>
      </c>
      <c r="E408" s="84" t="s">
        <v>24</v>
      </c>
      <c r="F408" s="84" t="s">
        <v>25</v>
      </c>
      <c r="G408" s="84" t="s">
        <v>25</v>
      </c>
      <c r="H408" s="84" t="s">
        <v>25</v>
      </c>
      <c r="I408" s="90">
        <v>44621</v>
      </c>
      <c r="J408" s="91">
        <f>EFEITO!$J$408*EFEITO!$Y$408</f>
        <v>0</v>
      </c>
      <c r="K408" s="91">
        <f ca="1">EFEITO!$L$408*EFEITO!$Z$408</f>
        <v>-886.80666958035283</v>
      </c>
      <c r="L408" s="91">
        <f>EFEITO!$N$408*EFEITO!$AA$408</f>
        <v>-703.13201063011331</v>
      </c>
      <c r="M408" s="91">
        <f>$J$408-EFEITO!$K$408*EFEITO!$Y$408</f>
        <v>0</v>
      </c>
      <c r="N408" s="91">
        <f ca="1">$K$408-EFEITO!$M$408*EFEITO!$Z$408</f>
        <v>0</v>
      </c>
      <c r="O408" s="91">
        <f>$L$408-EFEITO!$O$408*EFEITO!$AA$408</f>
        <v>0</v>
      </c>
      <c r="P408" s="19"/>
      <c r="Q408" s="19"/>
      <c r="R408" s="19"/>
      <c r="S408" s="19"/>
      <c r="T408" s="19"/>
      <c r="U408" s="19"/>
      <c r="V408" s="19"/>
      <c r="W408" s="19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84" t="s">
        <v>27</v>
      </c>
      <c r="B409" s="84" t="s">
        <v>22</v>
      </c>
      <c r="C409" s="84" t="s">
        <v>23</v>
      </c>
      <c r="D409" s="84" t="s">
        <v>24</v>
      </c>
      <c r="E409" s="84" t="s">
        <v>24</v>
      </c>
      <c r="F409" s="84" t="s">
        <v>25</v>
      </c>
      <c r="G409" s="84" t="s">
        <v>25</v>
      </c>
      <c r="H409" s="84" t="s">
        <v>25</v>
      </c>
      <c r="I409" s="90">
        <v>44621</v>
      </c>
      <c r="J409" s="91">
        <f>EFEITO!$J$409*EFEITO!$Y$409</f>
        <v>0</v>
      </c>
      <c r="K409" s="91">
        <f ca="1">EFEITO!$L$409*EFEITO!$Z$409</f>
        <v>20997.698452470726</v>
      </c>
      <c r="L409" s="91">
        <f>EFEITO!$N$409*EFEITO!$AA$409</f>
        <v>16648.672633999391</v>
      </c>
      <c r="M409" s="91">
        <f>$J$409-EFEITO!$K$409*EFEITO!$Y$409</f>
        <v>0</v>
      </c>
      <c r="N409" s="91">
        <f ca="1">$K$409-EFEITO!$M$409*EFEITO!$Z$409</f>
        <v>0</v>
      </c>
      <c r="O409" s="91">
        <f>$L$409-EFEITO!$O$409*EFEITO!$AA$409</f>
        <v>0</v>
      </c>
      <c r="P409" s="19"/>
      <c r="Q409" s="19"/>
      <c r="R409" s="19"/>
      <c r="S409" s="19"/>
      <c r="T409" s="19"/>
      <c r="U409" s="19"/>
      <c r="V409" s="19"/>
      <c r="W409" s="19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84" t="s">
        <v>21</v>
      </c>
      <c r="B410" s="84" t="s">
        <v>22</v>
      </c>
      <c r="C410" s="84" t="s">
        <v>23</v>
      </c>
      <c r="D410" s="84" t="s">
        <v>24</v>
      </c>
      <c r="E410" s="84" t="s">
        <v>24</v>
      </c>
      <c r="F410" s="84" t="s">
        <v>25</v>
      </c>
      <c r="G410" s="84" t="s">
        <v>25</v>
      </c>
      <c r="H410" s="84" t="s">
        <v>25</v>
      </c>
      <c r="I410" s="90">
        <v>44652</v>
      </c>
      <c r="J410" s="91">
        <f>EFEITO!$J$410*EFEITO!$Y$410</f>
        <v>0</v>
      </c>
      <c r="K410" s="91">
        <f ca="1">EFEITO!$L$410*EFEITO!$Z$410</f>
        <v>830308.45209678751</v>
      </c>
      <c r="L410" s="91">
        <f>EFEITO!$N$410*EFEITO!$AA$410</f>
        <v>658335.65690508392</v>
      </c>
      <c r="M410" s="91">
        <f>$J$410-EFEITO!$K$410*EFEITO!$Y$410</f>
        <v>0</v>
      </c>
      <c r="N410" s="91">
        <f ca="1">$K$410-EFEITO!$M$410*EFEITO!$Z$410</f>
        <v>0</v>
      </c>
      <c r="O410" s="91">
        <f>$L$410-EFEITO!$O$410*EFEITO!$AA$410</f>
        <v>0</v>
      </c>
      <c r="P410" s="19"/>
      <c r="Q410" s="19"/>
      <c r="R410" s="19"/>
      <c r="S410" s="19"/>
      <c r="T410" s="19"/>
      <c r="U410" s="19"/>
      <c r="V410" s="19"/>
      <c r="W410" s="19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84" t="s">
        <v>41</v>
      </c>
      <c r="B411" s="84" t="s">
        <v>22</v>
      </c>
      <c r="C411" s="84" t="s">
        <v>23</v>
      </c>
      <c r="D411" s="84" t="s">
        <v>24</v>
      </c>
      <c r="E411" s="84" t="s">
        <v>24</v>
      </c>
      <c r="F411" s="84" t="s">
        <v>25</v>
      </c>
      <c r="G411" s="84" t="s">
        <v>25</v>
      </c>
      <c r="H411" s="84" t="s">
        <v>25</v>
      </c>
      <c r="I411" s="90">
        <v>44652</v>
      </c>
      <c r="J411" s="91">
        <f>EFEITO!$J$411*EFEITO!$Y$411</f>
        <v>0</v>
      </c>
      <c r="K411" s="91">
        <f ca="1">EFEITO!$L$411*EFEITO!$Z$411</f>
        <v>-116.7759579058022</v>
      </c>
      <c r="L411" s="91">
        <f>EFEITO!$N$411*EFEITO!$AA$411</f>
        <v>-92.589418744921105</v>
      </c>
      <c r="M411" s="91">
        <f>$J$411-EFEITO!$K$411*EFEITO!$Y$411</f>
        <v>0</v>
      </c>
      <c r="N411" s="91">
        <f ca="1">$K$411-EFEITO!$M$411*EFEITO!$Z$411</f>
        <v>0</v>
      </c>
      <c r="O411" s="91">
        <f>$L$411-EFEITO!$O$411*EFEITO!$AA$411</f>
        <v>0</v>
      </c>
      <c r="P411" s="19"/>
      <c r="Q411" s="19"/>
      <c r="R411" s="19"/>
      <c r="S411" s="19"/>
      <c r="T411" s="19"/>
      <c r="U411" s="19"/>
      <c r="V411" s="19"/>
      <c r="W411" s="19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84" t="s">
        <v>27</v>
      </c>
      <c r="B412" s="84" t="s">
        <v>22</v>
      </c>
      <c r="C412" s="84" t="s">
        <v>23</v>
      </c>
      <c r="D412" s="84" t="s">
        <v>24</v>
      </c>
      <c r="E412" s="84" t="s">
        <v>24</v>
      </c>
      <c r="F412" s="84" t="s">
        <v>25</v>
      </c>
      <c r="G412" s="84" t="s">
        <v>25</v>
      </c>
      <c r="H412" s="84" t="s">
        <v>25</v>
      </c>
      <c r="I412" s="90">
        <v>44652</v>
      </c>
      <c r="J412" s="91">
        <f>EFEITO!$J$412*EFEITO!$Y$412</f>
        <v>0</v>
      </c>
      <c r="K412" s="91">
        <f ca="1">EFEITO!$L$412*EFEITO!$Z$412</f>
        <v>17440.426530458491</v>
      </c>
      <c r="L412" s="91">
        <f>EFEITO!$N$412*EFEITO!$AA$412</f>
        <v>13828.179910296578</v>
      </c>
      <c r="M412" s="91">
        <f>$J$412-EFEITO!$K$412*EFEITO!$Y$412</f>
        <v>0</v>
      </c>
      <c r="N412" s="91">
        <f ca="1">$K$412-EFEITO!$M$412*EFEITO!$Z$412</f>
        <v>0</v>
      </c>
      <c r="O412" s="91">
        <f>$L$412-EFEITO!$O$412*EFEITO!$AA$412</f>
        <v>0</v>
      </c>
      <c r="P412" s="19"/>
      <c r="Q412" s="19"/>
      <c r="R412" s="19"/>
      <c r="S412" s="19"/>
      <c r="T412" s="19"/>
      <c r="U412" s="19"/>
      <c r="V412" s="19"/>
      <c r="W412" s="19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84" t="s">
        <v>21</v>
      </c>
      <c r="B413" s="84" t="s">
        <v>22</v>
      </c>
      <c r="C413" s="84" t="s">
        <v>23</v>
      </c>
      <c r="D413" s="84" t="s">
        <v>24</v>
      </c>
      <c r="E413" s="84" t="s">
        <v>24</v>
      </c>
      <c r="F413" s="84" t="s">
        <v>25</v>
      </c>
      <c r="G413" s="84" t="s">
        <v>25</v>
      </c>
      <c r="H413" s="84" t="s">
        <v>25</v>
      </c>
      <c r="I413" s="90">
        <v>44682</v>
      </c>
      <c r="J413" s="91">
        <f>EFEITO!$J$413*EFEITO!$Y$413</f>
        <v>0</v>
      </c>
      <c r="K413" s="91">
        <f ca="1">EFEITO!$L$413*EFEITO!$Z$413</f>
        <v>897739.34776848555</v>
      </c>
      <c r="L413" s="91">
        <f>EFEITO!$N$413*EFEITO!$AA$413</f>
        <v>711800.32161567616</v>
      </c>
      <c r="M413" s="91">
        <f>$J$413-EFEITO!$K$413*EFEITO!$Y$413</f>
        <v>0</v>
      </c>
      <c r="N413" s="91">
        <f ca="1">$K$413-EFEITO!$M$413*EFEITO!$Z$413</f>
        <v>0</v>
      </c>
      <c r="O413" s="91">
        <f>$L$413-EFEITO!$O$413*EFEITO!$AA$413</f>
        <v>0</v>
      </c>
      <c r="P413" s="19"/>
      <c r="Q413" s="19"/>
      <c r="R413" s="19"/>
      <c r="S413" s="19"/>
      <c r="T413" s="19"/>
      <c r="U413" s="19"/>
      <c r="V413" s="19"/>
      <c r="W413" s="19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84" t="s">
        <v>41</v>
      </c>
      <c r="B414" s="84" t="s">
        <v>22</v>
      </c>
      <c r="C414" s="84" t="s">
        <v>23</v>
      </c>
      <c r="D414" s="84" t="s">
        <v>24</v>
      </c>
      <c r="E414" s="84" t="s">
        <v>24</v>
      </c>
      <c r="F414" s="84" t="s">
        <v>25</v>
      </c>
      <c r="G414" s="84" t="s">
        <v>25</v>
      </c>
      <c r="H414" s="84" t="s">
        <v>25</v>
      </c>
      <c r="I414" s="90">
        <v>44682</v>
      </c>
      <c r="J414" s="91">
        <f>EFEITO!$J$414*EFEITO!$Y$414</f>
        <v>0</v>
      </c>
      <c r="K414" s="91">
        <f ca="1">EFEITO!$L$414*EFEITO!$Z$414</f>
        <v>-522.98049965340442</v>
      </c>
      <c r="L414" s="91">
        <f>EFEITO!$N$414*EFEITO!$AA$414</f>
        <v>-414.66121405655525</v>
      </c>
      <c r="M414" s="91">
        <f>$J$414-EFEITO!$K$414*EFEITO!$Y$414</f>
        <v>0</v>
      </c>
      <c r="N414" s="91">
        <f ca="1">$K$414-EFEITO!$M$414*EFEITO!$Z$414</f>
        <v>0</v>
      </c>
      <c r="O414" s="91">
        <f>$L$414-EFEITO!$O$414*EFEITO!$AA$414</f>
        <v>0</v>
      </c>
      <c r="P414" s="19"/>
      <c r="Q414" s="19"/>
      <c r="R414" s="19"/>
      <c r="S414" s="19"/>
      <c r="T414" s="19"/>
      <c r="U414" s="19"/>
      <c r="V414" s="19"/>
      <c r="W414" s="19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84" t="s">
        <v>27</v>
      </c>
      <c r="B415" s="84" t="s">
        <v>22</v>
      </c>
      <c r="C415" s="84" t="s">
        <v>23</v>
      </c>
      <c r="D415" s="84" t="s">
        <v>24</v>
      </c>
      <c r="E415" s="84" t="s">
        <v>24</v>
      </c>
      <c r="F415" s="84" t="s">
        <v>25</v>
      </c>
      <c r="G415" s="84" t="s">
        <v>25</v>
      </c>
      <c r="H415" s="84" t="s">
        <v>25</v>
      </c>
      <c r="I415" s="90">
        <v>44682</v>
      </c>
      <c r="J415" s="91">
        <f>EFEITO!$J$415*EFEITO!$Y$415</f>
        <v>0</v>
      </c>
      <c r="K415" s="91">
        <f ca="1">EFEITO!$L$415*EFEITO!$Z$415</f>
        <v>27260.907893698051</v>
      </c>
      <c r="L415" s="91">
        <f>EFEITO!$N$415*EFEITO!$AA$415</f>
        <v>21614.651351200104</v>
      </c>
      <c r="M415" s="91">
        <f>$J$415-EFEITO!$K$415*EFEITO!$Y$415</f>
        <v>0</v>
      </c>
      <c r="N415" s="91">
        <f ca="1">$K$415-EFEITO!$M$415*EFEITO!$Z$415</f>
        <v>0</v>
      </c>
      <c r="O415" s="91">
        <f>$L$415-EFEITO!$O$415*EFEITO!$AA$415</f>
        <v>0</v>
      </c>
      <c r="P415" s="19"/>
      <c r="Q415" s="19"/>
      <c r="R415" s="19"/>
      <c r="S415" s="19"/>
      <c r="T415" s="19"/>
      <c r="U415" s="19"/>
      <c r="V415" s="19"/>
      <c r="W415" s="19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84" t="s">
        <v>55</v>
      </c>
      <c r="B416" s="84" t="s">
        <v>22</v>
      </c>
      <c r="C416" s="84" t="s">
        <v>23</v>
      </c>
      <c r="D416" s="84" t="s">
        <v>24</v>
      </c>
      <c r="E416" s="84" t="s">
        <v>24</v>
      </c>
      <c r="F416" s="84" t="s">
        <v>25</v>
      </c>
      <c r="G416" s="84" t="s">
        <v>25</v>
      </c>
      <c r="H416" s="84" t="s">
        <v>25</v>
      </c>
      <c r="I416" s="90">
        <v>44713</v>
      </c>
      <c r="J416" s="91">
        <f>EFEITO!$J$416*EFEITO!$Y$416</f>
        <v>0</v>
      </c>
      <c r="K416" s="91">
        <f ca="1">EFEITO!$L$416*EFEITO!$Z$416</f>
        <v>897739.34776848555</v>
      </c>
      <c r="L416" s="91">
        <f>EFEITO!$N$416*EFEITO!$AA$416</f>
        <v>711800.32161567616</v>
      </c>
      <c r="M416" s="91">
        <f>$J$416-EFEITO!$K$416*EFEITO!$Y$416</f>
        <v>0</v>
      </c>
      <c r="N416" s="91">
        <f ca="1">$K$416-EFEITO!$M$416*EFEITO!$Z$416</f>
        <v>0</v>
      </c>
      <c r="O416" s="91">
        <f>$L$416-EFEITO!$O$416*EFEITO!$AA$416</f>
        <v>0</v>
      </c>
      <c r="P416" s="19"/>
      <c r="Q416" s="19"/>
      <c r="R416" s="19"/>
      <c r="S416" s="19"/>
      <c r="T416" s="19"/>
      <c r="U416" s="19"/>
      <c r="V416" s="19"/>
      <c r="W416" s="19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84" t="s">
        <v>55</v>
      </c>
      <c r="B417" s="84" t="s">
        <v>22</v>
      </c>
      <c r="C417" s="84" t="s">
        <v>23</v>
      </c>
      <c r="D417" s="84" t="s">
        <v>24</v>
      </c>
      <c r="E417" s="84" t="s">
        <v>24</v>
      </c>
      <c r="F417" s="84" t="s">
        <v>25</v>
      </c>
      <c r="G417" s="84" t="s">
        <v>25</v>
      </c>
      <c r="H417" s="84" t="s">
        <v>25</v>
      </c>
      <c r="I417" s="90">
        <v>44713</v>
      </c>
      <c r="J417" s="91">
        <f>EFEITO!$J$417*EFEITO!$Y$417</f>
        <v>0</v>
      </c>
      <c r="K417" s="91">
        <f ca="1">EFEITO!$L$417*EFEITO!$Z$417</f>
        <v>-522.98049965340442</v>
      </c>
      <c r="L417" s="91">
        <f>EFEITO!$N$417*EFEITO!$AA$417</f>
        <v>-414.66121405655525</v>
      </c>
      <c r="M417" s="91">
        <f>$J$417-EFEITO!$K$417*EFEITO!$Y$417</f>
        <v>0</v>
      </c>
      <c r="N417" s="91">
        <f ca="1">$K$417-EFEITO!$M$417*EFEITO!$Z$417</f>
        <v>0</v>
      </c>
      <c r="O417" s="91">
        <f>$L$417-EFEITO!$O$417*EFEITO!$AA$417</f>
        <v>0</v>
      </c>
      <c r="P417" s="19"/>
      <c r="Q417" s="19"/>
      <c r="R417" s="19"/>
      <c r="S417" s="19"/>
      <c r="T417" s="19"/>
      <c r="U417" s="19"/>
      <c r="V417" s="19"/>
      <c r="W417" s="19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84" t="s">
        <v>55</v>
      </c>
      <c r="B418" s="84" t="s">
        <v>22</v>
      </c>
      <c r="C418" s="84" t="s">
        <v>23</v>
      </c>
      <c r="D418" s="84" t="s">
        <v>24</v>
      </c>
      <c r="E418" s="84" t="s">
        <v>24</v>
      </c>
      <c r="F418" s="84" t="s">
        <v>25</v>
      </c>
      <c r="G418" s="84" t="s">
        <v>25</v>
      </c>
      <c r="H418" s="84" t="s">
        <v>25</v>
      </c>
      <c r="I418" s="90">
        <v>44713</v>
      </c>
      <c r="J418" s="91">
        <f>EFEITO!$J$418*EFEITO!$Y$418</f>
        <v>0</v>
      </c>
      <c r="K418" s="91">
        <f ca="1">EFEITO!$L$418*EFEITO!$Z$418</f>
        <v>27260.907893698051</v>
      </c>
      <c r="L418" s="91">
        <f>EFEITO!$N$418*EFEITO!$AA$418</f>
        <v>21614.651351200104</v>
      </c>
      <c r="M418" s="91">
        <f>$J$418-EFEITO!$K$418*EFEITO!$Y$418</f>
        <v>0</v>
      </c>
      <c r="N418" s="91">
        <f ca="1">$K$418-EFEITO!$M$418*EFEITO!$Z$418</f>
        <v>0</v>
      </c>
      <c r="O418" s="91">
        <f>$L$418-EFEITO!$O$418*EFEITO!$AA$418</f>
        <v>0</v>
      </c>
      <c r="P418" s="19"/>
      <c r="Q418" s="19"/>
      <c r="R418" s="19"/>
      <c r="S418" s="19"/>
      <c r="T418" s="19"/>
      <c r="U418" s="19"/>
      <c r="V418" s="19"/>
      <c r="W418" s="19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84" t="s">
        <v>21</v>
      </c>
      <c r="B419" s="84" t="s">
        <v>22</v>
      </c>
      <c r="C419" s="84" t="s">
        <v>23</v>
      </c>
      <c r="D419" s="84" t="s">
        <v>24</v>
      </c>
      <c r="E419" s="84" t="s">
        <v>28</v>
      </c>
      <c r="F419" s="84" t="s">
        <v>25</v>
      </c>
      <c r="G419" s="84" t="s">
        <v>25</v>
      </c>
      <c r="H419" s="84" t="s">
        <v>25</v>
      </c>
      <c r="I419" s="90">
        <v>44378</v>
      </c>
      <c r="J419" s="91">
        <f>EFEITO!$J$419*EFEITO!$Y$386</f>
        <v>0</v>
      </c>
      <c r="K419" s="91">
        <f ca="1">EFEITO!$L$419*EFEITO!$Z$466</f>
        <v>3883.6252587032814</v>
      </c>
      <c r="L419" s="91">
        <f>EFEITO!$N$419*EFEITO!$AA$466</f>
        <v>4607.0702714206718</v>
      </c>
      <c r="M419" s="91">
        <f>$J$419-EFEITO!$K$419*EFEITO!$Y$419</f>
        <v>0</v>
      </c>
      <c r="N419" s="91">
        <f ca="1">$K$419-EFEITO!$M$419*EFEITO!$Z$419</f>
        <v>2524.3564181571328</v>
      </c>
      <c r="O419" s="91">
        <f>$L$419-EFEITO!$O$419*EFEITO!$AA$419</f>
        <v>2994.595676423437</v>
      </c>
      <c r="P419" s="19"/>
      <c r="Q419" s="19"/>
      <c r="R419" s="19"/>
      <c r="S419" s="19"/>
      <c r="T419" s="19"/>
      <c r="U419" s="19"/>
      <c r="V419" s="19"/>
      <c r="W419" s="19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84" t="s">
        <v>21</v>
      </c>
      <c r="B420" s="84" t="s">
        <v>22</v>
      </c>
      <c r="C420" s="84" t="s">
        <v>23</v>
      </c>
      <c r="D420" s="84" t="s">
        <v>24</v>
      </c>
      <c r="E420" s="84" t="s">
        <v>28</v>
      </c>
      <c r="F420" s="84" t="s">
        <v>25</v>
      </c>
      <c r="G420" s="84" t="s">
        <v>25</v>
      </c>
      <c r="H420" s="84" t="s">
        <v>25</v>
      </c>
      <c r="I420" s="90">
        <v>44409</v>
      </c>
      <c r="J420" s="91">
        <f>EFEITO!$J$420*EFEITO!$Y$386</f>
        <v>0</v>
      </c>
      <c r="K420" s="91">
        <f ca="1">EFEITO!$L$420*EFEITO!$Z$466</f>
        <v>3927.6858370029936</v>
      </c>
      <c r="L420" s="91">
        <f>EFEITO!$N$420*EFEITO!$AA$466</f>
        <v>4659.3384916799005</v>
      </c>
      <c r="M420" s="91">
        <f>$J$420-EFEITO!$K$420*EFEITO!$Y$420</f>
        <v>0</v>
      </c>
      <c r="N420" s="91">
        <f ca="1">$K$420-EFEITO!$M$420*EFEITO!$Z$420</f>
        <v>2552.9957940519457</v>
      </c>
      <c r="O420" s="91">
        <f>$L$420-EFEITO!$O$420*EFEITO!$AA$420</f>
        <v>3028.5700195919353</v>
      </c>
      <c r="P420" s="19"/>
      <c r="Q420" s="19"/>
      <c r="R420" s="19"/>
      <c r="S420" s="19"/>
      <c r="T420" s="19"/>
      <c r="U420" s="19"/>
      <c r="V420" s="19"/>
      <c r="W420" s="19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84" t="s">
        <v>21</v>
      </c>
      <c r="B421" s="84" t="s">
        <v>22</v>
      </c>
      <c r="C421" s="84" t="s">
        <v>23</v>
      </c>
      <c r="D421" s="84" t="s">
        <v>24</v>
      </c>
      <c r="E421" s="84" t="s">
        <v>28</v>
      </c>
      <c r="F421" s="84" t="s">
        <v>25</v>
      </c>
      <c r="G421" s="84" t="s">
        <v>25</v>
      </c>
      <c r="H421" s="84" t="s">
        <v>25</v>
      </c>
      <c r="I421" s="90">
        <v>44440</v>
      </c>
      <c r="J421" s="91">
        <f>EFEITO!$J$421*EFEITO!$Y$386</f>
        <v>0</v>
      </c>
      <c r="K421" s="91">
        <f ca="1">EFEITO!$L$421*EFEITO!$Z$466</f>
        <v>3971.7464153027072</v>
      </c>
      <c r="L421" s="91">
        <f>EFEITO!$N$421*EFEITO!$AA$466</f>
        <v>4711.6067119391309</v>
      </c>
      <c r="M421" s="91">
        <f>$J$421-EFEITO!$K$421*EFEITO!$Y$421</f>
        <v>0</v>
      </c>
      <c r="N421" s="91">
        <f ca="1">$K$421-EFEITO!$M$421*EFEITO!$Z$421</f>
        <v>2581.6351699467596</v>
      </c>
      <c r="O421" s="91">
        <f>$L$421-EFEITO!$O$421*EFEITO!$AA$421</f>
        <v>3062.5443627604354</v>
      </c>
      <c r="P421" s="19"/>
      <c r="Q421" s="19"/>
      <c r="R421" s="19"/>
      <c r="S421" s="19"/>
      <c r="T421" s="19"/>
      <c r="U421" s="19"/>
      <c r="V421" s="19"/>
      <c r="W421" s="19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84" t="s">
        <v>21</v>
      </c>
      <c r="B422" s="84" t="s">
        <v>22</v>
      </c>
      <c r="C422" s="84" t="s">
        <v>23</v>
      </c>
      <c r="D422" s="84" t="s">
        <v>24</v>
      </c>
      <c r="E422" s="84" t="s">
        <v>28</v>
      </c>
      <c r="F422" s="84" t="s">
        <v>25</v>
      </c>
      <c r="G422" s="84" t="s">
        <v>25</v>
      </c>
      <c r="H422" s="84" t="s">
        <v>25</v>
      </c>
      <c r="I422" s="90">
        <v>44470</v>
      </c>
      <c r="J422" s="91">
        <f>EFEITO!$J$422*EFEITO!$Y$386</f>
        <v>0</v>
      </c>
      <c r="K422" s="91">
        <f ca="1">EFEITO!$L$422*EFEITO!$Z$466</f>
        <v>3990.6295202882984</v>
      </c>
      <c r="L422" s="91">
        <f>EFEITO!$N$422*EFEITO!$AA$466</f>
        <v>4734.0073777645148</v>
      </c>
      <c r="M422" s="91">
        <f>$J$422-EFEITO!$K$422*EFEITO!$Y$422</f>
        <v>0</v>
      </c>
      <c r="N422" s="91">
        <f ca="1">$K$422-EFEITO!$M$422*EFEITO!$Z$422</f>
        <v>2593.9091881873937</v>
      </c>
      <c r="O422" s="91">
        <f>$L$422-EFEITO!$O$422*EFEITO!$AA$422</f>
        <v>3077.1047955469348</v>
      </c>
      <c r="P422" s="19"/>
      <c r="Q422" s="19"/>
      <c r="R422" s="19"/>
      <c r="S422" s="19"/>
      <c r="T422" s="19"/>
      <c r="U422" s="19"/>
      <c r="V422" s="19"/>
      <c r="W422" s="19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84" t="s">
        <v>21</v>
      </c>
      <c r="B423" s="84" t="s">
        <v>22</v>
      </c>
      <c r="C423" s="84" t="s">
        <v>23</v>
      </c>
      <c r="D423" s="84" t="s">
        <v>24</v>
      </c>
      <c r="E423" s="84" t="s">
        <v>28</v>
      </c>
      <c r="F423" s="84" t="s">
        <v>25</v>
      </c>
      <c r="G423" s="84" t="s">
        <v>25</v>
      </c>
      <c r="H423" s="84" t="s">
        <v>25</v>
      </c>
      <c r="I423" s="90">
        <v>44501</v>
      </c>
      <c r="J423" s="91">
        <f>EFEITO!$J$423*EFEITO!$Y$386</f>
        <v>0</v>
      </c>
      <c r="K423" s="91">
        <f ca="1">EFEITO!$L$423*EFEITO!$Z$466</f>
        <v>4015.8069936024203</v>
      </c>
      <c r="L423" s="91">
        <f>EFEITO!$N$423*EFEITO!$AA$466</f>
        <v>4763.8749321983605</v>
      </c>
      <c r="M423" s="91">
        <f>$J$423-EFEITO!$K$423*EFEITO!$Y$423</f>
        <v>0</v>
      </c>
      <c r="N423" s="91">
        <f ca="1">$K$423-EFEITO!$M$423*EFEITO!$Z$423</f>
        <v>2610.2745458415729</v>
      </c>
      <c r="O423" s="91">
        <f>$L$423-EFEITO!$O$423*EFEITO!$AA$423</f>
        <v>3096.5187059289347</v>
      </c>
      <c r="P423" s="19"/>
      <c r="Q423" s="19"/>
      <c r="R423" s="19"/>
      <c r="S423" s="19"/>
      <c r="T423" s="19"/>
      <c r="U423" s="19"/>
      <c r="V423" s="19"/>
      <c r="W423" s="19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84" t="s">
        <v>21</v>
      </c>
      <c r="B424" s="84" t="s">
        <v>22</v>
      </c>
      <c r="C424" s="84" t="s">
        <v>23</v>
      </c>
      <c r="D424" s="84" t="s">
        <v>24</v>
      </c>
      <c r="E424" s="84" t="s">
        <v>28</v>
      </c>
      <c r="F424" s="84" t="s">
        <v>25</v>
      </c>
      <c r="G424" s="84" t="s">
        <v>25</v>
      </c>
      <c r="H424" s="84" t="s">
        <v>25</v>
      </c>
      <c r="I424" s="90">
        <v>44531</v>
      </c>
      <c r="J424" s="91">
        <f>EFEITO!$J$424*EFEITO!$Y$386</f>
        <v>0</v>
      </c>
      <c r="K424" s="91">
        <f ca="1">EFEITO!$L$424*EFEITO!$Z$466</f>
        <v>4040.9844669165423</v>
      </c>
      <c r="L424" s="91">
        <f>EFEITO!$N$424*EFEITO!$AA$466</f>
        <v>4793.7424866322062</v>
      </c>
      <c r="M424" s="91">
        <f>$J$424-EFEITO!$K$424*EFEITO!$Y$424</f>
        <v>0</v>
      </c>
      <c r="N424" s="91">
        <f ca="1">$K$424-EFEITO!$M$424*EFEITO!$Z$424</f>
        <v>2626.6399034957522</v>
      </c>
      <c r="O424" s="91">
        <f>$L$424-EFEITO!$O$424*EFEITO!$AA$424</f>
        <v>3115.9326163109345</v>
      </c>
      <c r="P424" s="19"/>
      <c r="Q424" s="19"/>
      <c r="R424" s="19"/>
      <c r="S424" s="19"/>
      <c r="T424" s="19"/>
      <c r="U424" s="19"/>
      <c r="V424" s="19"/>
      <c r="W424" s="19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84" t="s">
        <v>21</v>
      </c>
      <c r="B425" s="84" t="s">
        <v>22</v>
      </c>
      <c r="C425" s="84" t="s">
        <v>23</v>
      </c>
      <c r="D425" s="84" t="s">
        <v>24</v>
      </c>
      <c r="E425" s="84" t="s">
        <v>28</v>
      </c>
      <c r="F425" s="84" t="s">
        <v>25</v>
      </c>
      <c r="G425" s="84" t="s">
        <v>25</v>
      </c>
      <c r="H425" s="84" t="s">
        <v>25</v>
      </c>
      <c r="I425" s="90">
        <v>44562</v>
      </c>
      <c r="J425" s="91">
        <f>EFEITO!$J$425*EFEITO!$Y$386</f>
        <v>0</v>
      </c>
      <c r="K425" s="91">
        <f ca="1">EFEITO!$L$425*EFEITO!$Z$466</f>
        <v>4993.7420195784325</v>
      </c>
      <c r="L425" s="91">
        <f>EFEITO!$N$425*EFEITO!$AA$466</f>
        <v>5923.9805256663094</v>
      </c>
      <c r="M425" s="91">
        <f>$J$425-EFEITO!$K$425*EFEITO!$Y$425</f>
        <v>0</v>
      </c>
      <c r="N425" s="91">
        <f ca="1">$K$425-EFEITO!$M$425*EFEITO!$Z$425</f>
        <v>3245.9323127259813</v>
      </c>
      <c r="O425" s="91">
        <f>$L$425-EFEITO!$O$425*EFEITO!$AA$425</f>
        <v>3850.5873416831009</v>
      </c>
      <c r="P425" s="19"/>
      <c r="Q425" s="19"/>
      <c r="R425" s="19"/>
      <c r="S425" s="19"/>
      <c r="T425" s="19"/>
      <c r="U425" s="19"/>
      <c r="V425" s="19"/>
      <c r="W425" s="19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84" t="s">
        <v>27</v>
      </c>
      <c r="B426" s="84" t="s">
        <v>22</v>
      </c>
      <c r="C426" s="84" t="s">
        <v>23</v>
      </c>
      <c r="D426" s="84" t="s">
        <v>24</v>
      </c>
      <c r="E426" s="84" t="s">
        <v>28</v>
      </c>
      <c r="F426" s="84" t="s">
        <v>25</v>
      </c>
      <c r="G426" s="84" t="s">
        <v>25</v>
      </c>
      <c r="H426" s="84" t="s">
        <v>25</v>
      </c>
      <c r="I426" s="90">
        <v>44562</v>
      </c>
      <c r="J426" s="91">
        <f>EFEITO!$J$426*EFEITO!$Y$386</f>
        <v>0</v>
      </c>
      <c r="K426" s="91">
        <f ca="1">EFEITO!$L$426*EFEITO!$Z$466</f>
        <v>20.141978651297407</v>
      </c>
      <c r="L426" s="91">
        <f>EFEITO!$N$426*EFEITO!$AA$466</f>
        <v>23.894043547076414</v>
      </c>
      <c r="M426" s="91">
        <f>$J$426-EFEITO!$K$426*EFEITO!$Y$426</f>
        <v>0</v>
      </c>
      <c r="N426" s="91">
        <f ca="1">$K$426-EFEITO!$M$426*EFEITO!$Z$426</f>
        <v>13.092286123343314</v>
      </c>
      <c r="O426" s="91">
        <f>$L$426-EFEITO!$O$426*EFEITO!$AA$426</f>
        <v>15.531128305599669</v>
      </c>
      <c r="P426" s="19"/>
      <c r="Q426" s="19"/>
      <c r="R426" s="19"/>
      <c r="S426" s="19"/>
      <c r="T426" s="19"/>
      <c r="U426" s="19"/>
      <c r="V426" s="19"/>
      <c r="W426" s="19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84" t="s">
        <v>21</v>
      </c>
      <c r="B427" s="84" t="s">
        <v>22</v>
      </c>
      <c r="C427" s="84" t="s">
        <v>23</v>
      </c>
      <c r="D427" s="84" t="s">
        <v>24</v>
      </c>
      <c r="E427" s="84" t="s">
        <v>28</v>
      </c>
      <c r="F427" s="84" t="s">
        <v>25</v>
      </c>
      <c r="G427" s="84" t="s">
        <v>25</v>
      </c>
      <c r="H427" s="84" t="s">
        <v>25</v>
      </c>
      <c r="I427" s="90">
        <v>44593</v>
      </c>
      <c r="J427" s="91">
        <f>EFEITO!$J$427*EFEITO!$Y$386</f>
        <v>0</v>
      </c>
      <c r="K427" s="91">
        <f ca="1">EFEITO!$L$427*EFEITO!$Z$466</f>
        <v>5173.9707660520207</v>
      </c>
      <c r="L427" s="91">
        <f>EFEITO!$N$427*EFEITO!$AA$466</f>
        <v>6137.7824361552539</v>
      </c>
      <c r="M427" s="91">
        <f>$J$427-EFEITO!$K$427*EFEITO!$Y$427</f>
        <v>0</v>
      </c>
      <c r="N427" s="91">
        <f ca="1">$K$427-EFEITO!$M$427*EFEITO!$Z$427</f>
        <v>3363.0809979338133</v>
      </c>
      <c r="O427" s="91">
        <f>$L$427-EFEITO!$O$427*EFEITO!$AA$427</f>
        <v>3989.5585835009151</v>
      </c>
      <c r="P427" s="19"/>
      <c r="Q427" s="19"/>
      <c r="R427" s="19"/>
      <c r="S427" s="19"/>
      <c r="T427" s="19"/>
      <c r="U427" s="19"/>
      <c r="V427" s="19"/>
      <c r="W427" s="19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84" t="s">
        <v>21</v>
      </c>
      <c r="B428" s="84" t="s">
        <v>22</v>
      </c>
      <c r="C428" s="84" t="s">
        <v>23</v>
      </c>
      <c r="D428" s="84" t="s">
        <v>24</v>
      </c>
      <c r="E428" s="84" t="s">
        <v>28</v>
      </c>
      <c r="F428" s="84" t="s">
        <v>25</v>
      </c>
      <c r="G428" s="84" t="s">
        <v>25</v>
      </c>
      <c r="H428" s="84" t="s">
        <v>25</v>
      </c>
      <c r="I428" s="90">
        <v>44621</v>
      </c>
      <c r="J428" s="91">
        <f>EFEITO!$J$428*EFEITO!$Y$386</f>
        <v>0</v>
      </c>
      <c r="K428" s="91">
        <f ca="1">EFEITO!$L$428*EFEITO!$Z$466</f>
        <v>5419.4511308647079</v>
      </c>
      <c r="L428" s="91">
        <f>EFEITO!$N$428*EFEITO!$AA$466</f>
        <v>6428.9910918852474</v>
      </c>
      <c r="M428" s="91">
        <f>$J$428-EFEITO!$K$428*EFEITO!$Y$428</f>
        <v>0</v>
      </c>
      <c r="N428" s="91">
        <f ca="1">$K$428-EFEITO!$M$428*EFEITO!$Z$428</f>
        <v>3522.6432350620603</v>
      </c>
      <c r="O428" s="91">
        <f>$L$428-EFEITO!$O$428*EFEITO!$AA$428</f>
        <v>4178.844209725411</v>
      </c>
      <c r="P428" s="19"/>
      <c r="Q428" s="19"/>
      <c r="R428" s="19"/>
      <c r="S428" s="19"/>
      <c r="T428" s="19"/>
      <c r="U428" s="19"/>
      <c r="V428" s="19"/>
      <c r="W428" s="19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84" t="s">
        <v>21</v>
      </c>
      <c r="B429" s="84" t="s">
        <v>22</v>
      </c>
      <c r="C429" s="84" t="s">
        <v>23</v>
      </c>
      <c r="D429" s="84" t="s">
        <v>24</v>
      </c>
      <c r="E429" s="84" t="s">
        <v>28</v>
      </c>
      <c r="F429" s="84" t="s">
        <v>25</v>
      </c>
      <c r="G429" s="84" t="s">
        <v>25</v>
      </c>
      <c r="H429" s="84" t="s">
        <v>25</v>
      </c>
      <c r="I429" s="90">
        <v>44652</v>
      </c>
      <c r="J429" s="91">
        <f>EFEITO!$J$429*EFEITO!$Y$386</f>
        <v>0</v>
      </c>
      <c r="K429" s="91">
        <f ca="1">EFEITO!$L$429*EFEITO!$Z$466</f>
        <v>5532.7497607782561</v>
      </c>
      <c r="L429" s="91">
        <f>EFEITO!$N$429*EFEITO!$AA$466</f>
        <v>6563.3950868375532</v>
      </c>
      <c r="M429" s="91">
        <f>$J$429-EFEITO!$K$429*EFEITO!$Y$429</f>
        <v>0</v>
      </c>
      <c r="N429" s="91">
        <f ca="1">$K$429-EFEITO!$M$429*EFEITO!$Z$429</f>
        <v>3596.2873445058667</v>
      </c>
      <c r="O429" s="91">
        <f>$L$429-EFEITO!$O$429*EFEITO!$AA$429</f>
        <v>4266.2068064444102</v>
      </c>
      <c r="P429" s="19"/>
      <c r="Q429" s="19"/>
      <c r="R429" s="19"/>
      <c r="S429" s="19"/>
      <c r="T429" s="19"/>
      <c r="U429" s="19"/>
      <c r="V429" s="19"/>
      <c r="W429" s="19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84" t="s">
        <v>21</v>
      </c>
      <c r="B430" s="84" t="s">
        <v>22</v>
      </c>
      <c r="C430" s="84" t="s">
        <v>23</v>
      </c>
      <c r="D430" s="84" t="s">
        <v>24</v>
      </c>
      <c r="E430" s="84" t="s">
        <v>28</v>
      </c>
      <c r="F430" s="84" t="s">
        <v>25</v>
      </c>
      <c r="G430" s="84" t="s">
        <v>25</v>
      </c>
      <c r="H430" s="84" t="s">
        <v>25</v>
      </c>
      <c r="I430" s="90">
        <v>44682</v>
      </c>
      <c r="J430" s="91">
        <f>EFEITO!$J$430*EFEITO!$Y$386</f>
        <v>0</v>
      </c>
      <c r="K430" s="91">
        <f ca="1">EFEITO!$L$430*EFEITO!$Z$466</f>
        <v>5301.1170062883357</v>
      </c>
      <c r="L430" s="91">
        <f>EFEITO!$N$430*EFEITO!$AA$466</f>
        <v>6288.6135860461736</v>
      </c>
      <c r="M430" s="91">
        <f>$J$430-EFEITO!$K$430*EFEITO!$Y$430</f>
        <v>0</v>
      </c>
      <c r="N430" s="91">
        <f ca="1">$K$430-EFEITO!$M$430*EFEITO!$Z$430</f>
        <v>3445.7260540874186</v>
      </c>
      <c r="O430" s="91">
        <f>$L$430-EFEITO!$O$430*EFEITO!$AA$430</f>
        <v>4087.5988309300128</v>
      </c>
      <c r="P430" s="19"/>
      <c r="Q430" s="19"/>
      <c r="R430" s="19"/>
      <c r="S430" s="19"/>
      <c r="T430" s="19"/>
      <c r="U430" s="19"/>
      <c r="V430" s="19"/>
      <c r="W430" s="19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84" t="s">
        <v>27</v>
      </c>
      <c r="B431" s="84" t="s">
        <v>22</v>
      </c>
      <c r="C431" s="84" t="s">
        <v>23</v>
      </c>
      <c r="D431" s="84" t="s">
        <v>24</v>
      </c>
      <c r="E431" s="84" t="s">
        <v>28</v>
      </c>
      <c r="F431" s="84" t="s">
        <v>25</v>
      </c>
      <c r="G431" s="84" t="s">
        <v>25</v>
      </c>
      <c r="H431" s="84" t="s">
        <v>25</v>
      </c>
      <c r="I431" s="90">
        <v>44682</v>
      </c>
      <c r="J431" s="91">
        <f>EFEITO!$J$431*EFEITO!$Y$386</f>
        <v>0</v>
      </c>
      <c r="K431" s="91">
        <f ca="1">EFEITO!$L$431*EFEITO!$Z$466</f>
        <v>6.2943683285304388</v>
      </c>
      <c r="L431" s="91">
        <f>EFEITO!$N$431*EFEITO!$AA$466</f>
        <v>7.466888608461379</v>
      </c>
      <c r="M431" s="91">
        <f>$J$431-EFEITO!$K$431*EFEITO!$Y$431</f>
        <v>0</v>
      </c>
      <c r="N431" s="91">
        <f ca="1">$K$431-EFEITO!$M$431*EFEITO!$Z$431</f>
        <v>4.0913394135447856</v>
      </c>
      <c r="O431" s="91">
        <f>$L$431-EFEITO!$O$431*EFEITO!$AA$431</f>
        <v>4.8534775954998963</v>
      </c>
      <c r="P431" s="19"/>
      <c r="Q431" s="19"/>
      <c r="R431" s="19"/>
      <c r="S431" s="19"/>
      <c r="T431" s="19"/>
      <c r="U431" s="19"/>
      <c r="V431" s="19"/>
      <c r="W431" s="19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84" t="s">
        <v>55</v>
      </c>
      <c r="B432" s="84" t="s">
        <v>22</v>
      </c>
      <c r="C432" s="84" t="s">
        <v>23</v>
      </c>
      <c r="D432" s="84" t="s">
        <v>24</v>
      </c>
      <c r="E432" s="84" t="s">
        <v>28</v>
      </c>
      <c r="F432" s="84" t="s">
        <v>25</v>
      </c>
      <c r="G432" s="84" t="s">
        <v>25</v>
      </c>
      <c r="H432" s="84" t="s">
        <v>25</v>
      </c>
      <c r="I432" s="90">
        <v>44713</v>
      </c>
      <c r="J432" s="91">
        <f>EFEITO!$J$432*EFEITO!$Y$386</f>
        <v>0</v>
      </c>
      <c r="K432" s="91">
        <f ca="1">EFEITO!$L$432*EFEITO!$Z$466</f>
        <v>5301.1170062883357</v>
      </c>
      <c r="L432" s="91">
        <f>EFEITO!$N$432*EFEITO!$AA$466</f>
        <v>6288.6135860461736</v>
      </c>
      <c r="M432" s="91">
        <f>$J$432-EFEITO!$K$432*EFEITO!$Y$432</f>
        <v>0</v>
      </c>
      <c r="N432" s="91">
        <f ca="1">$K$432-EFEITO!$M$432*EFEITO!$Z$432</f>
        <v>3445.7260540874186</v>
      </c>
      <c r="O432" s="91">
        <f>$L$432-EFEITO!$O$432*EFEITO!$AA$432</f>
        <v>4087.5988309300128</v>
      </c>
      <c r="P432" s="19"/>
      <c r="Q432" s="19"/>
      <c r="R432" s="19"/>
      <c r="S432" s="19"/>
      <c r="T432" s="19"/>
      <c r="U432" s="19"/>
      <c r="V432" s="19"/>
      <c r="W432" s="19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84" t="s">
        <v>55</v>
      </c>
      <c r="B433" s="84" t="s">
        <v>22</v>
      </c>
      <c r="C433" s="84" t="s">
        <v>23</v>
      </c>
      <c r="D433" s="84" t="s">
        <v>24</v>
      </c>
      <c r="E433" s="84" t="s">
        <v>28</v>
      </c>
      <c r="F433" s="84" t="s">
        <v>25</v>
      </c>
      <c r="G433" s="84" t="s">
        <v>25</v>
      </c>
      <c r="H433" s="84" t="s">
        <v>25</v>
      </c>
      <c r="I433" s="90">
        <v>44713</v>
      </c>
      <c r="J433" s="91">
        <f>EFEITO!$J$433*EFEITO!$Y$386</f>
        <v>0</v>
      </c>
      <c r="K433" s="91">
        <f ca="1">EFEITO!$L$433*EFEITO!$Z$466</f>
        <v>6.2943683285304388</v>
      </c>
      <c r="L433" s="91">
        <f>EFEITO!$N$433*EFEITO!$AA$466</f>
        <v>7.466888608461379</v>
      </c>
      <c r="M433" s="91">
        <f>$J$433-EFEITO!$K$433*EFEITO!$Y$433</f>
        <v>0</v>
      </c>
      <c r="N433" s="91">
        <f ca="1">$K$433-EFEITO!$M$433*EFEITO!$Z$433</f>
        <v>4.0913394135447856</v>
      </c>
      <c r="O433" s="91">
        <f>$L$433-EFEITO!$O$433*EFEITO!$AA$433</f>
        <v>4.8534775954998963</v>
      </c>
      <c r="P433" s="19"/>
      <c r="Q433" s="19"/>
      <c r="R433" s="19"/>
      <c r="S433" s="19"/>
      <c r="T433" s="19"/>
      <c r="U433" s="19"/>
      <c r="V433" s="19"/>
      <c r="W433" s="19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84" t="s">
        <v>21</v>
      </c>
      <c r="B434" s="84" t="s">
        <v>22</v>
      </c>
      <c r="C434" s="84" t="s">
        <v>23</v>
      </c>
      <c r="D434" s="84" t="s">
        <v>24</v>
      </c>
      <c r="E434" s="84" t="s">
        <v>29</v>
      </c>
      <c r="F434" s="84" t="s">
        <v>25</v>
      </c>
      <c r="G434" s="84" t="s">
        <v>25</v>
      </c>
      <c r="H434" s="84" t="s">
        <v>25</v>
      </c>
      <c r="I434" s="90">
        <v>44378</v>
      </c>
      <c r="J434" s="91">
        <f>EFEITO!$J$434*EFEITO!$Y$386</f>
        <v>0</v>
      </c>
      <c r="K434" s="91">
        <f ca="1">EFEITO!$L$434*EFEITO!$Z$466</f>
        <v>7761.5855859108851</v>
      </c>
      <c r="L434" s="91">
        <f>EFEITO!$N$434*EFEITO!$AA$466</f>
        <v>9207.4203430937287</v>
      </c>
      <c r="M434" s="91">
        <f>$J$434-EFEITO!$K$434*EFEITO!$Y$434</f>
        <v>0</v>
      </c>
      <c r="N434" s="91">
        <f ca="1">$K$434-EFEITO!$M$434*EFEITO!$Z$434</f>
        <v>3104.6342343643546</v>
      </c>
      <c r="O434" s="91">
        <f>$L$434-EFEITO!$O$434*EFEITO!$AA$434</f>
        <v>3682.9681372374926</v>
      </c>
      <c r="P434" s="19"/>
      <c r="Q434" s="19"/>
      <c r="R434" s="19"/>
      <c r="S434" s="19"/>
      <c r="T434" s="19"/>
      <c r="U434" s="19"/>
      <c r="V434" s="19"/>
      <c r="W434" s="19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84" t="s">
        <v>21</v>
      </c>
      <c r="B435" s="84" t="s">
        <v>22</v>
      </c>
      <c r="C435" s="84" t="s">
        <v>23</v>
      </c>
      <c r="D435" s="84" t="s">
        <v>24</v>
      </c>
      <c r="E435" s="84" t="s">
        <v>29</v>
      </c>
      <c r="F435" s="84" t="s">
        <v>25</v>
      </c>
      <c r="G435" s="84" t="s">
        <v>25</v>
      </c>
      <c r="H435" s="84" t="s">
        <v>25</v>
      </c>
      <c r="I435" s="90">
        <v>44409</v>
      </c>
      <c r="J435" s="91">
        <f>EFEITO!$J$435*EFEITO!$Y$386</f>
        <v>0</v>
      </c>
      <c r="K435" s="91">
        <f ca="1">EFEITO!$L$435*EFEITO!$Z$466</f>
        <v>7995.9459000098341</v>
      </c>
      <c r="L435" s="91">
        <f>EFEITO!$N$435*EFEITO!$AA$466</f>
        <v>9485.4374956154388</v>
      </c>
      <c r="M435" s="91">
        <f>$J$435-EFEITO!$K$435*EFEITO!$Y$435</f>
        <v>0</v>
      </c>
      <c r="N435" s="91">
        <f ca="1">$K$435-EFEITO!$M$435*EFEITO!$Z$435</f>
        <v>3198.3783600039333</v>
      </c>
      <c r="O435" s="91">
        <f>$L$435-EFEITO!$O$435*EFEITO!$AA$435</f>
        <v>3794.1749982461761</v>
      </c>
      <c r="P435" s="19"/>
      <c r="Q435" s="19"/>
      <c r="R435" s="19"/>
      <c r="S435" s="19"/>
      <c r="T435" s="19"/>
      <c r="U435" s="19"/>
      <c r="V435" s="19"/>
      <c r="W435" s="19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84" t="s">
        <v>21</v>
      </c>
      <c r="B436" s="84" t="s">
        <v>22</v>
      </c>
      <c r="C436" s="84" t="s">
        <v>23</v>
      </c>
      <c r="D436" s="84" t="s">
        <v>24</v>
      </c>
      <c r="E436" s="84" t="s">
        <v>29</v>
      </c>
      <c r="F436" s="84" t="s">
        <v>25</v>
      </c>
      <c r="G436" s="84" t="s">
        <v>25</v>
      </c>
      <c r="H436" s="84" t="s">
        <v>25</v>
      </c>
      <c r="I436" s="90">
        <v>44440</v>
      </c>
      <c r="J436" s="91">
        <f>EFEITO!$J$436*EFEITO!$Y$386</f>
        <v>0</v>
      </c>
      <c r="K436" s="91">
        <f ca="1">EFEITO!$L$436*EFEITO!$Z$466</f>
        <v>8184.7769498657472</v>
      </c>
      <c r="L436" s="91">
        <f>EFEITO!$N$436*EFEITO!$AA$466</f>
        <v>9709.4441538692809</v>
      </c>
      <c r="M436" s="91">
        <f>$J$436-EFEITO!$K$436*EFEITO!$Y$436</f>
        <v>0</v>
      </c>
      <c r="N436" s="91">
        <f ca="1">$K$436-EFEITO!$M$436*EFEITO!$Z$436</f>
        <v>3273.910779946299</v>
      </c>
      <c r="O436" s="91">
        <f>$L$436-EFEITO!$O$436*EFEITO!$AA$436</f>
        <v>3883.7776615477133</v>
      </c>
      <c r="P436" s="19"/>
      <c r="Q436" s="19"/>
      <c r="R436" s="19"/>
      <c r="S436" s="19"/>
      <c r="T436" s="19"/>
      <c r="U436" s="19"/>
      <c r="V436" s="19"/>
      <c r="W436" s="19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84" t="s">
        <v>21</v>
      </c>
      <c r="B437" s="84" t="s">
        <v>22</v>
      </c>
      <c r="C437" s="84" t="s">
        <v>23</v>
      </c>
      <c r="D437" s="84" t="s">
        <v>24</v>
      </c>
      <c r="E437" s="84" t="s">
        <v>29</v>
      </c>
      <c r="F437" s="84" t="s">
        <v>25</v>
      </c>
      <c r="G437" s="84" t="s">
        <v>25</v>
      </c>
      <c r="H437" s="84" t="s">
        <v>25</v>
      </c>
      <c r="I437" s="90">
        <v>44470</v>
      </c>
      <c r="J437" s="91">
        <f>EFEITO!$J$437*EFEITO!$Y$386</f>
        <v>0</v>
      </c>
      <c r="K437" s="91">
        <f ca="1">EFEITO!$L$437*EFEITO!$Z$466</f>
        <v>8203.450242573721</v>
      </c>
      <c r="L437" s="91">
        <f>EFEITO!$N$437*EFEITO!$AA$466</f>
        <v>9731.5959234077145</v>
      </c>
      <c r="M437" s="91">
        <f>$J$437-EFEITO!$K$437*EFEITO!$Y$437</f>
        <v>0</v>
      </c>
      <c r="N437" s="91">
        <f ca="1">$K$437-EFEITO!$M$437*EFEITO!$Z$437</f>
        <v>3281.3800970294888</v>
      </c>
      <c r="O437" s="91">
        <f>$L$437-EFEITO!$O$437*EFEITO!$AA$437</f>
        <v>3892.638369363086</v>
      </c>
      <c r="P437" s="19"/>
      <c r="Q437" s="19"/>
      <c r="R437" s="19"/>
      <c r="S437" s="19"/>
      <c r="T437" s="19"/>
      <c r="U437" s="19"/>
      <c r="V437" s="19"/>
      <c r="W437" s="19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84" t="s">
        <v>21</v>
      </c>
      <c r="B438" s="84" t="s">
        <v>22</v>
      </c>
      <c r="C438" s="84" t="s">
        <v>23</v>
      </c>
      <c r="D438" s="84" t="s">
        <v>24</v>
      </c>
      <c r="E438" s="84" t="s">
        <v>29</v>
      </c>
      <c r="F438" s="84" t="s">
        <v>25</v>
      </c>
      <c r="G438" s="84" t="s">
        <v>25</v>
      </c>
      <c r="H438" s="84" t="s">
        <v>25</v>
      </c>
      <c r="I438" s="90">
        <v>44501</v>
      </c>
      <c r="J438" s="91">
        <f>EFEITO!$J$438*EFEITO!$Y$386</f>
        <v>0</v>
      </c>
      <c r="K438" s="91">
        <f ca="1">EFEITO!$L$438*EFEITO!$Z$466</f>
        <v>8483.1300086380907</v>
      </c>
      <c r="L438" s="91">
        <f>EFEITO!$N$438*EFEITO!$AA$466</f>
        <v>10063.37467391035</v>
      </c>
      <c r="M438" s="91">
        <f>$J$438-EFEITO!$K$438*EFEITO!$Y$438</f>
        <v>0</v>
      </c>
      <c r="N438" s="91">
        <f ca="1">$K$438-EFEITO!$M$438*EFEITO!$Z$438</f>
        <v>3393.2520034552363</v>
      </c>
      <c r="O438" s="91">
        <f>$L$438-EFEITO!$O$438*EFEITO!$AA$438</f>
        <v>4025.3498695641401</v>
      </c>
      <c r="P438" s="19"/>
      <c r="Q438" s="19"/>
      <c r="R438" s="19"/>
      <c r="S438" s="19"/>
      <c r="T438" s="19"/>
      <c r="U438" s="19"/>
      <c r="V438" s="19"/>
      <c r="W438" s="19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84" t="s">
        <v>21</v>
      </c>
      <c r="B439" s="84" t="s">
        <v>22</v>
      </c>
      <c r="C439" s="84" t="s">
        <v>23</v>
      </c>
      <c r="D439" s="84" t="s">
        <v>24</v>
      </c>
      <c r="E439" s="84" t="s">
        <v>29</v>
      </c>
      <c r="F439" s="84" t="s">
        <v>25</v>
      </c>
      <c r="G439" s="84" t="s">
        <v>25</v>
      </c>
      <c r="H439" s="84" t="s">
        <v>25</v>
      </c>
      <c r="I439" s="90">
        <v>44531</v>
      </c>
      <c r="J439" s="91">
        <f>EFEITO!$J$439*EFEITO!$Y$386</f>
        <v>0</v>
      </c>
      <c r="K439" s="91">
        <f ca="1">EFEITO!$L$439*EFEITO!$Z$466</f>
        <v>8563.0684864104278</v>
      </c>
      <c r="L439" s="91">
        <f>EFEITO!$N$439*EFEITO!$AA$466</f>
        <v>10158.20415923781</v>
      </c>
      <c r="M439" s="91">
        <f>$J$439-EFEITO!$K$439*EFEITO!$Y$439</f>
        <v>0</v>
      </c>
      <c r="N439" s="91">
        <f ca="1">$K$439-EFEITO!$M$439*EFEITO!$Z$439</f>
        <v>3425.2273945641718</v>
      </c>
      <c r="O439" s="91">
        <f>$L$439-EFEITO!$O$439*EFEITO!$AA$439</f>
        <v>4063.2816636951247</v>
      </c>
      <c r="P439" s="19"/>
      <c r="Q439" s="19"/>
      <c r="R439" s="19"/>
      <c r="S439" s="19"/>
      <c r="T439" s="19"/>
      <c r="U439" s="19"/>
      <c r="V439" s="19"/>
      <c r="W439" s="19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84" t="s">
        <v>41</v>
      </c>
      <c r="B440" s="84" t="s">
        <v>22</v>
      </c>
      <c r="C440" s="84" t="s">
        <v>23</v>
      </c>
      <c r="D440" s="84" t="s">
        <v>24</v>
      </c>
      <c r="E440" s="84" t="s">
        <v>29</v>
      </c>
      <c r="F440" s="84" t="s">
        <v>25</v>
      </c>
      <c r="G440" s="84" t="s">
        <v>25</v>
      </c>
      <c r="H440" s="84" t="s">
        <v>25</v>
      </c>
      <c r="I440" s="90">
        <v>44531</v>
      </c>
      <c r="J440" s="91">
        <f>EFEITO!$J$440*EFEITO!$Y$386</f>
        <v>0</v>
      </c>
      <c r="K440" s="91">
        <f ca="1">EFEITO!$L$440*EFEITO!$Z$466</f>
        <v>14.686859433237693</v>
      </c>
      <c r="L440" s="91">
        <f>EFEITO!$N$440*EFEITO!$AA$466</f>
        <v>17.422740086409888</v>
      </c>
      <c r="M440" s="91">
        <f>$J$440-EFEITO!$K$440*EFEITO!$Y$440</f>
        <v>0</v>
      </c>
      <c r="N440" s="91">
        <f ca="1">$K$440-EFEITO!$M$440*EFEITO!$Z$440</f>
        <v>5.8747437732950782</v>
      </c>
      <c r="O440" s="91">
        <f>$L$440-EFEITO!$O$440*EFEITO!$AA$440</f>
        <v>6.9690960345639574</v>
      </c>
      <c r="P440" s="19"/>
      <c r="Q440" s="19"/>
      <c r="R440" s="19"/>
      <c r="S440" s="19"/>
      <c r="T440" s="19"/>
      <c r="U440" s="19"/>
      <c r="V440" s="19"/>
      <c r="W440" s="19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84" t="s">
        <v>21</v>
      </c>
      <c r="B441" s="84" t="s">
        <v>22</v>
      </c>
      <c r="C441" s="84" t="s">
        <v>23</v>
      </c>
      <c r="D441" s="84" t="s">
        <v>24</v>
      </c>
      <c r="E441" s="84" t="s">
        <v>29</v>
      </c>
      <c r="F441" s="84" t="s">
        <v>25</v>
      </c>
      <c r="G441" s="84" t="s">
        <v>25</v>
      </c>
      <c r="H441" s="84" t="s">
        <v>25</v>
      </c>
      <c r="I441" s="90">
        <v>44562</v>
      </c>
      <c r="J441" s="91">
        <f>EFEITO!$J$441*EFEITO!$Y$386</f>
        <v>0</v>
      </c>
      <c r="K441" s="91">
        <f ca="1">EFEITO!$L$441*EFEITO!$Z$466</f>
        <v>10745.32598591193</v>
      </c>
      <c r="L441" s="91">
        <f>EFEITO!$N$441*EFEITO!$AA$466</f>
        <v>12746.974439791369</v>
      </c>
      <c r="M441" s="91">
        <f>$J$441-EFEITO!$K$441*EFEITO!$Y$441</f>
        <v>0</v>
      </c>
      <c r="N441" s="91">
        <f ca="1">$K$441-EFEITO!$M$441*EFEITO!$Z$441</f>
        <v>4298.1303943647717</v>
      </c>
      <c r="O441" s="91">
        <f>$L$441-EFEITO!$O$441*EFEITO!$AA$441</f>
        <v>5098.789775916548</v>
      </c>
      <c r="P441" s="19"/>
      <c r="Q441" s="19"/>
      <c r="R441" s="19"/>
      <c r="S441" s="19"/>
      <c r="T441" s="19"/>
      <c r="U441" s="19"/>
      <c r="V441" s="19"/>
      <c r="W441" s="19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84" t="s">
        <v>27</v>
      </c>
      <c r="B442" s="84" t="s">
        <v>22</v>
      </c>
      <c r="C442" s="84" t="s">
        <v>23</v>
      </c>
      <c r="D442" s="84" t="s">
        <v>24</v>
      </c>
      <c r="E442" s="84" t="s">
        <v>29</v>
      </c>
      <c r="F442" s="84" t="s">
        <v>25</v>
      </c>
      <c r="G442" s="84" t="s">
        <v>25</v>
      </c>
      <c r="H442" s="84" t="s">
        <v>25</v>
      </c>
      <c r="I442" s="90">
        <v>44562</v>
      </c>
      <c r="J442" s="91">
        <f>EFEITO!$J$442*EFEITO!$Y$386</f>
        <v>0</v>
      </c>
      <c r="K442" s="91">
        <f ca="1">EFEITO!$L$442*EFEITO!$Z$466</f>
        <v>14.686859433237693</v>
      </c>
      <c r="L442" s="91">
        <f>EFEITO!$N$442*EFEITO!$AA$466</f>
        <v>17.422740086409888</v>
      </c>
      <c r="M442" s="91">
        <f>$J$442-EFEITO!$K$442*EFEITO!$Y$442</f>
        <v>0</v>
      </c>
      <c r="N442" s="91">
        <f ca="1">$K$442-EFEITO!$M$442*EFEITO!$Z$442</f>
        <v>5.8747437732950782</v>
      </c>
      <c r="O442" s="91">
        <f>$L$442-EFEITO!$O$442*EFEITO!$AA$442</f>
        <v>6.9690960345639574</v>
      </c>
      <c r="P442" s="19"/>
      <c r="Q442" s="19"/>
      <c r="R442" s="19"/>
      <c r="S442" s="19"/>
      <c r="T442" s="19"/>
      <c r="U442" s="19"/>
      <c r="V442" s="19"/>
      <c r="W442" s="19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84" t="s">
        <v>21</v>
      </c>
      <c r="B443" s="84" t="s">
        <v>22</v>
      </c>
      <c r="C443" s="84" t="s">
        <v>23</v>
      </c>
      <c r="D443" s="84" t="s">
        <v>24</v>
      </c>
      <c r="E443" s="84" t="s">
        <v>29</v>
      </c>
      <c r="F443" s="84" t="s">
        <v>25</v>
      </c>
      <c r="G443" s="84" t="s">
        <v>25</v>
      </c>
      <c r="H443" s="84" t="s">
        <v>25</v>
      </c>
      <c r="I443" s="90">
        <v>44593</v>
      </c>
      <c r="J443" s="91">
        <f>EFEITO!$J$443*EFEITO!$Y$386</f>
        <v>0</v>
      </c>
      <c r="K443" s="91">
        <f ca="1">EFEITO!$L$443*EFEITO!$Z$466</f>
        <v>10887.998334691953</v>
      </c>
      <c r="L443" s="91">
        <f>EFEITO!$N$443*EFEITO!$AA$466</f>
        <v>12916.223914916494</v>
      </c>
      <c r="M443" s="91">
        <f>$J$443-EFEITO!$K$443*EFEITO!$Y$443</f>
        <v>0</v>
      </c>
      <c r="N443" s="91">
        <f ca="1">$K$443-EFEITO!$M$443*EFEITO!$Z$443</f>
        <v>4355.1993338767807</v>
      </c>
      <c r="O443" s="91">
        <f>$L$443-EFEITO!$O$443*EFEITO!$AA$443</f>
        <v>5166.489565966599</v>
      </c>
      <c r="P443" s="19"/>
      <c r="Q443" s="19"/>
      <c r="R443" s="19"/>
      <c r="S443" s="19"/>
      <c r="T443" s="19"/>
      <c r="U443" s="19"/>
      <c r="V443" s="19"/>
      <c r="W443" s="19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84" t="s">
        <v>21</v>
      </c>
      <c r="B444" s="84" t="s">
        <v>22</v>
      </c>
      <c r="C444" s="84" t="s">
        <v>23</v>
      </c>
      <c r="D444" s="84" t="s">
        <v>24</v>
      </c>
      <c r="E444" s="84" t="s">
        <v>29</v>
      </c>
      <c r="F444" s="84" t="s">
        <v>25</v>
      </c>
      <c r="G444" s="84" t="s">
        <v>25</v>
      </c>
      <c r="H444" s="84" t="s">
        <v>25</v>
      </c>
      <c r="I444" s="90">
        <v>44621</v>
      </c>
      <c r="J444" s="91">
        <f>EFEITO!$J$444*EFEITO!$Y$386</f>
        <v>0</v>
      </c>
      <c r="K444" s="91">
        <f ca="1">EFEITO!$L$444*EFEITO!$Z$466</f>
        <v>11627.586613294279</v>
      </c>
      <c r="L444" s="91">
        <f>EFEITO!$N$444*EFEITO!$AA$466</f>
        <v>13793.583326410706</v>
      </c>
      <c r="M444" s="91">
        <f>$J$444-EFEITO!$K$444*EFEITO!$Y$444</f>
        <v>0</v>
      </c>
      <c r="N444" s="91">
        <f ca="1">$K$444-EFEITO!$M$444*EFEITO!$Z$444</f>
        <v>4651.0346453177117</v>
      </c>
      <c r="O444" s="91">
        <f>$L$444-EFEITO!$O$444*EFEITO!$AA$444</f>
        <v>5517.4333305642831</v>
      </c>
      <c r="P444" s="19"/>
      <c r="Q444" s="19"/>
      <c r="R444" s="19"/>
      <c r="S444" s="19"/>
      <c r="T444" s="19"/>
      <c r="U444" s="19"/>
      <c r="V444" s="19"/>
      <c r="W444" s="19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84" t="s">
        <v>21</v>
      </c>
      <c r="B445" s="84" t="s">
        <v>22</v>
      </c>
      <c r="C445" s="84" t="s">
        <v>23</v>
      </c>
      <c r="D445" s="84" t="s">
        <v>24</v>
      </c>
      <c r="E445" s="84" t="s">
        <v>29</v>
      </c>
      <c r="F445" s="84" t="s">
        <v>25</v>
      </c>
      <c r="G445" s="84" t="s">
        <v>25</v>
      </c>
      <c r="H445" s="84" t="s">
        <v>25</v>
      </c>
      <c r="I445" s="90">
        <v>44652</v>
      </c>
      <c r="J445" s="91">
        <f>EFEITO!$J$445*EFEITO!$Y$386</f>
        <v>0</v>
      </c>
      <c r="K445" s="91">
        <f ca="1">EFEITO!$L$445*EFEITO!$Z$466</f>
        <v>11176.490216416265</v>
      </c>
      <c r="L445" s="91">
        <f>EFEITO!$N$445*EFEITO!$AA$466</f>
        <v>13258.456309470974</v>
      </c>
      <c r="M445" s="91">
        <f>$J$445-EFEITO!$K$445*EFEITO!$Y$445</f>
        <v>0</v>
      </c>
      <c r="N445" s="91">
        <f ca="1">$K$445-EFEITO!$M$445*EFEITO!$Z$445</f>
        <v>4470.5960865665065</v>
      </c>
      <c r="O445" s="91">
        <f>$L$445-EFEITO!$O$445*EFEITO!$AA$445</f>
        <v>5303.3825237883902</v>
      </c>
      <c r="P445" s="19"/>
      <c r="Q445" s="19"/>
      <c r="R445" s="19"/>
      <c r="S445" s="19"/>
      <c r="T445" s="19"/>
      <c r="U445" s="19"/>
      <c r="V445" s="19"/>
      <c r="W445" s="19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84" t="s">
        <v>21</v>
      </c>
      <c r="B446" s="84" t="s">
        <v>22</v>
      </c>
      <c r="C446" s="84" t="s">
        <v>23</v>
      </c>
      <c r="D446" s="84" t="s">
        <v>24</v>
      </c>
      <c r="E446" s="84" t="s">
        <v>29</v>
      </c>
      <c r="F446" s="84" t="s">
        <v>25</v>
      </c>
      <c r="G446" s="84" t="s">
        <v>25</v>
      </c>
      <c r="H446" s="84" t="s">
        <v>25</v>
      </c>
      <c r="I446" s="90">
        <v>44682</v>
      </c>
      <c r="J446" s="91">
        <f>EFEITO!$J$446*EFEITO!$Y$386</f>
        <v>0</v>
      </c>
      <c r="K446" s="91">
        <f ca="1">EFEITO!$L$446*EFEITO!$Z$466</f>
        <v>10537.821643348043</v>
      </c>
      <c r="L446" s="91">
        <f>EFEITO!$N$446*EFEITO!$AA$466</f>
        <v>12500.816011999093</v>
      </c>
      <c r="M446" s="91">
        <f>$J$446-EFEITO!$K$446*EFEITO!$Y$446</f>
        <v>0</v>
      </c>
      <c r="N446" s="91">
        <f ca="1">$K$446-EFEITO!$M$446*EFEITO!$Z$446</f>
        <v>4215.1286573392172</v>
      </c>
      <c r="O446" s="91">
        <f>$L$446-EFEITO!$O$446*EFEITO!$AA$446</f>
        <v>5000.3264047996381</v>
      </c>
      <c r="P446" s="19"/>
      <c r="Q446" s="19"/>
      <c r="R446" s="19"/>
      <c r="S446" s="19"/>
      <c r="T446" s="19"/>
      <c r="U446" s="19"/>
      <c r="V446" s="19"/>
      <c r="W446" s="19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84" t="s">
        <v>27</v>
      </c>
      <c r="B447" s="84" t="s">
        <v>22</v>
      </c>
      <c r="C447" s="84" t="s">
        <v>23</v>
      </c>
      <c r="D447" s="84" t="s">
        <v>24</v>
      </c>
      <c r="E447" s="84" t="s">
        <v>29</v>
      </c>
      <c r="F447" s="84" t="s">
        <v>25</v>
      </c>
      <c r="G447" s="84" t="s">
        <v>25</v>
      </c>
      <c r="H447" s="84" t="s">
        <v>25</v>
      </c>
      <c r="I447" s="90">
        <v>44682</v>
      </c>
      <c r="J447" s="91">
        <f>EFEITO!$J$447*EFEITO!$Y$386</f>
        <v>0</v>
      </c>
      <c r="K447" s="91">
        <f ca="1">EFEITO!$L$447*EFEITO!$Z$466</f>
        <v>14.686859433237693</v>
      </c>
      <c r="L447" s="91">
        <f>EFEITO!$N$447*EFEITO!$AA$466</f>
        <v>17.422740086409888</v>
      </c>
      <c r="M447" s="91">
        <f>$J$447-EFEITO!$K$447*EFEITO!$Y$447</f>
        <v>0</v>
      </c>
      <c r="N447" s="91">
        <f ca="1">$K$447-EFEITO!$M$447*EFEITO!$Z$447</f>
        <v>5.8747437732950782</v>
      </c>
      <c r="O447" s="91">
        <f>$L$447-EFEITO!$O$447*EFEITO!$AA$447</f>
        <v>6.9690960345639574</v>
      </c>
      <c r="P447" s="19"/>
      <c r="Q447" s="19"/>
      <c r="R447" s="19"/>
      <c r="S447" s="19"/>
      <c r="T447" s="19"/>
      <c r="U447" s="19"/>
      <c r="V447" s="19"/>
      <c r="W447" s="19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84" t="s">
        <v>55</v>
      </c>
      <c r="B448" s="84" t="s">
        <v>22</v>
      </c>
      <c r="C448" s="84" t="s">
        <v>23</v>
      </c>
      <c r="D448" s="84" t="s">
        <v>24</v>
      </c>
      <c r="E448" s="84" t="s">
        <v>29</v>
      </c>
      <c r="F448" s="84" t="s">
        <v>25</v>
      </c>
      <c r="G448" s="84" t="s">
        <v>25</v>
      </c>
      <c r="H448" s="84" t="s">
        <v>25</v>
      </c>
      <c r="I448" s="90">
        <v>44713</v>
      </c>
      <c r="J448" s="91">
        <f>EFEITO!$J$448*EFEITO!$Y$386</f>
        <v>0</v>
      </c>
      <c r="K448" s="91">
        <f ca="1">EFEITO!$L$448*EFEITO!$Z$466</f>
        <v>10537.821643348043</v>
      </c>
      <c r="L448" s="91">
        <f>EFEITO!$N$448*EFEITO!$AA$466</f>
        <v>12500.816011999093</v>
      </c>
      <c r="M448" s="91">
        <f>$J$448-EFEITO!$K$448*EFEITO!$Y$448</f>
        <v>0</v>
      </c>
      <c r="N448" s="91">
        <f ca="1">$K$448-EFEITO!$M$448*EFEITO!$Z$448</f>
        <v>4215.1286573392172</v>
      </c>
      <c r="O448" s="91">
        <f>$L$448-EFEITO!$O$448*EFEITO!$AA$448</f>
        <v>5000.3264047996381</v>
      </c>
      <c r="P448" s="19"/>
      <c r="Q448" s="19"/>
      <c r="R448" s="19"/>
      <c r="S448" s="19"/>
      <c r="T448" s="19"/>
      <c r="U448" s="19"/>
      <c r="V448" s="19"/>
      <c r="W448" s="19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84" t="s">
        <v>55</v>
      </c>
      <c r="B449" s="84" t="s">
        <v>22</v>
      </c>
      <c r="C449" s="84" t="s">
        <v>23</v>
      </c>
      <c r="D449" s="84" t="s">
        <v>24</v>
      </c>
      <c r="E449" s="84" t="s">
        <v>29</v>
      </c>
      <c r="F449" s="84" t="s">
        <v>25</v>
      </c>
      <c r="G449" s="84" t="s">
        <v>25</v>
      </c>
      <c r="H449" s="84" t="s">
        <v>25</v>
      </c>
      <c r="I449" s="90">
        <v>44713</v>
      </c>
      <c r="J449" s="91">
        <f>EFEITO!$J$449*EFEITO!$Y$386</f>
        <v>0</v>
      </c>
      <c r="K449" s="91">
        <f ca="1">EFEITO!$L$449*EFEITO!$Z$466</f>
        <v>14.686859433237693</v>
      </c>
      <c r="L449" s="91">
        <f>EFEITO!$N$449*EFEITO!$AA$466</f>
        <v>17.422740086409888</v>
      </c>
      <c r="M449" s="91">
        <f>$J$449-EFEITO!$K$449*EFEITO!$Y$449</f>
        <v>0</v>
      </c>
      <c r="N449" s="91">
        <f ca="1">$K$449-EFEITO!$M$449*EFEITO!$Z$449</f>
        <v>5.8747437732950782</v>
      </c>
      <c r="O449" s="91">
        <f>$L$449-EFEITO!$O$449*EFEITO!$AA$449</f>
        <v>6.9690960345639574</v>
      </c>
      <c r="P449" s="19"/>
      <c r="Q449" s="19"/>
      <c r="R449" s="19"/>
      <c r="S449" s="19"/>
      <c r="T449" s="19"/>
      <c r="U449" s="19"/>
      <c r="V449" s="19"/>
      <c r="W449" s="19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84" t="s">
        <v>21</v>
      </c>
      <c r="B450" s="84" t="s">
        <v>22</v>
      </c>
      <c r="C450" s="84" t="s">
        <v>23</v>
      </c>
      <c r="D450" s="84" t="s">
        <v>24</v>
      </c>
      <c r="E450" s="84" t="s">
        <v>30</v>
      </c>
      <c r="F450" s="84" t="s">
        <v>25</v>
      </c>
      <c r="G450" s="84" t="s">
        <v>25</v>
      </c>
      <c r="H450" s="84" t="s">
        <v>25</v>
      </c>
      <c r="I450" s="90">
        <v>44378</v>
      </c>
      <c r="J450" s="91">
        <f>EFEITO!$J$450*EFEITO!$Y$386</f>
        <v>0</v>
      </c>
      <c r="K450" s="91">
        <f ca="1">EFEITO!$L$450*EFEITO!$Z$466</f>
        <v>6343.2545892153594</v>
      </c>
      <c r="L450" s="91">
        <f>EFEITO!$N$450*EFEITO!$AA$466</f>
        <v>7524.8814433204298</v>
      </c>
      <c r="M450" s="91">
        <f>$J$450-EFEITO!$K$450*EFEITO!$Y$450</f>
        <v>0</v>
      </c>
      <c r="N450" s="91">
        <f ca="1">$K$450-EFEITO!$M$450*EFEITO!$Z$450</f>
        <v>634.32545892153667</v>
      </c>
      <c r="O450" s="91">
        <f>$L$450-EFEITO!$O$450*EFEITO!$AA$450</f>
        <v>752.48814433204279</v>
      </c>
      <c r="P450" s="19"/>
      <c r="Q450" s="19"/>
      <c r="R450" s="19"/>
      <c r="S450" s="19"/>
      <c r="T450" s="19"/>
      <c r="U450" s="19"/>
      <c r="V450" s="19"/>
      <c r="W450" s="19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84" t="s">
        <v>21</v>
      </c>
      <c r="B451" s="84" t="s">
        <v>22</v>
      </c>
      <c r="C451" s="84" t="s">
        <v>23</v>
      </c>
      <c r="D451" s="84" t="s">
        <v>24</v>
      </c>
      <c r="E451" s="84" t="s">
        <v>30</v>
      </c>
      <c r="F451" s="84" t="s">
        <v>25</v>
      </c>
      <c r="G451" s="84" t="s">
        <v>25</v>
      </c>
      <c r="H451" s="84" t="s">
        <v>25</v>
      </c>
      <c r="I451" s="90">
        <v>44409</v>
      </c>
      <c r="J451" s="91">
        <f>EFEITO!$J$451*EFEITO!$Y$386</f>
        <v>0</v>
      </c>
      <c r="K451" s="91">
        <f ca="1">EFEITO!$L$451*EFEITO!$Z$466</f>
        <v>6763.9282058388098</v>
      </c>
      <c r="L451" s="91">
        <f>EFEITO!$N$451*EFEITO!$AA$466</f>
        <v>8023.9184986525988</v>
      </c>
      <c r="M451" s="91">
        <f>$J$451-EFEITO!$K$451*EFEITO!$Y$451</f>
        <v>0</v>
      </c>
      <c r="N451" s="91">
        <f ca="1">$K$451-EFEITO!$M$451*EFEITO!$Z$451</f>
        <v>676.39282058388108</v>
      </c>
      <c r="O451" s="91">
        <f>$L$451-EFEITO!$O$451*EFEITO!$AA$451</f>
        <v>802.39184986525925</v>
      </c>
      <c r="P451" s="19"/>
      <c r="Q451" s="19"/>
      <c r="R451" s="19"/>
      <c r="S451" s="19"/>
      <c r="T451" s="19"/>
      <c r="U451" s="19"/>
      <c r="V451" s="19"/>
      <c r="W451" s="19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84" t="s">
        <v>21</v>
      </c>
      <c r="B452" s="84" t="s">
        <v>22</v>
      </c>
      <c r="C452" s="84" t="s">
        <v>23</v>
      </c>
      <c r="D452" s="84" t="s">
        <v>24</v>
      </c>
      <c r="E452" s="84" t="s">
        <v>30</v>
      </c>
      <c r="F452" s="84" t="s">
        <v>25</v>
      </c>
      <c r="G452" s="84" t="s">
        <v>25</v>
      </c>
      <c r="H452" s="84" t="s">
        <v>25</v>
      </c>
      <c r="I452" s="90">
        <v>44440</v>
      </c>
      <c r="J452" s="91">
        <f>EFEITO!$J$452*EFEITO!$Y$386</f>
        <v>0</v>
      </c>
      <c r="K452" s="91">
        <f ca="1">EFEITO!$L$452*EFEITO!$Z$466</f>
        <v>6653.5669478119098</v>
      </c>
      <c r="L452" s="91">
        <f>EFEITO!$N$452*EFEITO!$AA$466</f>
        <v>7892.9990517175756</v>
      </c>
      <c r="M452" s="91">
        <f>$J$452-EFEITO!$K$452*EFEITO!$Y$452</f>
        <v>0</v>
      </c>
      <c r="N452" s="91">
        <f ca="1">$K$452-EFEITO!$M$452*EFEITO!$Z$452</f>
        <v>665.35669478119144</v>
      </c>
      <c r="O452" s="91">
        <f>$L$452-EFEITO!$O$452*EFEITO!$AA$452</f>
        <v>789.29990517175702</v>
      </c>
      <c r="P452" s="19"/>
      <c r="Q452" s="19"/>
      <c r="R452" s="19"/>
      <c r="S452" s="19"/>
      <c r="T452" s="19"/>
      <c r="U452" s="19"/>
      <c r="V452" s="19"/>
      <c r="W452" s="19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84" t="s">
        <v>21</v>
      </c>
      <c r="B453" s="84" t="s">
        <v>22</v>
      </c>
      <c r="C453" s="84" t="s">
        <v>23</v>
      </c>
      <c r="D453" s="84" t="s">
        <v>24</v>
      </c>
      <c r="E453" s="84" t="s">
        <v>30</v>
      </c>
      <c r="F453" s="84" t="s">
        <v>25</v>
      </c>
      <c r="G453" s="84" t="s">
        <v>25</v>
      </c>
      <c r="H453" s="84" t="s">
        <v>25</v>
      </c>
      <c r="I453" s="90">
        <v>44470</v>
      </c>
      <c r="J453" s="91">
        <f>EFEITO!$J$453*EFEITO!$Y$386</f>
        <v>0</v>
      </c>
      <c r="K453" s="91">
        <f ca="1">EFEITO!$L$453*EFEITO!$Z$466</f>
        <v>6154.6333516370632</v>
      </c>
      <c r="L453" s="91">
        <f>EFEITO!$N$453*EFEITO!$AA$466</f>
        <v>7301.123681353537</v>
      </c>
      <c r="M453" s="91">
        <f>$J$453-EFEITO!$K$453*EFEITO!$Y$453</f>
        <v>0</v>
      </c>
      <c r="N453" s="91">
        <f ca="1">$K$453-EFEITO!$M$453*EFEITO!$Z$453</f>
        <v>615.46333516370669</v>
      </c>
      <c r="O453" s="91">
        <f>$L$453-EFEITO!$O$453*EFEITO!$AA$453</f>
        <v>730.11236813535288</v>
      </c>
      <c r="P453" s="19"/>
      <c r="Q453" s="19"/>
      <c r="R453" s="19"/>
      <c r="S453" s="19"/>
      <c r="T453" s="19"/>
      <c r="U453" s="19"/>
      <c r="V453" s="19"/>
      <c r="W453" s="19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84" t="s">
        <v>21</v>
      </c>
      <c r="B454" s="84" t="s">
        <v>22</v>
      </c>
      <c r="C454" s="84" t="s">
        <v>23</v>
      </c>
      <c r="D454" s="84" t="s">
        <v>24</v>
      </c>
      <c r="E454" s="84" t="s">
        <v>30</v>
      </c>
      <c r="F454" s="84" t="s">
        <v>25</v>
      </c>
      <c r="G454" s="84" t="s">
        <v>25</v>
      </c>
      <c r="H454" s="84" t="s">
        <v>25</v>
      </c>
      <c r="I454" s="90">
        <v>44501</v>
      </c>
      <c r="J454" s="91">
        <f>EFEITO!$J$454*EFEITO!$Y$386</f>
        <v>0</v>
      </c>
      <c r="K454" s="91">
        <f ca="1">EFEITO!$L$454*EFEITO!$Z$466</f>
        <v>7603.3871285871519</v>
      </c>
      <c r="L454" s="91">
        <f>EFEITO!$N$454*EFEITO!$AA$466</f>
        <v>9019.7525427343971</v>
      </c>
      <c r="M454" s="91">
        <f>$J$454-EFEITO!$K$454*EFEITO!$Y$454</f>
        <v>0</v>
      </c>
      <c r="N454" s="91">
        <f ca="1">$K$454-EFEITO!$M$454*EFEITO!$Z$454</f>
        <v>760.33871285871555</v>
      </c>
      <c r="O454" s="91">
        <f>$L$454-EFEITO!$O$454*EFEITO!$AA$454</f>
        <v>901.97525427343862</v>
      </c>
      <c r="P454" s="19"/>
      <c r="Q454" s="19"/>
      <c r="R454" s="19"/>
      <c r="S454" s="19"/>
      <c r="T454" s="19"/>
      <c r="U454" s="19"/>
      <c r="V454" s="19"/>
      <c r="W454" s="19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84" t="s">
        <v>21</v>
      </c>
      <c r="B455" s="84" t="s">
        <v>22</v>
      </c>
      <c r="C455" s="84" t="s">
        <v>23</v>
      </c>
      <c r="D455" s="84" t="s">
        <v>24</v>
      </c>
      <c r="E455" s="84" t="s">
        <v>30</v>
      </c>
      <c r="F455" s="84" t="s">
        <v>25</v>
      </c>
      <c r="G455" s="84" t="s">
        <v>25</v>
      </c>
      <c r="H455" s="84" t="s">
        <v>25</v>
      </c>
      <c r="I455" s="90">
        <v>44531</v>
      </c>
      <c r="J455" s="91">
        <f>EFEITO!$J$455*EFEITO!$Y$386</f>
        <v>0</v>
      </c>
      <c r="K455" s="91">
        <f ca="1">EFEITO!$L$455*EFEITO!$Z$466</f>
        <v>8043.3634747514297</v>
      </c>
      <c r="L455" s="91">
        <f>EFEITO!$N$455*EFEITO!$AA$466</f>
        <v>9541.6880564658477</v>
      </c>
      <c r="M455" s="91">
        <f>$J$455-EFEITO!$K$455*EFEITO!$Y$455</f>
        <v>0</v>
      </c>
      <c r="N455" s="91">
        <f ca="1">$K$455-EFEITO!$M$455*EFEITO!$Z$455</f>
        <v>804.33634747514316</v>
      </c>
      <c r="O455" s="91">
        <f>$L$455-EFEITO!$O$455*EFEITO!$AA$455</f>
        <v>954.16880564658459</v>
      </c>
      <c r="P455" s="19"/>
      <c r="Q455" s="19"/>
      <c r="R455" s="19"/>
      <c r="S455" s="19"/>
      <c r="T455" s="19"/>
      <c r="U455" s="19"/>
      <c r="V455" s="19"/>
      <c r="W455" s="19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84" t="s">
        <v>41</v>
      </c>
      <c r="B456" s="84" t="s">
        <v>22</v>
      </c>
      <c r="C456" s="84" t="s">
        <v>23</v>
      </c>
      <c r="D456" s="84" t="s">
        <v>24</v>
      </c>
      <c r="E456" s="84" t="s">
        <v>30</v>
      </c>
      <c r="F456" s="84" t="s">
        <v>25</v>
      </c>
      <c r="G456" s="84" t="s">
        <v>25</v>
      </c>
      <c r="H456" s="84" t="s">
        <v>25</v>
      </c>
      <c r="I456" s="90">
        <v>44531</v>
      </c>
      <c r="J456" s="91">
        <f>EFEITO!$J$456*EFEITO!$Y$386</f>
        <v>0</v>
      </c>
      <c r="K456" s="91">
        <f ca="1">EFEITO!$L$456*EFEITO!$Z$466</f>
        <v>16.784982209414505</v>
      </c>
      <c r="L456" s="91">
        <f>EFEITO!$N$456*EFEITO!$AA$466</f>
        <v>19.911702955897013</v>
      </c>
      <c r="M456" s="91">
        <f>$J$456-EFEITO!$K$456*EFEITO!$Y$456</f>
        <v>0</v>
      </c>
      <c r="N456" s="91">
        <f ca="1">$K$456-EFEITO!$M$456*EFEITO!$Z$456</f>
        <v>1.6784982209414512</v>
      </c>
      <c r="O456" s="91">
        <f>$L$456-EFEITO!$O$456*EFEITO!$AA$456</f>
        <v>1.9911702955897006</v>
      </c>
      <c r="P456" s="19"/>
      <c r="Q456" s="19"/>
      <c r="R456" s="19"/>
      <c r="S456" s="19"/>
      <c r="T456" s="19"/>
      <c r="U456" s="19"/>
      <c r="V456" s="19"/>
      <c r="W456" s="19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84" t="s">
        <v>21</v>
      </c>
      <c r="B457" s="84" t="s">
        <v>22</v>
      </c>
      <c r="C457" s="84" t="s">
        <v>23</v>
      </c>
      <c r="D457" s="84" t="s">
        <v>24</v>
      </c>
      <c r="E457" s="84" t="s">
        <v>30</v>
      </c>
      <c r="F457" s="84" t="s">
        <v>25</v>
      </c>
      <c r="G457" s="84" t="s">
        <v>25</v>
      </c>
      <c r="H457" s="84" t="s">
        <v>25</v>
      </c>
      <c r="I457" s="90">
        <v>44562</v>
      </c>
      <c r="J457" s="91">
        <f>EFEITO!$J$457*EFEITO!$Y$386</f>
        <v>0</v>
      </c>
      <c r="K457" s="91">
        <f ca="1">EFEITO!$L$457*EFEITO!$Z$466</f>
        <v>11066.128958389365</v>
      </c>
      <c r="L457" s="91">
        <f>EFEITO!$N$457*EFEITO!$AA$466</f>
        <v>13127.536862535952</v>
      </c>
      <c r="M457" s="91">
        <f>$J$457-EFEITO!$K$457*EFEITO!$Y$457</f>
        <v>0</v>
      </c>
      <c r="N457" s="91">
        <f ca="1">$K$457-EFEITO!$M$457*EFEITO!$Z$457</f>
        <v>1106.6128958389363</v>
      </c>
      <c r="O457" s="91">
        <f>$L$457-EFEITO!$O$457*EFEITO!$AA$457</f>
        <v>1312.7536862535944</v>
      </c>
      <c r="P457" s="19"/>
      <c r="Q457" s="19"/>
      <c r="R457" s="19"/>
      <c r="S457" s="19"/>
      <c r="T457" s="19"/>
      <c r="U457" s="19"/>
      <c r="V457" s="19"/>
      <c r="W457" s="19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84" t="s">
        <v>27</v>
      </c>
      <c r="B458" s="84" t="s">
        <v>22</v>
      </c>
      <c r="C458" s="84" t="s">
        <v>23</v>
      </c>
      <c r="D458" s="84" t="s">
        <v>24</v>
      </c>
      <c r="E458" s="84" t="s">
        <v>30</v>
      </c>
      <c r="F458" s="84" t="s">
        <v>25</v>
      </c>
      <c r="G458" s="84" t="s">
        <v>25</v>
      </c>
      <c r="H458" s="84" t="s">
        <v>25</v>
      </c>
      <c r="I458" s="90">
        <v>44562</v>
      </c>
      <c r="J458" s="91">
        <f>EFEITO!$J$458*EFEITO!$Y$386</f>
        <v>0</v>
      </c>
      <c r="K458" s="91">
        <f ca="1">EFEITO!$L$458*EFEITO!$Z$466</f>
        <v>25.177473314121755</v>
      </c>
      <c r="L458" s="91">
        <f>EFEITO!$N$458*EFEITO!$AA$466</f>
        <v>29.867554433845516</v>
      </c>
      <c r="M458" s="91">
        <f>$J$458-EFEITO!$K$458*EFEITO!$Y$458</f>
        <v>0</v>
      </c>
      <c r="N458" s="91">
        <f ca="1">$K$458-EFEITO!$M$458*EFEITO!$Z$458</f>
        <v>2.5177473314121777</v>
      </c>
      <c r="O458" s="91">
        <f>$L$458-EFEITO!$O$458*EFEITO!$AA$458</f>
        <v>2.9867554433845491</v>
      </c>
      <c r="P458" s="19"/>
      <c r="Q458" s="19"/>
      <c r="R458" s="19"/>
      <c r="S458" s="19"/>
      <c r="T458" s="19"/>
      <c r="U458" s="19"/>
      <c r="V458" s="19"/>
      <c r="W458" s="19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84" t="s">
        <v>21</v>
      </c>
      <c r="B459" s="84" t="s">
        <v>22</v>
      </c>
      <c r="C459" s="84" t="s">
        <v>23</v>
      </c>
      <c r="D459" s="84" t="s">
        <v>24</v>
      </c>
      <c r="E459" s="84" t="s">
        <v>30</v>
      </c>
      <c r="F459" s="84" t="s">
        <v>25</v>
      </c>
      <c r="G459" s="84" t="s">
        <v>25</v>
      </c>
      <c r="H459" s="84" t="s">
        <v>25</v>
      </c>
      <c r="I459" s="90">
        <v>44593</v>
      </c>
      <c r="J459" s="91">
        <f>EFEITO!$J$459*EFEITO!$Y$386</f>
        <v>0</v>
      </c>
      <c r="K459" s="91">
        <f ca="1">EFEITO!$L$459*EFEITO!$Z$466</f>
        <v>9838.5173220483121</v>
      </c>
      <c r="L459" s="91">
        <f>EFEITO!$N$459*EFEITO!$AA$466</f>
        <v>11671.244687599035</v>
      </c>
      <c r="M459" s="91">
        <f>$J$459-EFEITO!$K$459*EFEITO!$Y$459</f>
        <v>0</v>
      </c>
      <c r="N459" s="91">
        <f ca="1">$K$459-EFEITO!$M$459*EFEITO!$Z$459</f>
        <v>983.85173220483193</v>
      </c>
      <c r="O459" s="91">
        <f>$L$459-EFEITO!$O$459*EFEITO!$AA$459</f>
        <v>1167.1244687599028</v>
      </c>
      <c r="P459" s="19"/>
      <c r="Q459" s="19"/>
      <c r="R459" s="19"/>
      <c r="S459" s="19"/>
      <c r="T459" s="19"/>
      <c r="U459" s="19"/>
      <c r="V459" s="19"/>
      <c r="W459" s="19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84" t="s">
        <v>21</v>
      </c>
      <c r="B460" s="84" t="s">
        <v>22</v>
      </c>
      <c r="C460" s="84" t="s">
        <v>23</v>
      </c>
      <c r="D460" s="84" t="s">
        <v>24</v>
      </c>
      <c r="E460" s="84" t="s">
        <v>30</v>
      </c>
      <c r="F460" s="84" t="s">
        <v>25</v>
      </c>
      <c r="G460" s="84" t="s">
        <v>25</v>
      </c>
      <c r="H460" s="84" t="s">
        <v>25</v>
      </c>
      <c r="I460" s="90">
        <v>44621</v>
      </c>
      <c r="J460" s="91">
        <f>EFEITO!$J$460*EFEITO!$Y$386</f>
        <v>0</v>
      </c>
      <c r="K460" s="91">
        <f ca="1">EFEITO!$L$460*EFEITO!$Z$466</f>
        <v>11992.869788626662</v>
      </c>
      <c r="L460" s="91">
        <f>EFEITO!$N$460*EFEITO!$AA$466</f>
        <v>14226.911761988415</v>
      </c>
      <c r="M460" s="91">
        <f>$J$460-EFEITO!$K$460*EFEITO!$Y$460</f>
        <v>0</v>
      </c>
      <c r="N460" s="91">
        <f ca="1">$K$460-EFEITO!$M$460*EFEITO!$Z$460</f>
        <v>1199.2869788626667</v>
      </c>
      <c r="O460" s="91">
        <f>$L$460-EFEITO!$O$460*EFEITO!$AA$460</f>
        <v>1422.6911761988413</v>
      </c>
      <c r="P460" s="19"/>
      <c r="Q460" s="19"/>
      <c r="R460" s="19"/>
      <c r="S460" s="19"/>
      <c r="T460" s="19"/>
      <c r="U460" s="19"/>
      <c r="V460" s="19"/>
      <c r="W460" s="19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84" t="s">
        <v>21</v>
      </c>
      <c r="B461" s="84" t="s">
        <v>22</v>
      </c>
      <c r="C461" s="84" t="s">
        <v>23</v>
      </c>
      <c r="D461" s="84" t="s">
        <v>24</v>
      </c>
      <c r="E461" s="84" t="s">
        <v>30</v>
      </c>
      <c r="F461" s="84" t="s">
        <v>25</v>
      </c>
      <c r="G461" s="84" t="s">
        <v>25</v>
      </c>
      <c r="H461" s="84" t="s">
        <v>25</v>
      </c>
      <c r="I461" s="90">
        <v>44652</v>
      </c>
      <c r="J461" s="91">
        <f>EFEITO!$J$461*EFEITO!$Y$386</f>
        <v>0</v>
      </c>
      <c r="K461" s="91">
        <f ca="1">EFEITO!$L$461*EFEITO!$Z$466</f>
        <v>8749.5916012125454</v>
      </c>
      <c r="L461" s="91">
        <f>EFEITO!$N$461*EFEITO!$AA$466</f>
        <v>10379.472958335215</v>
      </c>
      <c r="M461" s="91">
        <f>$J$461-EFEITO!$K$461*EFEITO!$Y$461</f>
        <v>0</v>
      </c>
      <c r="N461" s="91">
        <f ca="1">$K$461-EFEITO!$M$461*EFEITO!$Z$461</f>
        <v>874.95916012125508</v>
      </c>
      <c r="O461" s="91">
        <f>$L$461-EFEITO!$O$461*EFEITO!$AA$461</f>
        <v>1037.9472958335209</v>
      </c>
      <c r="P461" s="19"/>
      <c r="Q461" s="19"/>
      <c r="R461" s="19"/>
      <c r="S461" s="19"/>
      <c r="T461" s="19"/>
      <c r="U461" s="19"/>
      <c r="V461" s="19"/>
      <c r="W461" s="19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84" t="s">
        <v>21</v>
      </c>
      <c r="B462" s="84" t="s">
        <v>22</v>
      </c>
      <c r="C462" s="84" t="s">
        <v>23</v>
      </c>
      <c r="D462" s="84" t="s">
        <v>24</v>
      </c>
      <c r="E462" s="84" t="s">
        <v>30</v>
      </c>
      <c r="F462" s="84" t="s">
        <v>25</v>
      </c>
      <c r="G462" s="84" t="s">
        <v>25</v>
      </c>
      <c r="H462" s="84" t="s">
        <v>25</v>
      </c>
      <c r="I462" s="90">
        <v>44682</v>
      </c>
      <c r="J462" s="91">
        <f>EFEITO!$J$462*EFEITO!$Y$386</f>
        <v>0</v>
      </c>
      <c r="K462" s="91">
        <f ca="1">EFEITO!$L$462*EFEITO!$Z$466</f>
        <v>8746.4444170482802</v>
      </c>
      <c r="L462" s="91">
        <f>EFEITO!$N$462*EFEITO!$AA$466</f>
        <v>10375.739514030984</v>
      </c>
      <c r="M462" s="91">
        <f>$J$462-EFEITO!$K$462*EFEITO!$Y$462</f>
        <v>0</v>
      </c>
      <c r="N462" s="91">
        <f ca="1">$K$462-EFEITO!$M$462*EFEITO!$Z$462</f>
        <v>874.64444170482875</v>
      </c>
      <c r="O462" s="91">
        <f>$L$462-EFEITO!$O$462*EFEITO!$AA$462</f>
        <v>1037.5739514030975</v>
      </c>
      <c r="P462" s="19"/>
      <c r="Q462" s="19"/>
      <c r="R462" s="19"/>
      <c r="S462" s="19"/>
      <c r="T462" s="19"/>
      <c r="U462" s="19"/>
      <c r="V462" s="19"/>
      <c r="W462" s="19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84" t="s">
        <v>27</v>
      </c>
      <c r="B463" s="84" t="s">
        <v>22</v>
      </c>
      <c r="C463" s="84" t="s">
        <v>23</v>
      </c>
      <c r="D463" s="84" t="s">
        <v>24</v>
      </c>
      <c r="E463" s="84" t="s">
        <v>30</v>
      </c>
      <c r="F463" s="84" t="s">
        <v>25</v>
      </c>
      <c r="G463" s="84" t="s">
        <v>25</v>
      </c>
      <c r="H463" s="84" t="s">
        <v>25</v>
      </c>
      <c r="I463" s="90">
        <v>44682</v>
      </c>
      <c r="J463" s="91">
        <f>EFEITO!$J$463*EFEITO!$Y$386</f>
        <v>0</v>
      </c>
      <c r="K463" s="91">
        <f ca="1">EFEITO!$L$463*EFEITO!$Z$466</f>
        <v>2.0981227761768131</v>
      </c>
      <c r="L463" s="91">
        <f>EFEITO!$N$463*EFEITO!$AA$466</f>
        <v>2.4889628694871266</v>
      </c>
      <c r="M463" s="91">
        <f>$J$463-EFEITO!$K$463*EFEITO!$Y$463</f>
        <v>0</v>
      </c>
      <c r="N463" s="91">
        <f ca="1">$K$463-EFEITO!$M$463*EFEITO!$Z$463</f>
        <v>0.2098122776176814</v>
      </c>
      <c r="O463" s="91">
        <f>$L$463-EFEITO!$O$463*EFEITO!$AA$463</f>
        <v>0.24889628694871258</v>
      </c>
      <c r="P463" s="19"/>
      <c r="Q463" s="19"/>
      <c r="R463" s="19"/>
      <c r="S463" s="19"/>
      <c r="T463" s="19"/>
      <c r="U463" s="19"/>
      <c r="V463" s="19"/>
      <c r="W463" s="19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84" t="s">
        <v>55</v>
      </c>
      <c r="B464" s="84" t="s">
        <v>22</v>
      </c>
      <c r="C464" s="84" t="s">
        <v>23</v>
      </c>
      <c r="D464" s="84" t="s">
        <v>24</v>
      </c>
      <c r="E464" s="84" t="s">
        <v>30</v>
      </c>
      <c r="F464" s="84" t="s">
        <v>25</v>
      </c>
      <c r="G464" s="84" t="s">
        <v>25</v>
      </c>
      <c r="H464" s="84" t="s">
        <v>25</v>
      </c>
      <c r="I464" s="90">
        <v>44713</v>
      </c>
      <c r="J464" s="91">
        <f>EFEITO!$J$464*EFEITO!$Y$386</f>
        <v>0</v>
      </c>
      <c r="K464" s="91">
        <f ca="1">EFEITO!$L$464*EFEITO!$Z$466</f>
        <v>8746.4444170482802</v>
      </c>
      <c r="L464" s="91">
        <f>EFEITO!$N$464*EFEITO!$AA$466</f>
        <v>10375.739514030984</v>
      </c>
      <c r="M464" s="91">
        <f>$J$464-EFEITO!$K$464*EFEITO!$Y$464</f>
        <v>0</v>
      </c>
      <c r="N464" s="91">
        <f ca="1">$K$464-EFEITO!$M$464*EFEITO!$Z$464</f>
        <v>874.64444170482875</v>
      </c>
      <c r="O464" s="91">
        <f>$L$464-EFEITO!$O$464*EFEITO!$AA$464</f>
        <v>1037.5739514030975</v>
      </c>
      <c r="P464" s="19"/>
      <c r="Q464" s="19"/>
      <c r="R464" s="19"/>
      <c r="S464" s="19"/>
      <c r="T464" s="19"/>
      <c r="U464" s="19"/>
      <c r="V464" s="19"/>
      <c r="W464" s="19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84" t="s">
        <v>55</v>
      </c>
      <c r="B465" s="84" t="s">
        <v>22</v>
      </c>
      <c r="C465" s="84" t="s">
        <v>23</v>
      </c>
      <c r="D465" s="84" t="s">
        <v>24</v>
      </c>
      <c r="E465" s="84" t="s">
        <v>30</v>
      </c>
      <c r="F465" s="84" t="s">
        <v>25</v>
      </c>
      <c r="G465" s="84" t="s">
        <v>25</v>
      </c>
      <c r="H465" s="84" t="s">
        <v>25</v>
      </c>
      <c r="I465" s="90">
        <v>44713</v>
      </c>
      <c r="J465" s="91">
        <f>EFEITO!$J$465*EFEITO!$Y$386</f>
        <v>0</v>
      </c>
      <c r="K465" s="91">
        <f ca="1">EFEITO!$L$465*EFEITO!$Z$466</f>
        <v>2.0981227761768131</v>
      </c>
      <c r="L465" s="91">
        <f>EFEITO!$N$465*EFEITO!$AA$466</f>
        <v>2.4889628694871266</v>
      </c>
      <c r="M465" s="91">
        <f>$J$465-EFEITO!$K$465*EFEITO!$Y$465</f>
        <v>0</v>
      </c>
      <c r="N465" s="91">
        <f ca="1">$K$465-EFEITO!$M$465*EFEITO!$Z$465</f>
        <v>0.2098122776176814</v>
      </c>
      <c r="O465" s="91">
        <f>$L$465-EFEITO!$O$465*EFEITO!$AA$465</f>
        <v>0.24889628694871258</v>
      </c>
      <c r="P465" s="19"/>
      <c r="Q465" s="19"/>
      <c r="R465" s="19"/>
      <c r="S465" s="19"/>
      <c r="T465" s="19"/>
      <c r="U465" s="19"/>
      <c r="V465" s="19"/>
      <c r="W465" s="19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84" t="s">
        <v>21</v>
      </c>
      <c r="B466" s="84" t="s">
        <v>22</v>
      </c>
      <c r="C466" s="84" t="s">
        <v>23</v>
      </c>
      <c r="D466" s="84" t="s">
        <v>24</v>
      </c>
      <c r="E466" s="84" t="s">
        <v>31</v>
      </c>
      <c r="F466" s="84" t="s">
        <v>25</v>
      </c>
      <c r="G466" s="84" t="s">
        <v>25</v>
      </c>
      <c r="H466" s="84" t="s">
        <v>25</v>
      </c>
      <c r="I466" s="90">
        <v>44378</v>
      </c>
      <c r="J466" s="91">
        <f>EFEITO!$J$466*EFEITO!$Y$386</f>
        <v>0</v>
      </c>
      <c r="K466" s="91">
        <f ca="1">EFEITO!$L$466*EFEITO!$Z$466</f>
        <v>1628.1432743132068</v>
      </c>
      <c r="L466" s="91">
        <f>EFEITO!$N$466*EFEITO!$AA$466</f>
        <v>1931.4351867220103</v>
      </c>
      <c r="M466" s="91">
        <f>$J$466-EFEITO!$K$466*EFEITO!$Y$466</f>
        <v>0</v>
      </c>
      <c r="N466" s="91">
        <f ca="1">$K$466-EFEITO!$M$466*EFEITO!$Z$466</f>
        <v>0</v>
      </c>
      <c r="O466" s="91">
        <f>$L$466-EFEITO!$O$466*EFEITO!$AA$466</f>
        <v>0</v>
      </c>
      <c r="P466" s="19"/>
      <c r="Q466" s="19"/>
      <c r="R466" s="19"/>
      <c r="S466" s="19"/>
      <c r="T466" s="19"/>
      <c r="U466" s="19"/>
      <c r="V466" s="19"/>
      <c r="W466" s="19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84" t="s">
        <v>21</v>
      </c>
      <c r="B467" s="84" t="s">
        <v>22</v>
      </c>
      <c r="C467" s="84" t="s">
        <v>23</v>
      </c>
      <c r="D467" s="84" t="s">
        <v>24</v>
      </c>
      <c r="E467" s="84" t="s">
        <v>31</v>
      </c>
      <c r="F467" s="84" t="s">
        <v>25</v>
      </c>
      <c r="G467" s="84" t="s">
        <v>25</v>
      </c>
      <c r="H467" s="84" t="s">
        <v>25</v>
      </c>
      <c r="I467" s="90">
        <v>44409</v>
      </c>
      <c r="J467" s="91">
        <f>EFEITO!$J$467*EFEITO!$Y$386</f>
        <v>0</v>
      </c>
      <c r="K467" s="91">
        <f ca="1">EFEITO!$L$467*EFEITO!$Z$466</f>
        <v>1528.6922547224258</v>
      </c>
      <c r="L467" s="91">
        <f>EFEITO!$N$467*EFEITO!$AA$466</f>
        <v>1813.4583467083203</v>
      </c>
      <c r="M467" s="91">
        <f>$J$467-EFEITO!$K$467*EFEITO!$Y$467</f>
        <v>0</v>
      </c>
      <c r="N467" s="91">
        <f ca="1">$K$467-EFEITO!$M$467*EFEITO!$Z$467</f>
        <v>0</v>
      </c>
      <c r="O467" s="91">
        <f>$L$467-EFEITO!$O$467*EFEITO!$AA$467</f>
        <v>0</v>
      </c>
      <c r="P467" s="19"/>
      <c r="Q467" s="19"/>
      <c r="R467" s="19"/>
      <c r="S467" s="19"/>
      <c r="T467" s="19"/>
      <c r="U467" s="19"/>
      <c r="V467" s="19"/>
      <c r="W467" s="19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84" t="s">
        <v>21</v>
      </c>
      <c r="B468" s="84" t="s">
        <v>22</v>
      </c>
      <c r="C468" s="84" t="s">
        <v>23</v>
      </c>
      <c r="D468" s="84" t="s">
        <v>24</v>
      </c>
      <c r="E468" s="84" t="s">
        <v>31</v>
      </c>
      <c r="F468" s="84" t="s">
        <v>25</v>
      </c>
      <c r="G468" s="84" t="s">
        <v>25</v>
      </c>
      <c r="H468" s="84" t="s">
        <v>25</v>
      </c>
      <c r="I468" s="90">
        <v>44440</v>
      </c>
      <c r="J468" s="91">
        <f>EFEITO!$J$468*EFEITO!$Y$386</f>
        <v>0</v>
      </c>
      <c r="K468" s="91">
        <f ca="1">EFEITO!$L$468*EFEITO!$Z$466</f>
        <v>1418.3309966955255</v>
      </c>
      <c r="L468" s="91">
        <f>EFEITO!$N$468*EFEITO!$AA$466</f>
        <v>1682.5388997732975</v>
      </c>
      <c r="M468" s="91">
        <f>$J$468-EFEITO!$K$468*EFEITO!$Y$468</f>
        <v>0</v>
      </c>
      <c r="N468" s="91">
        <f ca="1">$K$468-EFEITO!$M$468*EFEITO!$Z$468</f>
        <v>0</v>
      </c>
      <c r="O468" s="91">
        <f>$L$468-EFEITO!$O$468*EFEITO!$AA$468</f>
        <v>0</v>
      </c>
      <c r="P468" s="19"/>
      <c r="Q468" s="19"/>
      <c r="R468" s="19"/>
      <c r="S468" s="19"/>
      <c r="T468" s="19"/>
      <c r="U468" s="19"/>
      <c r="V468" s="19"/>
      <c r="W468" s="19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84" t="s">
        <v>21</v>
      </c>
      <c r="B469" s="84" t="s">
        <v>22</v>
      </c>
      <c r="C469" s="84" t="s">
        <v>23</v>
      </c>
      <c r="D469" s="84" t="s">
        <v>24</v>
      </c>
      <c r="E469" s="84" t="s">
        <v>31</v>
      </c>
      <c r="F469" s="84" t="s">
        <v>25</v>
      </c>
      <c r="G469" s="84" t="s">
        <v>25</v>
      </c>
      <c r="H469" s="84" t="s">
        <v>25</v>
      </c>
      <c r="I469" s="90">
        <v>44470</v>
      </c>
      <c r="J469" s="91">
        <f>EFEITO!$J$469*EFEITO!$Y$386</f>
        <v>0</v>
      </c>
      <c r="K469" s="91">
        <f ca="1">EFEITO!$L$469*EFEITO!$Z$466</f>
        <v>1147.0437217358635</v>
      </c>
      <c r="L469" s="91">
        <f>EFEITO!$N$469*EFEITO!$AA$466</f>
        <v>1360.716000748612</v>
      </c>
      <c r="M469" s="91">
        <f>$J$469-EFEITO!$K$469*EFEITO!$Y$469</f>
        <v>0</v>
      </c>
      <c r="N469" s="91">
        <f ca="1">$K$469-EFEITO!$M$469*EFEITO!$Z$469</f>
        <v>0</v>
      </c>
      <c r="O469" s="91">
        <f>$L$469-EFEITO!$O$469*EFEITO!$AA$469</f>
        <v>0</v>
      </c>
      <c r="P469" s="19"/>
      <c r="Q469" s="19"/>
      <c r="R469" s="19"/>
      <c r="S469" s="19"/>
      <c r="T469" s="19"/>
      <c r="U469" s="19"/>
      <c r="V469" s="19"/>
      <c r="W469" s="19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84" t="s">
        <v>21</v>
      </c>
      <c r="B470" s="84" t="s">
        <v>22</v>
      </c>
      <c r="C470" s="84" t="s">
        <v>23</v>
      </c>
      <c r="D470" s="84" t="s">
        <v>24</v>
      </c>
      <c r="E470" s="84" t="s">
        <v>31</v>
      </c>
      <c r="F470" s="84" t="s">
        <v>25</v>
      </c>
      <c r="G470" s="84" t="s">
        <v>25</v>
      </c>
      <c r="H470" s="84" t="s">
        <v>25</v>
      </c>
      <c r="I470" s="90">
        <v>44501</v>
      </c>
      <c r="J470" s="91">
        <f>EFEITO!$J$470*EFEITO!$Y$386</f>
        <v>0</v>
      </c>
      <c r="K470" s="91">
        <f ca="1">EFEITO!$L$470*EFEITO!$Z$466</f>
        <v>1936.5673224111986</v>
      </c>
      <c r="L470" s="91">
        <f>EFEITO!$N$470*EFEITO!$AA$466</f>
        <v>2297.3127285366181</v>
      </c>
      <c r="M470" s="91">
        <f>$J$470-EFEITO!$K$470*EFEITO!$Y$470</f>
        <v>0</v>
      </c>
      <c r="N470" s="91">
        <f ca="1">$K$470-EFEITO!$M$470*EFEITO!$Z$470</f>
        <v>0</v>
      </c>
      <c r="O470" s="91">
        <f>$L$470-EFEITO!$O$470*EFEITO!$AA$470</f>
        <v>0</v>
      </c>
      <c r="P470" s="19"/>
      <c r="Q470" s="19"/>
      <c r="R470" s="19"/>
      <c r="S470" s="19"/>
      <c r="T470" s="19"/>
      <c r="U470" s="19"/>
      <c r="V470" s="19"/>
      <c r="W470" s="19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84" t="s">
        <v>21</v>
      </c>
      <c r="B471" s="84" t="s">
        <v>22</v>
      </c>
      <c r="C471" s="84" t="s">
        <v>23</v>
      </c>
      <c r="D471" s="84" t="s">
        <v>24</v>
      </c>
      <c r="E471" s="84" t="s">
        <v>31</v>
      </c>
      <c r="F471" s="84" t="s">
        <v>25</v>
      </c>
      <c r="G471" s="84" t="s">
        <v>25</v>
      </c>
      <c r="H471" s="84" t="s">
        <v>25</v>
      </c>
      <c r="I471" s="90">
        <v>44531</v>
      </c>
      <c r="J471" s="91">
        <f>EFEITO!$J$471*EFEITO!$Y$386</f>
        <v>0</v>
      </c>
      <c r="K471" s="91">
        <f ca="1">EFEITO!$L$471*EFEITO!$Z$466</f>
        <v>2571.4592744823021</v>
      </c>
      <c r="L471" s="91">
        <f>EFEITO!$N$471*EFEITO!$AA$466</f>
        <v>3050.4728928434224</v>
      </c>
      <c r="M471" s="91">
        <f>$J$471-EFEITO!$K$471*EFEITO!$Y$471</f>
        <v>0</v>
      </c>
      <c r="N471" s="91">
        <f ca="1">$K$471-EFEITO!$M$471*EFEITO!$Z$471</f>
        <v>0</v>
      </c>
      <c r="O471" s="91">
        <f>$L$471-EFEITO!$O$471*EFEITO!$AA$471</f>
        <v>0</v>
      </c>
      <c r="P471" s="19"/>
      <c r="Q471" s="19"/>
      <c r="R471" s="19"/>
      <c r="S471" s="19"/>
      <c r="T471" s="19"/>
      <c r="U471" s="19"/>
      <c r="V471" s="19"/>
      <c r="W471" s="19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84" t="s">
        <v>21</v>
      </c>
      <c r="B472" s="84" t="s">
        <v>22</v>
      </c>
      <c r="C472" s="84" t="s">
        <v>23</v>
      </c>
      <c r="D472" s="84" t="s">
        <v>24</v>
      </c>
      <c r="E472" s="84" t="s">
        <v>31</v>
      </c>
      <c r="F472" s="84" t="s">
        <v>25</v>
      </c>
      <c r="G472" s="84" t="s">
        <v>25</v>
      </c>
      <c r="H472" s="84" t="s">
        <v>25</v>
      </c>
      <c r="I472" s="90">
        <v>44562</v>
      </c>
      <c r="J472" s="91">
        <f>EFEITO!$J$472*EFEITO!$Y$386</f>
        <v>0</v>
      </c>
      <c r="K472" s="91">
        <f ca="1">EFEITO!$L$472*EFEITO!$Z$466</f>
        <v>4788.9652366235759</v>
      </c>
      <c r="L472" s="91">
        <f>EFEITO!$N$472*EFEITO!$AA$466</f>
        <v>5681.0577496043661</v>
      </c>
      <c r="M472" s="91">
        <f>$J$472-EFEITO!$K$472*EFEITO!$Y$472</f>
        <v>0</v>
      </c>
      <c r="N472" s="91">
        <f ca="1">$K$472-EFEITO!$M$472*EFEITO!$Z$472</f>
        <v>0</v>
      </c>
      <c r="O472" s="91">
        <f>$L$472-EFEITO!$O$472*EFEITO!$AA$472</f>
        <v>0</v>
      </c>
      <c r="P472" s="19"/>
      <c r="Q472" s="19"/>
      <c r="R472" s="19"/>
      <c r="S472" s="19"/>
      <c r="T472" s="19"/>
      <c r="U472" s="19"/>
      <c r="V472" s="19"/>
      <c r="W472" s="19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84" t="s">
        <v>27</v>
      </c>
      <c r="B473" s="84" t="s">
        <v>22</v>
      </c>
      <c r="C473" s="84" t="s">
        <v>23</v>
      </c>
      <c r="D473" s="84" t="s">
        <v>24</v>
      </c>
      <c r="E473" s="84" t="s">
        <v>31</v>
      </c>
      <c r="F473" s="84" t="s">
        <v>25</v>
      </c>
      <c r="G473" s="84" t="s">
        <v>25</v>
      </c>
      <c r="H473" s="84" t="s">
        <v>25</v>
      </c>
      <c r="I473" s="90">
        <v>44562</v>
      </c>
      <c r="J473" s="91">
        <f>EFEITO!$J$473*EFEITO!$Y$386</f>
        <v>0</v>
      </c>
      <c r="K473" s="91">
        <f ca="1">EFEITO!$L$473*EFEITO!$Z$466</f>
        <v>21.610664594621174</v>
      </c>
      <c r="L473" s="91">
        <f>EFEITO!$N$473*EFEITO!$AA$466</f>
        <v>25.636317555717401</v>
      </c>
      <c r="M473" s="91">
        <f>$J$473-EFEITO!$K$473*EFEITO!$Y$473</f>
        <v>0</v>
      </c>
      <c r="N473" s="91">
        <f ca="1">$K$473-EFEITO!$M$473*EFEITO!$Z$473</f>
        <v>0</v>
      </c>
      <c r="O473" s="91">
        <f>$L$473-EFEITO!$O$473*EFEITO!$AA$473</f>
        <v>0</v>
      </c>
      <c r="P473" s="19"/>
      <c r="Q473" s="19"/>
      <c r="R473" s="19"/>
      <c r="S473" s="19"/>
      <c r="T473" s="19"/>
      <c r="U473" s="19"/>
      <c r="V473" s="19"/>
      <c r="W473" s="19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84" t="s">
        <v>21</v>
      </c>
      <c r="B474" s="84" t="s">
        <v>22</v>
      </c>
      <c r="C474" s="84" t="s">
        <v>23</v>
      </c>
      <c r="D474" s="84" t="s">
        <v>24</v>
      </c>
      <c r="E474" s="84" t="s">
        <v>31</v>
      </c>
      <c r="F474" s="84" t="s">
        <v>25</v>
      </c>
      <c r="G474" s="84" t="s">
        <v>25</v>
      </c>
      <c r="H474" s="84" t="s">
        <v>25</v>
      </c>
      <c r="I474" s="90">
        <v>44593</v>
      </c>
      <c r="J474" s="91">
        <f>EFEITO!$J$474*EFEITO!$Y$386</f>
        <v>0</v>
      </c>
      <c r="K474" s="91">
        <f ca="1">EFEITO!$L$474*EFEITO!$Z$466</f>
        <v>3389.9369694688767</v>
      </c>
      <c r="L474" s="91">
        <f>EFEITO!$N$474*EFEITO!$AA$466</f>
        <v>4021.4173082303505</v>
      </c>
      <c r="M474" s="91">
        <f>$J$474-EFEITO!$K$474*EFEITO!$Y$474</f>
        <v>0</v>
      </c>
      <c r="N474" s="91">
        <f ca="1">$K$474-EFEITO!$M$474*EFEITO!$Z$474</f>
        <v>0</v>
      </c>
      <c r="O474" s="91">
        <f>$L$474-EFEITO!$O$474*EFEITO!$AA$474</f>
        <v>0</v>
      </c>
      <c r="P474" s="19"/>
      <c r="Q474" s="19"/>
      <c r="R474" s="19"/>
      <c r="S474" s="19"/>
      <c r="T474" s="19"/>
      <c r="U474" s="19"/>
      <c r="V474" s="19"/>
      <c r="W474" s="19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84" t="s">
        <v>21</v>
      </c>
      <c r="B475" s="84" t="s">
        <v>22</v>
      </c>
      <c r="C475" s="84" t="s">
        <v>23</v>
      </c>
      <c r="D475" s="84" t="s">
        <v>24</v>
      </c>
      <c r="E475" s="84" t="s">
        <v>31</v>
      </c>
      <c r="F475" s="84" t="s">
        <v>25</v>
      </c>
      <c r="G475" s="84" t="s">
        <v>25</v>
      </c>
      <c r="H475" s="84" t="s">
        <v>25</v>
      </c>
      <c r="I475" s="90">
        <v>44621</v>
      </c>
      <c r="J475" s="91">
        <f>EFEITO!$J$475*EFEITO!$Y$386</f>
        <v>0</v>
      </c>
      <c r="K475" s="91">
        <f ca="1">EFEITO!$L$475*EFEITO!$Z$466</f>
        <v>5119.6293861490412</v>
      </c>
      <c r="L475" s="91">
        <f>EFEITO!$N$475*EFEITO!$AA$466</f>
        <v>6073.3182978355371</v>
      </c>
      <c r="M475" s="91">
        <f>$J$475-EFEITO!$K$475*EFEITO!$Y$475</f>
        <v>0</v>
      </c>
      <c r="N475" s="91">
        <f ca="1">$K$475-EFEITO!$M$475*EFEITO!$Z$475</f>
        <v>0</v>
      </c>
      <c r="O475" s="91">
        <f>$L$475-EFEITO!$O$475*EFEITO!$AA$475</f>
        <v>0</v>
      </c>
      <c r="P475" s="19"/>
      <c r="Q475" s="19"/>
      <c r="R475" s="19"/>
      <c r="S475" s="19"/>
      <c r="T475" s="19"/>
      <c r="U475" s="19"/>
      <c r="V475" s="19"/>
      <c r="W475" s="19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84" t="s">
        <v>21</v>
      </c>
      <c r="B476" s="84" t="s">
        <v>22</v>
      </c>
      <c r="C476" s="84" t="s">
        <v>23</v>
      </c>
      <c r="D476" s="84" t="s">
        <v>24</v>
      </c>
      <c r="E476" s="84" t="s">
        <v>31</v>
      </c>
      <c r="F476" s="84" t="s">
        <v>25</v>
      </c>
      <c r="G476" s="84" t="s">
        <v>25</v>
      </c>
      <c r="H476" s="84" t="s">
        <v>25</v>
      </c>
      <c r="I476" s="90">
        <v>44652</v>
      </c>
      <c r="J476" s="91">
        <f>EFEITO!$J$476*EFEITO!$Y$386</f>
        <v>0</v>
      </c>
      <c r="K476" s="91">
        <f ca="1">EFEITO!$L$476*EFEITO!$Z$466</f>
        <v>2131.2731160404064</v>
      </c>
      <c r="L476" s="91">
        <f>EFEITO!$N$476*EFEITO!$AA$466</f>
        <v>2528.288482825023</v>
      </c>
      <c r="M476" s="91">
        <f>$J$476-EFEITO!$K$476*EFEITO!$Y$476</f>
        <v>0</v>
      </c>
      <c r="N476" s="91">
        <f ca="1">$K$476-EFEITO!$M$476*EFEITO!$Z$476</f>
        <v>0</v>
      </c>
      <c r="O476" s="91">
        <f>$L$476-EFEITO!$O$476*EFEITO!$AA$476</f>
        <v>0</v>
      </c>
      <c r="P476" s="19"/>
      <c r="Q476" s="19"/>
      <c r="R476" s="19"/>
      <c r="S476" s="19"/>
      <c r="T476" s="19"/>
      <c r="U476" s="19"/>
      <c r="V476" s="19"/>
      <c r="W476" s="19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84" t="s">
        <v>21</v>
      </c>
      <c r="B477" s="84" t="s">
        <v>22</v>
      </c>
      <c r="C477" s="84" t="s">
        <v>23</v>
      </c>
      <c r="D477" s="84" t="s">
        <v>24</v>
      </c>
      <c r="E477" s="84" t="s">
        <v>31</v>
      </c>
      <c r="F477" s="84" t="s">
        <v>25</v>
      </c>
      <c r="G477" s="84" t="s">
        <v>25</v>
      </c>
      <c r="H477" s="84" t="s">
        <v>25</v>
      </c>
      <c r="I477" s="90">
        <v>44682</v>
      </c>
      <c r="J477" s="91">
        <f>EFEITO!$J$477*EFEITO!$Y$386</f>
        <v>0</v>
      </c>
      <c r="K477" s="91">
        <f ca="1">EFEITO!$L$477*EFEITO!$Z$466</f>
        <v>2466.1335111182261</v>
      </c>
      <c r="L477" s="91">
        <f>EFEITO!$N$477*EFEITO!$AA$466</f>
        <v>2925.5269567951686</v>
      </c>
      <c r="M477" s="91">
        <f>$J$477-EFEITO!$K$477*EFEITO!$Y$477</f>
        <v>0</v>
      </c>
      <c r="N477" s="91">
        <f ca="1">$K$477-EFEITO!$M$477*EFEITO!$Z$477</f>
        <v>0</v>
      </c>
      <c r="O477" s="91">
        <f>$L$477-EFEITO!$O$477*EFEITO!$AA$477</f>
        <v>0</v>
      </c>
      <c r="P477" s="19"/>
      <c r="Q477" s="19"/>
      <c r="R477" s="19"/>
      <c r="S477" s="19"/>
      <c r="T477" s="19"/>
      <c r="U477" s="19"/>
      <c r="V477" s="19"/>
      <c r="W477" s="19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84" t="s">
        <v>55</v>
      </c>
      <c r="B478" s="84" t="s">
        <v>22</v>
      </c>
      <c r="C478" s="84" t="s">
        <v>23</v>
      </c>
      <c r="D478" s="84" t="s">
        <v>24</v>
      </c>
      <c r="E478" s="84" t="s">
        <v>31</v>
      </c>
      <c r="F478" s="84" t="s">
        <v>25</v>
      </c>
      <c r="G478" s="84" t="s">
        <v>25</v>
      </c>
      <c r="H478" s="84" t="s">
        <v>25</v>
      </c>
      <c r="I478" s="90">
        <v>44713</v>
      </c>
      <c r="J478" s="91">
        <f>EFEITO!$J$478*EFEITO!$Y$386</f>
        <v>0</v>
      </c>
      <c r="K478" s="91">
        <f ca="1">EFEITO!$L$478*EFEITO!$Z$466</f>
        <v>2466.1335111182261</v>
      </c>
      <c r="L478" s="91">
        <f>EFEITO!$N$478*EFEITO!$AA$466</f>
        <v>2925.5269567951686</v>
      </c>
      <c r="M478" s="91">
        <f>$J$478-EFEITO!$K$478*EFEITO!$Y$478</f>
        <v>0</v>
      </c>
      <c r="N478" s="91">
        <f ca="1">$K$478-EFEITO!$M$478*EFEITO!$Z$478</f>
        <v>0</v>
      </c>
      <c r="O478" s="91">
        <f>$L$478-EFEITO!$O$478*EFEITO!$AA$478</f>
        <v>0</v>
      </c>
      <c r="P478" s="19"/>
      <c r="Q478" s="19"/>
      <c r="R478" s="19"/>
      <c r="S478" s="19"/>
      <c r="T478" s="19"/>
      <c r="U478" s="19"/>
      <c r="V478" s="19"/>
      <c r="W478" s="19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84" t="s">
        <v>21</v>
      </c>
      <c r="B479" s="84" t="s">
        <v>42</v>
      </c>
      <c r="C479" s="84" t="s">
        <v>23</v>
      </c>
      <c r="D479" s="84" t="s">
        <v>43</v>
      </c>
      <c r="E479" s="84" t="s">
        <v>52</v>
      </c>
      <c r="F479" s="84" t="s">
        <v>53</v>
      </c>
      <c r="G479" s="84" t="s">
        <v>25</v>
      </c>
      <c r="H479" s="84" t="s">
        <v>25</v>
      </c>
      <c r="I479" s="90">
        <v>44378</v>
      </c>
      <c r="J479" s="91">
        <f>EFEITO!$J$479*EFEITO!$Y$386</f>
        <v>0</v>
      </c>
      <c r="K479" s="91">
        <f ca="1">EFEITO!$L$479*EFEITO!$Z$386</f>
        <v>31.391386533817798</v>
      </c>
      <c r="L479" s="91">
        <f>EFEITO!$N$479*EFEITO!$AA$386</f>
        <v>24.889628694871266</v>
      </c>
      <c r="M479" s="91">
        <f>$J$479-EFEITO!$K$479*EFEITO!$Y$479</f>
        <v>0</v>
      </c>
      <c r="N479" s="91">
        <f ca="1">$K$479-EFEITO!$M$479*EFEITO!$Z$479</f>
        <v>1.8834831920290682</v>
      </c>
      <c r="O479" s="91">
        <f>$L$479-EFEITO!$O$479*EFEITO!$AA$479</f>
        <v>1.4933777216922763</v>
      </c>
      <c r="P479" s="19"/>
      <c r="Q479" s="19"/>
      <c r="R479" s="19"/>
      <c r="S479" s="19"/>
      <c r="T479" s="19"/>
      <c r="U479" s="19"/>
      <c r="V479" s="19"/>
      <c r="W479" s="19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84" t="s">
        <v>21</v>
      </c>
      <c r="B480" s="84" t="s">
        <v>42</v>
      </c>
      <c r="C480" s="84" t="s">
        <v>23</v>
      </c>
      <c r="D480" s="84" t="s">
        <v>43</v>
      </c>
      <c r="E480" s="84" t="s">
        <v>52</v>
      </c>
      <c r="F480" s="84" t="s">
        <v>53</v>
      </c>
      <c r="G480" s="84" t="s">
        <v>25</v>
      </c>
      <c r="H480" s="84" t="s">
        <v>25</v>
      </c>
      <c r="I480" s="90">
        <v>44409</v>
      </c>
      <c r="J480" s="91">
        <f>EFEITO!$J$480*EFEITO!$Y$386</f>
        <v>0</v>
      </c>
      <c r="K480" s="91">
        <f ca="1">EFEITO!$L$480*EFEITO!$Z$386</f>
        <v>31.391386533817798</v>
      </c>
      <c r="L480" s="91">
        <f>EFEITO!$N$480*EFEITO!$AA$386</f>
        <v>24.889628694871266</v>
      </c>
      <c r="M480" s="91">
        <f>$J$480-EFEITO!$K$480*EFEITO!$Y$480</f>
        <v>0</v>
      </c>
      <c r="N480" s="91">
        <f ca="1">$K$480-EFEITO!$M$480*EFEITO!$Z$480</f>
        <v>1.8834831920290682</v>
      </c>
      <c r="O480" s="91">
        <f>$L$480-EFEITO!$O$480*EFEITO!$AA$480</f>
        <v>1.4933777216922763</v>
      </c>
      <c r="P480" s="19"/>
      <c r="Q480" s="19"/>
      <c r="R480" s="19"/>
      <c r="S480" s="19"/>
      <c r="T480" s="19"/>
      <c r="U480" s="19"/>
      <c r="V480" s="19"/>
      <c r="W480" s="19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84" t="s">
        <v>21</v>
      </c>
      <c r="B481" s="84" t="s">
        <v>42</v>
      </c>
      <c r="C481" s="84" t="s">
        <v>23</v>
      </c>
      <c r="D481" s="84" t="s">
        <v>43</v>
      </c>
      <c r="E481" s="84" t="s">
        <v>52</v>
      </c>
      <c r="F481" s="84" t="s">
        <v>53</v>
      </c>
      <c r="G481" s="84" t="s">
        <v>25</v>
      </c>
      <c r="H481" s="84" t="s">
        <v>25</v>
      </c>
      <c r="I481" s="90">
        <v>44440</v>
      </c>
      <c r="J481" s="91">
        <f>EFEITO!$J$481*EFEITO!$Y$386</f>
        <v>0</v>
      </c>
      <c r="K481" s="91">
        <f ca="1">EFEITO!$L$481*EFEITO!$Z$386</f>
        <v>18.520918054952499</v>
      </c>
      <c r="L481" s="91">
        <f>EFEITO!$N$481*EFEITO!$AA$386</f>
        <v>14.684880929974046</v>
      </c>
      <c r="M481" s="91">
        <f>$J$481-EFEITO!$K$481*EFEITO!$Y$481</f>
        <v>0</v>
      </c>
      <c r="N481" s="91">
        <f ca="1">$K$481-EFEITO!$M$481*EFEITO!$Z$481</f>
        <v>1.1112550832971522</v>
      </c>
      <c r="O481" s="91">
        <f>$L$481-EFEITO!$O$481*EFEITO!$AA$481</f>
        <v>0.88109285579844432</v>
      </c>
      <c r="P481" s="19"/>
      <c r="Q481" s="19"/>
      <c r="R481" s="19"/>
      <c r="S481" s="19"/>
      <c r="T481" s="19"/>
      <c r="U481" s="19"/>
      <c r="V481" s="19"/>
      <c r="W481" s="19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84" t="s">
        <v>21</v>
      </c>
      <c r="B482" s="84" t="s">
        <v>42</v>
      </c>
      <c r="C482" s="84" t="s">
        <v>23</v>
      </c>
      <c r="D482" s="84" t="s">
        <v>43</v>
      </c>
      <c r="E482" s="84" t="s">
        <v>52</v>
      </c>
      <c r="F482" s="84" t="s">
        <v>53</v>
      </c>
      <c r="G482" s="84" t="s">
        <v>25</v>
      </c>
      <c r="H482" s="84" t="s">
        <v>25</v>
      </c>
      <c r="I482" s="90">
        <v>44470</v>
      </c>
      <c r="J482" s="91">
        <f>EFEITO!$J$482*EFEITO!$Y$386</f>
        <v>0</v>
      </c>
      <c r="K482" s="91">
        <f ca="1">EFEITO!$L$482*EFEITO!$Z$386</f>
        <v>18.520918054952499</v>
      </c>
      <c r="L482" s="91">
        <f>EFEITO!$N$482*EFEITO!$AA$386</f>
        <v>14.684880929974046</v>
      </c>
      <c r="M482" s="91">
        <f>$J$482-EFEITO!$K$482*EFEITO!$Y$482</f>
        <v>0</v>
      </c>
      <c r="N482" s="91">
        <f ca="1">$K$482-EFEITO!$M$482*EFEITO!$Z$482</f>
        <v>1.1112550832971522</v>
      </c>
      <c r="O482" s="91">
        <f>$L$482-EFEITO!$O$482*EFEITO!$AA$482</f>
        <v>0.88109285579844432</v>
      </c>
      <c r="P482" s="19"/>
      <c r="Q482" s="19"/>
      <c r="R482" s="19"/>
      <c r="S482" s="19"/>
      <c r="T482" s="19"/>
      <c r="U482" s="19"/>
      <c r="V482" s="19"/>
      <c r="W482" s="19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84" t="s">
        <v>21</v>
      </c>
      <c r="B483" s="84" t="s">
        <v>42</v>
      </c>
      <c r="C483" s="84" t="s">
        <v>23</v>
      </c>
      <c r="D483" s="84" t="s">
        <v>43</v>
      </c>
      <c r="E483" s="84" t="s">
        <v>52</v>
      </c>
      <c r="F483" s="84" t="s">
        <v>53</v>
      </c>
      <c r="G483" s="84" t="s">
        <v>25</v>
      </c>
      <c r="H483" s="84" t="s">
        <v>25</v>
      </c>
      <c r="I483" s="90">
        <v>44501</v>
      </c>
      <c r="J483" s="91">
        <f>EFEITO!$J$483*EFEITO!$Y$386</f>
        <v>0</v>
      </c>
      <c r="K483" s="91">
        <f ca="1">EFEITO!$L$483*EFEITO!$Z$386</f>
        <v>517.64396394265543</v>
      </c>
      <c r="L483" s="91">
        <f>EFEITO!$N$483*EFEITO!$AA$386</f>
        <v>410.42997717842718</v>
      </c>
      <c r="M483" s="91">
        <f>$J$483-EFEITO!$K$483*EFEITO!$Y$483</f>
        <v>0</v>
      </c>
      <c r="N483" s="91">
        <f ca="1">$K$483-EFEITO!$M$483*EFEITO!$Z$483</f>
        <v>31.058637836559285</v>
      </c>
      <c r="O483" s="91">
        <f>$L$483-EFEITO!$O$483*EFEITO!$AA$483</f>
        <v>24.625798630705674</v>
      </c>
      <c r="P483" s="19"/>
      <c r="Q483" s="19"/>
      <c r="R483" s="19"/>
      <c r="S483" s="19"/>
      <c r="T483" s="19"/>
      <c r="U483" s="19"/>
      <c r="V483" s="19"/>
      <c r="W483" s="19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84" t="s">
        <v>21</v>
      </c>
      <c r="B484" s="84" t="s">
        <v>42</v>
      </c>
      <c r="C484" s="84" t="s">
        <v>23</v>
      </c>
      <c r="D484" s="84" t="s">
        <v>43</v>
      </c>
      <c r="E484" s="84" t="s">
        <v>52</v>
      </c>
      <c r="F484" s="84" t="s">
        <v>53</v>
      </c>
      <c r="G484" s="84" t="s">
        <v>25</v>
      </c>
      <c r="H484" s="84" t="s">
        <v>25</v>
      </c>
      <c r="I484" s="90">
        <v>44531</v>
      </c>
      <c r="J484" s="91">
        <f>EFEITO!$J$484*EFEITO!$Y$386</f>
        <v>0</v>
      </c>
      <c r="K484" s="91">
        <f ca="1">EFEITO!$L$484*EFEITO!$Z$386</f>
        <v>483.42735262079407</v>
      </c>
      <c r="L484" s="91">
        <f>EFEITO!$N$484*EFEITO!$AA$386</f>
        <v>383.30028190101751</v>
      </c>
      <c r="M484" s="91">
        <f>$J$484-EFEITO!$K$484*EFEITO!$Y$484</f>
        <v>0</v>
      </c>
      <c r="N484" s="91">
        <f ca="1">$K$484-EFEITO!$M$484*EFEITO!$Z$484</f>
        <v>29.00564115724768</v>
      </c>
      <c r="O484" s="91">
        <f>$L$484-EFEITO!$O$484*EFEITO!$AA$484</f>
        <v>22.998016914061111</v>
      </c>
      <c r="P484" s="19"/>
      <c r="Q484" s="19"/>
      <c r="R484" s="19"/>
      <c r="S484" s="19"/>
      <c r="T484" s="19"/>
      <c r="U484" s="19"/>
      <c r="V484" s="19"/>
      <c r="W484" s="19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84" t="s">
        <v>21</v>
      </c>
      <c r="B485" s="84" t="s">
        <v>42</v>
      </c>
      <c r="C485" s="84" t="s">
        <v>23</v>
      </c>
      <c r="D485" s="84" t="s">
        <v>43</v>
      </c>
      <c r="E485" s="84" t="s">
        <v>52</v>
      </c>
      <c r="F485" s="84" t="s">
        <v>53</v>
      </c>
      <c r="G485" s="84" t="s">
        <v>25</v>
      </c>
      <c r="H485" s="84" t="s">
        <v>25</v>
      </c>
      <c r="I485" s="90">
        <v>44562</v>
      </c>
      <c r="J485" s="91">
        <f>EFEITO!$J$485*EFEITO!$Y$386</f>
        <v>0</v>
      </c>
      <c r="K485" s="91">
        <f ca="1">EFEITO!$L$485*EFEITO!$Z$386</f>
        <v>635.98949117514849</v>
      </c>
      <c r="L485" s="91">
        <f>EFEITO!$N$485*EFEITO!$AA$386</f>
        <v>504.2638773580918</v>
      </c>
      <c r="M485" s="91">
        <f>$J$485-EFEITO!$K$485*EFEITO!$Y$485</f>
        <v>0</v>
      </c>
      <c r="N485" s="91">
        <f ca="1">$K$485-EFEITO!$M$485*EFEITO!$Z$485</f>
        <v>38.159369470508977</v>
      </c>
      <c r="O485" s="91">
        <f>$L$485-EFEITO!$O$485*EFEITO!$AA$485</f>
        <v>30.25583264148554</v>
      </c>
      <c r="P485" s="19"/>
      <c r="Q485" s="19"/>
      <c r="R485" s="19"/>
      <c r="S485" s="19"/>
      <c r="T485" s="19"/>
      <c r="U485" s="19"/>
      <c r="V485" s="19"/>
      <c r="W485" s="19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84" t="s">
        <v>21</v>
      </c>
      <c r="B486" s="84" t="s">
        <v>42</v>
      </c>
      <c r="C486" s="84" t="s">
        <v>23</v>
      </c>
      <c r="D486" s="84" t="s">
        <v>43</v>
      </c>
      <c r="E486" s="84" t="s">
        <v>52</v>
      </c>
      <c r="F486" s="84" t="s">
        <v>53</v>
      </c>
      <c r="G486" s="84" t="s">
        <v>25</v>
      </c>
      <c r="H486" s="84" t="s">
        <v>25</v>
      </c>
      <c r="I486" s="90">
        <v>44593</v>
      </c>
      <c r="J486" s="91">
        <f>EFEITO!$J$486*EFEITO!$Y$386</f>
        <v>0</v>
      </c>
      <c r="K486" s="91">
        <f ca="1">EFEITO!$L$486*EFEITO!$Z$386</f>
        <v>78.792380199882672</v>
      </c>
      <c r="L486" s="91">
        <f>EFEITO!$N$486*EFEITO!$AA$386</f>
        <v>62.472968024126878</v>
      </c>
      <c r="M486" s="91">
        <f>$J$486-EFEITO!$K$486*EFEITO!$Y$486</f>
        <v>0</v>
      </c>
      <c r="N486" s="91">
        <f ca="1">$K$486-EFEITO!$M$486*EFEITO!$Z$486</f>
        <v>4.7275428119929614</v>
      </c>
      <c r="O486" s="91">
        <f>$L$486-EFEITO!$O$486*EFEITO!$AA$486</f>
        <v>3.7483780814476191</v>
      </c>
      <c r="P486" s="19"/>
      <c r="Q486" s="19"/>
      <c r="R486" s="19"/>
      <c r="S486" s="19"/>
      <c r="T486" s="19"/>
      <c r="U486" s="19"/>
      <c r="V486" s="19"/>
      <c r="W486" s="19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84" t="s">
        <v>21</v>
      </c>
      <c r="B487" s="84" t="s">
        <v>42</v>
      </c>
      <c r="C487" s="84" t="s">
        <v>23</v>
      </c>
      <c r="D487" s="84" t="s">
        <v>43</v>
      </c>
      <c r="E487" s="84" t="s">
        <v>52</v>
      </c>
      <c r="F487" s="84" t="s">
        <v>53</v>
      </c>
      <c r="G487" s="84" t="s">
        <v>25</v>
      </c>
      <c r="H487" s="84" t="s">
        <v>25</v>
      </c>
      <c r="I487" s="90">
        <v>44621</v>
      </c>
      <c r="J487" s="91">
        <f>EFEITO!$J$487*EFEITO!$Y$386</f>
        <v>0</v>
      </c>
      <c r="K487" s="91">
        <f ca="1">EFEITO!$L$487*EFEITO!$Z$386</f>
        <v>31.391386533817798</v>
      </c>
      <c r="L487" s="91">
        <f>EFEITO!$N$487*EFEITO!$AA$386</f>
        <v>24.889628694871266</v>
      </c>
      <c r="M487" s="91">
        <f>$J$487-EFEITO!$K$487*EFEITO!$Y$487</f>
        <v>0</v>
      </c>
      <c r="N487" s="91">
        <f ca="1">$K$487-EFEITO!$M$487*EFEITO!$Z$487</f>
        <v>1.8834831920290682</v>
      </c>
      <c r="O487" s="91">
        <f>$L$487-EFEITO!$O$487*EFEITO!$AA$487</f>
        <v>1.4933777216922763</v>
      </c>
      <c r="P487" s="19"/>
      <c r="Q487" s="19"/>
      <c r="R487" s="19"/>
      <c r="S487" s="19"/>
      <c r="T487" s="19"/>
      <c r="U487" s="19"/>
      <c r="V487" s="19"/>
      <c r="W487" s="19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84" t="s">
        <v>21</v>
      </c>
      <c r="B488" s="84" t="s">
        <v>42</v>
      </c>
      <c r="C488" s="84" t="s">
        <v>23</v>
      </c>
      <c r="D488" s="84" t="s">
        <v>43</v>
      </c>
      <c r="E488" s="84" t="s">
        <v>52</v>
      </c>
      <c r="F488" s="84" t="s">
        <v>53</v>
      </c>
      <c r="G488" s="84" t="s">
        <v>25</v>
      </c>
      <c r="H488" s="84" t="s">
        <v>25</v>
      </c>
      <c r="I488" s="90">
        <v>44652</v>
      </c>
      <c r="J488" s="91">
        <f>EFEITO!$J$488*EFEITO!$Y$386</f>
        <v>0</v>
      </c>
      <c r="K488" s="91">
        <f ca="1">EFEITO!$L$488*EFEITO!$Z$386</f>
        <v>31.391386533817798</v>
      </c>
      <c r="L488" s="91">
        <f>EFEITO!$N$488*EFEITO!$AA$386</f>
        <v>24.889628694871266</v>
      </c>
      <c r="M488" s="91">
        <f>$J$488-EFEITO!$K$488*EFEITO!$Y$488</f>
        <v>0</v>
      </c>
      <c r="N488" s="91">
        <f ca="1">$K$488-EFEITO!$M$488*EFEITO!$Z$488</f>
        <v>1.8834831920290682</v>
      </c>
      <c r="O488" s="91">
        <f>$L$488-EFEITO!$O$488*EFEITO!$AA$488</f>
        <v>1.4933777216922763</v>
      </c>
      <c r="P488" s="19"/>
      <c r="Q488" s="19"/>
      <c r="R488" s="19"/>
      <c r="S488" s="19"/>
      <c r="T488" s="19"/>
      <c r="U488" s="19"/>
      <c r="V488" s="19"/>
      <c r="W488" s="19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84" t="s">
        <v>21</v>
      </c>
      <c r="B489" s="84" t="s">
        <v>42</v>
      </c>
      <c r="C489" s="84" t="s">
        <v>23</v>
      </c>
      <c r="D489" s="84" t="s">
        <v>43</v>
      </c>
      <c r="E489" s="84" t="s">
        <v>52</v>
      </c>
      <c r="F489" s="84" t="s">
        <v>53</v>
      </c>
      <c r="G489" s="84" t="s">
        <v>25</v>
      </c>
      <c r="H489" s="84" t="s">
        <v>25</v>
      </c>
      <c r="I489" s="90">
        <v>44682</v>
      </c>
      <c r="J489" s="91">
        <f>EFEITO!$J$489*EFEITO!$Y$386</f>
        <v>0</v>
      </c>
      <c r="K489" s="91">
        <f ca="1">EFEITO!$L$489*EFEITO!$Z$386</f>
        <v>18.520918054952499</v>
      </c>
      <c r="L489" s="91">
        <f>EFEITO!$N$489*EFEITO!$AA$386</f>
        <v>14.684880929974046</v>
      </c>
      <c r="M489" s="91">
        <f>$J$489-EFEITO!$K$489*EFEITO!$Y$489</f>
        <v>0</v>
      </c>
      <c r="N489" s="91">
        <f ca="1">$K$489-EFEITO!$M$489*EFEITO!$Z$489</f>
        <v>1.1112550832971522</v>
      </c>
      <c r="O489" s="91">
        <f>$L$489-EFEITO!$O$489*EFEITO!$AA$489</f>
        <v>0.88109285579844432</v>
      </c>
      <c r="P489" s="19"/>
      <c r="Q489" s="19"/>
      <c r="R489" s="19"/>
      <c r="S489" s="19"/>
      <c r="T489" s="19"/>
      <c r="U489" s="19"/>
      <c r="V489" s="19"/>
      <c r="W489" s="19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84" t="s">
        <v>55</v>
      </c>
      <c r="B490" s="84" t="s">
        <v>42</v>
      </c>
      <c r="C490" s="84" t="s">
        <v>23</v>
      </c>
      <c r="D490" s="84" t="s">
        <v>43</v>
      </c>
      <c r="E490" s="84" t="s">
        <v>52</v>
      </c>
      <c r="F490" s="84" t="s">
        <v>53</v>
      </c>
      <c r="G490" s="84" t="s">
        <v>25</v>
      </c>
      <c r="H490" s="84" t="s">
        <v>25</v>
      </c>
      <c r="I490" s="90">
        <v>44713</v>
      </c>
      <c r="J490" s="91">
        <f>EFEITO!$J$490*EFEITO!$Y$386</f>
        <v>0</v>
      </c>
      <c r="K490" s="91">
        <f ca="1">EFEITO!$L$490*EFEITO!$Z$386</f>
        <v>18.520918054952499</v>
      </c>
      <c r="L490" s="91">
        <f>EFEITO!$N$490*EFEITO!$AA$386</f>
        <v>14.684880929974046</v>
      </c>
      <c r="M490" s="91">
        <f>$J$490-EFEITO!$K$490*EFEITO!$Y$490</f>
        <v>0</v>
      </c>
      <c r="N490" s="91">
        <f ca="1">$K$490-EFEITO!$M$490*EFEITO!$Z$490</f>
        <v>1.1112550832971522</v>
      </c>
      <c r="O490" s="91">
        <f>$L$490-EFEITO!$O$490*EFEITO!$AA$490</f>
        <v>0.88109285579844432</v>
      </c>
      <c r="P490" s="19"/>
      <c r="Q490" s="19"/>
      <c r="R490" s="19"/>
      <c r="S490" s="19"/>
      <c r="T490" s="19"/>
      <c r="U490" s="19"/>
      <c r="V490" s="19"/>
      <c r="W490" s="19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84" t="s">
        <v>21</v>
      </c>
      <c r="B491" s="84" t="s">
        <v>42</v>
      </c>
      <c r="C491" s="84" t="s">
        <v>23</v>
      </c>
      <c r="D491" s="84" t="s">
        <v>43</v>
      </c>
      <c r="E491" s="84" t="s">
        <v>52</v>
      </c>
      <c r="F491" s="84" t="s">
        <v>54</v>
      </c>
      <c r="G491" s="84" t="s">
        <v>25</v>
      </c>
      <c r="H491" s="84" t="s">
        <v>25</v>
      </c>
      <c r="I491" s="90">
        <v>44440</v>
      </c>
      <c r="J491" s="91">
        <f>EFEITO!$J$491*EFEITO!$Y$386</f>
        <v>0</v>
      </c>
      <c r="K491" s="91">
        <f ca="1">EFEITO!$L$491*EFEITO!$Z$386</f>
        <v>12.870468478865297</v>
      </c>
      <c r="L491" s="91">
        <f>EFEITO!$N$491*EFEITO!$AA$386</f>
        <v>10.204747764897219</v>
      </c>
      <c r="M491" s="91">
        <f>$J$491-EFEITO!$K$491*EFEITO!$Y$491</f>
        <v>0</v>
      </c>
      <c r="N491" s="91">
        <f ca="1">$K$491-EFEITO!$M$491*EFEITO!$Z$491</f>
        <v>8.0311723308119447</v>
      </c>
      <c r="O491" s="91">
        <f>$L$491-EFEITO!$O$491*EFEITO!$AA$491</f>
        <v>6.367762605295864</v>
      </c>
      <c r="P491" s="19"/>
      <c r="Q491" s="19"/>
      <c r="R491" s="19"/>
      <c r="S491" s="19"/>
      <c r="T491" s="19"/>
      <c r="U491" s="19"/>
      <c r="V491" s="19"/>
      <c r="W491" s="19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84" t="s">
        <v>21</v>
      </c>
      <c r="B492" s="84" t="s">
        <v>42</v>
      </c>
      <c r="C492" s="84" t="s">
        <v>23</v>
      </c>
      <c r="D492" s="84" t="s">
        <v>43</v>
      </c>
      <c r="E492" s="84" t="s">
        <v>52</v>
      </c>
      <c r="F492" s="84" t="s">
        <v>54</v>
      </c>
      <c r="G492" s="84" t="s">
        <v>25</v>
      </c>
      <c r="H492" s="84" t="s">
        <v>25</v>
      </c>
      <c r="I492" s="90">
        <v>44470</v>
      </c>
      <c r="J492" s="91">
        <f>EFEITO!$J$492*EFEITO!$Y$386</f>
        <v>0</v>
      </c>
      <c r="K492" s="91">
        <f ca="1">EFEITO!$L$492*EFEITO!$Z$386</f>
        <v>12.870468478865297</v>
      </c>
      <c r="L492" s="91">
        <f>EFEITO!$N$492*EFEITO!$AA$386</f>
        <v>10.204747764897219</v>
      </c>
      <c r="M492" s="91">
        <f>$J$492-EFEITO!$K$492*EFEITO!$Y$492</f>
        <v>0</v>
      </c>
      <c r="N492" s="91">
        <f ca="1">$K$492-EFEITO!$M$492*EFEITO!$Z$492</f>
        <v>8.0311723308119447</v>
      </c>
      <c r="O492" s="91">
        <f>$L$492-EFEITO!$O$492*EFEITO!$AA$492</f>
        <v>6.367762605295864</v>
      </c>
      <c r="P492" s="19"/>
      <c r="Q492" s="19"/>
      <c r="R492" s="19"/>
      <c r="S492" s="19"/>
      <c r="T492" s="19"/>
      <c r="U492" s="19"/>
      <c r="V492" s="19"/>
      <c r="W492" s="19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84" t="s">
        <v>21</v>
      </c>
      <c r="B493" s="84" t="s">
        <v>42</v>
      </c>
      <c r="C493" s="84" t="s">
        <v>23</v>
      </c>
      <c r="D493" s="84" t="s">
        <v>43</v>
      </c>
      <c r="E493" s="84" t="s">
        <v>52</v>
      </c>
      <c r="F493" s="84" t="s">
        <v>54</v>
      </c>
      <c r="G493" s="84" t="s">
        <v>25</v>
      </c>
      <c r="H493" s="84" t="s">
        <v>25</v>
      </c>
      <c r="I493" s="90">
        <v>44501</v>
      </c>
      <c r="J493" s="91">
        <f>EFEITO!$J$493*EFEITO!$Y$386</f>
        <v>0</v>
      </c>
      <c r="K493" s="91">
        <f ca="1">EFEITO!$L$493*EFEITO!$Z$386</f>
        <v>373.24358588709362</v>
      </c>
      <c r="L493" s="91">
        <f>EFEITO!$N$493*EFEITO!$AA$386</f>
        <v>295.93768518201938</v>
      </c>
      <c r="M493" s="91">
        <f>$J$493-EFEITO!$K$493*EFEITO!$Y$493</f>
        <v>0</v>
      </c>
      <c r="N493" s="91">
        <f ca="1">$K$493-EFEITO!$M$493*EFEITO!$Z$493</f>
        <v>232.90399759354642</v>
      </c>
      <c r="O493" s="91">
        <f>$L$493-EFEITO!$O$493*EFEITO!$AA$493</f>
        <v>184.66511555358011</v>
      </c>
      <c r="P493" s="19"/>
      <c r="Q493" s="19"/>
      <c r="R493" s="19"/>
      <c r="S493" s="19"/>
      <c r="T493" s="19"/>
      <c r="U493" s="19"/>
      <c r="V493" s="19"/>
      <c r="W493" s="19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84" t="s">
        <v>21</v>
      </c>
      <c r="B494" s="84" t="s">
        <v>42</v>
      </c>
      <c r="C494" s="84" t="s">
        <v>23</v>
      </c>
      <c r="D494" s="84" t="s">
        <v>43</v>
      </c>
      <c r="E494" s="84" t="s">
        <v>52</v>
      </c>
      <c r="F494" s="84" t="s">
        <v>54</v>
      </c>
      <c r="G494" s="84" t="s">
        <v>25</v>
      </c>
      <c r="H494" s="84" t="s">
        <v>25</v>
      </c>
      <c r="I494" s="90">
        <v>44531</v>
      </c>
      <c r="J494" s="91">
        <f>EFEITO!$J$494*EFEITO!$Y$386</f>
        <v>0</v>
      </c>
      <c r="K494" s="91">
        <f ca="1">EFEITO!$L$494*EFEITO!$Z$386</f>
        <v>592.04155002780362</v>
      </c>
      <c r="L494" s="91">
        <f>EFEITO!$N$494*EFEITO!$AA$386</f>
        <v>469.41839718527206</v>
      </c>
      <c r="M494" s="91">
        <f>$J$494-EFEITO!$K$494*EFEITO!$Y$494</f>
        <v>0</v>
      </c>
      <c r="N494" s="91">
        <f ca="1">$K$494-EFEITO!$M$494*EFEITO!$Z$494</f>
        <v>369.43392721734949</v>
      </c>
      <c r="O494" s="91">
        <f>$L$494-EFEITO!$O$494*EFEITO!$AA$494</f>
        <v>292.91707984360977</v>
      </c>
      <c r="P494" s="19"/>
      <c r="Q494" s="19"/>
      <c r="R494" s="19"/>
      <c r="S494" s="19"/>
      <c r="T494" s="19"/>
      <c r="U494" s="19"/>
      <c r="V494" s="19"/>
      <c r="W494" s="19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84" t="s">
        <v>21</v>
      </c>
      <c r="B495" s="84" t="s">
        <v>42</v>
      </c>
      <c r="C495" s="84" t="s">
        <v>23</v>
      </c>
      <c r="D495" s="84" t="s">
        <v>43</v>
      </c>
      <c r="E495" s="84" t="s">
        <v>52</v>
      </c>
      <c r="F495" s="84" t="s">
        <v>54</v>
      </c>
      <c r="G495" s="84" t="s">
        <v>25</v>
      </c>
      <c r="H495" s="84" t="s">
        <v>25</v>
      </c>
      <c r="I495" s="90">
        <v>44562</v>
      </c>
      <c r="J495" s="91">
        <f>EFEITO!$J$495*EFEITO!$Y$386</f>
        <v>0</v>
      </c>
      <c r="K495" s="91">
        <f ca="1">EFEITO!$L$495*EFEITO!$Z$386</f>
        <v>604.91201850666891</v>
      </c>
      <c r="L495" s="91">
        <f>EFEITO!$N$495*EFEITO!$AA$386</f>
        <v>479.62314495016932</v>
      </c>
      <c r="M495" s="91">
        <f>$J$495-EFEITO!$K$495*EFEITO!$Y$495</f>
        <v>0</v>
      </c>
      <c r="N495" s="91">
        <f ca="1">$K$495-EFEITO!$M$495*EFEITO!$Z$495</f>
        <v>377.46509954816139</v>
      </c>
      <c r="O495" s="91">
        <f>$L$495-EFEITO!$O$495*EFEITO!$AA$495</f>
        <v>299.28484244890569</v>
      </c>
      <c r="P495" s="19"/>
      <c r="Q495" s="19"/>
      <c r="R495" s="19"/>
      <c r="S495" s="19"/>
      <c r="T495" s="19"/>
      <c r="U495" s="19"/>
      <c r="V495" s="19"/>
      <c r="W495" s="19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84" t="s">
        <v>21</v>
      </c>
      <c r="B496" s="84" t="s">
        <v>42</v>
      </c>
      <c r="C496" s="84" t="s">
        <v>23</v>
      </c>
      <c r="D496" s="84" t="s">
        <v>43</v>
      </c>
      <c r="E496" s="84" t="s">
        <v>52</v>
      </c>
      <c r="F496" s="84" t="s">
        <v>54</v>
      </c>
      <c r="G496" s="84" t="s">
        <v>25</v>
      </c>
      <c r="H496" s="84" t="s">
        <v>25</v>
      </c>
      <c r="I496" s="90">
        <v>44682</v>
      </c>
      <c r="J496" s="91">
        <f>EFEITO!$J$496*EFEITO!$Y$386</f>
        <v>0</v>
      </c>
      <c r="K496" s="91">
        <f ca="1">EFEITO!$L$496*EFEITO!$Z$386</f>
        <v>12.870468478865297</v>
      </c>
      <c r="L496" s="91">
        <f>EFEITO!$N$496*EFEITO!$AA$386</f>
        <v>10.204747764897219</v>
      </c>
      <c r="M496" s="91">
        <f>$J$496-EFEITO!$K$496*EFEITO!$Y$496</f>
        <v>0</v>
      </c>
      <c r="N496" s="91">
        <f ca="1">$K$496-EFEITO!$M$496*EFEITO!$Z$496</f>
        <v>8.0311723308119447</v>
      </c>
      <c r="O496" s="91">
        <f>$L$496-EFEITO!$O$496*EFEITO!$AA$496</f>
        <v>6.367762605295864</v>
      </c>
      <c r="P496" s="19"/>
      <c r="Q496" s="19"/>
      <c r="R496" s="19"/>
      <c r="S496" s="19"/>
      <c r="T496" s="19"/>
      <c r="U496" s="19"/>
      <c r="V496" s="19"/>
      <c r="W496" s="19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84" t="s">
        <v>55</v>
      </c>
      <c r="B497" s="84" t="s">
        <v>42</v>
      </c>
      <c r="C497" s="84" t="s">
        <v>23</v>
      </c>
      <c r="D497" s="84" t="s">
        <v>43</v>
      </c>
      <c r="E497" s="84" t="s">
        <v>52</v>
      </c>
      <c r="F497" s="84" t="s">
        <v>54</v>
      </c>
      <c r="G497" s="84" t="s">
        <v>25</v>
      </c>
      <c r="H497" s="84" t="s">
        <v>25</v>
      </c>
      <c r="I497" s="90">
        <v>44713</v>
      </c>
      <c r="J497" s="91">
        <f>EFEITO!$J$497*EFEITO!$Y$386</f>
        <v>0</v>
      </c>
      <c r="K497" s="91">
        <f ca="1">EFEITO!$L$497*EFEITO!$Z$386</f>
        <v>12.870468478865297</v>
      </c>
      <c r="L497" s="91">
        <f>EFEITO!$N$497*EFEITO!$AA$386</f>
        <v>10.204747764897219</v>
      </c>
      <c r="M497" s="91">
        <f>$J$497-EFEITO!$K$497*EFEITO!$Y$497</f>
        <v>0</v>
      </c>
      <c r="N497" s="91">
        <f ca="1">$K$497-EFEITO!$M$497*EFEITO!$Z$497</f>
        <v>8.0311723308119447</v>
      </c>
      <c r="O497" s="91">
        <f>$L$497-EFEITO!$O$497*EFEITO!$AA$497</f>
        <v>6.367762605295864</v>
      </c>
      <c r="P497" s="19"/>
      <c r="Q497" s="19"/>
      <c r="R497" s="19"/>
      <c r="S497" s="19"/>
      <c r="T497" s="19"/>
      <c r="U497" s="19"/>
      <c r="V497" s="19"/>
      <c r="W497" s="19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84" t="s">
        <v>21</v>
      </c>
      <c r="B498" s="84" t="s">
        <v>42</v>
      </c>
      <c r="C498" s="84" t="s">
        <v>23</v>
      </c>
      <c r="D498" s="84" t="s">
        <v>43</v>
      </c>
      <c r="E498" s="84" t="s">
        <v>25</v>
      </c>
      <c r="F498" s="84" t="s">
        <v>25</v>
      </c>
      <c r="G498" s="84" t="s">
        <v>25</v>
      </c>
      <c r="H498" s="84" t="s">
        <v>25</v>
      </c>
      <c r="I498" s="90">
        <v>44378</v>
      </c>
      <c r="J498" s="91">
        <f>EFEITO!$J$498*EFEITO!$Y$386</f>
        <v>0</v>
      </c>
      <c r="K498" s="91">
        <f ca="1">EFEITO!$L$498*EFEITO!$Z$386</f>
        <v>41348.106514614119</v>
      </c>
      <c r="L498" s="91">
        <f>EFEITO!$N$498*EFEITO!$AA$386</f>
        <v>32784.121124310528</v>
      </c>
      <c r="M498" s="91">
        <f>$J$498-EFEITO!$K$498*EFEITO!$Y$498</f>
        <v>0</v>
      </c>
      <c r="N498" s="91">
        <f ca="1">$K$498-EFEITO!$M$498*EFEITO!$Z$498</f>
        <v>2480.8863908768471</v>
      </c>
      <c r="O498" s="91">
        <f>$L$498-EFEITO!$O$498*EFEITO!$AA$498</f>
        <v>1967.0472674586308</v>
      </c>
      <c r="P498" s="19"/>
      <c r="Q498" s="19"/>
      <c r="R498" s="19"/>
      <c r="S498" s="19"/>
      <c r="T498" s="19"/>
      <c r="U498" s="19"/>
      <c r="V498" s="19"/>
      <c r="W498" s="19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84" t="s">
        <v>21</v>
      </c>
      <c r="B499" s="84" t="s">
        <v>42</v>
      </c>
      <c r="C499" s="84" t="s">
        <v>23</v>
      </c>
      <c r="D499" s="84" t="s">
        <v>43</v>
      </c>
      <c r="E499" s="84" t="s">
        <v>25</v>
      </c>
      <c r="F499" s="84" t="s">
        <v>25</v>
      </c>
      <c r="G499" s="84" t="s">
        <v>25</v>
      </c>
      <c r="H499" s="84" t="s">
        <v>25</v>
      </c>
      <c r="I499" s="90">
        <v>44409</v>
      </c>
      <c r="J499" s="91">
        <f>EFEITO!$J$499*EFEITO!$Y$386</f>
        <v>0</v>
      </c>
      <c r="K499" s="91">
        <f ca="1">EFEITO!$L$499*EFEITO!$Z$386</f>
        <v>38820.785984776456</v>
      </c>
      <c r="L499" s="91">
        <f>EFEITO!$N$499*EFEITO!$AA$386</f>
        <v>30780.257118086447</v>
      </c>
      <c r="M499" s="91">
        <f>$J$499-EFEITO!$K$499*EFEITO!$Y$499</f>
        <v>0</v>
      </c>
      <c r="N499" s="91">
        <f ca="1">$K$499-EFEITO!$M$499*EFEITO!$Z$499</f>
        <v>2329.2471590865898</v>
      </c>
      <c r="O499" s="91">
        <f>$L$499-EFEITO!$O$499*EFEITO!$AA$499</f>
        <v>1846.8154270851883</v>
      </c>
      <c r="P499" s="19"/>
      <c r="Q499" s="19"/>
      <c r="R499" s="19"/>
      <c r="S499" s="19"/>
      <c r="T499" s="19"/>
      <c r="U499" s="19"/>
      <c r="V499" s="19"/>
      <c r="W499" s="19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84" t="s">
        <v>21</v>
      </c>
      <c r="B500" s="84" t="s">
        <v>42</v>
      </c>
      <c r="C500" s="84" t="s">
        <v>23</v>
      </c>
      <c r="D500" s="84" t="s">
        <v>43</v>
      </c>
      <c r="E500" s="84" t="s">
        <v>25</v>
      </c>
      <c r="F500" s="84" t="s">
        <v>25</v>
      </c>
      <c r="G500" s="84" t="s">
        <v>25</v>
      </c>
      <c r="H500" s="84" t="s">
        <v>25</v>
      </c>
      <c r="I500" s="90">
        <v>44440</v>
      </c>
      <c r="J500" s="91">
        <f>EFEITO!$J$500*EFEITO!$Y$386</f>
        <v>0</v>
      </c>
      <c r="K500" s="91">
        <f ca="1">EFEITO!$L$500*EFEITO!$Z$386</f>
        <v>42207.60267791005</v>
      </c>
      <c r="L500" s="91">
        <f>EFEITO!$N$500*EFEITO!$AA$386</f>
        <v>33465.599157976103</v>
      </c>
      <c r="M500" s="91">
        <f>$J$500-EFEITO!$K$500*EFEITO!$Y$500</f>
        <v>0</v>
      </c>
      <c r="N500" s="91">
        <f ca="1">$K$500-EFEITO!$M$500*EFEITO!$Z$500</f>
        <v>2532.4561606745992</v>
      </c>
      <c r="O500" s="91">
        <f>$L$500-EFEITO!$O$500*EFEITO!$AA$500</f>
        <v>2007.935949478564</v>
      </c>
      <c r="P500" s="19"/>
      <c r="Q500" s="19"/>
      <c r="R500" s="19"/>
      <c r="S500" s="19"/>
      <c r="T500" s="19"/>
      <c r="U500" s="19"/>
      <c r="V500" s="19"/>
      <c r="W500" s="19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84" t="s">
        <v>21</v>
      </c>
      <c r="B501" s="84" t="s">
        <v>42</v>
      </c>
      <c r="C501" s="84" t="s">
        <v>23</v>
      </c>
      <c r="D501" s="84" t="s">
        <v>43</v>
      </c>
      <c r="E501" s="84" t="s">
        <v>25</v>
      </c>
      <c r="F501" s="84" t="s">
        <v>25</v>
      </c>
      <c r="G501" s="84" t="s">
        <v>25</v>
      </c>
      <c r="H501" s="84" t="s">
        <v>25</v>
      </c>
      <c r="I501" s="90">
        <v>44470</v>
      </c>
      <c r="J501" s="91">
        <f>EFEITO!$J$501*EFEITO!$Y$386</f>
        <v>0</v>
      </c>
      <c r="K501" s="91">
        <f ca="1">EFEITO!$L$501*EFEITO!$Z$386</f>
        <v>39607.768045179269</v>
      </c>
      <c r="L501" s="91">
        <f>EFEITO!$N$501*EFEITO!$AA$386</f>
        <v>31404.240109466871</v>
      </c>
      <c r="M501" s="91">
        <f>$J$501-EFEITO!$K$501*EFEITO!$Y$501</f>
        <v>0</v>
      </c>
      <c r="N501" s="91">
        <f ca="1">$K$501-EFEITO!$M$501*EFEITO!$Z$501</f>
        <v>2376.4660827107582</v>
      </c>
      <c r="O501" s="91">
        <f>$L$501-EFEITO!$O$501*EFEITO!$AA$501</f>
        <v>1884.2544065680122</v>
      </c>
      <c r="P501" s="19"/>
      <c r="Q501" s="19"/>
      <c r="R501" s="19"/>
      <c r="S501" s="19"/>
      <c r="T501" s="19"/>
      <c r="U501" s="19"/>
      <c r="V501" s="19"/>
      <c r="W501" s="19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84" t="s">
        <v>27</v>
      </c>
      <c r="B502" s="84" t="s">
        <v>42</v>
      </c>
      <c r="C502" s="84" t="s">
        <v>23</v>
      </c>
      <c r="D502" s="84" t="s">
        <v>43</v>
      </c>
      <c r="E502" s="84" t="s">
        <v>25</v>
      </c>
      <c r="F502" s="84" t="s">
        <v>25</v>
      </c>
      <c r="G502" s="84" t="s">
        <v>25</v>
      </c>
      <c r="H502" s="84" t="s">
        <v>25</v>
      </c>
      <c r="I502" s="90">
        <v>44470</v>
      </c>
      <c r="J502" s="91">
        <f>EFEITO!$J$502*EFEITO!$Y$386</f>
        <v>0</v>
      </c>
      <c r="K502" s="91">
        <f ca="1">EFEITO!$L$502*EFEITO!$Z$386</f>
        <v>15.695693266908899</v>
      </c>
      <c r="L502" s="91">
        <f>EFEITO!$N$502*EFEITO!$AA$386</f>
        <v>12.444814347435633</v>
      </c>
      <c r="M502" s="91">
        <f>$J$502-EFEITO!$K$502*EFEITO!$Y$502</f>
        <v>0</v>
      </c>
      <c r="N502" s="91">
        <f ca="1">$K$502-EFEITO!$M$502*EFEITO!$Z$502</f>
        <v>0.94174159601453411</v>
      </c>
      <c r="O502" s="91">
        <f>$L$502-EFEITO!$O$502*EFEITO!$AA$502</f>
        <v>0.74668886084613817</v>
      </c>
      <c r="P502" s="19"/>
      <c r="Q502" s="19"/>
      <c r="R502" s="19"/>
      <c r="S502" s="19"/>
      <c r="T502" s="19"/>
      <c r="U502" s="19"/>
      <c r="V502" s="19"/>
      <c r="W502" s="19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84" t="s">
        <v>21</v>
      </c>
      <c r="B503" s="84" t="s">
        <v>42</v>
      </c>
      <c r="C503" s="84" t="s">
        <v>23</v>
      </c>
      <c r="D503" s="84" t="s">
        <v>43</v>
      </c>
      <c r="E503" s="84" t="s">
        <v>25</v>
      </c>
      <c r="F503" s="84" t="s">
        <v>25</v>
      </c>
      <c r="G503" s="84" t="s">
        <v>25</v>
      </c>
      <c r="H503" s="84" t="s">
        <v>25</v>
      </c>
      <c r="I503" s="90">
        <v>44501</v>
      </c>
      <c r="J503" s="91">
        <f>EFEITO!$J$503*EFEITO!$Y$386</f>
        <v>0</v>
      </c>
      <c r="K503" s="91">
        <f ca="1">EFEITO!$L$503*EFEITO!$Z$386</f>
        <v>48458.569478389196</v>
      </c>
      <c r="L503" s="91">
        <f>EFEITO!$N$503*EFEITO!$AA$386</f>
        <v>38421.870919985828</v>
      </c>
      <c r="M503" s="91">
        <f>$J$503-EFEITO!$K$503*EFEITO!$Y$503</f>
        <v>0</v>
      </c>
      <c r="N503" s="91">
        <f ca="1">$K$503-EFEITO!$M$503*EFEITO!$Z$503</f>
        <v>2907.5141687033538</v>
      </c>
      <c r="O503" s="91">
        <f>$L$503-EFEITO!$O$503*EFEITO!$AA$503</f>
        <v>2305.3122551991546</v>
      </c>
      <c r="P503" s="19"/>
      <c r="Q503" s="19"/>
      <c r="R503" s="19"/>
      <c r="S503" s="19"/>
      <c r="T503" s="19"/>
      <c r="U503" s="19"/>
      <c r="V503" s="19"/>
      <c r="W503" s="19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84" t="s">
        <v>27</v>
      </c>
      <c r="B504" s="84" t="s">
        <v>42</v>
      </c>
      <c r="C504" s="84" t="s">
        <v>23</v>
      </c>
      <c r="D504" s="84" t="s">
        <v>43</v>
      </c>
      <c r="E504" s="84" t="s">
        <v>25</v>
      </c>
      <c r="F504" s="84" t="s">
        <v>25</v>
      </c>
      <c r="G504" s="84" t="s">
        <v>25</v>
      </c>
      <c r="H504" s="84" t="s">
        <v>25</v>
      </c>
      <c r="I504" s="90">
        <v>44501</v>
      </c>
      <c r="J504" s="91">
        <f>EFEITO!$J$504*EFEITO!$Y$386</f>
        <v>0</v>
      </c>
      <c r="K504" s="91">
        <f ca="1">EFEITO!$L$504*EFEITO!$Z$386</f>
        <v>65.921911721017366</v>
      </c>
      <c r="L504" s="91">
        <f>EFEITO!$N$504*EFEITO!$AA$386</f>
        <v>52.268220259229658</v>
      </c>
      <c r="M504" s="91">
        <f>$J$504-EFEITO!$K$504*EFEITO!$Y$504</f>
        <v>0</v>
      </c>
      <c r="N504" s="91">
        <f ca="1">$K$504-EFEITO!$M$504*EFEITO!$Z$504</f>
        <v>3.9553147032610383</v>
      </c>
      <c r="O504" s="91">
        <f>$L$504-EFEITO!$O$504*EFEITO!$AA$504</f>
        <v>3.1360932155537853</v>
      </c>
      <c r="P504" s="19"/>
      <c r="Q504" s="19"/>
      <c r="R504" s="19"/>
      <c r="S504" s="19"/>
      <c r="T504" s="19"/>
      <c r="U504" s="19"/>
      <c r="V504" s="19"/>
      <c r="W504" s="19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84" t="s">
        <v>21</v>
      </c>
      <c r="B505" s="84" t="s">
        <v>42</v>
      </c>
      <c r="C505" s="84" t="s">
        <v>23</v>
      </c>
      <c r="D505" s="84" t="s">
        <v>43</v>
      </c>
      <c r="E505" s="84" t="s">
        <v>25</v>
      </c>
      <c r="F505" s="84" t="s">
        <v>25</v>
      </c>
      <c r="G505" s="84" t="s">
        <v>25</v>
      </c>
      <c r="H505" s="84" t="s">
        <v>25</v>
      </c>
      <c r="I505" s="90">
        <v>44531</v>
      </c>
      <c r="J505" s="91">
        <f>EFEITO!$J$505*EFEITO!$Y$386</f>
        <v>0</v>
      </c>
      <c r="K505" s="91">
        <f ca="1">EFEITO!$L$505*EFEITO!$Z$386</f>
        <v>45196.376589794854</v>
      </c>
      <c r="L505" s="91">
        <f>EFEITO!$N$505*EFEITO!$AA$386</f>
        <v>35835.340706014802</v>
      </c>
      <c r="M505" s="91">
        <f>$J$505-EFEITO!$K$505*EFEITO!$Y$505</f>
        <v>0</v>
      </c>
      <c r="N505" s="91">
        <f ca="1">$K$505-EFEITO!$M$505*EFEITO!$Z$505</f>
        <v>2711.7825953876963</v>
      </c>
      <c r="O505" s="91">
        <f>$L$505-EFEITO!$O$505*EFEITO!$AA$505</f>
        <v>2150.120442360887</v>
      </c>
      <c r="P505" s="19"/>
      <c r="Q505" s="19"/>
      <c r="R505" s="19"/>
      <c r="S505" s="19"/>
      <c r="T505" s="19"/>
      <c r="U505" s="19"/>
      <c r="V505" s="19"/>
      <c r="W505" s="19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84" t="s">
        <v>41</v>
      </c>
      <c r="B506" s="84" t="s">
        <v>42</v>
      </c>
      <c r="C506" s="84" t="s">
        <v>23</v>
      </c>
      <c r="D506" s="84" t="s">
        <v>43</v>
      </c>
      <c r="E506" s="84" t="s">
        <v>25</v>
      </c>
      <c r="F506" s="84" t="s">
        <v>25</v>
      </c>
      <c r="G506" s="84" t="s">
        <v>25</v>
      </c>
      <c r="H506" s="84" t="s">
        <v>25</v>
      </c>
      <c r="I506" s="90">
        <v>44531</v>
      </c>
      <c r="J506" s="91">
        <f>EFEITO!$J$506*EFEITO!$Y$386</f>
        <v>0</v>
      </c>
      <c r="K506" s="91">
        <f ca="1">EFEITO!$L$506*EFEITO!$Z$386</f>
        <v>-510.73785890521555</v>
      </c>
      <c r="L506" s="91">
        <f>EFEITO!$N$506*EFEITO!$AA$386</f>
        <v>-404.95425886555552</v>
      </c>
      <c r="M506" s="91">
        <f>$J$506-EFEITO!$K$506*EFEITO!$Y$506</f>
        <v>0</v>
      </c>
      <c r="N506" s="91">
        <f ca="1">$K$506-EFEITO!$M$506*EFEITO!$Z$506</f>
        <v>-30.644271534312963</v>
      </c>
      <c r="O506" s="91">
        <f>$L$506-EFEITO!$O$506*EFEITO!$AA$506</f>
        <v>-24.297255531933388</v>
      </c>
      <c r="P506" s="19"/>
      <c r="Q506" s="19"/>
      <c r="R506" s="19"/>
      <c r="S506" s="19"/>
      <c r="T506" s="19"/>
      <c r="U506" s="19"/>
      <c r="V506" s="19"/>
      <c r="W506" s="19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84" t="s">
        <v>27</v>
      </c>
      <c r="B507" s="84" t="s">
        <v>42</v>
      </c>
      <c r="C507" s="84" t="s">
        <v>23</v>
      </c>
      <c r="D507" s="84" t="s">
        <v>43</v>
      </c>
      <c r="E507" s="84" t="s">
        <v>25</v>
      </c>
      <c r="F507" s="84" t="s">
        <v>25</v>
      </c>
      <c r="G507" s="84" t="s">
        <v>25</v>
      </c>
      <c r="H507" s="84" t="s">
        <v>25</v>
      </c>
      <c r="I507" s="90">
        <v>44531</v>
      </c>
      <c r="J507" s="91">
        <f>EFEITO!$J$507*EFEITO!$Y$386</f>
        <v>0</v>
      </c>
      <c r="K507" s="91">
        <f ca="1">EFEITO!$L$507*EFEITO!$Z$386</f>
        <v>130.9020818460202</v>
      </c>
      <c r="L507" s="91">
        <f>EFEITO!$N$507*EFEITO!$AA$386</f>
        <v>103.78975165761317</v>
      </c>
      <c r="M507" s="91">
        <f>$J$507-EFEITO!$K$507*EFEITO!$Y$507</f>
        <v>0</v>
      </c>
      <c r="N507" s="91">
        <f ca="1">$K$507-EFEITO!$M$507*EFEITO!$Z$507</f>
        <v>7.8541249107612003</v>
      </c>
      <c r="O507" s="91">
        <f>$L$507-EFEITO!$O$507*EFEITO!$AA$507</f>
        <v>6.2273850994567965</v>
      </c>
      <c r="P507" s="19"/>
      <c r="Q507" s="19"/>
      <c r="R507" s="19"/>
      <c r="S507" s="19"/>
      <c r="T507" s="19"/>
      <c r="U507" s="19"/>
      <c r="V507" s="19"/>
      <c r="W507" s="19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84" t="s">
        <v>21</v>
      </c>
      <c r="B508" s="84" t="s">
        <v>42</v>
      </c>
      <c r="C508" s="84" t="s">
        <v>23</v>
      </c>
      <c r="D508" s="84" t="s">
        <v>43</v>
      </c>
      <c r="E508" s="84" t="s">
        <v>25</v>
      </c>
      <c r="F508" s="84" t="s">
        <v>25</v>
      </c>
      <c r="G508" s="84" t="s">
        <v>25</v>
      </c>
      <c r="H508" s="84" t="s">
        <v>25</v>
      </c>
      <c r="I508" s="90">
        <v>44562</v>
      </c>
      <c r="J508" s="91">
        <f>EFEITO!$J$508*EFEITO!$Y$386</f>
        <v>0</v>
      </c>
      <c r="K508" s="91">
        <f ca="1">EFEITO!$L$508*EFEITO!$Z$386</f>
        <v>48677.053528664568</v>
      </c>
      <c r="L508" s="91">
        <f>EFEITO!$N$508*EFEITO!$AA$386</f>
        <v>38595.10273570213</v>
      </c>
      <c r="M508" s="91">
        <f>$J$508-EFEITO!$K$508*EFEITO!$Y$508</f>
        <v>0</v>
      </c>
      <c r="N508" s="91">
        <f ca="1">$K$508-EFEITO!$M$508*EFEITO!$Z$508</f>
        <v>2920.6232117198815</v>
      </c>
      <c r="O508" s="91">
        <f>$L$508-EFEITO!$O$508*EFEITO!$AA$508</f>
        <v>2315.7061641421315</v>
      </c>
      <c r="P508" s="19"/>
      <c r="Q508" s="19"/>
      <c r="R508" s="19"/>
      <c r="S508" s="19"/>
      <c r="T508" s="19"/>
      <c r="U508" s="19"/>
      <c r="V508" s="19"/>
      <c r="W508" s="19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84" t="s">
        <v>27</v>
      </c>
      <c r="B509" s="84" t="s">
        <v>42</v>
      </c>
      <c r="C509" s="84" t="s">
        <v>23</v>
      </c>
      <c r="D509" s="84" t="s">
        <v>43</v>
      </c>
      <c r="E509" s="84" t="s">
        <v>25</v>
      </c>
      <c r="F509" s="84" t="s">
        <v>25</v>
      </c>
      <c r="G509" s="84" t="s">
        <v>25</v>
      </c>
      <c r="H509" s="84" t="s">
        <v>25</v>
      </c>
      <c r="I509" s="90">
        <v>44562</v>
      </c>
      <c r="J509" s="91">
        <f>EFEITO!$J$509*EFEITO!$Y$386</f>
        <v>0</v>
      </c>
      <c r="K509" s="91">
        <f ca="1">EFEITO!$L$509*EFEITO!$Z$386</f>
        <v>164.49086543720526</v>
      </c>
      <c r="L509" s="91">
        <f>EFEITO!$N$509*EFEITO!$AA$386</f>
        <v>130.42165436112543</v>
      </c>
      <c r="M509" s="91">
        <f>$J$509-EFEITO!$K$509*EFEITO!$Y$509</f>
        <v>0</v>
      </c>
      <c r="N509" s="91">
        <f ca="1">$K$509-EFEITO!$M$509*EFEITO!$Z$509</f>
        <v>9.8694519262323297</v>
      </c>
      <c r="O509" s="91">
        <f>$L$509-EFEITO!$O$509*EFEITO!$AA$509</f>
        <v>7.8252992616675385</v>
      </c>
      <c r="P509" s="19"/>
      <c r="Q509" s="19"/>
      <c r="R509" s="19"/>
      <c r="S509" s="19"/>
      <c r="T509" s="19"/>
      <c r="U509" s="19"/>
      <c r="V509" s="19"/>
      <c r="W509" s="19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84" t="s">
        <v>21</v>
      </c>
      <c r="B510" s="84" t="s">
        <v>42</v>
      </c>
      <c r="C510" s="84" t="s">
        <v>23</v>
      </c>
      <c r="D510" s="84" t="s">
        <v>43</v>
      </c>
      <c r="E510" s="84" t="s">
        <v>25</v>
      </c>
      <c r="F510" s="84" t="s">
        <v>25</v>
      </c>
      <c r="G510" s="84" t="s">
        <v>25</v>
      </c>
      <c r="H510" s="84" t="s">
        <v>25</v>
      </c>
      <c r="I510" s="90">
        <v>44593</v>
      </c>
      <c r="J510" s="91">
        <f>EFEITO!$J$510*EFEITO!$Y$386</f>
        <v>0</v>
      </c>
      <c r="K510" s="91">
        <f ca="1">EFEITO!$L$510*EFEITO!$Z$386</f>
        <v>48414.307623376517</v>
      </c>
      <c r="L510" s="91">
        <f>EFEITO!$N$510*EFEITO!$AA$386</f>
        <v>38386.776543526059</v>
      </c>
      <c r="M510" s="91">
        <f>$J$510-EFEITO!$K$510*EFEITO!$Y$510</f>
        <v>0</v>
      </c>
      <c r="N510" s="91">
        <f ca="1">$K$510-EFEITO!$M$510*EFEITO!$Z$510</f>
        <v>2904.8584574025954</v>
      </c>
      <c r="O510" s="91">
        <f>$L$510-EFEITO!$O$510*EFEITO!$AA$510</f>
        <v>2303.2065926115683</v>
      </c>
      <c r="P510" s="19"/>
      <c r="Q510" s="19"/>
      <c r="R510" s="19"/>
      <c r="S510" s="19"/>
      <c r="T510" s="19"/>
      <c r="U510" s="19"/>
      <c r="V510" s="19"/>
      <c r="W510" s="19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84" t="s">
        <v>27</v>
      </c>
      <c r="B511" s="84" t="s">
        <v>42</v>
      </c>
      <c r="C511" s="84" t="s">
        <v>23</v>
      </c>
      <c r="D511" s="84" t="s">
        <v>43</v>
      </c>
      <c r="E511" s="84" t="s">
        <v>25</v>
      </c>
      <c r="F511" s="84" t="s">
        <v>25</v>
      </c>
      <c r="G511" s="84" t="s">
        <v>25</v>
      </c>
      <c r="H511" s="84" t="s">
        <v>25</v>
      </c>
      <c r="I511" s="90">
        <v>44593</v>
      </c>
      <c r="J511" s="91">
        <f>EFEITO!$J$511*EFEITO!$Y$386</f>
        <v>0</v>
      </c>
      <c r="K511" s="91">
        <f ca="1">EFEITO!$L$511*EFEITO!$Z$386</f>
        <v>220.36753346740093</v>
      </c>
      <c r="L511" s="91">
        <f>EFEITO!$N$511*EFEITO!$AA$386</f>
        <v>174.72519343799627</v>
      </c>
      <c r="M511" s="91">
        <f>$J$511-EFEITO!$K$511*EFEITO!$Y$511</f>
        <v>0</v>
      </c>
      <c r="N511" s="91">
        <f ca="1">$K$511-EFEITO!$M$511*EFEITO!$Z$511</f>
        <v>13.222052008044074</v>
      </c>
      <c r="O511" s="91">
        <f>$L$511-EFEITO!$O$511*EFEITO!$AA$511</f>
        <v>10.483511606279791</v>
      </c>
      <c r="P511" s="19"/>
      <c r="Q511" s="19"/>
      <c r="R511" s="19"/>
      <c r="S511" s="19"/>
      <c r="T511" s="19"/>
      <c r="U511" s="19"/>
      <c r="V511" s="19"/>
      <c r="W511" s="19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84" t="s">
        <v>21</v>
      </c>
      <c r="B512" s="84" t="s">
        <v>42</v>
      </c>
      <c r="C512" s="84" t="s">
        <v>23</v>
      </c>
      <c r="D512" s="84" t="s">
        <v>43</v>
      </c>
      <c r="E512" s="84" t="s">
        <v>25</v>
      </c>
      <c r="F512" s="84" t="s">
        <v>25</v>
      </c>
      <c r="G512" s="84" t="s">
        <v>25</v>
      </c>
      <c r="H512" s="84" t="s">
        <v>25</v>
      </c>
      <c r="I512" s="90">
        <v>44621</v>
      </c>
      <c r="J512" s="91">
        <f>EFEITO!$J$512*EFEITO!$Y$386</f>
        <v>0</v>
      </c>
      <c r="K512" s="91">
        <f ca="1">EFEITO!$L$512*EFEITO!$Z$386</f>
        <v>42711.748345643173</v>
      </c>
      <c r="L512" s="91">
        <f>EFEITO!$N$512*EFEITO!$AA$386</f>
        <v>33865.326594815742</v>
      </c>
      <c r="M512" s="91">
        <f>$J$512-EFEITO!$K$512*EFEITO!$Y$512</f>
        <v>0</v>
      </c>
      <c r="N512" s="91">
        <f ca="1">$K$512-EFEITO!$M$512*EFEITO!$Z$512</f>
        <v>2562.704900738594</v>
      </c>
      <c r="O512" s="91">
        <f>$L$512-EFEITO!$O$512*EFEITO!$AA$512</f>
        <v>2031.9195956889453</v>
      </c>
      <c r="P512" s="19"/>
      <c r="Q512" s="19"/>
      <c r="R512" s="19"/>
      <c r="S512" s="19"/>
      <c r="T512" s="19"/>
      <c r="U512" s="19"/>
      <c r="V512" s="19"/>
      <c r="W512" s="19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84" t="s">
        <v>41</v>
      </c>
      <c r="B513" s="84" t="s">
        <v>42</v>
      </c>
      <c r="C513" s="84" t="s">
        <v>23</v>
      </c>
      <c r="D513" s="84" t="s">
        <v>43</v>
      </c>
      <c r="E513" s="84" t="s">
        <v>25</v>
      </c>
      <c r="F513" s="84" t="s">
        <v>25</v>
      </c>
      <c r="G513" s="84" t="s">
        <v>25</v>
      </c>
      <c r="H513" s="84" t="s">
        <v>25</v>
      </c>
      <c r="I513" s="90">
        <v>44621</v>
      </c>
      <c r="J513" s="91">
        <f>EFEITO!$J$513*EFEITO!$Y$386</f>
        <v>0</v>
      </c>
      <c r="K513" s="91">
        <f ca="1">EFEITO!$L$513*EFEITO!$Z$386</f>
        <v>50.226218454108476</v>
      </c>
      <c r="L513" s="91">
        <f>EFEITO!$N$513*EFEITO!$AA$386</f>
        <v>39.823405911794026</v>
      </c>
      <c r="M513" s="91">
        <f>$J$513-EFEITO!$K$513*EFEITO!$Y$513</f>
        <v>0</v>
      </c>
      <c r="N513" s="91">
        <f ca="1">$K$513-EFEITO!$M$513*EFEITO!$Z$513</f>
        <v>3.0135731072465148</v>
      </c>
      <c r="O513" s="91">
        <f>$L$513-EFEITO!$O$513*EFEITO!$AA$513</f>
        <v>2.3894043547076436</v>
      </c>
      <c r="P513" s="19"/>
      <c r="Q513" s="19"/>
      <c r="R513" s="19"/>
      <c r="S513" s="19"/>
      <c r="T513" s="19"/>
      <c r="U513" s="19"/>
      <c r="V513" s="19"/>
      <c r="W513" s="19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84" t="s">
        <v>27</v>
      </c>
      <c r="B514" s="84" t="s">
        <v>42</v>
      </c>
      <c r="C514" s="84" t="s">
        <v>23</v>
      </c>
      <c r="D514" s="84" t="s">
        <v>43</v>
      </c>
      <c r="E514" s="84" t="s">
        <v>25</v>
      </c>
      <c r="F514" s="84" t="s">
        <v>25</v>
      </c>
      <c r="G514" s="84" t="s">
        <v>25</v>
      </c>
      <c r="H514" s="84" t="s">
        <v>25</v>
      </c>
      <c r="I514" s="90">
        <v>44621</v>
      </c>
      <c r="J514" s="91">
        <f>EFEITO!$J$514*EFEITO!$Y$386</f>
        <v>0</v>
      </c>
      <c r="K514" s="91">
        <f ca="1">EFEITO!$L$514*EFEITO!$Z$386</f>
        <v>147.22560284360546</v>
      </c>
      <c r="L514" s="91">
        <f>EFEITO!$N$514*EFEITO!$AA$386</f>
        <v>116.73235857894623</v>
      </c>
      <c r="M514" s="91">
        <f>$J$514-EFEITO!$K$514*EFEITO!$Y$514</f>
        <v>0</v>
      </c>
      <c r="N514" s="91">
        <f ca="1">$K$514-EFEITO!$M$514*EFEITO!$Z$514</f>
        <v>8.8335361706163269</v>
      </c>
      <c r="O514" s="91">
        <f>$L$514-EFEITO!$O$514*EFEITO!$AA$514</f>
        <v>7.0039415147367805</v>
      </c>
      <c r="P514" s="19"/>
      <c r="Q514" s="19"/>
      <c r="R514" s="19"/>
      <c r="S514" s="19"/>
      <c r="T514" s="19"/>
      <c r="U514" s="19"/>
      <c r="V514" s="19"/>
      <c r="W514" s="19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84" t="s">
        <v>21</v>
      </c>
      <c r="B515" s="84" t="s">
        <v>42</v>
      </c>
      <c r="C515" s="84" t="s">
        <v>23</v>
      </c>
      <c r="D515" s="84" t="s">
        <v>43</v>
      </c>
      <c r="E515" s="84" t="s">
        <v>25</v>
      </c>
      <c r="F515" s="84" t="s">
        <v>25</v>
      </c>
      <c r="G515" s="84" t="s">
        <v>25</v>
      </c>
      <c r="H515" s="84" t="s">
        <v>25</v>
      </c>
      <c r="I515" s="90">
        <v>44652</v>
      </c>
      <c r="J515" s="91">
        <f>EFEITO!$J$515*EFEITO!$Y$386</f>
        <v>0</v>
      </c>
      <c r="K515" s="91">
        <f ca="1">EFEITO!$L$515*EFEITO!$Z$386</f>
        <v>47017.39092262162</v>
      </c>
      <c r="L515" s="91">
        <f>EFEITO!$N$515*EFEITO!$AA$386</f>
        <v>37279.188066604285</v>
      </c>
      <c r="M515" s="91">
        <f>$J$515-EFEITO!$K$515*EFEITO!$Y$515</f>
        <v>0</v>
      </c>
      <c r="N515" s="91">
        <f ca="1">$K$515-EFEITO!$M$515*EFEITO!$Z$515</f>
        <v>2821.0434553572995</v>
      </c>
      <c r="O515" s="91">
        <f>$L$515-EFEITO!$O$515*EFEITO!$AA$515</f>
        <v>2236.7512839962656</v>
      </c>
      <c r="P515" s="19"/>
      <c r="Q515" s="19"/>
      <c r="R515" s="19"/>
      <c r="S515" s="19"/>
      <c r="T515" s="19"/>
      <c r="U515" s="19"/>
      <c r="V515" s="19"/>
      <c r="W515" s="19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84" t="s">
        <v>27</v>
      </c>
      <c r="B516" s="84" t="s">
        <v>42</v>
      </c>
      <c r="C516" s="84" t="s">
        <v>23</v>
      </c>
      <c r="D516" s="84" t="s">
        <v>43</v>
      </c>
      <c r="E516" s="84" t="s">
        <v>25</v>
      </c>
      <c r="F516" s="84" t="s">
        <v>25</v>
      </c>
      <c r="G516" s="84" t="s">
        <v>25</v>
      </c>
      <c r="H516" s="84" t="s">
        <v>25</v>
      </c>
      <c r="I516" s="90">
        <v>44652</v>
      </c>
      <c r="J516" s="91">
        <f>EFEITO!$J$516*EFEITO!$Y$386</f>
        <v>0</v>
      </c>
      <c r="K516" s="91">
        <f ca="1">EFEITO!$L$516*EFEITO!$Z$386</f>
        <v>334.00435271982138</v>
      </c>
      <c r="L516" s="91">
        <f>EFEITO!$N$516*EFEITO!$AA$386</f>
        <v>264.82564931343029</v>
      </c>
      <c r="M516" s="91">
        <f>$J$516-EFEITO!$K$516*EFEITO!$Y$516</f>
        <v>0</v>
      </c>
      <c r="N516" s="91">
        <f ca="1">$K$516-EFEITO!$M$516*EFEITO!$Z$516</f>
        <v>20.040261163189314</v>
      </c>
      <c r="O516" s="91">
        <f>$L$516-EFEITO!$O$516*EFEITO!$AA$516</f>
        <v>15.889538958805844</v>
      </c>
      <c r="P516" s="19"/>
      <c r="Q516" s="19"/>
      <c r="R516" s="19"/>
      <c r="S516" s="19"/>
      <c r="T516" s="19"/>
      <c r="U516" s="19"/>
      <c r="V516" s="19"/>
      <c r="W516" s="19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84" t="s">
        <v>21</v>
      </c>
      <c r="B517" s="84" t="s">
        <v>42</v>
      </c>
      <c r="C517" s="84" t="s">
        <v>23</v>
      </c>
      <c r="D517" s="84" t="s">
        <v>43</v>
      </c>
      <c r="E517" s="84" t="s">
        <v>25</v>
      </c>
      <c r="F517" s="84" t="s">
        <v>25</v>
      </c>
      <c r="G517" s="84" t="s">
        <v>25</v>
      </c>
      <c r="H517" s="84" t="s">
        <v>25</v>
      </c>
      <c r="I517" s="90">
        <v>44682</v>
      </c>
      <c r="J517" s="91">
        <f>EFEITO!$J$517*EFEITO!$Y$386</f>
        <v>0</v>
      </c>
      <c r="K517" s="91">
        <f ca="1">EFEITO!$L$517*EFEITO!$Z$386</f>
        <v>40658.751666331482</v>
      </c>
      <c r="L517" s="91">
        <f>EFEITO!$N$517*EFEITO!$AA$386</f>
        <v>32237.54487817116</v>
      </c>
      <c r="M517" s="91">
        <f>$J$517-EFEITO!$K$517*EFEITO!$Y$517</f>
        <v>0</v>
      </c>
      <c r="N517" s="91">
        <f ca="1">$K$517-EFEITO!$M$517*EFEITO!$Z$517</f>
        <v>2439.5250999798882</v>
      </c>
      <c r="O517" s="91">
        <f>$L$517-EFEITO!$O$517*EFEITO!$AA$517</f>
        <v>1934.2526926902719</v>
      </c>
      <c r="P517" s="19"/>
      <c r="Q517" s="19"/>
      <c r="R517" s="19"/>
      <c r="S517" s="19"/>
      <c r="T517" s="19"/>
      <c r="U517" s="19"/>
      <c r="V517" s="19"/>
      <c r="W517" s="19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84" t="s">
        <v>27</v>
      </c>
      <c r="B518" s="84" t="s">
        <v>42</v>
      </c>
      <c r="C518" s="84" t="s">
        <v>23</v>
      </c>
      <c r="D518" s="84" t="s">
        <v>43</v>
      </c>
      <c r="E518" s="84" t="s">
        <v>25</v>
      </c>
      <c r="F518" s="84" t="s">
        <v>25</v>
      </c>
      <c r="G518" s="84" t="s">
        <v>25</v>
      </c>
      <c r="H518" s="84" t="s">
        <v>25</v>
      </c>
      <c r="I518" s="90">
        <v>44682</v>
      </c>
      <c r="J518" s="91">
        <f>EFEITO!$J$518*EFEITO!$Y$386</f>
        <v>0</v>
      </c>
      <c r="K518" s="91">
        <f ca="1">EFEITO!$L$518*EFEITO!$Z$386</f>
        <v>2040.1262108328185</v>
      </c>
      <c r="L518" s="91">
        <f>EFEITO!$N$518*EFEITO!$AA$386</f>
        <v>1617.5769688796834</v>
      </c>
      <c r="M518" s="91">
        <f>$J$518-EFEITO!$K$518*EFEITO!$Y$518</f>
        <v>0</v>
      </c>
      <c r="N518" s="91">
        <f ca="1">$K$518-EFEITO!$M$518*EFEITO!$Z$518</f>
        <v>122.40757264996932</v>
      </c>
      <c r="O518" s="91">
        <f>$L$518-EFEITO!$O$518*EFEITO!$AA$518</f>
        <v>97.054618132781115</v>
      </c>
      <c r="P518" s="19"/>
      <c r="Q518" s="19"/>
      <c r="R518" s="19"/>
      <c r="S518" s="19"/>
      <c r="T518" s="19"/>
      <c r="U518" s="19"/>
      <c r="V518" s="19"/>
      <c r="W518" s="19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84" t="s">
        <v>55</v>
      </c>
      <c r="B519" s="84" t="s">
        <v>42</v>
      </c>
      <c r="C519" s="84" t="s">
        <v>23</v>
      </c>
      <c r="D519" s="84" t="s">
        <v>43</v>
      </c>
      <c r="E519" s="84" t="s">
        <v>25</v>
      </c>
      <c r="F519" s="84" t="s">
        <v>25</v>
      </c>
      <c r="G519" s="84" t="s">
        <v>25</v>
      </c>
      <c r="H519" s="84" t="s">
        <v>25</v>
      </c>
      <c r="I519" s="90">
        <v>44713</v>
      </c>
      <c r="J519" s="91">
        <f>EFEITO!$J$519*EFEITO!$Y$386</f>
        <v>0</v>
      </c>
      <c r="K519" s="91">
        <f ca="1">EFEITO!$L$519*EFEITO!$Z$386</f>
        <v>40658.751666331482</v>
      </c>
      <c r="L519" s="91">
        <f>EFEITO!$N$519*EFEITO!$AA$386</f>
        <v>32237.54487817116</v>
      </c>
      <c r="M519" s="91">
        <f>$J$519-EFEITO!$K$519*EFEITO!$Y$519</f>
        <v>0</v>
      </c>
      <c r="N519" s="91">
        <f ca="1">$K$519-EFEITO!$M$519*EFEITO!$Z$519</f>
        <v>2439.5250999798882</v>
      </c>
      <c r="O519" s="91">
        <f>$L$519-EFEITO!$O$519*EFEITO!$AA$519</f>
        <v>1934.2526926902719</v>
      </c>
      <c r="P519" s="19"/>
      <c r="Q519" s="19"/>
      <c r="R519" s="19"/>
      <c r="S519" s="19"/>
      <c r="T519" s="19"/>
      <c r="U519" s="19"/>
      <c r="V519" s="19"/>
      <c r="W519" s="19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84" t="s">
        <v>55</v>
      </c>
      <c r="B520" s="84" t="s">
        <v>42</v>
      </c>
      <c r="C520" s="84" t="s">
        <v>23</v>
      </c>
      <c r="D520" s="84" t="s">
        <v>43</v>
      </c>
      <c r="E520" s="84" t="s">
        <v>25</v>
      </c>
      <c r="F520" s="84" t="s">
        <v>25</v>
      </c>
      <c r="G520" s="84" t="s">
        <v>25</v>
      </c>
      <c r="H520" s="84" t="s">
        <v>25</v>
      </c>
      <c r="I520" s="90">
        <v>44713</v>
      </c>
      <c r="J520" s="91">
        <f>EFEITO!$J$520*EFEITO!$Y$386</f>
        <v>0</v>
      </c>
      <c r="K520" s="91">
        <f ca="1">EFEITO!$L$520*EFEITO!$Z$386</f>
        <v>2040.1262108328185</v>
      </c>
      <c r="L520" s="91">
        <f>EFEITO!$N$520*EFEITO!$AA$386</f>
        <v>1617.5769688796834</v>
      </c>
      <c r="M520" s="91">
        <f>$J$520-EFEITO!$K$520*EFEITO!$Y$520</f>
        <v>0</v>
      </c>
      <c r="N520" s="91">
        <f ca="1">$K$520-EFEITO!$M$520*EFEITO!$Z$520</f>
        <v>122.40757264996932</v>
      </c>
      <c r="O520" s="91">
        <f>$L$520-EFEITO!$O$520*EFEITO!$AA$520</f>
        <v>97.054618132781115</v>
      </c>
      <c r="P520" s="19"/>
      <c r="Q520" s="19"/>
      <c r="R520" s="19"/>
      <c r="S520" s="19"/>
      <c r="T520" s="19"/>
      <c r="U520" s="19"/>
      <c r="V520" s="19"/>
      <c r="W520" s="19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84" t="s">
        <v>21</v>
      </c>
      <c r="B521" s="84" t="s">
        <v>36</v>
      </c>
      <c r="C521" s="84" t="s">
        <v>32</v>
      </c>
      <c r="D521" s="84" t="s">
        <v>44</v>
      </c>
      <c r="E521" s="84" t="s">
        <v>25</v>
      </c>
      <c r="F521" s="84" t="s">
        <v>25</v>
      </c>
      <c r="G521" s="84" t="s">
        <v>25</v>
      </c>
      <c r="H521" s="84" t="s">
        <v>34</v>
      </c>
      <c r="I521" s="90">
        <v>44652</v>
      </c>
      <c r="J521" s="91">
        <f>EFEITO!$J$521*EFEITO!$Y$521</f>
        <v>0</v>
      </c>
      <c r="K521" s="91">
        <f ca="1">EFEITO!$L$521*EFEITO!$Z$521</f>
        <v>527.53495262095407</v>
      </c>
      <c r="L521" s="91">
        <f>EFEITO!$N$521*EFEITO!$AA$521</f>
        <v>469.50308289388516</v>
      </c>
      <c r="M521" s="91">
        <f>$J$521-EFEITO!$K$521*EFEITO!$Y$521</f>
        <v>0</v>
      </c>
      <c r="N521" s="91">
        <f ca="1">$K$521-EFEITO!$M$521*EFEITO!$Z$521</f>
        <v>0</v>
      </c>
      <c r="O521" s="91">
        <f>$L$521-EFEITO!$O$521*EFEITO!$AA$521</f>
        <v>0</v>
      </c>
      <c r="P521" s="19"/>
      <c r="Q521" s="19"/>
      <c r="R521" s="19"/>
      <c r="S521" s="19"/>
      <c r="T521" s="19"/>
      <c r="U521" s="19"/>
      <c r="V521" s="19"/>
      <c r="W521" s="19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84" t="s">
        <v>21</v>
      </c>
      <c r="B522" s="84" t="s">
        <v>36</v>
      </c>
      <c r="C522" s="84" t="s">
        <v>32</v>
      </c>
      <c r="D522" s="84" t="s">
        <v>44</v>
      </c>
      <c r="E522" s="84" t="s">
        <v>25</v>
      </c>
      <c r="F522" s="84" t="s">
        <v>25</v>
      </c>
      <c r="G522" s="84" t="s">
        <v>25</v>
      </c>
      <c r="H522" s="84" t="s">
        <v>34</v>
      </c>
      <c r="I522" s="90">
        <v>44682</v>
      </c>
      <c r="J522" s="91">
        <f>EFEITO!$J$522*EFEITO!$Y$522</f>
        <v>0</v>
      </c>
      <c r="K522" s="91">
        <f ca="1">EFEITO!$L$522*EFEITO!$Z$522</f>
        <v>564.8193778437884</v>
      </c>
      <c r="L522" s="91">
        <f>EFEITO!$N$522*EFEITO!$AA$522</f>
        <v>502.68600754954321</v>
      </c>
      <c r="M522" s="91">
        <f>$J$522-EFEITO!$K$522*EFEITO!$Y$522</f>
        <v>0</v>
      </c>
      <c r="N522" s="91">
        <f ca="1">$K$522-EFEITO!$M$522*EFEITO!$Z$522</f>
        <v>0</v>
      </c>
      <c r="O522" s="91">
        <f>$L$522-EFEITO!$O$522*EFEITO!$AA$522</f>
        <v>0</v>
      </c>
      <c r="P522" s="19"/>
      <c r="Q522" s="19"/>
      <c r="R522" s="19"/>
      <c r="S522" s="19"/>
      <c r="T522" s="19"/>
      <c r="U522" s="19"/>
      <c r="V522" s="19"/>
      <c r="W522" s="19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84" t="s">
        <v>55</v>
      </c>
      <c r="B523" s="84" t="s">
        <v>36</v>
      </c>
      <c r="C523" s="84" t="s">
        <v>32</v>
      </c>
      <c r="D523" s="84" t="s">
        <v>44</v>
      </c>
      <c r="E523" s="84" t="s">
        <v>25</v>
      </c>
      <c r="F523" s="84" t="s">
        <v>25</v>
      </c>
      <c r="G523" s="84" t="s">
        <v>25</v>
      </c>
      <c r="H523" s="84" t="s">
        <v>34</v>
      </c>
      <c r="I523" s="90">
        <v>44713</v>
      </c>
      <c r="J523" s="91">
        <f>EFEITO!$J$523*EFEITO!$Y$523</f>
        <v>0</v>
      </c>
      <c r="K523" s="91">
        <f ca="1">EFEITO!$L$523*EFEITO!$Z$523</f>
        <v>564.8193778437884</v>
      </c>
      <c r="L523" s="91">
        <f>EFEITO!$N$523*EFEITO!$AA$523</f>
        <v>502.68600754954321</v>
      </c>
      <c r="M523" s="91">
        <f>$J$523-EFEITO!$K$523*EFEITO!$Y$523</f>
        <v>0</v>
      </c>
      <c r="N523" s="91">
        <f ca="1">$K$523-EFEITO!$M$523*EFEITO!$Z$523</f>
        <v>0</v>
      </c>
      <c r="O523" s="91">
        <f>$L$523-EFEITO!$O$523*EFEITO!$AA$523</f>
        <v>0</v>
      </c>
      <c r="P523" s="19"/>
      <c r="Q523" s="19"/>
      <c r="R523" s="19"/>
      <c r="S523" s="19"/>
      <c r="T523" s="19"/>
      <c r="U523" s="19"/>
      <c r="V523" s="19"/>
      <c r="W523" s="19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84" t="s">
        <v>21</v>
      </c>
      <c r="B524" s="84" t="s">
        <v>36</v>
      </c>
      <c r="C524" s="84" t="s">
        <v>32</v>
      </c>
      <c r="D524" s="84" t="s">
        <v>44</v>
      </c>
      <c r="E524" s="84" t="s">
        <v>25</v>
      </c>
      <c r="F524" s="84" t="s">
        <v>25</v>
      </c>
      <c r="G524" s="84" t="s">
        <v>25</v>
      </c>
      <c r="H524" s="84" t="s">
        <v>35</v>
      </c>
      <c r="I524" s="90">
        <v>44652</v>
      </c>
      <c r="J524" s="91">
        <f>EFEITO!$J$524*EFEITO!$Y$524</f>
        <v>0</v>
      </c>
      <c r="K524" s="91">
        <f ca="1">EFEITO!$L$524*EFEITO!$Z$524</f>
        <v>40.986424890349817</v>
      </c>
      <c r="L524" s="91">
        <f>EFEITO!$N$524*EFEITO!$AA$524</f>
        <v>36.477683132106364</v>
      </c>
      <c r="M524" s="91">
        <f>$J$524-EFEITO!$K$524*EFEITO!$Y$524</f>
        <v>0</v>
      </c>
      <c r="N524" s="91">
        <f ca="1">$K$524-EFEITO!$M$524*EFEITO!$Z$524</f>
        <v>0</v>
      </c>
      <c r="O524" s="91">
        <f>$L$524-EFEITO!$O$524*EFEITO!$AA$524</f>
        <v>0</v>
      </c>
      <c r="P524" s="19"/>
      <c r="Q524" s="19"/>
      <c r="R524" s="19"/>
      <c r="S524" s="19"/>
      <c r="T524" s="19"/>
      <c r="U524" s="19"/>
      <c r="V524" s="19"/>
      <c r="W524" s="19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84" t="s">
        <v>21</v>
      </c>
      <c r="B525" s="84" t="s">
        <v>36</v>
      </c>
      <c r="C525" s="84" t="s">
        <v>32</v>
      </c>
      <c r="D525" s="84" t="s">
        <v>44</v>
      </c>
      <c r="E525" s="84" t="s">
        <v>25</v>
      </c>
      <c r="F525" s="84" t="s">
        <v>25</v>
      </c>
      <c r="G525" s="84" t="s">
        <v>25</v>
      </c>
      <c r="H525" s="84" t="s">
        <v>35</v>
      </c>
      <c r="I525" s="90">
        <v>44682</v>
      </c>
      <c r="J525" s="91">
        <f>EFEITO!$J$525*EFEITO!$Y$525</f>
        <v>0</v>
      </c>
      <c r="K525" s="91">
        <f ca="1">EFEITO!$L$525*EFEITO!$Z$525</f>
        <v>43.630710367146577</v>
      </c>
      <c r="L525" s="91">
        <f>EFEITO!$N$525*EFEITO!$AA$525</f>
        <v>38.831082043855162</v>
      </c>
      <c r="M525" s="91">
        <f>$J$525-EFEITO!$K$525*EFEITO!$Y$525</f>
        <v>0</v>
      </c>
      <c r="N525" s="91">
        <f ca="1">$K$525-EFEITO!$M$525*EFEITO!$Z$525</f>
        <v>0</v>
      </c>
      <c r="O525" s="91">
        <f>$L$525-EFEITO!$O$525*EFEITO!$AA$525</f>
        <v>0</v>
      </c>
      <c r="P525" s="19"/>
      <c r="Q525" s="19"/>
      <c r="R525" s="19"/>
      <c r="S525" s="19"/>
      <c r="T525" s="19"/>
      <c r="U525" s="19"/>
      <c r="V525" s="19"/>
      <c r="W525" s="19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84" t="s">
        <v>55</v>
      </c>
      <c r="B526" s="84" t="s">
        <v>36</v>
      </c>
      <c r="C526" s="84" t="s">
        <v>32</v>
      </c>
      <c r="D526" s="84" t="s">
        <v>44</v>
      </c>
      <c r="E526" s="84" t="s">
        <v>25</v>
      </c>
      <c r="F526" s="84" t="s">
        <v>25</v>
      </c>
      <c r="G526" s="84" t="s">
        <v>25</v>
      </c>
      <c r="H526" s="84" t="s">
        <v>35</v>
      </c>
      <c r="I526" s="90">
        <v>44713</v>
      </c>
      <c r="J526" s="91">
        <f>EFEITO!$J$526*EFEITO!$Y$526</f>
        <v>0</v>
      </c>
      <c r="K526" s="91">
        <f ca="1">EFEITO!$L$526*EFEITO!$Z$526</f>
        <v>43.630710367146577</v>
      </c>
      <c r="L526" s="91">
        <f>EFEITO!$N$526*EFEITO!$AA$526</f>
        <v>38.831082043855162</v>
      </c>
      <c r="M526" s="91">
        <f>$J$526-EFEITO!$K$526*EFEITO!$Y$526</f>
        <v>0</v>
      </c>
      <c r="N526" s="91">
        <f ca="1">$K$526-EFEITO!$M$526*EFEITO!$Z$526</f>
        <v>0</v>
      </c>
      <c r="O526" s="91">
        <f>$L$526-EFEITO!$O$526*EFEITO!$AA$526</f>
        <v>0</v>
      </c>
      <c r="P526" s="19"/>
      <c r="Q526" s="19"/>
      <c r="R526" s="19"/>
      <c r="S526" s="19"/>
      <c r="T526" s="19"/>
      <c r="U526" s="19"/>
      <c r="V526" s="19"/>
      <c r="W526" s="19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84" t="s">
        <v>21</v>
      </c>
      <c r="B527" s="84" t="s">
        <v>36</v>
      </c>
      <c r="C527" s="84" t="s">
        <v>32</v>
      </c>
      <c r="D527" s="84" t="s">
        <v>44</v>
      </c>
      <c r="E527" s="84" t="s">
        <v>25</v>
      </c>
      <c r="F527" s="84" t="s">
        <v>25</v>
      </c>
      <c r="G527" s="84" t="s">
        <v>25</v>
      </c>
      <c r="H527" s="84" t="s">
        <v>33</v>
      </c>
      <c r="I527" s="90">
        <v>44652</v>
      </c>
      <c r="J527" s="91">
        <f>EFEITO!$J$527*EFEITO!$Y$527</f>
        <v>0</v>
      </c>
      <c r="K527" s="91">
        <f ca="1">EFEITO!$L$527*EFEITO!$Z$527</f>
        <v>738.39591838592776</v>
      </c>
      <c r="L527" s="91">
        <f>EFEITO!$N$527*EFEITO!$AA$527</f>
        <v>355.03084329109953</v>
      </c>
      <c r="M527" s="91">
        <f>$J$527-EFEITO!$K$527*EFEITO!$Y$527</f>
        <v>0</v>
      </c>
      <c r="N527" s="91">
        <f ca="1">$K$527-EFEITO!$M$527*EFEITO!$Z$527</f>
        <v>0</v>
      </c>
      <c r="O527" s="91">
        <f>$L$527-EFEITO!$O$527*EFEITO!$AA$527</f>
        <v>0</v>
      </c>
      <c r="P527" s="19"/>
      <c r="Q527" s="19"/>
      <c r="R527" s="19"/>
      <c r="S527" s="19"/>
      <c r="T527" s="19"/>
      <c r="U527" s="19"/>
      <c r="V527" s="19"/>
      <c r="W527" s="19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84" t="s">
        <v>21</v>
      </c>
      <c r="B528" s="84" t="s">
        <v>36</v>
      </c>
      <c r="C528" s="84" t="s">
        <v>32</v>
      </c>
      <c r="D528" s="84" t="s">
        <v>44</v>
      </c>
      <c r="E528" s="84" t="s">
        <v>25</v>
      </c>
      <c r="F528" s="84" t="s">
        <v>25</v>
      </c>
      <c r="G528" s="84" t="s">
        <v>25</v>
      </c>
      <c r="H528" s="84" t="s">
        <v>33</v>
      </c>
      <c r="I528" s="90">
        <v>44682</v>
      </c>
      <c r="J528" s="91">
        <f>EFEITO!$J$528*EFEITO!$Y$528</f>
        <v>0</v>
      </c>
      <c r="K528" s="91">
        <f ca="1">EFEITO!$L$528*EFEITO!$Z$528</f>
        <v>91.88559074084975</v>
      </c>
      <c r="L528" s="91">
        <f>EFEITO!$N$528*EFEITO!$AA$528</f>
        <v>44.179847091157008</v>
      </c>
      <c r="M528" s="91">
        <f>$J$528-EFEITO!$K$528*EFEITO!$Y$528</f>
        <v>0</v>
      </c>
      <c r="N528" s="91">
        <f ca="1">$K$528-EFEITO!$M$528*EFEITO!$Z$528</f>
        <v>0</v>
      </c>
      <c r="O528" s="91">
        <f>$L$528-EFEITO!$O$528*EFEITO!$AA$528</f>
        <v>0</v>
      </c>
      <c r="P528" s="19"/>
      <c r="Q528" s="19"/>
      <c r="R528" s="19"/>
      <c r="S528" s="19"/>
      <c r="T528" s="19"/>
      <c r="U528" s="19"/>
      <c r="V528" s="19"/>
      <c r="W528" s="19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84" t="s">
        <v>55</v>
      </c>
      <c r="B529" s="84" t="s">
        <v>36</v>
      </c>
      <c r="C529" s="84" t="s">
        <v>32</v>
      </c>
      <c r="D529" s="84" t="s">
        <v>44</v>
      </c>
      <c r="E529" s="84" t="s">
        <v>25</v>
      </c>
      <c r="F529" s="84" t="s">
        <v>25</v>
      </c>
      <c r="G529" s="84" t="s">
        <v>25</v>
      </c>
      <c r="H529" s="84" t="s">
        <v>33</v>
      </c>
      <c r="I529" s="90">
        <v>44713</v>
      </c>
      <c r="J529" s="91">
        <f>EFEITO!$J$529*EFEITO!$Y$529</f>
        <v>0</v>
      </c>
      <c r="K529" s="91">
        <f ca="1">EFEITO!$L$529*EFEITO!$Z$529</f>
        <v>91.88559074084975</v>
      </c>
      <c r="L529" s="91">
        <f>EFEITO!$N$529*EFEITO!$AA$529</f>
        <v>44.179847091157008</v>
      </c>
      <c r="M529" s="91">
        <f>$J$529-EFEITO!$K$529*EFEITO!$Y$529</f>
        <v>0</v>
      </c>
      <c r="N529" s="91">
        <f ca="1">$K$529-EFEITO!$M$529*EFEITO!$Z$529</f>
        <v>0</v>
      </c>
      <c r="O529" s="91">
        <f>$L$529-EFEITO!$O$529*EFEITO!$AA$529</f>
        <v>0</v>
      </c>
      <c r="P529" s="19"/>
      <c r="Q529" s="19"/>
      <c r="R529" s="19"/>
      <c r="S529" s="19"/>
      <c r="T529" s="19"/>
      <c r="U529" s="19"/>
      <c r="V529" s="19"/>
      <c r="W529" s="19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84" t="s">
        <v>21</v>
      </c>
      <c r="B530" s="84" t="s">
        <v>36</v>
      </c>
      <c r="C530" s="84" t="s">
        <v>23</v>
      </c>
      <c r="D530" s="84" t="s">
        <v>40</v>
      </c>
      <c r="E530" s="84" t="s">
        <v>25</v>
      </c>
      <c r="F530" s="84" t="s">
        <v>25</v>
      </c>
      <c r="G530" s="84" t="s">
        <v>25</v>
      </c>
      <c r="H530" s="84" t="s">
        <v>25</v>
      </c>
      <c r="I530" s="90">
        <v>44378</v>
      </c>
      <c r="J530" s="91">
        <f>EFEITO!$J$530*EFEITO!$Y$530</f>
        <v>0</v>
      </c>
      <c r="K530" s="91">
        <f ca="1">EFEITO!$L$530*EFEITO!$Z$530</f>
        <v>166356.76945277536</v>
      </c>
      <c r="L530" s="91">
        <f>EFEITO!$N$530*EFEITO!$AA$530</f>
        <v>131901.09389074857</v>
      </c>
      <c r="M530" s="91">
        <f>$J$530-EFEITO!$K$530*EFEITO!$Y$530</f>
        <v>0</v>
      </c>
      <c r="N530" s="91">
        <f ca="1">$K$530-EFEITO!$M$530*EFEITO!$Z$530</f>
        <v>0</v>
      </c>
      <c r="O530" s="91">
        <f>$L$530-EFEITO!$O$530*EFEITO!$AA$530</f>
        <v>0</v>
      </c>
      <c r="P530" s="19"/>
      <c r="Q530" s="19"/>
      <c r="R530" s="19"/>
      <c r="S530" s="19"/>
      <c r="T530" s="19"/>
      <c r="U530" s="19"/>
      <c r="V530" s="19"/>
      <c r="W530" s="19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84" t="s">
        <v>41</v>
      </c>
      <c r="B531" s="84" t="s">
        <v>36</v>
      </c>
      <c r="C531" s="84" t="s">
        <v>23</v>
      </c>
      <c r="D531" s="84" t="s">
        <v>40</v>
      </c>
      <c r="E531" s="84" t="s">
        <v>25</v>
      </c>
      <c r="F531" s="84" t="s">
        <v>25</v>
      </c>
      <c r="G531" s="84" t="s">
        <v>25</v>
      </c>
      <c r="H531" s="84" t="s">
        <v>25</v>
      </c>
      <c r="I531" s="90">
        <v>44378</v>
      </c>
      <c r="J531" s="91">
        <f>EFEITO!$J$531*EFEITO!$Y$531</f>
        <v>0</v>
      </c>
      <c r="K531" s="91">
        <f ca="1">EFEITO!$L$531*EFEITO!$Z$531</f>
        <v>52.737529376813903</v>
      </c>
      <c r="L531" s="91">
        <f>EFEITO!$N$531*EFEITO!$AA$531</f>
        <v>41.81457620738373</v>
      </c>
      <c r="M531" s="91">
        <f>$J$531-EFEITO!$K$531*EFEITO!$Y$531</f>
        <v>0</v>
      </c>
      <c r="N531" s="91">
        <f ca="1">$K$531-EFEITO!$M$531*EFEITO!$Z$531</f>
        <v>0</v>
      </c>
      <c r="O531" s="91">
        <f>$L$531-EFEITO!$O$531*EFEITO!$AA$531</f>
        <v>0</v>
      </c>
      <c r="P531" s="19"/>
      <c r="Q531" s="19"/>
      <c r="R531" s="19"/>
      <c r="S531" s="19"/>
      <c r="T531" s="19"/>
      <c r="U531" s="19"/>
      <c r="V531" s="19"/>
      <c r="W531" s="19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84" t="s">
        <v>27</v>
      </c>
      <c r="B532" s="84" t="s">
        <v>36</v>
      </c>
      <c r="C532" s="84" t="s">
        <v>23</v>
      </c>
      <c r="D532" s="84" t="s">
        <v>40</v>
      </c>
      <c r="E532" s="84" t="s">
        <v>25</v>
      </c>
      <c r="F532" s="84" t="s">
        <v>25</v>
      </c>
      <c r="G532" s="84" t="s">
        <v>25</v>
      </c>
      <c r="H532" s="84" t="s">
        <v>25</v>
      </c>
      <c r="I532" s="90">
        <v>44378</v>
      </c>
      <c r="J532" s="91">
        <f>EFEITO!$J$532*EFEITO!$Y$532</f>
        <v>0</v>
      </c>
      <c r="K532" s="91">
        <f ca="1">EFEITO!$L$532*EFEITO!$Z$532</f>
        <v>16310.65052910639</v>
      </c>
      <c r="L532" s="91">
        <f>EFEITO!$N$532*EFEITO!$AA$532</f>
        <v>12932.402173568162</v>
      </c>
      <c r="M532" s="91">
        <f>$J$532-EFEITO!$K$532*EFEITO!$Y$532</f>
        <v>0</v>
      </c>
      <c r="N532" s="91">
        <f ca="1">$K$532-EFEITO!$M$532*EFEITO!$Z$532</f>
        <v>0</v>
      </c>
      <c r="O532" s="91">
        <f>$L$532-EFEITO!$O$532*EFEITO!$AA$532</f>
        <v>0</v>
      </c>
      <c r="P532" s="19"/>
      <c r="Q532" s="19"/>
      <c r="R532" s="19"/>
      <c r="S532" s="19"/>
      <c r="T532" s="19"/>
      <c r="U532" s="19"/>
      <c r="V532" s="19"/>
      <c r="W532" s="19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84" t="s">
        <v>21</v>
      </c>
      <c r="B533" s="84" t="s">
        <v>36</v>
      </c>
      <c r="C533" s="84" t="s">
        <v>23</v>
      </c>
      <c r="D533" s="84" t="s">
        <v>40</v>
      </c>
      <c r="E533" s="84" t="s">
        <v>25</v>
      </c>
      <c r="F533" s="84" t="s">
        <v>25</v>
      </c>
      <c r="G533" s="84" t="s">
        <v>25</v>
      </c>
      <c r="H533" s="84" t="s">
        <v>25</v>
      </c>
      <c r="I533" s="90">
        <v>44409</v>
      </c>
      <c r="J533" s="91">
        <f>EFEITO!$J$533*EFEITO!$Y$533</f>
        <v>0</v>
      </c>
      <c r="K533" s="91">
        <f ca="1">EFEITO!$L$533*EFEITO!$Z$533</f>
        <v>175600.59104538869</v>
      </c>
      <c r="L533" s="91">
        <f>EFEITO!$N$533*EFEITO!$AA$533</f>
        <v>139230.3428525273</v>
      </c>
      <c r="M533" s="91">
        <f>$J$533-EFEITO!$K$533*EFEITO!$Y$533</f>
        <v>0</v>
      </c>
      <c r="N533" s="91">
        <f ca="1">$K$533-EFEITO!$M$533*EFEITO!$Z$533</f>
        <v>0</v>
      </c>
      <c r="O533" s="91">
        <f>$L$533-EFEITO!$O$533*EFEITO!$AA$533</f>
        <v>0</v>
      </c>
      <c r="P533" s="19"/>
      <c r="Q533" s="19"/>
      <c r="R533" s="19"/>
      <c r="S533" s="19"/>
      <c r="T533" s="19"/>
      <c r="U533" s="19"/>
      <c r="V533" s="19"/>
      <c r="W533" s="19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84" t="s">
        <v>27</v>
      </c>
      <c r="B534" s="84" t="s">
        <v>36</v>
      </c>
      <c r="C534" s="84" t="s">
        <v>23</v>
      </c>
      <c r="D534" s="84" t="s">
        <v>40</v>
      </c>
      <c r="E534" s="84" t="s">
        <v>25</v>
      </c>
      <c r="F534" s="84" t="s">
        <v>25</v>
      </c>
      <c r="G534" s="84" t="s">
        <v>25</v>
      </c>
      <c r="H534" s="84" t="s">
        <v>25</v>
      </c>
      <c r="I534" s="90">
        <v>44409</v>
      </c>
      <c r="J534" s="91">
        <f>EFEITO!$J$534*EFEITO!$Y$534</f>
        <v>0</v>
      </c>
      <c r="K534" s="91">
        <f ca="1">EFEITO!$L$534*EFEITO!$Z$534</f>
        <v>14775.925641468037</v>
      </c>
      <c r="L534" s="91">
        <f>EFEITO!$N$534*EFEITO!$AA$534</f>
        <v>11715.548226675905</v>
      </c>
      <c r="M534" s="91">
        <f>$J$534-EFEITO!$K$534*EFEITO!$Y$534</f>
        <v>0</v>
      </c>
      <c r="N534" s="91">
        <f ca="1">$K$534-EFEITO!$M$534*EFEITO!$Z$534</f>
        <v>0</v>
      </c>
      <c r="O534" s="91">
        <f>$L$534-EFEITO!$O$534*EFEITO!$AA$534</f>
        <v>0</v>
      </c>
      <c r="P534" s="19"/>
      <c r="Q534" s="19"/>
      <c r="R534" s="19"/>
      <c r="S534" s="19"/>
      <c r="T534" s="19"/>
      <c r="U534" s="19"/>
      <c r="V534" s="19"/>
      <c r="W534" s="19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84" t="s">
        <v>21</v>
      </c>
      <c r="B535" s="84" t="s">
        <v>36</v>
      </c>
      <c r="C535" s="84" t="s">
        <v>23</v>
      </c>
      <c r="D535" s="84" t="s">
        <v>40</v>
      </c>
      <c r="E535" s="84" t="s">
        <v>25</v>
      </c>
      <c r="F535" s="84" t="s">
        <v>25</v>
      </c>
      <c r="G535" s="84" t="s">
        <v>25</v>
      </c>
      <c r="H535" s="84" t="s">
        <v>25</v>
      </c>
      <c r="I535" s="90">
        <v>44440</v>
      </c>
      <c r="J535" s="91">
        <f>EFEITO!$J$535*EFEITO!$Y$535</f>
        <v>0</v>
      </c>
      <c r="K535" s="91">
        <f ca="1">EFEITO!$L$535*EFEITO!$Z$535</f>
        <v>164574.05261151987</v>
      </c>
      <c r="L535" s="91">
        <f>EFEITO!$N$535*EFEITO!$AA$535</f>
        <v>130487.61187716684</v>
      </c>
      <c r="M535" s="91">
        <f>$J$535-EFEITO!$K$535*EFEITO!$Y$535</f>
        <v>0</v>
      </c>
      <c r="N535" s="91">
        <f ca="1">$K$535-EFEITO!$M$535*EFEITO!$Z$535</f>
        <v>0</v>
      </c>
      <c r="O535" s="91">
        <f>$L$535-EFEITO!$O$535*EFEITO!$AA$535</f>
        <v>0</v>
      </c>
      <c r="P535" s="19"/>
      <c r="Q535" s="19"/>
      <c r="R535" s="19"/>
      <c r="S535" s="19"/>
      <c r="T535" s="19"/>
      <c r="U535" s="19"/>
      <c r="V535" s="19"/>
      <c r="W535" s="19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84" t="s">
        <v>27</v>
      </c>
      <c r="B536" s="84" t="s">
        <v>36</v>
      </c>
      <c r="C536" s="84" t="s">
        <v>23</v>
      </c>
      <c r="D536" s="84" t="s">
        <v>40</v>
      </c>
      <c r="E536" s="84" t="s">
        <v>25</v>
      </c>
      <c r="F536" s="84" t="s">
        <v>25</v>
      </c>
      <c r="G536" s="84" t="s">
        <v>25</v>
      </c>
      <c r="H536" s="84" t="s">
        <v>25</v>
      </c>
      <c r="I536" s="90">
        <v>44440</v>
      </c>
      <c r="J536" s="91">
        <f>EFEITO!$J$536*EFEITO!$Y$536</f>
        <v>0</v>
      </c>
      <c r="K536" s="91">
        <f ca="1">EFEITO!$L$536*EFEITO!$Z$536</f>
        <v>13525.292801960735</v>
      </c>
      <c r="L536" s="91">
        <f>EFEITO!$N$536*EFEITO!$AA$536</f>
        <v>10723.945419472233</v>
      </c>
      <c r="M536" s="91">
        <f>$J$536-EFEITO!$K$536*EFEITO!$Y$536</f>
        <v>0</v>
      </c>
      <c r="N536" s="91">
        <f ca="1">$K$536-EFEITO!$M$536*EFEITO!$Z$536</f>
        <v>0</v>
      </c>
      <c r="O536" s="91">
        <f>$L$536-EFEITO!$O$536*EFEITO!$AA$536</f>
        <v>0</v>
      </c>
      <c r="P536" s="19"/>
      <c r="Q536" s="19"/>
      <c r="R536" s="19"/>
      <c r="S536" s="19"/>
      <c r="T536" s="19"/>
      <c r="U536" s="19"/>
      <c r="V536" s="19"/>
      <c r="W536" s="19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84" t="s">
        <v>27</v>
      </c>
      <c r="B537" s="84" t="s">
        <v>36</v>
      </c>
      <c r="C537" s="84" t="s">
        <v>23</v>
      </c>
      <c r="D537" s="84" t="s">
        <v>40</v>
      </c>
      <c r="E537" s="84" t="s">
        <v>25</v>
      </c>
      <c r="F537" s="84" t="s">
        <v>25</v>
      </c>
      <c r="G537" s="84" t="s">
        <v>25</v>
      </c>
      <c r="H537" s="84" t="s">
        <v>25</v>
      </c>
      <c r="I537" s="90">
        <v>44440</v>
      </c>
      <c r="J537" s="91">
        <f>EFEITO!$J$537*EFEITO!$Y$537</f>
        <v>0</v>
      </c>
      <c r="K537" s="91">
        <f ca="1">EFEITO!$L$537*EFEITO!$Z$537</f>
        <v>172.02479820532153</v>
      </c>
      <c r="L537" s="91">
        <f>EFEITO!$N$537*EFEITO!$AA$537</f>
        <v>136.39516524789454</v>
      </c>
      <c r="M537" s="91">
        <f>$J$537-EFEITO!$K$537*EFEITO!$Y$537</f>
        <v>0</v>
      </c>
      <c r="N537" s="91">
        <f ca="1">$K$537-EFEITO!$M$537*EFEITO!$Z$537</f>
        <v>0</v>
      </c>
      <c r="O537" s="91">
        <f>$L$537-EFEITO!$O$537*EFEITO!$AA$537</f>
        <v>0</v>
      </c>
      <c r="P537" s="19"/>
      <c r="Q537" s="19"/>
      <c r="R537" s="19"/>
      <c r="S537" s="19"/>
      <c r="T537" s="19"/>
      <c r="U537" s="19"/>
      <c r="V537" s="19"/>
      <c r="W537" s="19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84" t="s">
        <v>21</v>
      </c>
      <c r="B538" s="84" t="s">
        <v>36</v>
      </c>
      <c r="C538" s="84" t="s">
        <v>23</v>
      </c>
      <c r="D538" s="84" t="s">
        <v>40</v>
      </c>
      <c r="E538" s="84" t="s">
        <v>25</v>
      </c>
      <c r="F538" s="84" t="s">
        <v>25</v>
      </c>
      <c r="G538" s="84" t="s">
        <v>25</v>
      </c>
      <c r="H538" s="84" t="s">
        <v>25</v>
      </c>
      <c r="I538" s="90">
        <v>44470</v>
      </c>
      <c r="J538" s="91">
        <f>EFEITO!$J$538*EFEITO!$Y$538</f>
        <v>0</v>
      </c>
      <c r="K538" s="91">
        <f ca="1">EFEITO!$L$538*EFEITO!$Z$538</f>
        <v>167226.93868749283</v>
      </c>
      <c r="L538" s="91">
        <f>EFEITO!$N$538*EFEITO!$AA$538</f>
        <v>132591.03439817042</v>
      </c>
      <c r="M538" s="91">
        <f>$J$538-EFEITO!$K$538*EFEITO!$Y$538</f>
        <v>0</v>
      </c>
      <c r="N538" s="91">
        <f ca="1">$K$538-EFEITO!$M$538*EFEITO!$Z$538</f>
        <v>0</v>
      </c>
      <c r="O538" s="91">
        <f>$L$538-EFEITO!$O$538*EFEITO!$AA$538</f>
        <v>0</v>
      </c>
      <c r="P538" s="19"/>
      <c r="Q538" s="19"/>
      <c r="R538" s="19"/>
      <c r="S538" s="19"/>
      <c r="T538" s="19"/>
      <c r="U538" s="19"/>
      <c r="V538" s="19"/>
      <c r="W538" s="19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84" t="s">
        <v>27</v>
      </c>
      <c r="B539" s="84" t="s">
        <v>36</v>
      </c>
      <c r="C539" s="84" t="s">
        <v>23</v>
      </c>
      <c r="D539" s="84" t="s">
        <v>40</v>
      </c>
      <c r="E539" s="84" t="s">
        <v>25</v>
      </c>
      <c r="F539" s="84" t="s">
        <v>25</v>
      </c>
      <c r="G539" s="84" t="s">
        <v>25</v>
      </c>
      <c r="H539" s="84" t="s">
        <v>25</v>
      </c>
      <c r="I539" s="90">
        <v>44470</v>
      </c>
      <c r="J539" s="91">
        <f>EFEITO!$J$539*EFEITO!$Y$539</f>
        <v>0</v>
      </c>
      <c r="K539" s="91">
        <f ca="1">EFEITO!$L$539*EFEITO!$Z$539</f>
        <v>10951.826933918352</v>
      </c>
      <c r="L539" s="91">
        <f>EFEITO!$N$539*EFEITO!$AA$539</f>
        <v>8683.4936590666875</v>
      </c>
      <c r="M539" s="91">
        <f>$J$539-EFEITO!$K$539*EFEITO!$Y$539</f>
        <v>0</v>
      </c>
      <c r="N539" s="91">
        <f ca="1">$K$539-EFEITO!$M$539*EFEITO!$Z$539</f>
        <v>0</v>
      </c>
      <c r="O539" s="91">
        <f>$L$539-EFEITO!$O$539*EFEITO!$AA$539</f>
        <v>0</v>
      </c>
      <c r="P539" s="19"/>
      <c r="Q539" s="19"/>
      <c r="R539" s="19"/>
      <c r="S539" s="19"/>
      <c r="T539" s="19"/>
      <c r="U539" s="19"/>
      <c r="V539" s="19"/>
      <c r="W539" s="19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84" t="s">
        <v>21</v>
      </c>
      <c r="B540" s="84" t="s">
        <v>36</v>
      </c>
      <c r="C540" s="84" t="s">
        <v>23</v>
      </c>
      <c r="D540" s="84" t="s">
        <v>40</v>
      </c>
      <c r="E540" s="84" t="s">
        <v>25</v>
      </c>
      <c r="F540" s="84" t="s">
        <v>25</v>
      </c>
      <c r="G540" s="84" t="s">
        <v>25</v>
      </c>
      <c r="H540" s="84" t="s">
        <v>25</v>
      </c>
      <c r="I540" s="90">
        <v>44501</v>
      </c>
      <c r="J540" s="91">
        <f>EFEITO!$J$540*EFEITO!$Y$540</f>
        <v>0</v>
      </c>
      <c r="K540" s="91">
        <f ca="1">EFEITO!$L$540*EFEITO!$Z$540</f>
        <v>226231.44447191808</v>
      </c>
      <c r="L540" s="91">
        <f>EFEITO!$N$540*EFEITO!$AA$540</f>
        <v>179374.57607819824</v>
      </c>
      <c r="M540" s="91">
        <f>$J$540-EFEITO!$K$540*EFEITO!$Y$540</f>
        <v>0</v>
      </c>
      <c r="N540" s="91">
        <f ca="1">$K$540-EFEITO!$M$540*EFEITO!$Z$540</f>
        <v>0</v>
      </c>
      <c r="O540" s="91">
        <f>$L$540-EFEITO!$O$540*EFEITO!$AA$540</f>
        <v>0</v>
      </c>
      <c r="P540" s="19"/>
      <c r="Q540" s="19"/>
      <c r="R540" s="19"/>
      <c r="S540" s="19"/>
      <c r="T540" s="19"/>
      <c r="U540" s="19"/>
      <c r="V540" s="19"/>
      <c r="W540" s="19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84" t="s">
        <v>27</v>
      </c>
      <c r="B541" s="84" t="s">
        <v>36</v>
      </c>
      <c r="C541" s="84" t="s">
        <v>23</v>
      </c>
      <c r="D541" s="84" t="s">
        <v>40</v>
      </c>
      <c r="E541" s="84" t="s">
        <v>25</v>
      </c>
      <c r="F541" s="84" t="s">
        <v>25</v>
      </c>
      <c r="G541" s="84" t="s">
        <v>25</v>
      </c>
      <c r="H541" s="84" t="s">
        <v>25</v>
      </c>
      <c r="I541" s="90">
        <v>44501</v>
      </c>
      <c r="J541" s="91">
        <f>EFEITO!$J$541*EFEITO!$Y$541</f>
        <v>0</v>
      </c>
      <c r="K541" s="91">
        <f ca="1">EFEITO!$L$541*EFEITO!$Z$541</f>
        <v>14582.240786554383</v>
      </c>
      <c r="L541" s="91">
        <f>EFEITO!$N$541*EFEITO!$AA$541</f>
        <v>11561.97921762855</v>
      </c>
      <c r="M541" s="91">
        <f>$J$541-EFEITO!$K$541*EFEITO!$Y$541</f>
        <v>0</v>
      </c>
      <c r="N541" s="91">
        <f ca="1">$K$541-EFEITO!$M$541*EFEITO!$Z$541</f>
        <v>0</v>
      </c>
      <c r="O541" s="91">
        <f>$L$541-EFEITO!$O$541*EFEITO!$AA$541</f>
        <v>0</v>
      </c>
      <c r="P541" s="19"/>
      <c r="Q541" s="19"/>
      <c r="R541" s="19"/>
      <c r="S541" s="19"/>
      <c r="T541" s="19"/>
      <c r="U541" s="19"/>
      <c r="V541" s="19"/>
      <c r="W541" s="19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84" t="s">
        <v>21</v>
      </c>
      <c r="B542" s="84" t="s">
        <v>36</v>
      </c>
      <c r="C542" s="84" t="s">
        <v>23</v>
      </c>
      <c r="D542" s="84" t="s">
        <v>40</v>
      </c>
      <c r="E542" s="84" t="s">
        <v>25</v>
      </c>
      <c r="F542" s="84" t="s">
        <v>25</v>
      </c>
      <c r="G542" s="84" t="s">
        <v>25</v>
      </c>
      <c r="H542" s="84" t="s">
        <v>25</v>
      </c>
      <c r="I542" s="90">
        <v>44531</v>
      </c>
      <c r="J542" s="91">
        <f>EFEITO!$J$542*EFEITO!$Y$542</f>
        <v>0</v>
      </c>
      <c r="K542" s="91">
        <f ca="1">EFEITO!$L$542*EFEITO!$Z$542</f>
        <v>255266.27961864221</v>
      </c>
      <c r="L542" s="91">
        <f>EFEITO!$N$542*EFEITO!$AA$542</f>
        <v>202395.74034694553</v>
      </c>
      <c r="M542" s="91">
        <f>$J$542-EFEITO!$K$542*EFEITO!$Y$542</f>
        <v>0</v>
      </c>
      <c r="N542" s="91">
        <f ca="1">$K$542-EFEITO!$M$542*EFEITO!$Z$542</f>
        <v>0</v>
      </c>
      <c r="O542" s="91">
        <f>$L$542-EFEITO!$O$542*EFEITO!$AA$542</f>
        <v>0</v>
      </c>
      <c r="P542" s="19"/>
      <c r="Q542" s="19"/>
      <c r="R542" s="19"/>
      <c r="S542" s="19"/>
      <c r="T542" s="19"/>
      <c r="U542" s="19"/>
      <c r="V542" s="19"/>
      <c r="W542" s="19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84" t="s">
        <v>27</v>
      </c>
      <c r="B543" s="84" t="s">
        <v>36</v>
      </c>
      <c r="C543" s="84" t="s">
        <v>23</v>
      </c>
      <c r="D543" s="84" t="s">
        <v>40</v>
      </c>
      <c r="E543" s="84" t="s">
        <v>25</v>
      </c>
      <c r="F543" s="84" t="s">
        <v>25</v>
      </c>
      <c r="G543" s="84" t="s">
        <v>25</v>
      </c>
      <c r="H543" s="84" t="s">
        <v>25</v>
      </c>
      <c r="I543" s="90">
        <v>44531</v>
      </c>
      <c r="J543" s="91">
        <f>EFEITO!$J$543*EFEITO!$Y$543</f>
        <v>0</v>
      </c>
      <c r="K543" s="91">
        <f ca="1">EFEITO!$L$543*EFEITO!$Z$543</f>
        <v>15079.480349250054</v>
      </c>
      <c r="L543" s="91">
        <f>EFEITO!$N$543*EFEITO!$AA$543</f>
        <v>11956.230936155309</v>
      </c>
      <c r="M543" s="91">
        <f>$J$543-EFEITO!$K$543*EFEITO!$Y$543</f>
        <v>0</v>
      </c>
      <c r="N543" s="91">
        <f ca="1">$K$543-EFEITO!$M$543*EFEITO!$Z$543</f>
        <v>0</v>
      </c>
      <c r="O543" s="91">
        <f>$L$543-EFEITO!$O$543*EFEITO!$AA$543</f>
        <v>0</v>
      </c>
      <c r="P543" s="19"/>
      <c r="Q543" s="19"/>
      <c r="R543" s="19"/>
      <c r="S543" s="19"/>
      <c r="T543" s="19"/>
      <c r="U543" s="19"/>
      <c r="V543" s="19"/>
      <c r="W543" s="19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84" t="s">
        <v>21</v>
      </c>
      <c r="B544" s="84" t="s">
        <v>36</v>
      </c>
      <c r="C544" s="84" t="s">
        <v>23</v>
      </c>
      <c r="D544" s="84" t="s">
        <v>40</v>
      </c>
      <c r="E544" s="84" t="s">
        <v>25</v>
      </c>
      <c r="F544" s="84" t="s">
        <v>25</v>
      </c>
      <c r="G544" s="84" t="s">
        <v>25</v>
      </c>
      <c r="H544" s="84" t="s">
        <v>25</v>
      </c>
      <c r="I544" s="90">
        <v>44562</v>
      </c>
      <c r="J544" s="91">
        <f>EFEITO!$J$544*EFEITO!$Y$544</f>
        <v>0</v>
      </c>
      <c r="K544" s="91">
        <f ca="1">EFEITO!$L$544*EFEITO!$Z$544</f>
        <v>270842.05778899195</v>
      </c>
      <c r="L544" s="91">
        <f>EFEITO!$N$544*EFEITO!$AA$544</f>
        <v>214745.47631276675</v>
      </c>
      <c r="M544" s="91">
        <f>$J$544-EFEITO!$K$544*EFEITO!$Y$544</f>
        <v>0</v>
      </c>
      <c r="N544" s="91">
        <f ca="1">$K$544-EFEITO!$M$544*EFEITO!$Z$544</f>
        <v>0</v>
      </c>
      <c r="O544" s="91">
        <f>$L$544-EFEITO!$O$544*EFEITO!$AA$544</f>
        <v>0</v>
      </c>
      <c r="P544" s="19"/>
      <c r="Q544" s="19"/>
      <c r="R544" s="19"/>
      <c r="S544" s="19"/>
      <c r="T544" s="19"/>
      <c r="U544" s="19"/>
      <c r="V544" s="19"/>
      <c r="W544" s="19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84" t="s">
        <v>27</v>
      </c>
      <c r="B545" s="84" t="s">
        <v>36</v>
      </c>
      <c r="C545" s="84" t="s">
        <v>23</v>
      </c>
      <c r="D545" s="84" t="s">
        <v>40</v>
      </c>
      <c r="E545" s="84" t="s">
        <v>25</v>
      </c>
      <c r="F545" s="84" t="s">
        <v>25</v>
      </c>
      <c r="G545" s="84" t="s">
        <v>25</v>
      </c>
      <c r="H545" s="84" t="s">
        <v>25</v>
      </c>
      <c r="I545" s="90">
        <v>44562</v>
      </c>
      <c r="J545" s="91">
        <f>EFEITO!$J$545*EFEITO!$Y$545</f>
        <v>0</v>
      </c>
      <c r="K545" s="91">
        <f ca="1">EFEITO!$L$545*EFEITO!$Z$545</f>
        <v>17944.258284326268</v>
      </c>
      <c r="L545" s="91">
        <f>EFEITO!$N$545*EFEITO!$AA$545</f>
        <v>14227.658450849261</v>
      </c>
      <c r="M545" s="91">
        <f>$J$545-EFEITO!$K$545*EFEITO!$Y$545</f>
        <v>0</v>
      </c>
      <c r="N545" s="91">
        <f ca="1">$K$545-EFEITO!$M$545*EFEITO!$Z$545</f>
        <v>0</v>
      </c>
      <c r="O545" s="91">
        <f>$L$545-EFEITO!$O$545*EFEITO!$AA$545</f>
        <v>0</v>
      </c>
      <c r="P545" s="19"/>
      <c r="Q545" s="19"/>
      <c r="R545" s="19"/>
      <c r="S545" s="19"/>
      <c r="T545" s="19"/>
      <c r="U545" s="19"/>
      <c r="V545" s="19"/>
      <c r="W545" s="19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84" t="s">
        <v>21</v>
      </c>
      <c r="B546" s="84" t="s">
        <v>36</v>
      </c>
      <c r="C546" s="84" t="s">
        <v>23</v>
      </c>
      <c r="D546" s="84" t="s">
        <v>40</v>
      </c>
      <c r="E546" s="84" t="s">
        <v>25</v>
      </c>
      <c r="F546" s="84" t="s">
        <v>25</v>
      </c>
      <c r="G546" s="84" t="s">
        <v>25</v>
      </c>
      <c r="H546" s="84" t="s">
        <v>25</v>
      </c>
      <c r="I546" s="90">
        <v>44593</v>
      </c>
      <c r="J546" s="91">
        <f>EFEITO!$J$546*EFEITO!$Y$546</f>
        <v>0</v>
      </c>
      <c r="K546" s="91">
        <f ca="1">EFEITO!$L$546*EFEITO!$Z$546</f>
        <v>242100.41819249367</v>
      </c>
      <c r="L546" s="91">
        <f>EFEITO!$N$546*EFEITO!$AA$546</f>
        <v>191956.78117602956</v>
      </c>
      <c r="M546" s="91">
        <f>$J$546-EFEITO!$K$546*EFEITO!$Y$546</f>
        <v>0</v>
      </c>
      <c r="N546" s="91">
        <f ca="1">$K$546-EFEITO!$M$546*EFEITO!$Z$546</f>
        <v>0</v>
      </c>
      <c r="O546" s="91">
        <f>$L$546-EFEITO!$O$546*EFEITO!$AA$546</f>
        <v>0</v>
      </c>
      <c r="P546" s="19"/>
      <c r="Q546" s="19"/>
      <c r="R546" s="19"/>
      <c r="S546" s="19"/>
      <c r="T546" s="19"/>
      <c r="U546" s="19"/>
      <c r="V546" s="19"/>
      <c r="W546" s="19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84" t="s">
        <v>27</v>
      </c>
      <c r="B547" s="84" t="s">
        <v>36</v>
      </c>
      <c r="C547" s="84" t="s">
        <v>23</v>
      </c>
      <c r="D547" s="84" t="s">
        <v>40</v>
      </c>
      <c r="E547" s="84" t="s">
        <v>25</v>
      </c>
      <c r="F547" s="84" t="s">
        <v>25</v>
      </c>
      <c r="G547" s="84" t="s">
        <v>25</v>
      </c>
      <c r="H547" s="84" t="s">
        <v>25</v>
      </c>
      <c r="I547" s="90">
        <v>44593</v>
      </c>
      <c r="J547" s="91">
        <f>EFEITO!$J$547*EFEITO!$Y$547</f>
        <v>0</v>
      </c>
      <c r="K547" s="91">
        <f ca="1">EFEITO!$L$547*EFEITO!$Z$547</f>
        <v>15326.5305612712</v>
      </c>
      <c r="L547" s="91">
        <f>EFEITO!$N$547*EFEITO!$AA$547</f>
        <v>12152.112313983946</v>
      </c>
      <c r="M547" s="91">
        <f>$J$547-EFEITO!$K$547*EFEITO!$Y$547</f>
        <v>0</v>
      </c>
      <c r="N547" s="91">
        <f ca="1">$K$547-EFEITO!$M$547*EFEITO!$Z$547</f>
        <v>0</v>
      </c>
      <c r="O547" s="91">
        <f>$L$547-EFEITO!$O$547*EFEITO!$AA$547</f>
        <v>0</v>
      </c>
      <c r="P547" s="19"/>
      <c r="Q547" s="19"/>
      <c r="R547" s="19"/>
      <c r="S547" s="19"/>
      <c r="T547" s="19"/>
      <c r="U547" s="19"/>
      <c r="V547" s="19"/>
      <c r="W547" s="19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84" t="s">
        <v>21</v>
      </c>
      <c r="B548" s="84" t="s">
        <v>36</v>
      </c>
      <c r="C548" s="84" t="s">
        <v>23</v>
      </c>
      <c r="D548" s="84" t="s">
        <v>40</v>
      </c>
      <c r="E548" s="84" t="s">
        <v>25</v>
      </c>
      <c r="F548" s="84" t="s">
        <v>25</v>
      </c>
      <c r="G548" s="84" t="s">
        <v>25</v>
      </c>
      <c r="H548" s="84" t="s">
        <v>25</v>
      </c>
      <c r="I548" s="90">
        <v>44621</v>
      </c>
      <c r="J548" s="91">
        <f>EFEITO!$J$548*EFEITO!$Y$548</f>
        <v>0</v>
      </c>
      <c r="K548" s="91">
        <f ca="1">EFEITO!$L$548*EFEITO!$Z$548</f>
        <v>259107.01576105482</v>
      </c>
      <c r="L548" s="91">
        <f>EFEITO!$N$548*EFEITO!$AA$548</f>
        <v>205440.98641776302</v>
      </c>
      <c r="M548" s="91">
        <f>$J$548-EFEITO!$K$548*EFEITO!$Y$548</f>
        <v>0</v>
      </c>
      <c r="N548" s="91">
        <f ca="1">$K$548-EFEITO!$M$548*EFEITO!$Z$548</f>
        <v>0</v>
      </c>
      <c r="O548" s="91">
        <f>$L$548-EFEITO!$O$548*EFEITO!$AA$548</f>
        <v>0</v>
      </c>
      <c r="P548" s="19"/>
      <c r="Q548" s="19"/>
      <c r="R548" s="19"/>
      <c r="S548" s="19"/>
      <c r="T548" s="19"/>
      <c r="U548" s="19"/>
      <c r="V548" s="19"/>
      <c r="W548" s="19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84" t="s">
        <v>27</v>
      </c>
      <c r="B549" s="84" t="s">
        <v>36</v>
      </c>
      <c r="C549" s="84" t="s">
        <v>23</v>
      </c>
      <c r="D549" s="84" t="s">
        <v>40</v>
      </c>
      <c r="E549" s="84" t="s">
        <v>25</v>
      </c>
      <c r="F549" s="84" t="s">
        <v>25</v>
      </c>
      <c r="G549" s="84" t="s">
        <v>25</v>
      </c>
      <c r="H549" s="84" t="s">
        <v>25</v>
      </c>
      <c r="I549" s="90">
        <v>44621</v>
      </c>
      <c r="J549" s="91">
        <f>EFEITO!$J$549*EFEITO!$Y$549</f>
        <v>0</v>
      </c>
      <c r="K549" s="91">
        <f ca="1">EFEITO!$L$549*EFEITO!$Z$549</f>
        <v>21105.998736012396</v>
      </c>
      <c r="L549" s="91">
        <f>EFEITO!$N$549*EFEITO!$AA$549</f>
        <v>16734.541852996696</v>
      </c>
      <c r="M549" s="91">
        <f>$J$549-EFEITO!$K$549*EFEITO!$Y$549</f>
        <v>0</v>
      </c>
      <c r="N549" s="91">
        <f ca="1">$K$549-EFEITO!$M$549*EFEITO!$Z$549</f>
        <v>0</v>
      </c>
      <c r="O549" s="91">
        <f>$L$549-EFEITO!$O$549*EFEITO!$AA$549</f>
        <v>0</v>
      </c>
      <c r="P549" s="19"/>
      <c r="Q549" s="19"/>
      <c r="R549" s="19"/>
      <c r="S549" s="19"/>
      <c r="T549" s="19"/>
      <c r="U549" s="19"/>
      <c r="V549" s="19"/>
      <c r="W549" s="19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84" t="s">
        <v>21</v>
      </c>
      <c r="B550" s="84" t="s">
        <v>36</v>
      </c>
      <c r="C550" s="84" t="s">
        <v>23</v>
      </c>
      <c r="D550" s="84" t="s">
        <v>40</v>
      </c>
      <c r="E550" s="84" t="s">
        <v>25</v>
      </c>
      <c r="F550" s="84" t="s">
        <v>25</v>
      </c>
      <c r="G550" s="84" t="s">
        <v>25</v>
      </c>
      <c r="H550" s="84" t="s">
        <v>25</v>
      </c>
      <c r="I550" s="90">
        <v>44652</v>
      </c>
      <c r="J550" s="91">
        <f>EFEITO!$J$550*EFEITO!$Y$550</f>
        <v>0</v>
      </c>
      <c r="K550" s="91">
        <f ca="1">EFEITO!$L$550*EFEITO!$Z$550</f>
        <v>174854.73170134521</v>
      </c>
      <c r="L550" s="91">
        <f>EFEITO!$N$550*EFEITO!$AA$550</f>
        <v>138638.96527473719</v>
      </c>
      <c r="M550" s="91">
        <f>$J$550-EFEITO!$K$550*EFEITO!$Y$550</f>
        <v>0</v>
      </c>
      <c r="N550" s="91">
        <f ca="1">$K$550-EFEITO!$M$550*EFEITO!$Z$550</f>
        <v>0</v>
      </c>
      <c r="O550" s="91">
        <f>$L$550-EFEITO!$O$550*EFEITO!$AA$550</f>
        <v>0</v>
      </c>
      <c r="P550" s="19"/>
      <c r="Q550" s="19"/>
      <c r="R550" s="19"/>
      <c r="S550" s="19"/>
      <c r="T550" s="19"/>
      <c r="U550" s="19"/>
      <c r="V550" s="19"/>
      <c r="W550" s="19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84" t="s">
        <v>27</v>
      </c>
      <c r="B551" s="84" t="s">
        <v>36</v>
      </c>
      <c r="C551" s="84" t="s">
        <v>23</v>
      </c>
      <c r="D551" s="84" t="s">
        <v>40</v>
      </c>
      <c r="E551" s="84" t="s">
        <v>25</v>
      </c>
      <c r="F551" s="84" t="s">
        <v>25</v>
      </c>
      <c r="G551" s="84" t="s">
        <v>25</v>
      </c>
      <c r="H551" s="84" t="s">
        <v>25</v>
      </c>
      <c r="I551" s="90">
        <v>44652</v>
      </c>
      <c r="J551" s="91">
        <f>EFEITO!$J$551*EFEITO!$Y$551</f>
        <v>0</v>
      </c>
      <c r="K551" s="91">
        <f ca="1">EFEITO!$L$551*EFEITO!$Z$551</f>
        <v>15606.855643018194</v>
      </c>
      <c r="L551" s="91">
        <f>EFEITO!$N$551*EFEITO!$AA$551</f>
        <v>12374.376698229147</v>
      </c>
      <c r="M551" s="91">
        <f>$J$551-EFEITO!$K$551*EFEITO!$Y$551</f>
        <v>0</v>
      </c>
      <c r="N551" s="91">
        <f ca="1">$K$551-EFEITO!$M$551*EFEITO!$Z$551</f>
        <v>0</v>
      </c>
      <c r="O551" s="91">
        <f>$L$551-EFEITO!$O$551*EFEITO!$AA$551</f>
        <v>0</v>
      </c>
      <c r="P551" s="19"/>
      <c r="Q551" s="19"/>
      <c r="R551" s="19"/>
      <c r="S551" s="19"/>
      <c r="T551" s="19"/>
      <c r="U551" s="19"/>
      <c r="V551" s="19"/>
      <c r="W551" s="19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84" t="s">
        <v>21</v>
      </c>
      <c r="B552" s="84" t="s">
        <v>36</v>
      </c>
      <c r="C552" s="84" t="s">
        <v>23</v>
      </c>
      <c r="D552" s="84" t="s">
        <v>40</v>
      </c>
      <c r="E552" s="84" t="s">
        <v>25</v>
      </c>
      <c r="F552" s="84" t="s">
        <v>25</v>
      </c>
      <c r="G552" s="84" t="s">
        <v>25</v>
      </c>
      <c r="H552" s="84" t="s">
        <v>25</v>
      </c>
      <c r="I552" s="90">
        <v>44682</v>
      </c>
      <c r="J552" s="91">
        <f>EFEITO!$J$552*EFEITO!$Y$552</f>
        <v>0</v>
      </c>
      <c r="K552" s="91">
        <f ca="1">EFEITO!$L$552*EFEITO!$Z$552</f>
        <v>178556.71791527834</v>
      </c>
      <c r="L552" s="91">
        <f>EFEITO!$N$552*EFEITO!$AA$552</f>
        <v>141574.19918672336</v>
      </c>
      <c r="M552" s="91">
        <f>$J$552-EFEITO!$K$552*EFEITO!$Y$552</f>
        <v>0</v>
      </c>
      <c r="N552" s="91">
        <f ca="1">$K$552-EFEITO!$M$552*EFEITO!$Z$552</f>
        <v>0</v>
      </c>
      <c r="O552" s="91">
        <f>$L$552-EFEITO!$O$552*EFEITO!$AA$552</f>
        <v>0</v>
      </c>
      <c r="P552" s="19"/>
      <c r="Q552" s="19"/>
      <c r="R552" s="19"/>
      <c r="S552" s="19"/>
      <c r="T552" s="19"/>
      <c r="U552" s="19"/>
      <c r="V552" s="19"/>
      <c r="W552" s="19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84" t="s">
        <v>27</v>
      </c>
      <c r="B553" s="84" t="s">
        <v>36</v>
      </c>
      <c r="C553" s="84" t="s">
        <v>23</v>
      </c>
      <c r="D553" s="84" t="s">
        <v>40</v>
      </c>
      <c r="E553" s="84" t="s">
        <v>25</v>
      </c>
      <c r="F553" s="84" t="s">
        <v>25</v>
      </c>
      <c r="G553" s="84" t="s">
        <v>25</v>
      </c>
      <c r="H553" s="84" t="s">
        <v>25</v>
      </c>
      <c r="I553" s="90">
        <v>44682</v>
      </c>
      <c r="J553" s="91">
        <f>EFEITO!$J$553*EFEITO!$Y$553</f>
        <v>0</v>
      </c>
      <c r="K553" s="91">
        <f ca="1">EFEITO!$L$553*EFEITO!$Z$553</f>
        <v>23491.116284851872</v>
      </c>
      <c r="L553" s="91">
        <f>EFEITO!$N$553*EFEITO!$AA$553</f>
        <v>18625.655841233012</v>
      </c>
      <c r="M553" s="91">
        <f>$J$553-EFEITO!$K$553*EFEITO!$Y$553</f>
        <v>0</v>
      </c>
      <c r="N553" s="91">
        <f ca="1">$K$553-EFEITO!$M$553*EFEITO!$Z$553</f>
        <v>0</v>
      </c>
      <c r="O553" s="91">
        <f>$L$553-EFEITO!$O$553*EFEITO!$AA$553</f>
        <v>0</v>
      </c>
      <c r="P553" s="19"/>
      <c r="Q553" s="19"/>
      <c r="R553" s="19"/>
      <c r="S553" s="19"/>
      <c r="T553" s="19"/>
      <c r="U553" s="19"/>
      <c r="V553" s="19"/>
      <c r="W553" s="19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84" t="s">
        <v>55</v>
      </c>
      <c r="B554" s="84" t="s">
        <v>36</v>
      </c>
      <c r="C554" s="84" t="s">
        <v>23</v>
      </c>
      <c r="D554" s="84" t="s">
        <v>40</v>
      </c>
      <c r="E554" s="84" t="s">
        <v>25</v>
      </c>
      <c r="F554" s="84" t="s">
        <v>25</v>
      </c>
      <c r="G554" s="84" t="s">
        <v>25</v>
      </c>
      <c r="H554" s="84" t="s">
        <v>25</v>
      </c>
      <c r="I554" s="90">
        <v>44713</v>
      </c>
      <c r="J554" s="91">
        <f>EFEITO!$J$554*EFEITO!$Y$554</f>
        <v>0</v>
      </c>
      <c r="K554" s="91">
        <f ca="1">EFEITO!$L$554*EFEITO!$Z$554</f>
        <v>178556.71791527834</v>
      </c>
      <c r="L554" s="91">
        <f>EFEITO!$N$554*EFEITO!$AA$554</f>
        <v>141574.19918672336</v>
      </c>
      <c r="M554" s="91">
        <f>$J$554-EFEITO!$K$554*EFEITO!$Y$554</f>
        <v>0</v>
      </c>
      <c r="N554" s="91">
        <f ca="1">$K$554-EFEITO!$M$554*EFEITO!$Z$554</f>
        <v>0</v>
      </c>
      <c r="O554" s="91">
        <f>$L$554-EFEITO!$O$554*EFEITO!$AA$554</f>
        <v>0</v>
      </c>
      <c r="P554" s="19"/>
      <c r="Q554" s="19"/>
      <c r="R554" s="19"/>
      <c r="S554" s="19"/>
      <c r="T554" s="19"/>
      <c r="U554" s="19"/>
      <c r="V554" s="19"/>
      <c r="W554" s="19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84" t="s">
        <v>55</v>
      </c>
      <c r="B555" s="84" t="s">
        <v>36</v>
      </c>
      <c r="C555" s="84" t="s">
        <v>23</v>
      </c>
      <c r="D555" s="84" t="s">
        <v>40</v>
      </c>
      <c r="E555" s="84" t="s">
        <v>25</v>
      </c>
      <c r="F555" s="84" t="s">
        <v>25</v>
      </c>
      <c r="G555" s="84" t="s">
        <v>25</v>
      </c>
      <c r="H555" s="84" t="s">
        <v>25</v>
      </c>
      <c r="I555" s="90">
        <v>44713</v>
      </c>
      <c r="J555" s="91">
        <f>EFEITO!$J$555*EFEITO!$Y$555</f>
        <v>0</v>
      </c>
      <c r="K555" s="91">
        <f ca="1">EFEITO!$L$555*EFEITO!$Z$555</f>
        <v>23491.116284851872</v>
      </c>
      <c r="L555" s="91">
        <f>EFEITO!$N$555*EFEITO!$AA$555</f>
        <v>18625.655841233012</v>
      </c>
      <c r="M555" s="91">
        <f>$J$555-EFEITO!$K$555*EFEITO!$Y$555</f>
        <v>0</v>
      </c>
      <c r="N555" s="91">
        <f ca="1">$K$555-EFEITO!$M$555*EFEITO!$Z$555</f>
        <v>0</v>
      </c>
      <c r="O555" s="91">
        <f>$L$555-EFEITO!$O$555*EFEITO!$AA$555</f>
        <v>0</v>
      </c>
      <c r="P555" s="19"/>
      <c r="Q555" s="19"/>
      <c r="R555" s="19"/>
      <c r="S555" s="19"/>
      <c r="T555" s="19"/>
      <c r="U555" s="19"/>
      <c r="V555" s="19"/>
      <c r="W555" s="19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84" t="s">
        <v>21</v>
      </c>
      <c r="B556" s="84" t="s">
        <v>36</v>
      </c>
      <c r="C556" s="84" t="s">
        <v>23</v>
      </c>
      <c r="D556" s="84" t="s">
        <v>51</v>
      </c>
      <c r="E556" s="84" t="s">
        <v>25</v>
      </c>
      <c r="F556" s="84" t="s">
        <v>25</v>
      </c>
      <c r="G556" s="84" t="s">
        <v>25</v>
      </c>
      <c r="H556" s="84" t="s">
        <v>25</v>
      </c>
      <c r="I556" s="90">
        <v>44378</v>
      </c>
      <c r="J556" s="91">
        <f>EFEITO!$J$556*EFEITO!$Y$556</f>
        <v>0</v>
      </c>
      <c r="K556" s="91">
        <f ca="1">EFEITO!$L$556*EFEITO!$Z$556</f>
        <v>2523.2396495882745</v>
      </c>
      <c r="L556" s="91">
        <f>EFEITO!$N$556*EFEITO!$AA$556</f>
        <v>2000.6283544937523</v>
      </c>
      <c r="M556" s="91">
        <f>$J$556-EFEITO!$K$556*EFEITO!$Y$556</f>
        <v>0</v>
      </c>
      <c r="N556" s="91">
        <f ca="1">$K$556-EFEITO!$M$556*EFEITO!$Z$556</f>
        <v>0</v>
      </c>
      <c r="O556" s="91">
        <f>$L$556-EFEITO!$O$556*EFEITO!$AA$556</f>
        <v>0</v>
      </c>
      <c r="P556" s="19"/>
      <c r="Q556" s="19"/>
      <c r="R556" s="19"/>
      <c r="S556" s="19"/>
      <c r="T556" s="19"/>
      <c r="U556" s="19"/>
      <c r="V556" s="19"/>
      <c r="W556" s="19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84" t="s">
        <v>21</v>
      </c>
      <c r="B557" s="84" t="s">
        <v>36</v>
      </c>
      <c r="C557" s="84" t="s">
        <v>23</v>
      </c>
      <c r="D557" s="84" t="s">
        <v>51</v>
      </c>
      <c r="E557" s="84" t="s">
        <v>25</v>
      </c>
      <c r="F557" s="84" t="s">
        <v>25</v>
      </c>
      <c r="G557" s="84" t="s">
        <v>25</v>
      </c>
      <c r="H557" s="84" t="s">
        <v>25</v>
      </c>
      <c r="I557" s="90">
        <v>44409</v>
      </c>
      <c r="J557" s="91">
        <f>EFEITO!$J$557*EFEITO!$Y$557</f>
        <v>0</v>
      </c>
      <c r="K557" s="91">
        <f ca="1">EFEITO!$L$557*EFEITO!$Z$557</f>
        <v>2408.9750026051779</v>
      </c>
      <c r="L557" s="91">
        <f>EFEITO!$N$557*EFEITO!$AA$557</f>
        <v>1910.030106044421</v>
      </c>
      <c r="M557" s="91">
        <f>$J$557-EFEITO!$K$557*EFEITO!$Y$557</f>
        <v>0</v>
      </c>
      <c r="N557" s="91">
        <f ca="1">$K$557-EFEITO!$M$557*EFEITO!$Z$557</f>
        <v>0</v>
      </c>
      <c r="O557" s="91">
        <f>$L$557-EFEITO!$O$557*EFEITO!$AA$557</f>
        <v>0</v>
      </c>
      <c r="P557" s="19"/>
      <c r="Q557" s="19"/>
      <c r="R557" s="19"/>
      <c r="S557" s="19"/>
      <c r="T557" s="19"/>
      <c r="U557" s="19"/>
      <c r="V557" s="19"/>
      <c r="W557" s="19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84" t="s">
        <v>21</v>
      </c>
      <c r="B558" s="84" t="s">
        <v>36</v>
      </c>
      <c r="C558" s="84" t="s">
        <v>23</v>
      </c>
      <c r="D558" s="84" t="s">
        <v>51</v>
      </c>
      <c r="E558" s="84" t="s">
        <v>25</v>
      </c>
      <c r="F558" s="84" t="s">
        <v>25</v>
      </c>
      <c r="G558" s="84" t="s">
        <v>25</v>
      </c>
      <c r="H558" s="84" t="s">
        <v>25</v>
      </c>
      <c r="I558" s="90">
        <v>44440</v>
      </c>
      <c r="J558" s="91">
        <f>EFEITO!$J$558*EFEITO!$Y$558</f>
        <v>0</v>
      </c>
      <c r="K558" s="91">
        <f ca="1">EFEITO!$L$558*EFEITO!$Z$558</f>
        <v>2128.3360069928467</v>
      </c>
      <c r="L558" s="91">
        <f>EFEITO!$N$558*EFEITO!$AA$558</f>
        <v>1687.5168255122719</v>
      </c>
      <c r="M558" s="91">
        <f>$J$558-EFEITO!$K$558*EFEITO!$Y$558</f>
        <v>0</v>
      </c>
      <c r="N558" s="91">
        <f ca="1">$K$558-EFEITO!$M$558*EFEITO!$Z$558</f>
        <v>0</v>
      </c>
      <c r="O558" s="91">
        <f>$L$558-EFEITO!$O$558*EFEITO!$AA$558</f>
        <v>0</v>
      </c>
      <c r="P558" s="19"/>
      <c r="Q558" s="19"/>
      <c r="R558" s="19"/>
      <c r="S558" s="19"/>
      <c r="T558" s="19"/>
      <c r="U558" s="19"/>
      <c r="V558" s="19"/>
      <c r="W558" s="19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84" t="s">
        <v>21</v>
      </c>
      <c r="B559" s="84" t="s">
        <v>36</v>
      </c>
      <c r="C559" s="84" t="s">
        <v>23</v>
      </c>
      <c r="D559" s="84" t="s">
        <v>51</v>
      </c>
      <c r="E559" s="84" t="s">
        <v>25</v>
      </c>
      <c r="F559" s="84" t="s">
        <v>25</v>
      </c>
      <c r="G559" s="84" t="s">
        <v>25</v>
      </c>
      <c r="H559" s="84" t="s">
        <v>25</v>
      </c>
      <c r="I559" s="90">
        <v>44470</v>
      </c>
      <c r="J559" s="91">
        <f>EFEITO!$J$559*EFEITO!$Y$559</f>
        <v>0</v>
      </c>
      <c r="K559" s="91">
        <f ca="1">EFEITO!$L$559*EFEITO!$Z$559</f>
        <v>2237.8919459958706</v>
      </c>
      <c r="L559" s="91">
        <f>EFEITO!$N$559*EFEITO!$AA$559</f>
        <v>1774.3816296573725</v>
      </c>
      <c r="M559" s="91">
        <f>$J$559-EFEITO!$K$559*EFEITO!$Y$559</f>
        <v>0</v>
      </c>
      <c r="N559" s="91">
        <f ca="1">$K$559-EFEITO!$M$559*EFEITO!$Z$559</f>
        <v>0</v>
      </c>
      <c r="O559" s="91">
        <f>$L$559-EFEITO!$O$559*EFEITO!$AA$559</f>
        <v>0</v>
      </c>
      <c r="P559" s="19"/>
      <c r="Q559" s="19"/>
      <c r="R559" s="19"/>
      <c r="S559" s="19"/>
      <c r="T559" s="19"/>
      <c r="U559" s="19"/>
      <c r="V559" s="19"/>
      <c r="W559" s="19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84" t="s">
        <v>21</v>
      </c>
      <c r="B560" s="84" t="s">
        <v>36</v>
      </c>
      <c r="C560" s="84" t="s">
        <v>23</v>
      </c>
      <c r="D560" s="84" t="s">
        <v>51</v>
      </c>
      <c r="E560" s="84" t="s">
        <v>25</v>
      </c>
      <c r="F560" s="84" t="s">
        <v>25</v>
      </c>
      <c r="G560" s="84" t="s">
        <v>25</v>
      </c>
      <c r="H560" s="84" t="s">
        <v>25</v>
      </c>
      <c r="I560" s="90">
        <v>44501</v>
      </c>
      <c r="J560" s="91">
        <f>EFEITO!$J$560*EFEITO!$Y$560</f>
        <v>0</v>
      </c>
      <c r="K560" s="91">
        <f ca="1">EFEITO!$L$560*EFEITO!$Z$560</f>
        <v>2806.0760422579729</v>
      </c>
      <c r="L560" s="91">
        <f>EFEITO!$N$560*EFEITO!$AA$560</f>
        <v>2224.8839090345423</v>
      </c>
      <c r="M560" s="91">
        <f>$J$560-EFEITO!$K$560*EFEITO!$Y$560</f>
        <v>0</v>
      </c>
      <c r="N560" s="91">
        <f ca="1">$K$560-EFEITO!$M$560*EFEITO!$Z$560</f>
        <v>0</v>
      </c>
      <c r="O560" s="91">
        <f>$L$560-EFEITO!$O$560*EFEITO!$AA$560</f>
        <v>0</v>
      </c>
      <c r="P560" s="19"/>
      <c r="Q560" s="19"/>
      <c r="R560" s="19"/>
      <c r="S560" s="19"/>
      <c r="T560" s="19"/>
      <c r="U560" s="19"/>
      <c r="V560" s="19"/>
      <c r="W560" s="19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84" t="s">
        <v>21</v>
      </c>
      <c r="B561" s="84" t="s">
        <v>36</v>
      </c>
      <c r="C561" s="84" t="s">
        <v>23</v>
      </c>
      <c r="D561" s="84" t="s">
        <v>51</v>
      </c>
      <c r="E561" s="84" t="s">
        <v>25</v>
      </c>
      <c r="F561" s="84" t="s">
        <v>25</v>
      </c>
      <c r="G561" s="84" t="s">
        <v>25</v>
      </c>
      <c r="H561" s="84" t="s">
        <v>25</v>
      </c>
      <c r="I561" s="90">
        <v>44531</v>
      </c>
      <c r="J561" s="91">
        <f>EFEITO!$J$561*EFEITO!$Y$561</f>
        <v>0</v>
      </c>
      <c r="K561" s="91">
        <f ca="1">EFEITO!$L$561*EFEITO!$Z$561</f>
        <v>2947.3372816601527</v>
      </c>
      <c r="L561" s="91">
        <f>EFEITO!$N$561*EFEITO!$AA$561</f>
        <v>2336.8872381614628</v>
      </c>
      <c r="M561" s="91">
        <f>$J$561-EFEITO!$K$561*EFEITO!$Y$561</f>
        <v>0</v>
      </c>
      <c r="N561" s="91">
        <f ca="1">$K$561-EFEITO!$M$561*EFEITO!$Z$561</f>
        <v>0</v>
      </c>
      <c r="O561" s="91">
        <f>$L$561-EFEITO!$O$561*EFEITO!$AA$561</f>
        <v>0</v>
      </c>
      <c r="P561" s="19"/>
      <c r="Q561" s="19"/>
      <c r="R561" s="19"/>
      <c r="S561" s="19"/>
      <c r="T561" s="19"/>
      <c r="U561" s="19"/>
      <c r="V561" s="19"/>
      <c r="W561" s="19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84" t="s">
        <v>21</v>
      </c>
      <c r="B562" s="84" t="s">
        <v>36</v>
      </c>
      <c r="C562" s="84" t="s">
        <v>23</v>
      </c>
      <c r="D562" s="84" t="s">
        <v>51</v>
      </c>
      <c r="E562" s="84" t="s">
        <v>25</v>
      </c>
      <c r="F562" s="84" t="s">
        <v>25</v>
      </c>
      <c r="G562" s="84" t="s">
        <v>25</v>
      </c>
      <c r="H562" s="84" t="s">
        <v>25</v>
      </c>
      <c r="I562" s="90">
        <v>44562</v>
      </c>
      <c r="J562" s="91">
        <f>EFEITO!$J$562*EFEITO!$Y$562</f>
        <v>0</v>
      </c>
      <c r="K562" s="91">
        <f ca="1">EFEITO!$L$562*EFEITO!$Z$562</f>
        <v>3469.0621258522046</v>
      </c>
      <c r="L562" s="91">
        <f>EFEITO!$N$562*EFEITO!$AA$562</f>
        <v>2750.5528670702238</v>
      </c>
      <c r="M562" s="91">
        <f>$J$562-EFEITO!$K$562*EFEITO!$Y$562</f>
        <v>0</v>
      </c>
      <c r="N562" s="91">
        <f ca="1">$K$562-EFEITO!$M$562*EFEITO!$Z$562</f>
        <v>0</v>
      </c>
      <c r="O562" s="91">
        <f>$L$562-EFEITO!$O$562*EFEITO!$AA$562</f>
        <v>0</v>
      </c>
      <c r="P562" s="19"/>
      <c r="Q562" s="19"/>
      <c r="R562" s="19"/>
      <c r="S562" s="19"/>
      <c r="T562" s="19"/>
      <c r="U562" s="19"/>
      <c r="V562" s="19"/>
      <c r="W562" s="19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84" t="s">
        <v>21</v>
      </c>
      <c r="B563" s="84" t="s">
        <v>36</v>
      </c>
      <c r="C563" s="84" t="s">
        <v>23</v>
      </c>
      <c r="D563" s="84" t="s">
        <v>51</v>
      </c>
      <c r="E563" s="84" t="s">
        <v>25</v>
      </c>
      <c r="F563" s="84" t="s">
        <v>25</v>
      </c>
      <c r="G563" s="84" t="s">
        <v>25</v>
      </c>
      <c r="H563" s="84" t="s">
        <v>25</v>
      </c>
      <c r="I563" s="90">
        <v>44593</v>
      </c>
      <c r="J563" s="91">
        <f>EFEITO!$J$563*EFEITO!$Y$563</f>
        <v>0</v>
      </c>
      <c r="K563" s="91">
        <f ca="1">EFEITO!$L$563*EFEITO!$Z$563</f>
        <v>3104.9220420599181</v>
      </c>
      <c r="L563" s="91">
        <f>EFEITO!$N$563*EFEITO!$AA$563</f>
        <v>2461.8331742097171</v>
      </c>
      <c r="M563" s="91">
        <f>$J$563-EFEITO!$K$563*EFEITO!$Y$563</f>
        <v>0</v>
      </c>
      <c r="N563" s="91">
        <f ca="1">$K$563-EFEITO!$M$563*EFEITO!$Z$563</f>
        <v>0</v>
      </c>
      <c r="O563" s="91">
        <f>$L$563-EFEITO!$O$563*EFEITO!$AA$563</f>
        <v>0</v>
      </c>
      <c r="P563" s="19"/>
      <c r="Q563" s="19"/>
      <c r="R563" s="19"/>
      <c r="S563" s="19"/>
      <c r="T563" s="19"/>
      <c r="U563" s="19"/>
      <c r="V563" s="19"/>
      <c r="W563" s="19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84" t="s">
        <v>21</v>
      </c>
      <c r="B564" s="84" t="s">
        <v>36</v>
      </c>
      <c r="C564" s="84" t="s">
        <v>23</v>
      </c>
      <c r="D564" s="84" t="s">
        <v>51</v>
      </c>
      <c r="E564" s="84" t="s">
        <v>25</v>
      </c>
      <c r="F564" s="84" t="s">
        <v>25</v>
      </c>
      <c r="G564" s="84" t="s">
        <v>25</v>
      </c>
      <c r="H564" s="84" t="s">
        <v>25</v>
      </c>
      <c r="I564" s="90">
        <v>44621</v>
      </c>
      <c r="J564" s="91">
        <f>EFEITO!$J$564*EFEITO!$Y$564</f>
        <v>0</v>
      </c>
      <c r="K564" s="91">
        <f ca="1">EFEITO!$L$564*EFEITO!$Z$564</f>
        <v>3144.7891029578673</v>
      </c>
      <c r="L564" s="91">
        <f>EFEITO!$N$564*EFEITO!$AA$564</f>
        <v>2493.4430026522036</v>
      </c>
      <c r="M564" s="91">
        <f>$J$564-EFEITO!$K$564*EFEITO!$Y$564</f>
        <v>0</v>
      </c>
      <c r="N564" s="91">
        <f ca="1">$K$564-EFEITO!$M$564*EFEITO!$Z$564</f>
        <v>0</v>
      </c>
      <c r="O564" s="91">
        <f>$L$564-EFEITO!$O$564*EFEITO!$AA$564</f>
        <v>0</v>
      </c>
      <c r="P564" s="19"/>
      <c r="Q564" s="19"/>
      <c r="R564" s="19"/>
      <c r="S564" s="19"/>
      <c r="T564" s="19"/>
      <c r="U564" s="19"/>
      <c r="V564" s="19"/>
      <c r="W564" s="19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84" t="s">
        <v>21</v>
      </c>
      <c r="B565" s="84" t="s">
        <v>36</v>
      </c>
      <c r="C565" s="84" t="s">
        <v>23</v>
      </c>
      <c r="D565" s="84" t="s">
        <v>51</v>
      </c>
      <c r="E565" s="84" t="s">
        <v>25</v>
      </c>
      <c r="F565" s="84" t="s">
        <v>25</v>
      </c>
      <c r="G565" s="84" t="s">
        <v>25</v>
      </c>
      <c r="H565" s="84" t="s">
        <v>25</v>
      </c>
      <c r="I565" s="90">
        <v>44652</v>
      </c>
      <c r="J565" s="91">
        <f>EFEITO!$J$565*EFEITO!$Y$565</f>
        <v>0</v>
      </c>
      <c r="K565" s="91">
        <f ca="1">EFEITO!$L$565*EFEITO!$Z$565</f>
        <v>2437.8550782162902</v>
      </c>
      <c r="L565" s="91">
        <f>EFEITO!$N$565*EFEITO!$AA$565</f>
        <v>1932.9285644437025</v>
      </c>
      <c r="M565" s="91">
        <f>$J$565-EFEITO!$K$565*EFEITO!$Y$565</f>
        <v>0</v>
      </c>
      <c r="N565" s="91">
        <f ca="1">$K$565-EFEITO!$M$565*EFEITO!$Z$565</f>
        <v>0</v>
      </c>
      <c r="O565" s="91">
        <f>$L$565-EFEITO!$O$565*EFEITO!$AA$565</f>
        <v>0</v>
      </c>
      <c r="P565" s="19"/>
      <c r="Q565" s="19"/>
      <c r="R565" s="19"/>
      <c r="S565" s="19"/>
      <c r="T565" s="19"/>
      <c r="U565" s="19"/>
      <c r="V565" s="19"/>
      <c r="W565" s="19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84" t="s">
        <v>21</v>
      </c>
      <c r="B566" s="84" t="s">
        <v>36</v>
      </c>
      <c r="C566" s="84" t="s">
        <v>23</v>
      </c>
      <c r="D566" s="84" t="s">
        <v>51</v>
      </c>
      <c r="E566" s="84" t="s">
        <v>25</v>
      </c>
      <c r="F566" s="84" t="s">
        <v>25</v>
      </c>
      <c r="G566" s="84" t="s">
        <v>25</v>
      </c>
      <c r="H566" s="84" t="s">
        <v>25</v>
      </c>
      <c r="I566" s="90">
        <v>44682</v>
      </c>
      <c r="J566" s="91">
        <f>EFEITO!$J$566*EFEITO!$Y$566</f>
        <v>0</v>
      </c>
      <c r="K566" s="91">
        <f ca="1">EFEITO!$L$566*EFEITO!$Z$566</f>
        <v>2190.4909523298056</v>
      </c>
      <c r="L566" s="91">
        <f>EFEITO!$N$566*EFEITO!$AA$566</f>
        <v>1736.7982903281168</v>
      </c>
      <c r="M566" s="91">
        <f>$J$566-EFEITO!$K$566*EFEITO!$Y$566</f>
        <v>0</v>
      </c>
      <c r="N566" s="91">
        <f ca="1">$K$566-EFEITO!$M$566*EFEITO!$Z$566</f>
        <v>0</v>
      </c>
      <c r="O566" s="91">
        <f>$L$566-EFEITO!$O$566*EFEITO!$AA$566</f>
        <v>0</v>
      </c>
      <c r="P566" s="19"/>
      <c r="Q566" s="19"/>
      <c r="R566" s="19"/>
      <c r="S566" s="19"/>
      <c r="T566" s="19"/>
      <c r="U566" s="19"/>
      <c r="V566" s="19"/>
      <c r="W566" s="19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84" t="s">
        <v>55</v>
      </c>
      <c r="B567" s="84" t="s">
        <v>36</v>
      </c>
      <c r="C567" s="84" t="s">
        <v>23</v>
      </c>
      <c r="D567" s="84" t="s">
        <v>51</v>
      </c>
      <c r="E567" s="84" t="s">
        <v>25</v>
      </c>
      <c r="F567" s="84" t="s">
        <v>25</v>
      </c>
      <c r="G567" s="84" t="s">
        <v>25</v>
      </c>
      <c r="H567" s="84" t="s">
        <v>25</v>
      </c>
      <c r="I567" s="90">
        <v>44713</v>
      </c>
      <c r="J567" s="91">
        <f>EFEITO!$J$567*EFEITO!$Y$567</f>
        <v>0</v>
      </c>
      <c r="K567" s="91">
        <f ca="1">EFEITO!$L$567*EFEITO!$Z$567</f>
        <v>2190.4909523298056</v>
      </c>
      <c r="L567" s="91">
        <f>EFEITO!$N$567*EFEITO!$AA$567</f>
        <v>1736.7982903281168</v>
      </c>
      <c r="M567" s="91">
        <f>$J$567-EFEITO!$K$567*EFEITO!$Y$567</f>
        <v>0</v>
      </c>
      <c r="N567" s="91">
        <f ca="1">$K$567-EFEITO!$M$567*EFEITO!$Z$567</f>
        <v>0</v>
      </c>
      <c r="O567" s="91">
        <f>$L$567-EFEITO!$O$567*EFEITO!$AA$567</f>
        <v>0</v>
      </c>
      <c r="P567" s="19"/>
      <c r="Q567" s="19"/>
      <c r="R567" s="19"/>
      <c r="S567" s="19"/>
      <c r="T567" s="19"/>
      <c r="U567" s="19"/>
      <c r="V567" s="19"/>
      <c r="W567" s="19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84" t="s">
        <v>21</v>
      </c>
      <c r="B568" s="84" t="s">
        <v>36</v>
      </c>
      <c r="C568" s="84" t="s">
        <v>23</v>
      </c>
      <c r="D568" s="84" t="s">
        <v>37</v>
      </c>
      <c r="E568" s="84" t="s">
        <v>25</v>
      </c>
      <c r="F568" s="84" t="s">
        <v>25</v>
      </c>
      <c r="G568" s="84" t="s">
        <v>25</v>
      </c>
      <c r="H568" s="84" t="s">
        <v>25</v>
      </c>
      <c r="I568" s="90">
        <v>44378</v>
      </c>
      <c r="J568" s="91">
        <f>EFEITO!$J$568*EFEITO!$Y$568</f>
        <v>0</v>
      </c>
      <c r="K568" s="91">
        <f ca="1">EFEITO!$L$568*EFEITO!$Z$568</f>
        <v>50786.868617602464</v>
      </c>
      <c r="L568" s="91">
        <f>EFEITO!$N$568*EFEITO!$AA$568</f>
        <v>40267.934680284423</v>
      </c>
      <c r="M568" s="91">
        <f>$J$568-EFEITO!$K$568*EFEITO!$Y$568</f>
        <v>0</v>
      </c>
      <c r="N568" s="91">
        <f ca="1">$K$568-EFEITO!$M$568*EFEITO!$Z$568</f>
        <v>0</v>
      </c>
      <c r="O568" s="91">
        <f>$L$568-EFEITO!$O$568*EFEITO!$AA$568</f>
        <v>0</v>
      </c>
      <c r="P568" s="19"/>
      <c r="Q568" s="19"/>
      <c r="R568" s="19"/>
      <c r="S568" s="19"/>
      <c r="T568" s="19"/>
      <c r="U568" s="19"/>
      <c r="V568" s="19"/>
      <c r="W568" s="19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84" t="s">
        <v>27</v>
      </c>
      <c r="B569" s="84" t="s">
        <v>36</v>
      </c>
      <c r="C569" s="84" t="s">
        <v>23</v>
      </c>
      <c r="D569" s="84" t="s">
        <v>37</v>
      </c>
      <c r="E569" s="84" t="s">
        <v>25</v>
      </c>
      <c r="F569" s="84" t="s">
        <v>25</v>
      </c>
      <c r="G569" s="84" t="s">
        <v>25</v>
      </c>
      <c r="H569" s="84" t="s">
        <v>25</v>
      </c>
      <c r="I569" s="90">
        <v>44378</v>
      </c>
      <c r="J569" s="91">
        <f>EFEITO!$J$569*EFEITO!$Y$569</f>
        <v>0</v>
      </c>
      <c r="K569" s="91">
        <f ca="1">EFEITO!$L$569*EFEITO!$Z$569</f>
        <v>3964.732119221188</v>
      </c>
      <c r="L569" s="91">
        <f>EFEITO!$N$569*EFEITO!$AA$569</f>
        <v>3143.5601041622413</v>
      </c>
      <c r="M569" s="91">
        <f>$J$569-EFEITO!$K$569*EFEITO!$Y$569</f>
        <v>0</v>
      </c>
      <c r="N569" s="91">
        <f ca="1">$K$569-EFEITO!$M$569*EFEITO!$Z$569</f>
        <v>0</v>
      </c>
      <c r="O569" s="91">
        <f>$L$569-EFEITO!$O$569*EFEITO!$AA$569</f>
        <v>0</v>
      </c>
      <c r="P569" s="19"/>
      <c r="Q569" s="19"/>
      <c r="R569" s="19"/>
      <c r="S569" s="19"/>
      <c r="T569" s="19"/>
      <c r="U569" s="19"/>
      <c r="V569" s="19"/>
      <c r="W569" s="19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84" t="s">
        <v>21</v>
      </c>
      <c r="B570" s="84" t="s">
        <v>36</v>
      </c>
      <c r="C570" s="84" t="s">
        <v>23</v>
      </c>
      <c r="D570" s="84" t="s">
        <v>37</v>
      </c>
      <c r="E570" s="84" t="s">
        <v>25</v>
      </c>
      <c r="F570" s="84" t="s">
        <v>25</v>
      </c>
      <c r="G570" s="84" t="s">
        <v>25</v>
      </c>
      <c r="H570" s="84" t="s">
        <v>25</v>
      </c>
      <c r="I570" s="90">
        <v>44409</v>
      </c>
      <c r="J570" s="91">
        <f>EFEITO!$J$570*EFEITO!$Y$570</f>
        <v>0</v>
      </c>
      <c r="K570" s="91">
        <f ca="1">EFEITO!$L$570*EFEITO!$Z$570</f>
        <v>42558.244465492804</v>
      </c>
      <c r="L570" s="91">
        <f>EFEITO!$N$570*EFEITO!$AA$570</f>
        <v>33743.616310497826</v>
      </c>
      <c r="M570" s="91">
        <f>$J$570-EFEITO!$K$570*EFEITO!$Y$570</f>
        <v>0</v>
      </c>
      <c r="N570" s="91">
        <f ca="1">$K$570-EFEITO!$M$570*EFEITO!$Z$570</f>
        <v>0</v>
      </c>
      <c r="O570" s="91">
        <f>$L$570-EFEITO!$O$570*EFEITO!$AA$570</f>
        <v>0</v>
      </c>
      <c r="P570" s="19"/>
      <c r="Q570" s="19"/>
      <c r="R570" s="19"/>
      <c r="S570" s="19"/>
      <c r="T570" s="19"/>
      <c r="U570" s="19"/>
      <c r="V570" s="19"/>
      <c r="W570" s="19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84" t="s">
        <v>27</v>
      </c>
      <c r="B571" s="84" t="s">
        <v>36</v>
      </c>
      <c r="C571" s="84" t="s">
        <v>23</v>
      </c>
      <c r="D571" s="84" t="s">
        <v>37</v>
      </c>
      <c r="E571" s="84" t="s">
        <v>25</v>
      </c>
      <c r="F571" s="84" t="s">
        <v>25</v>
      </c>
      <c r="G571" s="84" t="s">
        <v>25</v>
      </c>
      <c r="H571" s="84" t="s">
        <v>25</v>
      </c>
      <c r="I571" s="90">
        <v>44409</v>
      </c>
      <c r="J571" s="91">
        <f>EFEITO!$J$571*EFEITO!$Y$571</f>
        <v>0</v>
      </c>
      <c r="K571" s="91">
        <f ca="1">EFEITO!$L$571*EFEITO!$Z$571</f>
        <v>7710.0384465709894</v>
      </c>
      <c r="L571" s="91">
        <f>EFEITO!$N$571*EFEITO!$AA$571</f>
        <v>6113.1417037473311</v>
      </c>
      <c r="M571" s="91">
        <f>$J$571-EFEITO!$K$571*EFEITO!$Y$571</f>
        <v>0</v>
      </c>
      <c r="N571" s="91">
        <f ca="1">$K$571-EFEITO!$M$571*EFEITO!$Z$571</f>
        <v>0</v>
      </c>
      <c r="O571" s="91">
        <f>$L$571-EFEITO!$O$571*EFEITO!$AA$571</f>
        <v>0</v>
      </c>
      <c r="P571" s="19"/>
      <c r="Q571" s="19"/>
      <c r="R571" s="19"/>
      <c r="S571" s="19"/>
      <c r="T571" s="19"/>
      <c r="U571" s="19"/>
      <c r="V571" s="19"/>
      <c r="W571" s="19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84" t="s">
        <v>21</v>
      </c>
      <c r="B572" s="84" t="s">
        <v>36</v>
      </c>
      <c r="C572" s="84" t="s">
        <v>23</v>
      </c>
      <c r="D572" s="84" t="s">
        <v>37</v>
      </c>
      <c r="E572" s="84" t="s">
        <v>25</v>
      </c>
      <c r="F572" s="84" t="s">
        <v>25</v>
      </c>
      <c r="G572" s="84" t="s">
        <v>25</v>
      </c>
      <c r="H572" s="84" t="s">
        <v>25</v>
      </c>
      <c r="I572" s="90">
        <v>44440</v>
      </c>
      <c r="J572" s="91">
        <f>EFEITO!$J$572*EFEITO!$Y$572</f>
        <v>0</v>
      </c>
      <c r="K572" s="91">
        <f ca="1">EFEITO!$L$572*EFEITO!$Z$572</f>
        <v>38823.925123429835</v>
      </c>
      <c r="L572" s="91">
        <f>EFEITO!$N$572*EFEITO!$AA$572</f>
        <v>30782.746080955938</v>
      </c>
      <c r="M572" s="91">
        <f>$J$572-EFEITO!$K$572*EFEITO!$Y$572</f>
        <v>0</v>
      </c>
      <c r="N572" s="91">
        <f ca="1">$K$572-EFEITO!$M$572*EFEITO!$Z$572</f>
        <v>0</v>
      </c>
      <c r="O572" s="91">
        <f>$L$572-EFEITO!$O$572*EFEITO!$AA$572</f>
        <v>0</v>
      </c>
      <c r="P572" s="19"/>
      <c r="Q572" s="19"/>
      <c r="R572" s="19"/>
      <c r="S572" s="19"/>
      <c r="T572" s="19"/>
      <c r="U572" s="19"/>
      <c r="V572" s="19"/>
      <c r="W572" s="19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84" t="s">
        <v>27</v>
      </c>
      <c r="B573" s="84" t="s">
        <v>36</v>
      </c>
      <c r="C573" s="84" t="s">
        <v>23</v>
      </c>
      <c r="D573" s="84" t="s">
        <v>37</v>
      </c>
      <c r="E573" s="84" t="s">
        <v>25</v>
      </c>
      <c r="F573" s="84" t="s">
        <v>25</v>
      </c>
      <c r="G573" s="84" t="s">
        <v>25</v>
      </c>
      <c r="H573" s="84" t="s">
        <v>25</v>
      </c>
      <c r="I573" s="90">
        <v>44440</v>
      </c>
      <c r="J573" s="91">
        <f>EFEITO!$J$573*EFEITO!$Y$573</f>
        <v>0</v>
      </c>
      <c r="K573" s="91">
        <f ca="1">EFEITO!$L$573*EFEITO!$Z$573</f>
        <v>5758.1220318981987</v>
      </c>
      <c r="L573" s="91">
        <f>EFEITO!$N$573*EFEITO!$AA$573</f>
        <v>4565.5045915002365</v>
      </c>
      <c r="M573" s="91">
        <f>$J$573-EFEITO!$K$573*EFEITO!$Y$573</f>
        <v>0</v>
      </c>
      <c r="N573" s="91">
        <f ca="1">$K$573-EFEITO!$M$573*EFEITO!$Z$573</f>
        <v>0</v>
      </c>
      <c r="O573" s="91">
        <f>$L$573-EFEITO!$O$573*EFEITO!$AA$573</f>
        <v>0</v>
      </c>
      <c r="P573" s="19"/>
      <c r="Q573" s="19"/>
      <c r="R573" s="19"/>
      <c r="S573" s="19"/>
      <c r="T573" s="19"/>
      <c r="U573" s="19"/>
      <c r="V573" s="19"/>
      <c r="W573" s="19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84" t="s">
        <v>21</v>
      </c>
      <c r="B574" s="84" t="s">
        <v>36</v>
      </c>
      <c r="C574" s="84" t="s">
        <v>23</v>
      </c>
      <c r="D574" s="84" t="s">
        <v>37</v>
      </c>
      <c r="E574" s="84" t="s">
        <v>25</v>
      </c>
      <c r="F574" s="84" t="s">
        <v>25</v>
      </c>
      <c r="G574" s="84" t="s">
        <v>25</v>
      </c>
      <c r="H574" s="84" t="s">
        <v>25</v>
      </c>
      <c r="I574" s="90">
        <v>44470</v>
      </c>
      <c r="J574" s="91">
        <f>EFEITO!$J$574*EFEITO!$Y$574</f>
        <v>0</v>
      </c>
      <c r="K574" s="91">
        <f ca="1">EFEITO!$L$574*EFEITO!$Z$574</f>
        <v>38690.197816795771</v>
      </c>
      <c r="L574" s="91">
        <f>EFEITO!$N$574*EFEITO!$AA$574</f>
        <v>30676.716262715785</v>
      </c>
      <c r="M574" s="91">
        <f>$J$574-EFEITO!$K$574*EFEITO!$Y$574</f>
        <v>0</v>
      </c>
      <c r="N574" s="91">
        <f ca="1">$K$574-EFEITO!$M$574*EFEITO!$Z$574</f>
        <v>0</v>
      </c>
      <c r="O574" s="91">
        <f>$L$574-EFEITO!$O$574*EFEITO!$AA$574</f>
        <v>0</v>
      </c>
      <c r="P574" s="19"/>
      <c r="Q574" s="19"/>
      <c r="R574" s="19"/>
      <c r="S574" s="19"/>
      <c r="T574" s="19"/>
      <c r="U574" s="19"/>
      <c r="V574" s="19"/>
      <c r="W574" s="19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84" t="s">
        <v>27</v>
      </c>
      <c r="B575" s="84" t="s">
        <v>36</v>
      </c>
      <c r="C575" s="84" t="s">
        <v>23</v>
      </c>
      <c r="D575" s="84" t="s">
        <v>37</v>
      </c>
      <c r="E575" s="84" t="s">
        <v>25</v>
      </c>
      <c r="F575" s="84" t="s">
        <v>25</v>
      </c>
      <c r="G575" s="84" t="s">
        <v>25</v>
      </c>
      <c r="H575" s="84" t="s">
        <v>25</v>
      </c>
      <c r="I575" s="90">
        <v>44470</v>
      </c>
      <c r="J575" s="91">
        <f>EFEITO!$J$575*EFEITO!$Y$575</f>
        <v>0</v>
      </c>
      <c r="K575" s="91">
        <f ca="1">EFEITO!$L$575*EFEITO!$Z$575</f>
        <v>4504.6639676028535</v>
      </c>
      <c r="L575" s="91">
        <f>EFEITO!$N$575*EFEITO!$AA$575</f>
        <v>3571.6617177140265</v>
      </c>
      <c r="M575" s="91">
        <f>$J$575-EFEITO!$K$575*EFEITO!$Y$575</f>
        <v>0</v>
      </c>
      <c r="N575" s="91">
        <f ca="1">$K$575-EFEITO!$M$575*EFEITO!$Z$575</f>
        <v>0</v>
      </c>
      <c r="O575" s="91">
        <f>$L$575-EFEITO!$O$575*EFEITO!$AA$575</f>
        <v>0</v>
      </c>
      <c r="P575" s="19"/>
      <c r="Q575" s="19"/>
      <c r="R575" s="19"/>
      <c r="S575" s="19"/>
      <c r="T575" s="19"/>
      <c r="U575" s="19"/>
      <c r="V575" s="19"/>
      <c r="W575" s="19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84" t="s">
        <v>21</v>
      </c>
      <c r="B576" s="84" t="s">
        <v>36</v>
      </c>
      <c r="C576" s="84" t="s">
        <v>23</v>
      </c>
      <c r="D576" s="84" t="s">
        <v>37</v>
      </c>
      <c r="E576" s="84" t="s">
        <v>25</v>
      </c>
      <c r="F576" s="84" t="s">
        <v>25</v>
      </c>
      <c r="G576" s="84" t="s">
        <v>25</v>
      </c>
      <c r="H576" s="84" t="s">
        <v>25</v>
      </c>
      <c r="I576" s="90">
        <v>44501</v>
      </c>
      <c r="J576" s="91">
        <f>EFEITO!$J$576*EFEITO!$Y$576</f>
        <v>0</v>
      </c>
      <c r="K576" s="91">
        <f ca="1">EFEITO!$L$576*EFEITO!$Z$576</f>
        <v>42962.251610183041</v>
      </c>
      <c r="L576" s="91">
        <f>EFEITO!$N$576*EFEITO!$AA$576</f>
        <v>34063.945831800818</v>
      </c>
      <c r="M576" s="91">
        <f>$J$576-EFEITO!$K$576*EFEITO!$Y$576</f>
        <v>0</v>
      </c>
      <c r="N576" s="91">
        <f ca="1">$K$576-EFEITO!$M$576*EFEITO!$Z$576</f>
        <v>0</v>
      </c>
      <c r="O576" s="91">
        <f>$L$576-EFEITO!$O$576*EFEITO!$AA$576</f>
        <v>0</v>
      </c>
      <c r="P576" s="19"/>
      <c r="Q576" s="19"/>
      <c r="R576" s="19"/>
      <c r="S576" s="19"/>
      <c r="T576" s="19"/>
      <c r="U576" s="19"/>
      <c r="V576" s="19"/>
      <c r="W576" s="19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84" t="s">
        <v>27</v>
      </c>
      <c r="B577" s="84" t="s">
        <v>36</v>
      </c>
      <c r="C577" s="84" t="s">
        <v>23</v>
      </c>
      <c r="D577" s="84" t="s">
        <v>37</v>
      </c>
      <c r="E577" s="84" t="s">
        <v>25</v>
      </c>
      <c r="F577" s="84" t="s">
        <v>25</v>
      </c>
      <c r="G577" s="84" t="s">
        <v>25</v>
      </c>
      <c r="H577" s="84" t="s">
        <v>25</v>
      </c>
      <c r="I577" s="90">
        <v>44501</v>
      </c>
      <c r="J577" s="91">
        <f>EFEITO!$J$577*EFEITO!$Y$577</f>
        <v>0</v>
      </c>
      <c r="K577" s="91">
        <f ca="1">EFEITO!$L$577*EFEITO!$Z$577</f>
        <v>5269.0442297013169</v>
      </c>
      <c r="L577" s="91">
        <f>EFEITO!$N$577*EFEITO!$AA$577</f>
        <v>4177.7241764341416</v>
      </c>
      <c r="M577" s="91">
        <f>$J$577-EFEITO!$K$577*EFEITO!$Y$577</f>
        <v>0</v>
      </c>
      <c r="N577" s="91">
        <f ca="1">$K$577-EFEITO!$M$577*EFEITO!$Z$577</f>
        <v>0</v>
      </c>
      <c r="O577" s="91">
        <f>$L$577-EFEITO!$O$577*EFEITO!$AA$577</f>
        <v>0</v>
      </c>
      <c r="P577" s="19"/>
      <c r="Q577" s="19"/>
      <c r="R577" s="19"/>
      <c r="S577" s="19"/>
      <c r="T577" s="19"/>
      <c r="U577" s="19"/>
      <c r="V577" s="19"/>
      <c r="W577" s="19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84" t="s">
        <v>21</v>
      </c>
      <c r="B578" s="84" t="s">
        <v>36</v>
      </c>
      <c r="C578" s="84" t="s">
        <v>23</v>
      </c>
      <c r="D578" s="84" t="s">
        <v>37</v>
      </c>
      <c r="E578" s="84" t="s">
        <v>25</v>
      </c>
      <c r="F578" s="84" t="s">
        <v>25</v>
      </c>
      <c r="G578" s="84" t="s">
        <v>25</v>
      </c>
      <c r="H578" s="84" t="s">
        <v>25</v>
      </c>
      <c r="I578" s="90">
        <v>44531</v>
      </c>
      <c r="J578" s="91">
        <f>EFEITO!$J$578*EFEITO!$Y$578</f>
        <v>0</v>
      </c>
      <c r="K578" s="91">
        <f ca="1">EFEITO!$L$578*EFEITO!$Z$578</f>
        <v>45109.422449096171</v>
      </c>
      <c r="L578" s="91">
        <f>EFEITO!$N$578*EFEITO!$AA$578</f>
        <v>35766.396434530005</v>
      </c>
      <c r="M578" s="91">
        <f>$J$578-EFEITO!$K$578*EFEITO!$Y$578</f>
        <v>0</v>
      </c>
      <c r="N578" s="91">
        <f ca="1">$K$578-EFEITO!$M$578*EFEITO!$Z$578</f>
        <v>0</v>
      </c>
      <c r="O578" s="91">
        <f>$L$578-EFEITO!$O$578*EFEITO!$AA$578</f>
        <v>0</v>
      </c>
      <c r="P578" s="19"/>
      <c r="Q578" s="19"/>
      <c r="R578" s="19"/>
      <c r="S578" s="19"/>
      <c r="T578" s="19"/>
      <c r="U578" s="19"/>
      <c r="V578" s="19"/>
      <c r="W578" s="19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84" t="s">
        <v>27</v>
      </c>
      <c r="B579" s="84" t="s">
        <v>36</v>
      </c>
      <c r="C579" s="84" t="s">
        <v>23</v>
      </c>
      <c r="D579" s="84" t="s">
        <v>37</v>
      </c>
      <c r="E579" s="84" t="s">
        <v>25</v>
      </c>
      <c r="F579" s="84" t="s">
        <v>25</v>
      </c>
      <c r="G579" s="84" t="s">
        <v>25</v>
      </c>
      <c r="H579" s="84" t="s">
        <v>25</v>
      </c>
      <c r="I579" s="90">
        <v>44531</v>
      </c>
      <c r="J579" s="91">
        <f>EFEITO!$J$579*EFEITO!$Y$579</f>
        <v>0</v>
      </c>
      <c r="K579" s="91">
        <f ca="1">EFEITO!$L$579*EFEITO!$Z$579</f>
        <v>1981.4243180145795</v>
      </c>
      <c r="L579" s="91">
        <f>EFEITO!$N$579*EFEITO!$AA$579</f>
        <v>1571.0333632202744</v>
      </c>
      <c r="M579" s="91">
        <f>$J$579-EFEITO!$K$579*EFEITO!$Y$579</f>
        <v>0</v>
      </c>
      <c r="N579" s="91">
        <f ca="1">$K$579-EFEITO!$M$579*EFEITO!$Z$579</f>
        <v>0</v>
      </c>
      <c r="O579" s="91">
        <f>$L$579-EFEITO!$O$579*EFEITO!$AA$579</f>
        <v>0</v>
      </c>
      <c r="P579" s="19"/>
      <c r="Q579" s="19"/>
      <c r="R579" s="19"/>
      <c r="S579" s="19"/>
      <c r="T579" s="19"/>
      <c r="U579" s="19"/>
      <c r="V579" s="19"/>
      <c r="W579" s="19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84" t="s">
        <v>21</v>
      </c>
      <c r="B580" s="84" t="s">
        <v>36</v>
      </c>
      <c r="C580" s="84" t="s">
        <v>23</v>
      </c>
      <c r="D580" s="84" t="s">
        <v>37</v>
      </c>
      <c r="E580" s="84" t="s">
        <v>25</v>
      </c>
      <c r="F580" s="84" t="s">
        <v>25</v>
      </c>
      <c r="G580" s="84" t="s">
        <v>25</v>
      </c>
      <c r="H580" s="84" t="s">
        <v>25</v>
      </c>
      <c r="I580" s="90">
        <v>44562</v>
      </c>
      <c r="J580" s="91">
        <f>EFEITO!$J$580*EFEITO!$Y$580</f>
        <v>0</v>
      </c>
      <c r="K580" s="91">
        <f ca="1">EFEITO!$L$580*EFEITO!$Z$580</f>
        <v>39793.291139594134</v>
      </c>
      <c r="L580" s="91">
        <f>EFEITO!$N$580*EFEITO!$AA$580</f>
        <v>31551.337815053561</v>
      </c>
      <c r="M580" s="91">
        <f>$J$580-EFEITO!$K$580*EFEITO!$Y$580</f>
        <v>0</v>
      </c>
      <c r="N580" s="91">
        <f ca="1">$K$580-EFEITO!$M$580*EFEITO!$Z$580</f>
        <v>0</v>
      </c>
      <c r="O580" s="91">
        <f>$L$580-EFEITO!$O$580*EFEITO!$AA$580</f>
        <v>0</v>
      </c>
      <c r="P580" s="19"/>
      <c r="Q580" s="19"/>
      <c r="R580" s="19"/>
      <c r="S580" s="19"/>
      <c r="T580" s="19"/>
      <c r="U580" s="19"/>
      <c r="V580" s="19"/>
      <c r="W580" s="19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84" t="s">
        <v>27</v>
      </c>
      <c r="B581" s="84" t="s">
        <v>36</v>
      </c>
      <c r="C581" s="84" t="s">
        <v>23</v>
      </c>
      <c r="D581" s="84" t="s">
        <v>37</v>
      </c>
      <c r="E581" s="84" t="s">
        <v>25</v>
      </c>
      <c r="F581" s="84" t="s">
        <v>25</v>
      </c>
      <c r="G581" s="84" t="s">
        <v>25</v>
      </c>
      <c r="H581" s="84" t="s">
        <v>25</v>
      </c>
      <c r="I581" s="90">
        <v>44562</v>
      </c>
      <c r="J581" s="91">
        <f>EFEITO!$J$581*EFEITO!$Y$581</f>
        <v>0</v>
      </c>
      <c r="K581" s="91">
        <f ca="1">EFEITO!$L$581*EFEITO!$Z$581</f>
        <v>3816.8786886469061</v>
      </c>
      <c r="L581" s="91">
        <f>EFEITO!$N$581*EFEITO!$AA$581</f>
        <v>3026.3299530093973</v>
      </c>
      <c r="M581" s="91">
        <f>$J$581-EFEITO!$K$581*EFEITO!$Y$581</f>
        <v>0</v>
      </c>
      <c r="N581" s="91">
        <f ca="1">$K$581-EFEITO!$M$581*EFEITO!$Z$581</f>
        <v>0</v>
      </c>
      <c r="O581" s="91">
        <f>$L$581-EFEITO!$O$581*EFEITO!$AA$581</f>
        <v>0</v>
      </c>
      <c r="P581" s="19"/>
      <c r="Q581" s="19"/>
      <c r="R581" s="19"/>
      <c r="S581" s="19"/>
      <c r="T581" s="19"/>
      <c r="U581" s="19"/>
      <c r="V581" s="19"/>
      <c r="W581" s="19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84" t="s">
        <v>21</v>
      </c>
      <c r="B582" s="84" t="s">
        <v>36</v>
      </c>
      <c r="C582" s="84" t="s">
        <v>23</v>
      </c>
      <c r="D582" s="84" t="s">
        <v>37</v>
      </c>
      <c r="E582" s="84" t="s">
        <v>25</v>
      </c>
      <c r="F582" s="84" t="s">
        <v>25</v>
      </c>
      <c r="G582" s="84" t="s">
        <v>25</v>
      </c>
      <c r="H582" s="84" t="s">
        <v>25</v>
      </c>
      <c r="I582" s="90">
        <v>44593</v>
      </c>
      <c r="J582" s="91">
        <f>EFEITO!$J$582*EFEITO!$Y$582</f>
        <v>0</v>
      </c>
      <c r="K582" s="91">
        <f ca="1">EFEITO!$L$582*EFEITO!$Z$582</f>
        <v>43126.742475620238</v>
      </c>
      <c r="L582" s="91">
        <f>EFEITO!$N$582*EFEITO!$AA$582</f>
        <v>34194.367486161937</v>
      </c>
      <c r="M582" s="91">
        <f>$J$582-EFEITO!$K$582*EFEITO!$Y$582</f>
        <v>0</v>
      </c>
      <c r="N582" s="91">
        <f ca="1">$K$582-EFEITO!$M$582*EFEITO!$Z$582</f>
        <v>0</v>
      </c>
      <c r="O582" s="91">
        <f>$L$582-EFEITO!$O$582*EFEITO!$AA$582</f>
        <v>0</v>
      </c>
      <c r="P582" s="19"/>
      <c r="Q582" s="19"/>
      <c r="R582" s="19"/>
      <c r="S582" s="19"/>
      <c r="T582" s="19"/>
      <c r="U582" s="19"/>
      <c r="V582" s="19"/>
      <c r="W582" s="19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84" t="s">
        <v>27</v>
      </c>
      <c r="B583" s="84" t="s">
        <v>36</v>
      </c>
      <c r="C583" s="84" t="s">
        <v>23</v>
      </c>
      <c r="D583" s="84" t="s">
        <v>37</v>
      </c>
      <c r="E583" s="84" t="s">
        <v>25</v>
      </c>
      <c r="F583" s="84" t="s">
        <v>25</v>
      </c>
      <c r="G583" s="84" t="s">
        <v>25</v>
      </c>
      <c r="H583" s="84" t="s">
        <v>25</v>
      </c>
      <c r="I583" s="90">
        <v>44593</v>
      </c>
      <c r="J583" s="91">
        <f>EFEITO!$J$583*EFEITO!$Y$583</f>
        <v>0</v>
      </c>
      <c r="K583" s="91">
        <f ca="1">EFEITO!$L$583*EFEITO!$Z$583</f>
        <v>3735.2610836589793</v>
      </c>
      <c r="L583" s="91">
        <f>EFEITO!$N$583*EFEITO!$AA$583</f>
        <v>2961.6169184027317</v>
      </c>
      <c r="M583" s="91">
        <f>$J$583-EFEITO!$K$583*EFEITO!$Y$583</f>
        <v>0</v>
      </c>
      <c r="N583" s="91">
        <f ca="1">$K$583-EFEITO!$M$583*EFEITO!$Z$583</f>
        <v>0</v>
      </c>
      <c r="O583" s="91">
        <f>$L$583-EFEITO!$O$583*EFEITO!$AA$583</f>
        <v>0</v>
      </c>
      <c r="P583" s="19"/>
      <c r="Q583" s="19"/>
      <c r="R583" s="19"/>
      <c r="S583" s="19"/>
      <c r="T583" s="19"/>
      <c r="U583" s="19"/>
      <c r="V583" s="19"/>
      <c r="W583" s="19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84" t="s">
        <v>21</v>
      </c>
      <c r="B584" s="84" t="s">
        <v>36</v>
      </c>
      <c r="C584" s="84" t="s">
        <v>23</v>
      </c>
      <c r="D584" s="84" t="s">
        <v>37</v>
      </c>
      <c r="E584" s="84" t="s">
        <v>25</v>
      </c>
      <c r="F584" s="84" t="s">
        <v>25</v>
      </c>
      <c r="G584" s="84" t="s">
        <v>25</v>
      </c>
      <c r="H584" s="84" t="s">
        <v>25</v>
      </c>
      <c r="I584" s="90">
        <v>44621</v>
      </c>
      <c r="J584" s="91">
        <f>EFEITO!$J$584*EFEITO!$Y$584</f>
        <v>0</v>
      </c>
      <c r="K584" s="91">
        <f ca="1">EFEITO!$L$584*EFEITO!$Z$584</f>
        <v>44312.709058867884</v>
      </c>
      <c r="L584" s="91">
        <f>EFEITO!$N$584*EFEITO!$AA$584</f>
        <v>35134.697658254176</v>
      </c>
      <c r="M584" s="91">
        <f>$J$584-EFEITO!$K$584*EFEITO!$Y$584</f>
        <v>0</v>
      </c>
      <c r="N584" s="91">
        <f ca="1">$K$584-EFEITO!$M$584*EFEITO!$Z$584</f>
        <v>0</v>
      </c>
      <c r="O584" s="91">
        <f>$L$584-EFEITO!$O$584*EFEITO!$AA$584</f>
        <v>0</v>
      </c>
      <c r="P584" s="19"/>
      <c r="Q584" s="19"/>
      <c r="R584" s="19"/>
      <c r="S584" s="19"/>
      <c r="T584" s="19"/>
      <c r="U584" s="19"/>
      <c r="V584" s="19"/>
      <c r="W584" s="19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84" t="s">
        <v>27</v>
      </c>
      <c r="B585" s="84" t="s">
        <v>36</v>
      </c>
      <c r="C585" s="84" t="s">
        <v>23</v>
      </c>
      <c r="D585" s="84" t="s">
        <v>37</v>
      </c>
      <c r="E585" s="84" t="s">
        <v>25</v>
      </c>
      <c r="F585" s="84" t="s">
        <v>25</v>
      </c>
      <c r="G585" s="84" t="s">
        <v>25</v>
      </c>
      <c r="H585" s="84" t="s">
        <v>25</v>
      </c>
      <c r="I585" s="90">
        <v>44621</v>
      </c>
      <c r="J585" s="91">
        <f>EFEITO!$J$585*EFEITO!$Y$585</f>
        <v>0</v>
      </c>
      <c r="K585" s="91">
        <f ca="1">EFEITO!$L$585*EFEITO!$Z$585</f>
        <v>7259.2581359453652</v>
      </c>
      <c r="L585" s="91">
        <f>EFEITO!$N$585*EFEITO!$AA$585</f>
        <v>5755.7266356889804</v>
      </c>
      <c r="M585" s="91">
        <f>$J$585-EFEITO!$K$585*EFEITO!$Y$585</f>
        <v>0</v>
      </c>
      <c r="N585" s="91">
        <f ca="1">$K$585-EFEITO!$M$585*EFEITO!$Z$585</f>
        <v>0</v>
      </c>
      <c r="O585" s="91">
        <f>$L$585-EFEITO!$O$585*EFEITO!$AA$585</f>
        <v>0</v>
      </c>
      <c r="P585" s="19"/>
      <c r="Q585" s="19"/>
      <c r="R585" s="19"/>
      <c r="S585" s="19"/>
      <c r="T585" s="19"/>
      <c r="U585" s="19"/>
      <c r="V585" s="19"/>
      <c r="W585" s="19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84" t="s">
        <v>21</v>
      </c>
      <c r="B586" s="84" t="s">
        <v>36</v>
      </c>
      <c r="C586" s="84" t="s">
        <v>23</v>
      </c>
      <c r="D586" s="84" t="s">
        <v>37</v>
      </c>
      <c r="E586" s="84" t="s">
        <v>25</v>
      </c>
      <c r="F586" s="84" t="s">
        <v>25</v>
      </c>
      <c r="G586" s="84" t="s">
        <v>25</v>
      </c>
      <c r="H586" s="84" t="s">
        <v>25</v>
      </c>
      <c r="I586" s="90">
        <v>44652</v>
      </c>
      <c r="J586" s="91">
        <f>EFEITO!$J$586*EFEITO!$Y$586</f>
        <v>0</v>
      </c>
      <c r="K586" s="91">
        <f ca="1">EFEITO!$L$586*EFEITO!$Z$586</f>
        <v>37381.804826066247</v>
      </c>
      <c r="L586" s="91">
        <f>EFEITO!$N$586*EFEITO!$AA$586</f>
        <v>29639.316538713549</v>
      </c>
      <c r="M586" s="91">
        <f>$J$586-EFEITO!$K$586*EFEITO!$Y$586</f>
        <v>0</v>
      </c>
      <c r="N586" s="91">
        <f ca="1">$K$586-EFEITO!$M$586*EFEITO!$Z$586</f>
        <v>0</v>
      </c>
      <c r="O586" s="91">
        <f>$L$586-EFEITO!$O$586*EFEITO!$AA$586</f>
        <v>0</v>
      </c>
      <c r="P586" s="19"/>
      <c r="Q586" s="19"/>
      <c r="R586" s="19"/>
      <c r="S586" s="19"/>
      <c r="T586" s="19"/>
      <c r="U586" s="19"/>
      <c r="V586" s="19"/>
      <c r="W586" s="19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84" t="s">
        <v>27</v>
      </c>
      <c r="B587" s="84" t="s">
        <v>36</v>
      </c>
      <c r="C587" s="84" t="s">
        <v>23</v>
      </c>
      <c r="D587" s="84" t="s">
        <v>37</v>
      </c>
      <c r="E587" s="84" t="s">
        <v>25</v>
      </c>
      <c r="F587" s="84" t="s">
        <v>25</v>
      </c>
      <c r="G587" s="84" t="s">
        <v>25</v>
      </c>
      <c r="H587" s="84" t="s">
        <v>25</v>
      </c>
      <c r="I587" s="90">
        <v>44652</v>
      </c>
      <c r="J587" s="91">
        <f>EFEITO!$J$587*EFEITO!$Y$587</f>
        <v>0</v>
      </c>
      <c r="K587" s="91">
        <f ca="1">EFEITO!$L$587*EFEITO!$Z$587</f>
        <v>4826.7395934398246</v>
      </c>
      <c r="L587" s="91">
        <f>EFEITO!$N$587*EFEITO!$AA$587</f>
        <v>3827.0293081234058</v>
      </c>
      <c r="M587" s="91">
        <f>$J$587-EFEITO!$K$587*EFEITO!$Y$587</f>
        <v>0</v>
      </c>
      <c r="N587" s="91">
        <f ca="1">$K$587-EFEITO!$M$587*EFEITO!$Z$587</f>
        <v>0</v>
      </c>
      <c r="O587" s="91">
        <f>$L$587-EFEITO!$O$587*EFEITO!$AA$587</f>
        <v>0</v>
      </c>
      <c r="P587" s="19"/>
      <c r="Q587" s="19"/>
      <c r="R587" s="19"/>
      <c r="S587" s="19"/>
      <c r="T587" s="19"/>
      <c r="U587" s="19"/>
      <c r="V587" s="19"/>
      <c r="W587" s="19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84" t="s">
        <v>21</v>
      </c>
      <c r="B588" s="84" t="s">
        <v>36</v>
      </c>
      <c r="C588" s="84" t="s">
        <v>23</v>
      </c>
      <c r="D588" s="84" t="s">
        <v>37</v>
      </c>
      <c r="E588" s="84" t="s">
        <v>25</v>
      </c>
      <c r="F588" s="84" t="s">
        <v>25</v>
      </c>
      <c r="G588" s="84" t="s">
        <v>25</v>
      </c>
      <c r="H588" s="84" t="s">
        <v>25</v>
      </c>
      <c r="I588" s="90">
        <v>44682</v>
      </c>
      <c r="J588" s="91">
        <f>EFEITO!$J$588*EFEITO!$Y$588</f>
        <v>0</v>
      </c>
      <c r="K588" s="91">
        <f ca="1">EFEITO!$L$588*EFEITO!$Z$588</f>
        <v>38782.174579339859</v>
      </c>
      <c r="L588" s="91">
        <f>EFEITO!$N$588*EFEITO!$AA$588</f>
        <v>30749.642874791756</v>
      </c>
      <c r="M588" s="91">
        <f>$J$588-EFEITO!$K$588*EFEITO!$Y$588</f>
        <v>0</v>
      </c>
      <c r="N588" s="91">
        <f ca="1">$K$588-EFEITO!$M$588*EFEITO!$Z$588</f>
        <v>0</v>
      </c>
      <c r="O588" s="91">
        <f>$L$588-EFEITO!$O$588*EFEITO!$AA$588</f>
        <v>0</v>
      </c>
      <c r="P588" s="19"/>
      <c r="Q588" s="19"/>
      <c r="R588" s="19"/>
      <c r="S588" s="19"/>
      <c r="T588" s="19"/>
      <c r="U588" s="19"/>
      <c r="V588" s="19"/>
      <c r="W588" s="19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84" t="s">
        <v>27</v>
      </c>
      <c r="B589" s="84" t="s">
        <v>36</v>
      </c>
      <c r="C589" s="84" t="s">
        <v>23</v>
      </c>
      <c r="D589" s="84" t="s">
        <v>37</v>
      </c>
      <c r="E589" s="84" t="s">
        <v>25</v>
      </c>
      <c r="F589" s="84" t="s">
        <v>25</v>
      </c>
      <c r="G589" s="84" t="s">
        <v>25</v>
      </c>
      <c r="H589" s="84" t="s">
        <v>25</v>
      </c>
      <c r="I589" s="90">
        <v>44682</v>
      </c>
      <c r="J589" s="91">
        <f>EFEITO!$J$589*EFEITO!$Y$589</f>
        <v>0</v>
      </c>
      <c r="K589" s="91">
        <f ca="1">EFEITO!$L$589*EFEITO!$Z$589</f>
        <v>9227.1841577504019</v>
      </c>
      <c r="L589" s="91">
        <f>EFEITO!$N$589*EFEITO!$AA$589</f>
        <v>7316.0574585704599</v>
      </c>
      <c r="M589" s="91">
        <f>$J$589-EFEITO!$K$589*EFEITO!$Y$589</f>
        <v>0</v>
      </c>
      <c r="N589" s="91">
        <f ca="1">$K$589-EFEITO!$M$589*EFEITO!$Z$589</f>
        <v>0</v>
      </c>
      <c r="O589" s="91">
        <f>$L$589-EFEITO!$O$589*EFEITO!$AA$589</f>
        <v>0</v>
      </c>
      <c r="P589" s="19"/>
      <c r="Q589" s="19"/>
      <c r="R589" s="19"/>
      <c r="S589" s="19"/>
      <c r="T589" s="19"/>
      <c r="U589" s="19"/>
      <c r="V589" s="19"/>
      <c r="W589" s="19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84" t="s">
        <v>55</v>
      </c>
      <c r="B590" s="84" t="s">
        <v>36</v>
      </c>
      <c r="C590" s="84" t="s">
        <v>23</v>
      </c>
      <c r="D590" s="84" t="s">
        <v>37</v>
      </c>
      <c r="E590" s="84" t="s">
        <v>25</v>
      </c>
      <c r="F590" s="84" t="s">
        <v>25</v>
      </c>
      <c r="G590" s="84" t="s">
        <v>25</v>
      </c>
      <c r="H590" s="84" t="s">
        <v>25</v>
      </c>
      <c r="I590" s="90">
        <v>44713</v>
      </c>
      <c r="J590" s="91">
        <f>EFEITO!$J$590*EFEITO!$Y$590</f>
        <v>0</v>
      </c>
      <c r="K590" s="91">
        <f ca="1">EFEITO!$L$590*EFEITO!$Z$590</f>
        <v>38782.174579339859</v>
      </c>
      <c r="L590" s="91">
        <f>EFEITO!$N$590*EFEITO!$AA$590</f>
        <v>30749.642874791756</v>
      </c>
      <c r="M590" s="91">
        <f>$J$590-EFEITO!$K$590*EFEITO!$Y$590</f>
        <v>0</v>
      </c>
      <c r="N590" s="91">
        <f ca="1">$K$590-EFEITO!$M$590*EFEITO!$Z$590</f>
        <v>0</v>
      </c>
      <c r="O590" s="91">
        <f>$L$590-EFEITO!$O$590*EFEITO!$AA$590</f>
        <v>0</v>
      </c>
      <c r="P590" s="19"/>
      <c r="Q590" s="19"/>
      <c r="R590" s="19"/>
      <c r="S590" s="19"/>
      <c r="T590" s="19"/>
      <c r="U590" s="19"/>
      <c r="V590" s="19"/>
      <c r="W590" s="19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84" t="s">
        <v>55</v>
      </c>
      <c r="B591" s="84" t="s">
        <v>36</v>
      </c>
      <c r="C591" s="84" t="s">
        <v>23</v>
      </c>
      <c r="D591" s="84" t="s">
        <v>37</v>
      </c>
      <c r="E591" s="84" t="s">
        <v>25</v>
      </c>
      <c r="F591" s="84" t="s">
        <v>25</v>
      </c>
      <c r="G591" s="84" t="s">
        <v>25</v>
      </c>
      <c r="H591" s="84" t="s">
        <v>25</v>
      </c>
      <c r="I591" s="90">
        <v>44713</v>
      </c>
      <c r="J591" s="91">
        <f>EFEITO!$J$591*EFEITO!$Y$591</f>
        <v>0</v>
      </c>
      <c r="K591" s="91">
        <f ca="1">EFEITO!$L$591*EFEITO!$Z$591</f>
        <v>9227.1841577504019</v>
      </c>
      <c r="L591" s="91">
        <f>EFEITO!$N$591*EFEITO!$AA$591</f>
        <v>7316.0574585704599</v>
      </c>
      <c r="M591" s="91">
        <f>$J$591-EFEITO!$K$591*EFEITO!$Y$591</f>
        <v>0</v>
      </c>
      <c r="N591" s="91">
        <f ca="1">$K$591-EFEITO!$M$591*EFEITO!$Z$591</f>
        <v>0</v>
      </c>
      <c r="O591" s="91">
        <f>$L$591-EFEITO!$O$591*EFEITO!$AA$591</f>
        <v>0</v>
      </c>
      <c r="P591" s="19"/>
      <c r="Q591" s="19"/>
      <c r="R591" s="19"/>
      <c r="S591" s="19"/>
      <c r="T591" s="19"/>
      <c r="U591" s="19"/>
      <c r="V591" s="19"/>
      <c r="W591" s="19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84" t="s">
        <v>21</v>
      </c>
      <c r="B592" s="84" t="s">
        <v>36</v>
      </c>
      <c r="C592" s="84" t="s">
        <v>23</v>
      </c>
      <c r="D592" s="84" t="s">
        <v>44</v>
      </c>
      <c r="E592" s="84" t="s">
        <v>25</v>
      </c>
      <c r="F592" s="84" t="s">
        <v>25</v>
      </c>
      <c r="G592" s="84" t="s">
        <v>25</v>
      </c>
      <c r="H592" s="84" t="s">
        <v>25</v>
      </c>
      <c r="I592" s="90">
        <v>44378</v>
      </c>
      <c r="J592" s="91">
        <f>EFEITO!$J$592*EFEITO!$Y$592</f>
        <v>0</v>
      </c>
      <c r="K592" s="91">
        <f ca="1">EFEITO!$L$592*EFEITO!$Z$592</f>
        <v>41376.6726763599</v>
      </c>
      <c r="L592" s="91">
        <f>EFEITO!$N$592*EFEITO!$AA$592</f>
        <v>32806.770686422868</v>
      </c>
      <c r="M592" s="91">
        <f>$J$592-EFEITO!$K$592*EFEITO!$Y$592</f>
        <v>0</v>
      </c>
      <c r="N592" s="91">
        <f ca="1">$K$592-EFEITO!$M$592*EFEITO!$Z$592</f>
        <v>0</v>
      </c>
      <c r="O592" s="91">
        <f>$L$592-EFEITO!$O$592*EFEITO!$AA$592</f>
        <v>0</v>
      </c>
      <c r="P592" s="19"/>
      <c r="Q592" s="19"/>
      <c r="R592" s="19"/>
      <c r="S592" s="19"/>
      <c r="T592" s="19"/>
      <c r="U592" s="19"/>
      <c r="V592" s="19"/>
      <c r="W592" s="19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84" t="s">
        <v>21</v>
      </c>
      <c r="B593" s="84" t="s">
        <v>36</v>
      </c>
      <c r="C593" s="84" t="s">
        <v>23</v>
      </c>
      <c r="D593" s="84" t="s">
        <v>44</v>
      </c>
      <c r="E593" s="84" t="s">
        <v>25</v>
      </c>
      <c r="F593" s="84" t="s">
        <v>25</v>
      </c>
      <c r="G593" s="84" t="s">
        <v>25</v>
      </c>
      <c r="H593" s="84" t="s">
        <v>25</v>
      </c>
      <c r="I593" s="90">
        <v>44409</v>
      </c>
      <c r="J593" s="91">
        <f>EFEITO!$J$593*EFEITO!$Y$593</f>
        <v>0</v>
      </c>
      <c r="K593" s="91">
        <f ca="1">EFEITO!$L$593*EFEITO!$Z$593</f>
        <v>39537.765253208854</v>
      </c>
      <c r="L593" s="91">
        <f>EFEITO!$N$593*EFEITO!$AA$593</f>
        <v>31348.736237477307</v>
      </c>
      <c r="M593" s="91">
        <f>$J$593-EFEITO!$K$593*EFEITO!$Y$593</f>
        <v>0</v>
      </c>
      <c r="N593" s="91">
        <f ca="1">$K$593-EFEITO!$M$593*EFEITO!$Z$593</f>
        <v>0</v>
      </c>
      <c r="O593" s="91">
        <f>$L$593-EFEITO!$O$593*EFEITO!$AA$593</f>
        <v>0</v>
      </c>
      <c r="P593" s="19"/>
      <c r="Q593" s="19"/>
      <c r="R593" s="19"/>
      <c r="S593" s="19"/>
      <c r="T593" s="19"/>
      <c r="U593" s="19"/>
      <c r="V593" s="19"/>
      <c r="W593" s="19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84" t="s">
        <v>21</v>
      </c>
      <c r="B594" s="84" t="s">
        <v>36</v>
      </c>
      <c r="C594" s="84" t="s">
        <v>23</v>
      </c>
      <c r="D594" s="84" t="s">
        <v>44</v>
      </c>
      <c r="E594" s="84" t="s">
        <v>25</v>
      </c>
      <c r="F594" s="84" t="s">
        <v>25</v>
      </c>
      <c r="G594" s="84" t="s">
        <v>25</v>
      </c>
      <c r="H594" s="84" t="s">
        <v>25</v>
      </c>
      <c r="I594" s="90">
        <v>44440</v>
      </c>
      <c r="J594" s="91">
        <f>EFEITO!$J$594*EFEITO!$Y$594</f>
        <v>0</v>
      </c>
      <c r="K594" s="91">
        <f ca="1">EFEITO!$L$594*EFEITO!$Z$594</f>
        <v>30393.768269773067</v>
      </c>
      <c r="L594" s="91">
        <f>EFEITO!$N$594*EFEITO!$AA$594</f>
        <v>24098.636294948257</v>
      </c>
      <c r="M594" s="91">
        <f>$J$594-EFEITO!$K$594*EFEITO!$Y$594</f>
        <v>0</v>
      </c>
      <c r="N594" s="91">
        <f ca="1">$K$594-EFEITO!$M$594*EFEITO!$Z$594</f>
        <v>0</v>
      </c>
      <c r="O594" s="91">
        <f>$L$594-EFEITO!$O$594*EFEITO!$AA$594</f>
        <v>0</v>
      </c>
      <c r="P594" s="19"/>
      <c r="Q594" s="19"/>
      <c r="R594" s="19"/>
      <c r="S594" s="19"/>
      <c r="T594" s="19"/>
      <c r="U594" s="19"/>
      <c r="V594" s="19"/>
      <c r="W594" s="19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84" t="s">
        <v>21</v>
      </c>
      <c r="B595" s="84" t="s">
        <v>36</v>
      </c>
      <c r="C595" s="84" t="s">
        <v>23</v>
      </c>
      <c r="D595" s="84" t="s">
        <v>44</v>
      </c>
      <c r="E595" s="84" t="s">
        <v>25</v>
      </c>
      <c r="F595" s="84" t="s">
        <v>25</v>
      </c>
      <c r="G595" s="84" t="s">
        <v>25</v>
      </c>
      <c r="H595" s="84" t="s">
        <v>25</v>
      </c>
      <c r="I595" s="90">
        <v>44470</v>
      </c>
      <c r="J595" s="91">
        <f>EFEITO!$J$595*EFEITO!$Y$595</f>
        <v>0</v>
      </c>
      <c r="K595" s="91">
        <f ca="1">EFEITO!$L$595*EFEITO!$Z$595</f>
        <v>31264.565332221173</v>
      </c>
      <c r="L595" s="91">
        <f>EFEITO!$N$595*EFEITO!$AA$595</f>
        <v>24789.074594943988</v>
      </c>
      <c r="M595" s="91">
        <f>$J$595-EFEITO!$K$595*EFEITO!$Y$595</f>
        <v>0</v>
      </c>
      <c r="N595" s="91">
        <f ca="1">$K$595-EFEITO!$M$595*EFEITO!$Z$595</f>
        <v>0</v>
      </c>
      <c r="O595" s="91">
        <f>$L$595-EFEITO!$O$595*EFEITO!$AA$595</f>
        <v>0</v>
      </c>
      <c r="P595" s="19"/>
      <c r="Q595" s="19"/>
      <c r="R595" s="19"/>
      <c r="S595" s="19"/>
      <c r="T595" s="19"/>
      <c r="U595" s="19"/>
      <c r="V595" s="19"/>
      <c r="W595" s="19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84" t="s">
        <v>21</v>
      </c>
      <c r="B596" s="84" t="s">
        <v>36</v>
      </c>
      <c r="C596" s="84" t="s">
        <v>23</v>
      </c>
      <c r="D596" s="84" t="s">
        <v>44</v>
      </c>
      <c r="E596" s="84" t="s">
        <v>25</v>
      </c>
      <c r="F596" s="84" t="s">
        <v>25</v>
      </c>
      <c r="G596" s="84" t="s">
        <v>25</v>
      </c>
      <c r="H596" s="84" t="s">
        <v>25</v>
      </c>
      <c r="I596" s="90">
        <v>44501</v>
      </c>
      <c r="J596" s="91">
        <f>EFEITO!$J$596*EFEITO!$Y$596</f>
        <v>0</v>
      </c>
      <c r="K596" s="91">
        <f ca="1">EFEITO!$L$596*EFEITO!$Z$596</f>
        <v>47601.898539881302</v>
      </c>
      <c r="L596" s="91">
        <f>EFEITO!$N$596*EFEITO!$AA$596</f>
        <v>37742.632952902786</v>
      </c>
      <c r="M596" s="91">
        <f>$J$596-EFEITO!$K$596*EFEITO!$Y$596</f>
        <v>0</v>
      </c>
      <c r="N596" s="91">
        <f ca="1">$K$596-EFEITO!$M$596*EFEITO!$Z$596</f>
        <v>0</v>
      </c>
      <c r="O596" s="91">
        <f>$L$596-EFEITO!$O$596*EFEITO!$AA$596</f>
        <v>0</v>
      </c>
      <c r="P596" s="19"/>
      <c r="Q596" s="19"/>
      <c r="R596" s="19"/>
      <c r="S596" s="19"/>
      <c r="T596" s="19"/>
      <c r="U596" s="19"/>
      <c r="V596" s="19"/>
      <c r="W596" s="19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84" t="s">
        <v>21</v>
      </c>
      <c r="B597" s="84" t="s">
        <v>36</v>
      </c>
      <c r="C597" s="84" t="s">
        <v>23</v>
      </c>
      <c r="D597" s="84" t="s">
        <v>44</v>
      </c>
      <c r="E597" s="84" t="s">
        <v>25</v>
      </c>
      <c r="F597" s="84" t="s">
        <v>25</v>
      </c>
      <c r="G597" s="84" t="s">
        <v>25</v>
      </c>
      <c r="H597" s="84" t="s">
        <v>25</v>
      </c>
      <c r="I597" s="90">
        <v>44531</v>
      </c>
      <c r="J597" s="91">
        <f>EFEITO!$J$597*EFEITO!$Y$597</f>
        <v>0</v>
      </c>
      <c r="K597" s="91">
        <f ca="1">EFEITO!$L$597*EFEITO!$Z$597</f>
        <v>56686.251888902843</v>
      </c>
      <c r="L597" s="91">
        <f>EFEITO!$N$597*EFEITO!$AA$597</f>
        <v>44945.442600911585</v>
      </c>
      <c r="M597" s="91">
        <f>$J$597-EFEITO!$K$597*EFEITO!$Y$597</f>
        <v>0</v>
      </c>
      <c r="N597" s="91">
        <f ca="1">$K$597-EFEITO!$M$597*EFEITO!$Z$597</f>
        <v>0</v>
      </c>
      <c r="O597" s="91">
        <f>$L$597-EFEITO!$O$597*EFEITO!$AA$597</f>
        <v>0</v>
      </c>
      <c r="P597" s="19"/>
      <c r="Q597" s="19"/>
      <c r="R597" s="19"/>
      <c r="S597" s="19"/>
      <c r="T597" s="19"/>
      <c r="U597" s="19"/>
      <c r="V597" s="19"/>
      <c r="W597" s="19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84" t="s">
        <v>41</v>
      </c>
      <c r="B598" s="84" t="s">
        <v>36</v>
      </c>
      <c r="C598" s="84" t="s">
        <v>23</v>
      </c>
      <c r="D598" s="84" t="s">
        <v>44</v>
      </c>
      <c r="E598" s="84" t="s">
        <v>25</v>
      </c>
      <c r="F598" s="84" t="s">
        <v>25</v>
      </c>
      <c r="G598" s="84" t="s">
        <v>25</v>
      </c>
      <c r="H598" s="84" t="s">
        <v>25</v>
      </c>
      <c r="I598" s="90">
        <v>44531</v>
      </c>
      <c r="J598" s="91">
        <f>EFEITO!$J$598*EFEITO!$Y$598</f>
        <v>0</v>
      </c>
      <c r="K598" s="91">
        <f ca="1">EFEITO!$L$598*EFEITO!$Z$598</f>
        <v>153.50388015036901</v>
      </c>
      <c r="L598" s="91">
        <f>EFEITO!$N$598*EFEITO!$AA$598</f>
        <v>121.71028431792048</v>
      </c>
      <c r="M598" s="91">
        <f>$J$598-EFEITO!$K$598*EFEITO!$Y$598</f>
        <v>0</v>
      </c>
      <c r="N598" s="91">
        <f ca="1">$K$598-EFEITO!$M$598*EFEITO!$Z$598</f>
        <v>0</v>
      </c>
      <c r="O598" s="91">
        <f>$L$598-EFEITO!$O$598*EFEITO!$AA$598</f>
        <v>0</v>
      </c>
      <c r="P598" s="19"/>
      <c r="Q598" s="19"/>
      <c r="R598" s="19"/>
      <c r="S598" s="19"/>
      <c r="T598" s="19"/>
      <c r="U598" s="19"/>
      <c r="V598" s="19"/>
      <c r="W598" s="19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84" t="s">
        <v>21</v>
      </c>
      <c r="B599" s="84" t="s">
        <v>36</v>
      </c>
      <c r="C599" s="84" t="s">
        <v>23</v>
      </c>
      <c r="D599" s="84" t="s">
        <v>44</v>
      </c>
      <c r="E599" s="84" t="s">
        <v>25</v>
      </c>
      <c r="F599" s="84" t="s">
        <v>25</v>
      </c>
      <c r="G599" s="84" t="s">
        <v>25</v>
      </c>
      <c r="H599" s="84" t="s">
        <v>25</v>
      </c>
      <c r="I599" s="90">
        <v>44562</v>
      </c>
      <c r="J599" s="91">
        <f>EFEITO!$J$599*EFEITO!$Y$599</f>
        <v>0</v>
      </c>
      <c r="K599" s="91">
        <f ca="1">EFEITO!$L$599*EFEITO!$Z$599</f>
        <v>43938.523731384768</v>
      </c>
      <c r="L599" s="91">
        <f>EFEITO!$N$599*EFEITO!$AA$599</f>
        <v>34838.013284211309</v>
      </c>
      <c r="M599" s="91">
        <f>$J$599-EFEITO!$K$599*EFEITO!$Y$599</f>
        <v>0</v>
      </c>
      <c r="N599" s="91">
        <f ca="1">$K$599-EFEITO!$M$599*EFEITO!$Z$599</f>
        <v>0</v>
      </c>
      <c r="O599" s="91">
        <f>$L$599-EFEITO!$O$599*EFEITO!$AA$599</f>
        <v>0</v>
      </c>
      <c r="P599" s="19"/>
      <c r="Q599" s="19"/>
      <c r="R599" s="19"/>
      <c r="S599" s="19"/>
      <c r="T599" s="19"/>
      <c r="U599" s="19"/>
      <c r="V599" s="19"/>
      <c r="W599" s="19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84" t="s">
        <v>21</v>
      </c>
      <c r="B600" s="84" t="s">
        <v>36</v>
      </c>
      <c r="C600" s="84" t="s">
        <v>23</v>
      </c>
      <c r="D600" s="84" t="s">
        <v>44</v>
      </c>
      <c r="E600" s="84" t="s">
        <v>25</v>
      </c>
      <c r="F600" s="84" t="s">
        <v>25</v>
      </c>
      <c r="G600" s="84" t="s">
        <v>25</v>
      </c>
      <c r="H600" s="84" t="s">
        <v>25</v>
      </c>
      <c r="I600" s="90">
        <v>44593</v>
      </c>
      <c r="J600" s="91">
        <f>EFEITO!$J$600*EFEITO!$Y$600</f>
        <v>0</v>
      </c>
      <c r="K600" s="91">
        <f ca="1">EFEITO!$L$600*EFEITO!$Z$600</f>
        <v>43264.236748638366</v>
      </c>
      <c r="L600" s="91">
        <f>EFEITO!$N$600*EFEITO!$AA$600</f>
        <v>34303.384059845477</v>
      </c>
      <c r="M600" s="91">
        <f>$J$600-EFEITO!$K$600*EFEITO!$Y$600</f>
        <v>0</v>
      </c>
      <c r="N600" s="91">
        <f ca="1">$K$600-EFEITO!$M$600*EFEITO!$Z$600</f>
        <v>0</v>
      </c>
      <c r="O600" s="91">
        <f>$L$600-EFEITO!$O$600*EFEITO!$AA$600</f>
        <v>0</v>
      </c>
      <c r="P600" s="19"/>
      <c r="Q600" s="19"/>
      <c r="R600" s="19"/>
      <c r="S600" s="19"/>
      <c r="T600" s="19"/>
      <c r="U600" s="19"/>
      <c r="V600" s="19"/>
      <c r="W600" s="19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84" t="s">
        <v>21</v>
      </c>
      <c r="B601" s="84" t="s">
        <v>36</v>
      </c>
      <c r="C601" s="84" t="s">
        <v>23</v>
      </c>
      <c r="D601" s="84" t="s">
        <v>44</v>
      </c>
      <c r="E601" s="84" t="s">
        <v>25</v>
      </c>
      <c r="F601" s="84" t="s">
        <v>25</v>
      </c>
      <c r="G601" s="84" t="s">
        <v>25</v>
      </c>
      <c r="H601" s="84" t="s">
        <v>25</v>
      </c>
      <c r="I601" s="90">
        <v>44621</v>
      </c>
      <c r="J601" s="91">
        <f>EFEITO!$J$601*EFEITO!$Y$601</f>
        <v>0</v>
      </c>
      <c r="K601" s="91">
        <f ca="1">EFEITO!$L$601*EFEITO!$Z$601</f>
        <v>72143.998445885401</v>
      </c>
      <c r="L601" s="91">
        <f>EFEITO!$N$601*EFEITO!$AA$601</f>
        <v>57201.593562840091</v>
      </c>
      <c r="M601" s="91">
        <f>$J$601-EFEITO!$K$601*EFEITO!$Y$601</f>
        <v>0</v>
      </c>
      <c r="N601" s="91">
        <f ca="1">$K$601-EFEITO!$M$601*EFEITO!$Z$601</f>
        <v>0</v>
      </c>
      <c r="O601" s="91">
        <f>$L$601-EFEITO!$O$601*EFEITO!$AA$601</f>
        <v>0</v>
      </c>
      <c r="P601" s="19"/>
      <c r="Q601" s="19"/>
      <c r="R601" s="19"/>
      <c r="S601" s="19"/>
      <c r="T601" s="19"/>
      <c r="U601" s="19"/>
      <c r="V601" s="19"/>
      <c r="W601" s="19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84" t="s">
        <v>21</v>
      </c>
      <c r="B602" s="84" t="s">
        <v>36</v>
      </c>
      <c r="C602" s="84" t="s">
        <v>23</v>
      </c>
      <c r="D602" s="84" t="s">
        <v>44</v>
      </c>
      <c r="E602" s="84" t="s">
        <v>25</v>
      </c>
      <c r="F602" s="84" t="s">
        <v>25</v>
      </c>
      <c r="G602" s="84" t="s">
        <v>25</v>
      </c>
      <c r="H602" s="84" t="s">
        <v>25</v>
      </c>
      <c r="I602" s="90">
        <v>44652</v>
      </c>
      <c r="J602" s="91">
        <f>EFEITO!$J$602*EFEITO!$Y$602</f>
        <v>0</v>
      </c>
      <c r="K602" s="91">
        <f ca="1">EFEITO!$L$602*EFEITO!$Z$602</f>
        <v>37575.803594845238</v>
      </c>
      <c r="L602" s="91">
        <f>EFEITO!$N$602*EFEITO!$AA$602</f>
        <v>29793.134444047853</v>
      </c>
      <c r="M602" s="91">
        <f>$J$602-EFEITO!$K$602*EFEITO!$Y$602</f>
        <v>0</v>
      </c>
      <c r="N602" s="91">
        <f ca="1">$K$602-EFEITO!$M$602*EFEITO!$Z$602</f>
        <v>0</v>
      </c>
      <c r="O602" s="91">
        <f>$L$602-EFEITO!$O$602*EFEITO!$AA$602</f>
        <v>0</v>
      </c>
      <c r="P602" s="19"/>
      <c r="Q602" s="19"/>
      <c r="R602" s="19"/>
      <c r="S602" s="19"/>
      <c r="T602" s="19"/>
      <c r="U602" s="19"/>
      <c r="V602" s="19"/>
      <c r="W602" s="19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84" t="s">
        <v>41</v>
      </c>
      <c r="B603" s="84" t="s">
        <v>36</v>
      </c>
      <c r="C603" s="84" t="s">
        <v>23</v>
      </c>
      <c r="D603" s="84" t="s">
        <v>44</v>
      </c>
      <c r="E603" s="84" t="s">
        <v>25</v>
      </c>
      <c r="F603" s="84" t="s">
        <v>25</v>
      </c>
      <c r="G603" s="84" t="s">
        <v>25</v>
      </c>
      <c r="H603" s="84" t="s">
        <v>25</v>
      </c>
      <c r="I603" s="90">
        <v>44652</v>
      </c>
      <c r="J603" s="91">
        <f>EFEITO!$J$603*EFEITO!$Y$603</f>
        <v>0</v>
      </c>
      <c r="K603" s="91">
        <f ca="1">EFEITO!$L$603*EFEITO!$Z$603</f>
        <v>-2056.1358179650656</v>
      </c>
      <c r="L603" s="91">
        <f>EFEITO!$N$603*EFEITO!$AA$603</f>
        <v>-1630.2706795140678</v>
      </c>
      <c r="M603" s="91">
        <f>$J$603-EFEITO!$K$603*EFEITO!$Y$603</f>
        <v>0</v>
      </c>
      <c r="N603" s="91">
        <f ca="1">$K$603-EFEITO!$M$603*EFEITO!$Z$603</f>
        <v>0</v>
      </c>
      <c r="O603" s="91">
        <f>$L$603-EFEITO!$O$603*EFEITO!$AA$603</f>
        <v>0</v>
      </c>
      <c r="P603" s="19"/>
      <c r="Q603" s="19"/>
      <c r="R603" s="19"/>
      <c r="S603" s="19"/>
      <c r="T603" s="19"/>
      <c r="U603" s="19"/>
      <c r="V603" s="19"/>
      <c r="W603" s="19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84" t="s">
        <v>21</v>
      </c>
      <c r="B604" s="84" t="s">
        <v>36</v>
      </c>
      <c r="C604" s="84" t="s">
        <v>23</v>
      </c>
      <c r="D604" s="84" t="s">
        <v>44</v>
      </c>
      <c r="E604" s="84" t="s">
        <v>25</v>
      </c>
      <c r="F604" s="84" t="s">
        <v>25</v>
      </c>
      <c r="G604" s="84" t="s">
        <v>25</v>
      </c>
      <c r="H604" s="84" t="s">
        <v>25</v>
      </c>
      <c r="I604" s="90">
        <v>44682</v>
      </c>
      <c r="J604" s="91">
        <f>EFEITO!$J$604*EFEITO!$Y$604</f>
        <v>0</v>
      </c>
      <c r="K604" s="91">
        <f ca="1">EFEITO!$L$604*EFEITO!$Z$604</f>
        <v>38340.81168467438</v>
      </c>
      <c r="L604" s="91">
        <f>EFEITO!$N$604*EFEITO!$AA$604</f>
        <v>30399.694695341866</v>
      </c>
      <c r="M604" s="91">
        <f>$J$604-EFEITO!$K$604*EFEITO!$Y$604</f>
        <v>0</v>
      </c>
      <c r="N604" s="91">
        <f ca="1">$K$604-EFEITO!$M$604*EFEITO!$Z$604</f>
        <v>0</v>
      </c>
      <c r="O604" s="91">
        <f>$L$604-EFEITO!$O$604*EFEITO!$AA$604</f>
        <v>0</v>
      </c>
      <c r="P604" s="19"/>
      <c r="Q604" s="19"/>
      <c r="R604" s="19"/>
      <c r="S604" s="19"/>
      <c r="T604" s="19"/>
      <c r="U604" s="19"/>
      <c r="V604" s="19"/>
      <c r="W604" s="19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84" t="s">
        <v>55</v>
      </c>
      <c r="B605" s="84" t="s">
        <v>36</v>
      </c>
      <c r="C605" s="84" t="s">
        <v>23</v>
      </c>
      <c r="D605" s="84" t="s">
        <v>44</v>
      </c>
      <c r="E605" s="84" t="s">
        <v>25</v>
      </c>
      <c r="F605" s="84" t="s">
        <v>25</v>
      </c>
      <c r="G605" s="84" t="s">
        <v>25</v>
      </c>
      <c r="H605" s="84" t="s">
        <v>25</v>
      </c>
      <c r="I605" s="90">
        <v>44713</v>
      </c>
      <c r="J605" s="91">
        <f>EFEITO!$J$605*EFEITO!$Y$605</f>
        <v>0</v>
      </c>
      <c r="K605" s="91">
        <f ca="1">EFEITO!$L$605*EFEITO!$Z$605</f>
        <v>38340.81168467438</v>
      </c>
      <c r="L605" s="91">
        <f>EFEITO!$N$605*EFEITO!$AA$605</f>
        <v>30399.694695341866</v>
      </c>
      <c r="M605" s="91">
        <f>$J$605-EFEITO!$K$605*EFEITO!$Y$605</f>
        <v>0</v>
      </c>
      <c r="N605" s="91">
        <f ca="1">$K$605-EFEITO!$M$605*EFEITO!$Z$605</f>
        <v>0</v>
      </c>
      <c r="O605" s="91">
        <f>$L$605-EFEITO!$O$605*EFEITO!$AA$605</f>
        <v>0</v>
      </c>
      <c r="P605" s="19"/>
      <c r="Q605" s="19"/>
      <c r="R605" s="19"/>
      <c r="S605" s="19"/>
      <c r="T605" s="19"/>
      <c r="U605" s="19"/>
      <c r="V605" s="19"/>
      <c r="W605" s="19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84" t="s">
        <v>21</v>
      </c>
      <c r="B606" s="84" t="s">
        <v>36</v>
      </c>
      <c r="C606" s="84" t="s">
        <v>23</v>
      </c>
      <c r="D606" s="84" t="s">
        <v>48</v>
      </c>
      <c r="E606" s="84" t="s">
        <v>49</v>
      </c>
      <c r="F606" s="84" t="s">
        <v>25</v>
      </c>
      <c r="G606" s="84" t="s">
        <v>25</v>
      </c>
      <c r="H606" s="84" t="s">
        <v>25</v>
      </c>
      <c r="I606" s="90">
        <v>44378</v>
      </c>
      <c r="J606" s="91">
        <f>EFEITO!$J$606*EFEITO!$Y$605</f>
        <v>0</v>
      </c>
      <c r="K606" s="91">
        <f ca="1">EFEITO!$L$606*EFEITO!$Z$605</f>
        <v>40251.919296853208</v>
      </c>
      <c r="L606" s="91">
        <f>EFEITO!$N$606*EFEITO!$AA$605</f>
        <v>31914.975290285627</v>
      </c>
      <c r="M606" s="91">
        <f>$J$606-EFEITO!$K$606*EFEITO!$Y$606</f>
        <v>0</v>
      </c>
      <c r="N606" s="91">
        <f ca="1">$K$606-EFEITO!$M$606*EFEITO!$Z$606</f>
        <v>1207.5575789055947</v>
      </c>
      <c r="O606" s="91">
        <f>$L$606-EFEITO!$O$606*EFEITO!$AA$606</f>
        <v>957.44925870856605</v>
      </c>
      <c r="P606" s="19"/>
      <c r="Q606" s="19"/>
      <c r="R606" s="19"/>
      <c r="S606" s="19"/>
      <c r="T606" s="19"/>
      <c r="U606" s="19"/>
      <c r="V606" s="19"/>
      <c r="W606" s="19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84" t="s">
        <v>21</v>
      </c>
      <c r="B607" s="84" t="s">
        <v>36</v>
      </c>
      <c r="C607" s="84" t="s">
        <v>23</v>
      </c>
      <c r="D607" s="84" t="s">
        <v>48</v>
      </c>
      <c r="E607" s="84" t="s">
        <v>49</v>
      </c>
      <c r="F607" s="84" t="s">
        <v>25</v>
      </c>
      <c r="G607" s="84" t="s">
        <v>25</v>
      </c>
      <c r="H607" s="84" t="s">
        <v>25</v>
      </c>
      <c r="I607" s="90">
        <v>44409</v>
      </c>
      <c r="J607" s="91">
        <f>EFEITO!$J$607*EFEITO!$Y$605</f>
        <v>0</v>
      </c>
      <c r="K607" s="91">
        <f ca="1">EFEITO!$L$607*EFEITO!$Z$605</f>
        <v>42123.473761999419</v>
      </c>
      <c r="L607" s="91">
        <f>EFEITO!$N$607*EFEITO!$AA$605</f>
        <v>33398.894953073854</v>
      </c>
      <c r="M607" s="91">
        <f>$J$607-EFEITO!$K$607*EFEITO!$Y$607</f>
        <v>0</v>
      </c>
      <c r="N607" s="91">
        <f ca="1">$K$607-EFEITO!$M$607*EFEITO!$Z$607</f>
        <v>1263.7042128599787</v>
      </c>
      <c r="O607" s="91">
        <f>$L$607-EFEITO!$O$607*EFEITO!$AA$607</f>
        <v>1001.9668485922157</v>
      </c>
      <c r="P607" s="19"/>
      <c r="Q607" s="19"/>
      <c r="R607" s="19"/>
      <c r="S607" s="19"/>
      <c r="T607" s="19"/>
      <c r="U607" s="19"/>
      <c r="V607" s="19"/>
      <c r="W607" s="19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84" t="s">
        <v>21</v>
      </c>
      <c r="B608" s="84" t="s">
        <v>36</v>
      </c>
      <c r="C608" s="84" t="s">
        <v>23</v>
      </c>
      <c r="D608" s="84" t="s">
        <v>48</v>
      </c>
      <c r="E608" s="84" t="s">
        <v>49</v>
      </c>
      <c r="F608" s="84" t="s">
        <v>25</v>
      </c>
      <c r="G608" s="84" t="s">
        <v>25</v>
      </c>
      <c r="H608" s="84" t="s">
        <v>25</v>
      </c>
      <c r="I608" s="90">
        <v>44440</v>
      </c>
      <c r="J608" s="91">
        <f>EFEITO!$J$608*EFEITO!$Y$605</f>
        <v>0</v>
      </c>
      <c r="K608" s="91">
        <f ca="1">EFEITO!$L$608*EFEITO!$Z$605</f>
        <v>37781.103262776414</v>
      </c>
      <c r="L608" s="91">
        <f>EFEITO!$N$608*EFEITO!$AA$605</f>
        <v>29955.912615712314</v>
      </c>
      <c r="M608" s="91">
        <f>$J$608-EFEITO!$K$608*EFEITO!$Y$608</f>
        <v>0</v>
      </c>
      <c r="N608" s="91">
        <f ca="1">$K$608-EFEITO!$M$608*EFEITO!$Z$608</f>
        <v>1133.433097883295</v>
      </c>
      <c r="O608" s="91">
        <f>$L$608-EFEITO!$O$608*EFEITO!$AA$608</f>
        <v>898.67737847136959</v>
      </c>
      <c r="P608" s="19"/>
      <c r="Q608" s="19"/>
      <c r="R608" s="19"/>
      <c r="S608" s="19"/>
      <c r="T608" s="19"/>
      <c r="U608" s="19"/>
      <c r="V608" s="19"/>
      <c r="W608" s="19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84" t="s">
        <v>21</v>
      </c>
      <c r="B609" s="84" t="s">
        <v>36</v>
      </c>
      <c r="C609" s="84" t="s">
        <v>23</v>
      </c>
      <c r="D609" s="84" t="s">
        <v>48</v>
      </c>
      <c r="E609" s="84" t="s">
        <v>49</v>
      </c>
      <c r="F609" s="84" t="s">
        <v>25</v>
      </c>
      <c r="G609" s="84" t="s">
        <v>25</v>
      </c>
      <c r="H609" s="84" t="s">
        <v>25</v>
      </c>
      <c r="I609" s="90">
        <v>44470</v>
      </c>
      <c r="J609" s="91">
        <f>EFEITO!$J$609*EFEITO!$Y$605</f>
        <v>0</v>
      </c>
      <c r="K609" s="91">
        <f ca="1">EFEITO!$L$609*EFEITO!$Z$605</f>
        <v>36960.84633264775</v>
      </c>
      <c r="L609" s="91">
        <f>EFEITO!$N$609*EFEITO!$AA$605</f>
        <v>29305.546617915326</v>
      </c>
      <c r="M609" s="91">
        <f>$J$609-EFEITO!$K$609*EFEITO!$Y$609</f>
        <v>0</v>
      </c>
      <c r="N609" s="91">
        <f ca="1">$K$609-EFEITO!$M$609*EFEITO!$Z$609</f>
        <v>1108.825389979429</v>
      </c>
      <c r="O609" s="91">
        <f>$L$609-EFEITO!$O$609*EFEITO!$AA$609</f>
        <v>879.16639853745801</v>
      </c>
      <c r="P609" s="19"/>
      <c r="Q609" s="19"/>
      <c r="R609" s="19"/>
      <c r="S609" s="19"/>
      <c r="T609" s="19"/>
      <c r="U609" s="19"/>
      <c r="V609" s="19"/>
      <c r="W609" s="19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84" t="s">
        <v>21</v>
      </c>
      <c r="B610" s="84" t="s">
        <v>36</v>
      </c>
      <c r="C610" s="84" t="s">
        <v>23</v>
      </c>
      <c r="D610" s="84" t="s">
        <v>48</v>
      </c>
      <c r="E610" s="84" t="s">
        <v>49</v>
      </c>
      <c r="F610" s="84" t="s">
        <v>25</v>
      </c>
      <c r="G610" s="84" t="s">
        <v>25</v>
      </c>
      <c r="H610" s="84" t="s">
        <v>25</v>
      </c>
      <c r="I610" s="90">
        <v>44501</v>
      </c>
      <c r="J610" s="91">
        <f>EFEITO!$J$610*EFEITO!$Y$605</f>
        <v>0</v>
      </c>
      <c r="K610" s="91">
        <f ca="1">EFEITO!$L$610*EFEITO!$Z$605</f>
        <v>43590.707168590066</v>
      </c>
      <c r="L610" s="91">
        <f>EFEITO!$N$610*EFEITO!$AA$605</f>
        <v>34562.236198272134</v>
      </c>
      <c r="M610" s="91">
        <f>$J$610-EFEITO!$K$610*EFEITO!$Y$610</f>
        <v>0</v>
      </c>
      <c r="N610" s="91">
        <f ca="1">$K$610-EFEITO!$M$610*EFEITO!$Z$610</f>
        <v>1307.7212150576961</v>
      </c>
      <c r="O610" s="91">
        <f>$L$610-EFEITO!$O$610*EFEITO!$AA$610</f>
        <v>1036.8670859481645</v>
      </c>
      <c r="P610" s="19"/>
      <c r="Q610" s="19"/>
      <c r="R610" s="19"/>
      <c r="S610" s="19"/>
      <c r="T610" s="19"/>
      <c r="U610" s="19"/>
      <c r="V610" s="19"/>
      <c r="W610" s="19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84" t="s">
        <v>21</v>
      </c>
      <c r="B611" s="84" t="s">
        <v>36</v>
      </c>
      <c r="C611" s="84" t="s">
        <v>23</v>
      </c>
      <c r="D611" s="84" t="s">
        <v>48</v>
      </c>
      <c r="E611" s="84" t="s">
        <v>49</v>
      </c>
      <c r="F611" s="84" t="s">
        <v>25</v>
      </c>
      <c r="G611" s="84" t="s">
        <v>25</v>
      </c>
      <c r="H611" s="84" t="s">
        <v>25</v>
      </c>
      <c r="I611" s="90">
        <v>44531</v>
      </c>
      <c r="J611" s="91">
        <f>EFEITO!$J$611*EFEITO!$Y$605</f>
        <v>0</v>
      </c>
      <c r="K611" s="91">
        <f ca="1">EFEITO!$L$611*EFEITO!$Z$605</f>
        <v>42918.303669035689</v>
      </c>
      <c r="L611" s="91">
        <f>EFEITO!$N$611*EFEITO!$AA$605</f>
        <v>34029.100351627996</v>
      </c>
      <c r="M611" s="91">
        <f>$J$611-EFEITO!$K$611*EFEITO!$Y$611</f>
        <v>0</v>
      </c>
      <c r="N611" s="91">
        <f ca="1">$K$611-EFEITO!$M$611*EFEITO!$Z$611</f>
        <v>1287.5491100710642</v>
      </c>
      <c r="O611" s="91">
        <f>$L$611-EFEITO!$O$611*EFEITO!$AA$611</f>
        <v>1020.873010548843</v>
      </c>
      <c r="P611" s="19"/>
      <c r="Q611" s="19"/>
      <c r="R611" s="19"/>
      <c r="S611" s="19"/>
      <c r="T611" s="19"/>
      <c r="U611" s="19"/>
      <c r="V611" s="19"/>
      <c r="W611" s="19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84" t="s">
        <v>21</v>
      </c>
      <c r="B612" s="84" t="s">
        <v>36</v>
      </c>
      <c r="C612" s="84" t="s">
        <v>23</v>
      </c>
      <c r="D612" s="84" t="s">
        <v>48</v>
      </c>
      <c r="E612" s="84" t="s">
        <v>49</v>
      </c>
      <c r="F612" s="84" t="s">
        <v>25</v>
      </c>
      <c r="G612" s="84" t="s">
        <v>25</v>
      </c>
      <c r="H612" s="84" t="s">
        <v>25</v>
      </c>
      <c r="I612" s="90">
        <v>44562</v>
      </c>
      <c r="J612" s="91">
        <f>EFEITO!$J$612*EFEITO!$Y$605</f>
        <v>0</v>
      </c>
      <c r="K612" s="91">
        <f ca="1">EFEITO!$L$612*EFEITO!$Z$605</f>
        <v>42062.574472123822</v>
      </c>
      <c r="L612" s="91">
        <f>EFEITO!$N$612*EFEITO!$AA$605</f>
        <v>33350.609073405802</v>
      </c>
      <c r="M612" s="91">
        <f>$J$612-EFEITO!$K$612*EFEITO!$Y$612</f>
        <v>0</v>
      </c>
      <c r="N612" s="91">
        <f ca="1">$K$612-EFEITO!$M$612*EFEITO!$Z$612</f>
        <v>1261.8772341637159</v>
      </c>
      <c r="O612" s="91">
        <f>$L$612-EFEITO!$O$612*EFEITO!$AA$612</f>
        <v>1000.5182722021709</v>
      </c>
      <c r="P612" s="19"/>
      <c r="Q612" s="19"/>
      <c r="R612" s="19"/>
      <c r="S612" s="19"/>
      <c r="T612" s="19"/>
      <c r="U612" s="19"/>
      <c r="V612" s="19"/>
      <c r="W612" s="19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84" t="s">
        <v>21</v>
      </c>
      <c r="B613" s="84" t="s">
        <v>36</v>
      </c>
      <c r="C613" s="84" t="s">
        <v>23</v>
      </c>
      <c r="D613" s="84" t="s">
        <v>48</v>
      </c>
      <c r="E613" s="84" t="s">
        <v>49</v>
      </c>
      <c r="F613" s="84" t="s">
        <v>25</v>
      </c>
      <c r="G613" s="84" t="s">
        <v>25</v>
      </c>
      <c r="H613" s="84" t="s">
        <v>25</v>
      </c>
      <c r="I613" s="90">
        <v>44593</v>
      </c>
      <c r="J613" s="91">
        <f>EFEITO!$J$613*EFEITO!$Y$605</f>
        <v>0</v>
      </c>
      <c r="K613" s="91">
        <f ca="1">EFEITO!$L$613*EFEITO!$Z$605</f>
        <v>40910.196672467369</v>
      </c>
      <c r="L613" s="91">
        <f>EFEITO!$N$613*EFEITO!$AA$605</f>
        <v>32436.910804017083</v>
      </c>
      <c r="M613" s="91">
        <f>$J$613-EFEITO!$K$613*EFEITO!$Y$613</f>
        <v>0</v>
      </c>
      <c r="N613" s="91">
        <f ca="1">$K$613-EFEITO!$M$613*EFEITO!$Z$613</f>
        <v>1227.3059001740185</v>
      </c>
      <c r="O613" s="91">
        <f>$L$613-EFEITO!$O$613*EFEITO!$AA$613</f>
        <v>973.1073241205122</v>
      </c>
      <c r="P613" s="19"/>
      <c r="Q613" s="19"/>
      <c r="R613" s="19"/>
      <c r="S613" s="19"/>
      <c r="T613" s="19"/>
      <c r="U613" s="19"/>
      <c r="V613" s="19"/>
      <c r="W613" s="19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84" t="s">
        <v>21</v>
      </c>
      <c r="B614" s="84" t="s">
        <v>36</v>
      </c>
      <c r="C614" s="84" t="s">
        <v>23</v>
      </c>
      <c r="D614" s="84" t="s">
        <v>48</v>
      </c>
      <c r="E614" s="84" t="s">
        <v>49</v>
      </c>
      <c r="F614" s="84" t="s">
        <v>25</v>
      </c>
      <c r="G614" s="84" t="s">
        <v>25</v>
      </c>
      <c r="H614" s="84" t="s">
        <v>25</v>
      </c>
      <c r="I614" s="90">
        <v>44621</v>
      </c>
      <c r="J614" s="91">
        <f>EFEITO!$J$614*EFEITO!$Y$605</f>
        <v>0</v>
      </c>
      <c r="K614" s="91">
        <f ca="1">EFEITO!$L$614*EFEITO!$Z$605</f>
        <v>42192.848726239157</v>
      </c>
      <c r="L614" s="91">
        <f>EFEITO!$N$614*EFEITO!$AA$605</f>
        <v>33453.901032489521</v>
      </c>
      <c r="M614" s="91">
        <f>$J$614-EFEITO!$K$614*EFEITO!$Y$614</f>
        <v>0</v>
      </c>
      <c r="N614" s="91">
        <f ca="1">$K$614-EFEITO!$M$614*EFEITO!$Z$614</f>
        <v>1265.7854617871708</v>
      </c>
      <c r="O614" s="91">
        <f>$L$614-EFEITO!$O$614*EFEITO!$AA$614</f>
        <v>1003.6170309746885</v>
      </c>
      <c r="P614" s="19"/>
      <c r="Q614" s="19"/>
      <c r="R614" s="19"/>
      <c r="S614" s="19"/>
      <c r="T614" s="19"/>
      <c r="U614" s="19"/>
      <c r="V614" s="19"/>
      <c r="W614" s="19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84" t="s">
        <v>21</v>
      </c>
      <c r="B615" s="84" t="s">
        <v>36</v>
      </c>
      <c r="C615" s="84" t="s">
        <v>23</v>
      </c>
      <c r="D615" s="84" t="s">
        <v>48</v>
      </c>
      <c r="E615" s="84" t="s">
        <v>49</v>
      </c>
      <c r="F615" s="84" t="s">
        <v>25</v>
      </c>
      <c r="G615" s="84" t="s">
        <v>25</v>
      </c>
      <c r="H615" s="84" t="s">
        <v>25</v>
      </c>
      <c r="I615" s="90">
        <v>44652</v>
      </c>
      <c r="J615" s="91">
        <f>EFEITO!$J$615*EFEITO!$Y$605</f>
        <v>0</v>
      </c>
      <c r="K615" s="91">
        <f ca="1">EFEITO!$L$615*EFEITO!$Z$605</f>
        <v>44270.644600912558</v>
      </c>
      <c r="L615" s="91">
        <f>EFEITO!$N$615*EFEITO!$AA$605</f>
        <v>35101.345555803047</v>
      </c>
      <c r="M615" s="91">
        <f>$J$615-EFEITO!$K$615*EFEITO!$Y$615</f>
        <v>0</v>
      </c>
      <c r="N615" s="91">
        <f ca="1">$K$615-EFEITO!$M$615*EFEITO!$Z$615</f>
        <v>1328.1193380273689</v>
      </c>
      <c r="O615" s="91">
        <f>$L$615-EFEITO!$O$615*EFEITO!$AA$615</f>
        <v>1053.0403666740895</v>
      </c>
      <c r="P615" s="19"/>
      <c r="Q615" s="19"/>
      <c r="R615" s="19"/>
      <c r="S615" s="19"/>
      <c r="T615" s="19"/>
      <c r="U615" s="19"/>
      <c r="V615" s="19"/>
      <c r="W615" s="19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84" t="s">
        <v>21</v>
      </c>
      <c r="B616" s="84" t="s">
        <v>36</v>
      </c>
      <c r="C616" s="84" t="s">
        <v>23</v>
      </c>
      <c r="D616" s="84" t="s">
        <v>48</v>
      </c>
      <c r="E616" s="84" t="s">
        <v>49</v>
      </c>
      <c r="F616" s="84" t="s">
        <v>25</v>
      </c>
      <c r="G616" s="84" t="s">
        <v>25</v>
      </c>
      <c r="H616" s="84" t="s">
        <v>25</v>
      </c>
      <c r="I616" s="90">
        <v>44682</v>
      </c>
      <c r="J616" s="91">
        <f>EFEITO!$J$616*EFEITO!$Y$605</f>
        <v>0</v>
      </c>
      <c r="K616" s="91">
        <f ca="1">EFEITO!$L$616*EFEITO!$Z$605</f>
        <v>45202.968780966949</v>
      </c>
      <c r="L616" s="91">
        <f>EFEITO!$N$616*EFEITO!$AA$605</f>
        <v>35840.567528040723</v>
      </c>
      <c r="M616" s="91">
        <f>$J$616-EFEITO!$K$616*EFEITO!$Y$616</f>
        <v>0</v>
      </c>
      <c r="N616" s="91">
        <f ca="1">$K$616-EFEITO!$M$616*EFEITO!$Z$616</f>
        <v>1356.0890634290045</v>
      </c>
      <c r="O616" s="91">
        <f>$L$616-EFEITO!$O$616*EFEITO!$AA$616</f>
        <v>1075.2170258412225</v>
      </c>
      <c r="P616" s="19"/>
      <c r="Q616" s="19"/>
      <c r="R616" s="19"/>
      <c r="S616" s="19"/>
      <c r="T616" s="19"/>
      <c r="U616" s="19"/>
      <c r="V616" s="19"/>
      <c r="W616" s="19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84" t="s">
        <v>55</v>
      </c>
      <c r="B617" s="84" t="s">
        <v>36</v>
      </c>
      <c r="C617" s="84" t="s">
        <v>23</v>
      </c>
      <c r="D617" s="84" t="s">
        <v>48</v>
      </c>
      <c r="E617" s="84" t="s">
        <v>49</v>
      </c>
      <c r="F617" s="84" t="s">
        <v>25</v>
      </c>
      <c r="G617" s="84" t="s">
        <v>25</v>
      </c>
      <c r="H617" s="84" t="s">
        <v>25</v>
      </c>
      <c r="I617" s="90">
        <v>44713</v>
      </c>
      <c r="J617" s="91">
        <f>EFEITO!$J$617*EFEITO!$Y$605</f>
        <v>0</v>
      </c>
      <c r="K617" s="91">
        <f ca="1">EFEITO!$L$617*EFEITO!$Z$605</f>
        <v>45202.968780966949</v>
      </c>
      <c r="L617" s="91">
        <f>EFEITO!$N$617*EFEITO!$AA$605</f>
        <v>35840.567528040723</v>
      </c>
      <c r="M617" s="91">
        <f>$J$617-EFEITO!$K$617*EFEITO!$Y$617</f>
        <v>0</v>
      </c>
      <c r="N617" s="91">
        <f ca="1">$K$617-EFEITO!$M$617*EFEITO!$Z$617</f>
        <v>1356.0890634290045</v>
      </c>
      <c r="O617" s="91">
        <f>$L$617-EFEITO!$O$617*EFEITO!$AA$617</f>
        <v>1075.2170258412225</v>
      </c>
      <c r="P617" s="19"/>
      <c r="Q617" s="19"/>
      <c r="R617" s="19"/>
      <c r="S617" s="19"/>
      <c r="T617" s="19"/>
      <c r="U617" s="19"/>
      <c r="V617" s="19"/>
      <c r="W617" s="19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84" t="s">
        <v>21</v>
      </c>
      <c r="B618" s="84" t="s">
        <v>45</v>
      </c>
      <c r="C618" s="84" t="s">
        <v>23</v>
      </c>
      <c r="D618" s="84" t="s">
        <v>46</v>
      </c>
      <c r="E618" s="84" t="s">
        <v>47</v>
      </c>
      <c r="F618" s="84" t="s">
        <v>25</v>
      </c>
      <c r="G618" s="84" t="s">
        <v>25</v>
      </c>
      <c r="H618" s="84" t="s">
        <v>25</v>
      </c>
      <c r="I618" s="90">
        <v>44378</v>
      </c>
      <c r="J618" s="91">
        <f>EFEITO!$J$618*EFEITO!$Y$618</f>
        <v>0</v>
      </c>
      <c r="K618" s="91">
        <f ca="1">EFEITO!$L$618*EFEITO!$Z$618</f>
        <v>72327.292751856352</v>
      </c>
      <c r="L618" s="91">
        <f>EFEITO!$N$618*EFEITO!$AA$618</f>
        <v>57346.924104789439</v>
      </c>
      <c r="M618" s="91">
        <f>$J$618-EFEITO!$K$618*EFEITO!$Y$618</f>
        <v>0</v>
      </c>
      <c r="N618" s="91">
        <f ca="1">$K$618-EFEITO!$M$618*EFEITO!$Z$618</f>
        <v>0</v>
      </c>
      <c r="O618" s="91">
        <f>$L$618-EFEITO!$O$618*EFEITO!$AA$618</f>
        <v>0</v>
      </c>
      <c r="P618" s="19"/>
      <c r="Q618" s="19"/>
      <c r="R618" s="19"/>
      <c r="S618" s="19"/>
      <c r="T618" s="19"/>
      <c r="U618" s="19"/>
      <c r="V618" s="19"/>
      <c r="W618" s="19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84" t="s">
        <v>21</v>
      </c>
      <c r="B619" s="84" t="s">
        <v>45</v>
      </c>
      <c r="C619" s="84" t="s">
        <v>23</v>
      </c>
      <c r="D619" s="84" t="s">
        <v>46</v>
      </c>
      <c r="E619" s="84" t="s">
        <v>47</v>
      </c>
      <c r="F619" s="84" t="s">
        <v>25</v>
      </c>
      <c r="G619" s="84" t="s">
        <v>25</v>
      </c>
      <c r="H619" s="84" t="s">
        <v>25</v>
      </c>
      <c r="I619" s="90">
        <v>44409</v>
      </c>
      <c r="J619" s="91">
        <f>EFEITO!$J$619*EFEITO!$Y$619</f>
        <v>0</v>
      </c>
      <c r="K619" s="91">
        <f ca="1">EFEITO!$L$619*EFEITO!$Z$619</f>
        <v>72372.873045103464</v>
      </c>
      <c r="L619" s="91">
        <f>EFEITO!$N$619*EFEITO!$AA$619</f>
        <v>57383.063845654397</v>
      </c>
      <c r="M619" s="91">
        <f>$J$619-EFEITO!$K$619*EFEITO!$Y$619</f>
        <v>0</v>
      </c>
      <c r="N619" s="91">
        <f ca="1">$K$619-EFEITO!$M$619*EFEITO!$Z$619</f>
        <v>0</v>
      </c>
      <c r="O619" s="91">
        <f>$L$619-EFEITO!$O$619*EFEITO!$AA$619</f>
        <v>0</v>
      </c>
      <c r="P619" s="19"/>
      <c r="Q619" s="19"/>
      <c r="R619" s="19"/>
      <c r="S619" s="19"/>
      <c r="T619" s="19"/>
      <c r="U619" s="19"/>
      <c r="V619" s="19"/>
      <c r="W619" s="19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84" t="s">
        <v>21</v>
      </c>
      <c r="B620" s="84" t="s">
        <v>45</v>
      </c>
      <c r="C620" s="84" t="s">
        <v>23</v>
      </c>
      <c r="D620" s="84" t="s">
        <v>46</v>
      </c>
      <c r="E620" s="84" t="s">
        <v>47</v>
      </c>
      <c r="F620" s="84" t="s">
        <v>25</v>
      </c>
      <c r="G620" s="84" t="s">
        <v>25</v>
      </c>
      <c r="H620" s="84" t="s">
        <v>25</v>
      </c>
      <c r="I620" s="90">
        <v>44440</v>
      </c>
      <c r="J620" s="91">
        <f>EFEITO!$J$620*EFEITO!$Y$620</f>
        <v>0</v>
      </c>
      <c r="K620" s="91">
        <f ca="1">EFEITO!$L$620*EFEITO!$Z$620</f>
        <v>70040.854026585934</v>
      </c>
      <c r="L620" s="91">
        <f>EFEITO!$N$620*EFEITO!$AA$620</f>
        <v>55534.050664355455</v>
      </c>
      <c r="M620" s="91">
        <f>$J$620-EFEITO!$K$620*EFEITO!$Y$620</f>
        <v>0</v>
      </c>
      <c r="N620" s="91">
        <f ca="1">$K$620-EFEITO!$M$620*EFEITO!$Z$620</f>
        <v>0</v>
      </c>
      <c r="O620" s="91">
        <f>$L$620-EFEITO!$O$620*EFEITO!$AA$620</f>
        <v>0</v>
      </c>
      <c r="P620" s="19"/>
      <c r="Q620" s="19"/>
      <c r="R620" s="19"/>
      <c r="S620" s="19"/>
      <c r="T620" s="19"/>
      <c r="U620" s="19"/>
      <c r="V620" s="19"/>
      <c r="W620" s="19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84" t="s">
        <v>21</v>
      </c>
      <c r="B621" s="84" t="s">
        <v>45</v>
      </c>
      <c r="C621" s="84" t="s">
        <v>23</v>
      </c>
      <c r="D621" s="84" t="s">
        <v>46</v>
      </c>
      <c r="E621" s="84" t="s">
        <v>47</v>
      </c>
      <c r="F621" s="84" t="s">
        <v>25</v>
      </c>
      <c r="G621" s="84" t="s">
        <v>25</v>
      </c>
      <c r="H621" s="84" t="s">
        <v>25</v>
      </c>
      <c r="I621" s="90">
        <v>44470</v>
      </c>
      <c r="J621" s="91">
        <f>EFEITO!$J$621*EFEITO!$Y$621</f>
        <v>0</v>
      </c>
      <c r="K621" s="91">
        <f ca="1">EFEITO!$L$621*EFEITO!$Z$621</f>
        <v>72349.910245853971</v>
      </c>
      <c r="L621" s="91">
        <f>EFEITO!$N$621*EFEITO!$AA$621</f>
        <v>57364.85708226409</v>
      </c>
      <c r="M621" s="91">
        <f>$J$621-EFEITO!$K$621*EFEITO!$Y$621</f>
        <v>0</v>
      </c>
      <c r="N621" s="91">
        <f ca="1">$K$621-EFEITO!$M$621*EFEITO!$Z$621</f>
        <v>0</v>
      </c>
      <c r="O621" s="91">
        <f>$L$621-EFEITO!$O$621*EFEITO!$AA$621</f>
        <v>0</v>
      </c>
      <c r="P621" s="19"/>
      <c r="Q621" s="19"/>
      <c r="R621" s="19"/>
      <c r="S621" s="19"/>
      <c r="T621" s="19"/>
      <c r="U621" s="19"/>
      <c r="V621" s="19"/>
      <c r="W621" s="19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84" t="s">
        <v>21</v>
      </c>
      <c r="B622" s="84" t="s">
        <v>45</v>
      </c>
      <c r="C622" s="84" t="s">
        <v>23</v>
      </c>
      <c r="D622" s="84" t="s">
        <v>46</v>
      </c>
      <c r="E622" s="84" t="s">
        <v>47</v>
      </c>
      <c r="F622" s="84" t="s">
        <v>25</v>
      </c>
      <c r="G622" s="84" t="s">
        <v>25</v>
      </c>
      <c r="H622" s="84" t="s">
        <v>25</v>
      </c>
      <c r="I622" s="90">
        <v>44501</v>
      </c>
      <c r="J622" s="91">
        <f>EFEITO!$J$622*EFEITO!$Y$622</f>
        <v>0</v>
      </c>
      <c r="K622" s="91">
        <f ca="1">EFEITO!$L$622*EFEITO!$Z$622</f>
        <v>69779.803256170708</v>
      </c>
      <c r="L622" s="91">
        <f>EFEITO!$N$622*EFEITO!$AA$622</f>
        <v>55327.068512128899</v>
      </c>
      <c r="M622" s="91">
        <f>$J$622-EFEITO!$K$622*EFEITO!$Y$622</f>
        <v>0</v>
      </c>
      <c r="N622" s="91">
        <f ca="1">$K$622-EFEITO!$M$622*EFEITO!$Z$622</f>
        <v>0</v>
      </c>
      <c r="O622" s="91">
        <f>$L$622-EFEITO!$O$622*EFEITO!$AA$622</f>
        <v>0</v>
      </c>
      <c r="P622" s="19"/>
      <c r="Q622" s="19"/>
      <c r="R622" s="19"/>
      <c r="S622" s="19"/>
      <c r="T622" s="19"/>
      <c r="U622" s="19"/>
      <c r="V622" s="19"/>
      <c r="W622" s="19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84" t="s">
        <v>21</v>
      </c>
      <c r="B623" s="84" t="s">
        <v>45</v>
      </c>
      <c r="C623" s="84" t="s">
        <v>23</v>
      </c>
      <c r="D623" s="84" t="s">
        <v>46</v>
      </c>
      <c r="E623" s="84" t="s">
        <v>47</v>
      </c>
      <c r="F623" s="84" t="s">
        <v>25</v>
      </c>
      <c r="G623" s="84" t="s">
        <v>25</v>
      </c>
      <c r="H623" s="84" t="s">
        <v>25</v>
      </c>
      <c r="I623" s="90">
        <v>44531</v>
      </c>
      <c r="J623" s="91">
        <f>EFEITO!$J$623*EFEITO!$Y$623</f>
        <v>0</v>
      </c>
      <c r="K623" s="91">
        <f ca="1">EFEITO!$L$623*EFEITO!$Z$623</f>
        <v>72298.459763325038</v>
      </c>
      <c r="L623" s="91">
        <f>EFEITO!$N$623*EFEITO!$AA$623</f>
        <v>57324.062980833201</v>
      </c>
      <c r="M623" s="91">
        <f>$J$623-EFEITO!$K$623*EFEITO!$Y$623</f>
        <v>0</v>
      </c>
      <c r="N623" s="91">
        <f ca="1">$K$623-EFEITO!$M$623*EFEITO!$Z$623</f>
        <v>0</v>
      </c>
      <c r="O623" s="91">
        <f>$L$623-EFEITO!$O$623*EFEITO!$AA$623</f>
        <v>0</v>
      </c>
      <c r="P623" s="19"/>
      <c r="Q623" s="19"/>
      <c r="R623" s="19"/>
      <c r="S623" s="19"/>
      <c r="T623" s="19"/>
      <c r="U623" s="19"/>
      <c r="V623" s="19"/>
      <c r="W623" s="19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84" t="s">
        <v>21</v>
      </c>
      <c r="B624" s="84" t="s">
        <v>45</v>
      </c>
      <c r="C624" s="84" t="s">
        <v>23</v>
      </c>
      <c r="D624" s="84" t="s">
        <v>46</v>
      </c>
      <c r="E624" s="84" t="s">
        <v>47</v>
      </c>
      <c r="F624" s="84" t="s">
        <v>25</v>
      </c>
      <c r="G624" s="84" t="s">
        <v>25</v>
      </c>
      <c r="H624" s="84" t="s">
        <v>25</v>
      </c>
      <c r="I624" s="90">
        <v>44562</v>
      </c>
      <c r="J624" s="91">
        <f>EFEITO!$J$624*EFEITO!$Y$624</f>
        <v>0</v>
      </c>
      <c r="K624" s="91">
        <f ca="1">EFEITO!$L$624*EFEITO!$Z$624</f>
        <v>72196.249408770935</v>
      </c>
      <c r="L624" s="91">
        <f>EFEITO!$N$624*EFEITO!$AA$624</f>
        <v>57243.022349802697</v>
      </c>
      <c r="M624" s="91">
        <f>$J$624-EFEITO!$K$624*EFEITO!$Y$624</f>
        <v>0</v>
      </c>
      <c r="N624" s="91">
        <f ca="1">$K$624-EFEITO!$M$624*EFEITO!$Z$624</f>
        <v>0</v>
      </c>
      <c r="O624" s="91">
        <f>$L$624-EFEITO!$O$624*EFEITO!$AA$624</f>
        <v>0</v>
      </c>
      <c r="P624" s="19"/>
      <c r="Q624" s="19"/>
      <c r="R624" s="19"/>
      <c r="S624" s="19"/>
      <c r="T624" s="19"/>
      <c r="U624" s="19"/>
      <c r="V624" s="19"/>
      <c r="W624" s="19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84" t="s">
        <v>21</v>
      </c>
      <c r="B625" s="84" t="s">
        <v>45</v>
      </c>
      <c r="C625" s="84" t="s">
        <v>23</v>
      </c>
      <c r="D625" s="84" t="s">
        <v>46</v>
      </c>
      <c r="E625" s="84" t="s">
        <v>47</v>
      </c>
      <c r="F625" s="84" t="s">
        <v>25</v>
      </c>
      <c r="G625" s="84" t="s">
        <v>25</v>
      </c>
      <c r="H625" s="84" t="s">
        <v>25</v>
      </c>
      <c r="I625" s="90">
        <v>44593</v>
      </c>
      <c r="J625" s="91">
        <f>EFEITO!$J$625*EFEITO!$Y$625</f>
        <v>0</v>
      </c>
      <c r="K625" s="91">
        <f ca="1">EFEITO!$L$625*EFEITO!$Z$625</f>
        <v>65669.807495764282</v>
      </c>
      <c r="L625" s="91">
        <f>EFEITO!$N$625*EFEITO!$AA$625</f>
        <v>52068.331651181143</v>
      </c>
      <c r="M625" s="91">
        <f>$J$625-EFEITO!$K$625*EFEITO!$Y$625</f>
        <v>0</v>
      </c>
      <c r="N625" s="91">
        <f ca="1">$K$625-EFEITO!$M$625*EFEITO!$Z$625</f>
        <v>0</v>
      </c>
      <c r="O625" s="91">
        <f>$L$625-EFEITO!$O$625*EFEITO!$AA$625</f>
        <v>0</v>
      </c>
      <c r="P625" s="19"/>
      <c r="Q625" s="19"/>
      <c r="R625" s="19"/>
      <c r="S625" s="19"/>
      <c r="T625" s="19"/>
      <c r="U625" s="19"/>
      <c r="V625" s="19"/>
      <c r="W625" s="19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84" t="s">
        <v>21</v>
      </c>
      <c r="B626" s="84" t="s">
        <v>45</v>
      </c>
      <c r="C626" s="84" t="s">
        <v>23</v>
      </c>
      <c r="D626" s="84" t="s">
        <v>46</v>
      </c>
      <c r="E626" s="84" t="s">
        <v>47</v>
      </c>
      <c r="F626" s="84" t="s">
        <v>25</v>
      </c>
      <c r="G626" s="84" t="s">
        <v>25</v>
      </c>
      <c r="H626" s="84" t="s">
        <v>25</v>
      </c>
      <c r="I626" s="90">
        <v>44621</v>
      </c>
      <c r="J626" s="91">
        <f>EFEITO!$J$626*EFEITO!$Y$626</f>
        <v>0</v>
      </c>
      <c r="K626" s="91">
        <f ca="1">EFEITO!$L$626*EFEITO!$Z$626</f>
        <v>73078.676979929805</v>
      </c>
      <c r="L626" s="91">
        <f>EFEITO!$N$626*EFEITO!$AA$626</f>
        <v>57942.682257229877</v>
      </c>
      <c r="M626" s="91">
        <f>$J$626-EFEITO!$K$626*EFEITO!$Y$626</f>
        <v>0</v>
      </c>
      <c r="N626" s="91">
        <f ca="1">$K$626-EFEITO!$M$626*EFEITO!$Z$626</f>
        <v>0</v>
      </c>
      <c r="O626" s="91">
        <f>$L$626-EFEITO!$O$626*EFEITO!$AA$626</f>
        <v>0</v>
      </c>
      <c r="P626" s="19"/>
      <c r="Q626" s="19"/>
      <c r="R626" s="19"/>
      <c r="S626" s="19"/>
      <c r="T626" s="19"/>
      <c r="U626" s="19"/>
      <c r="V626" s="19"/>
      <c r="W626" s="19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84" t="s">
        <v>21</v>
      </c>
      <c r="B627" s="84" t="s">
        <v>45</v>
      </c>
      <c r="C627" s="84" t="s">
        <v>23</v>
      </c>
      <c r="D627" s="84" t="s">
        <v>46</v>
      </c>
      <c r="E627" s="84" t="s">
        <v>47</v>
      </c>
      <c r="F627" s="84" t="s">
        <v>25</v>
      </c>
      <c r="G627" s="84" t="s">
        <v>25</v>
      </c>
      <c r="H627" s="84" t="s">
        <v>25</v>
      </c>
      <c r="I627" s="90">
        <v>44652</v>
      </c>
      <c r="J627" s="91">
        <f>EFEITO!$J$627*EFEITO!$Y$627</f>
        <v>0</v>
      </c>
      <c r="K627" s="91">
        <f ca="1">EFEITO!$L$627*EFEITO!$Z$627</f>
        <v>67863.013803029258</v>
      </c>
      <c r="L627" s="91">
        <f>EFEITO!$N$627*EFEITO!$AA$627</f>
        <v>53807.282894391363</v>
      </c>
      <c r="M627" s="91">
        <f>$J$627-EFEITO!$K$627*EFEITO!$Y$627</f>
        <v>0</v>
      </c>
      <c r="N627" s="91">
        <f ca="1">$K$627-EFEITO!$M$627*EFEITO!$Z$627</f>
        <v>0</v>
      </c>
      <c r="O627" s="91">
        <f>$L$627-EFEITO!$O$627*EFEITO!$AA$627</f>
        <v>0</v>
      </c>
      <c r="P627" s="19"/>
      <c r="Q627" s="19"/>
      <c r="R627" s="19"/>
      <c r="S627" s="19"/>
      <c r="T627" s="19"/>
      <c r="U627" s="19"/>
      <c r="V627" s="19"/>
      <c r="W627" s="19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84" t="s">
        <v>21</v>
      </c>
      <c r="B628" s="84" t="s">
        <v>45</v>
      </c>
      <c r="C628" s="84" t="s">
        <v>23</v>
      </c>
      <c r="D628" s="84" t="s">
        <v>46</v>
      </c>
      <c r="E628" s="84" t="s">
        <v>47</v>
      </c>
      <c r="F628" s="84" t="s">
        <v>25</v>
      </c>
      <c r="G628" s="84" t="s">
        <v>25</v>
      </c>
      <c r="H628" s="84" t="s">
        <v>25</v>
      </c>
      <c r="I628" s="90">
        <v>44682</v>
      </c>
      <c r="J628" s="91">
        <f>EFEITO!$J$628*EFEITO!$Y$628</f>
        <v>0</v>
      </c>
      <c r="K628" s="91">
        <f ca="1">EFEITO!$L$628*EFEITO!$Z$628</f>
        <v>70227.318862596803</v>
      </c>
      <c r="L628" s="91">
        <f>EFEITO!$N$628*EFEITO!$AA$628</f>
        <v>55681.895058802984</v>
      </c>
      <c r="M628" s="91">
        <f>$J$628-EFEITO!$K$628*EFEITO!$Y$628</f>
        <v>0</v>
      </c>
      <c r="N628" s="91">
        <f ca="1">$K$628-EFEITO!$M$628*EFEITO!$Z$628</f>
        <v>0</v>
      </c>
      <c r="O628" s="91">
        <f>$L$628-EFEITO!$O$628*EFEITO!$AA$628</f>
        <v>0</v>
      </c>
      <c r="P628" s="19"/>
      <c r="Q628" s="19"/>
      <c r="R628" s="19"/>
      <c r="S628" s="19"/>
      <c r="T628" s="19"/>
      <c r="U628" s="19"/>
      <c r="V628" s="19"/>
      <c r="W628" s="19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84" t="s">
        <v>55</v>
      </c>
      <c r="B629" s="84" t="s">
        <v>45</v>
      </c>
      <c r="C629" s="84" t="s">
        <v>23</v>
      </c>
      <c r="D629" s="84" t="s">
        <v>46</v>
      </c>
      <c r="E629" s="84" t="s">
        <v>47</v>
      </c>
      <c r="F629" s="84" t="s">
        <v>25</v>
      </c>
      <c r="G629" s="84" t="s">
        <v>25</v>
      </c>
      <c r="H629" s="84" t="s">
        <v>25</v>
      </c>
      <c r="I629" s="90">
        <v>44713</v>
      </c>
      <c r="J629" s="91">
        <f>EFEITO!$J$629*EFEITO!$Y$629</f>
        <v>0</v>
      </c>
      <c r="K629" s="91">
        <f ca="1">EFEITO!$L$629*EFEITO!$Z$629</f>
        <v>70227.318862596803</v>
      </c>
      <c r="L629" s="91">
        <f>EFEITO!$N$629*EFEITO!$AA$629</f>
        <v>55681.895058802984</v>
      </c>
      <c r="M629" s="91">
        <f>$J$629-EFEITO!$K$629*EFEITO!$Y$629</f>
        <v>0</v>
      </c>
      <c r="N629" s="91">
        <f ca="1">$K$629-EFEITO!$M$629*EFEITO!$Z$629</f>
        <v>0</v>
      </c>
      <c r="O629" s="91">
        <f>$L$629-EFEITO!$O$629*EFEITO!$AA$629</f>
        <v>0</v>
      </c>
      <c r="P629" s="19"/>
      <c r="Q629" s="19"/>
      <c r="R629" s="19"/>
      <c r="S629" s="19"/>
      <c r="T629" s="19"/>
      <c r="U629" s="19"/>
      <c r="V629" s="19"/>
      <c r="W629" s="19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95580-EE2A-43D1-B462-39A3D0377B60}">
  <dimension ref="A1:BD103"/>
  <sheetViews>
    <sheetView showGridLines="0" topLeftCell="D45" workbookViewId="0">
      <selection activeCell="L53" sqref="L53:BD103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7.85546875" style="9" bestFit="1" customWidth="1"/>
    <col min="15" max="15" width="4.140625" style="9" bestFit="1" customWidth="1"/>
    <col min="16" max="16" width="4.42578125" style="9" bestFit="1" customWidth="1"/>
    <col min="17" max="17" width="10" style="9" bestFit="1" customWidth="1"/>
    <col min="18" max="19" width="8.7109375" style="9" bestFit="1" customWidth="1"/>
    <col min="20" max="21" width="10" style="9" bestFit="1" customWidth="1"/>
    <col min="22" max="23" width="9.85546875" style="9" bestFit="1" customWidth="1"/>
    <col min="24" max="24" width="5.140625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10.5703125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7.85546875" style="9" bestFit="1" customWidth="1"/>
    <col min="34" max="34" width="9.140625" style="9"/>
    <col min="35" max="35" width="13.42578125" style="9" bestFit="1" customWidth="1"/>
    <col min="36" max="37" width="7.85546875" style="9" bestFit="1" customWidth="1"/>
    <col min="38" max="38" width="4.140625" style="9" bestFit="1" customWidth="1"/>
    <col min="39" max="39" width="4.42578125" style="9" bestFit="1" customWidth="1"/>
    <col min="40" max="40" width="10" style="9" bestFit="1" customWidth="1"/>
    <col min="41" max="42" width="8.7109375" style="9" bestFit="1" customWidth="1"/>
    <col min="43" max="44" width="10" style="9" bestFit="1" customWidth="1"/>
    <col min="45" max="46" width="9.85546875" style="9" bestFit="1" customWidth="1"/>
    <col min="47" max="47" width="5.140625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10.5703125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7.85546875" style="9" bestFit="1" customWidth="1"/>
    <col min="57" max="16384" width="9.140625" style="9"/>
  </cols>
  <sheetData>
    <row r="1" spans="1:56" ht="11.25" customHeight="1" x14ac:dyDescent="0.25">
      <c r="A1" s="167" t="s">
        <v>68</v>
      </c>
      <c r="B1" s="167" t="s">
        <v>69</v>
      </c>
      <c r="C1" s="167" t="s">
        <v>70</v>
      </c>
      <c r="D1" s="167" t="s">
        <v>71</v>
      </c>
      <c r="E1" s="167" t="s">
        <v>72</v>
      </c>
      <c r="F1" s="167" t="s">
        <v>15</v>
      </c>
      <c r="G1" s="167" t="s">
        <v>74</v>
      </c>
      <c r="H1" s="167" t="s">
        <v>75</v>
      </c>
      <c r="I1" s="167" t="s">
        <v>573</v>
      </c>
      <c r="J1" s="155"/>
      <c r="L1" s="168" t="s">
        <v>750</v>
      </c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  <c r="AC1" s="168"/>
      <c r="AD1" s="168"/>
      <c r="AE1" s="168"/>
      <c r="AF1" s="168"/>
      <c r="AG1" s="168"/>
      <c r="AI1" s="168" t="s">
        <v>751</v>
      </c>
      <c r="AJ1" s="168"/>
      <c r="AK1" s="168"/>
      <c r="AL1" s="168"/>
      <c r="AM1" s="168"/>
      <c r="AN1" s="168"/>
      <c r="AO1" s="168"/>
      <c r="AP1" s="168"/>
      <c r="AQ1" s="168"/>
      <c r="AR1" s="168"/>
      <c r="AS1" s="168"/>
      <c r="AT1" s="168"/>
      <c r="AU1" s="168"/>
      <c r="AV1" s="168"/>
      <c r="AW1" s="168"/>
      <c r="AX1" s="168"/>
      <c r="AY1" s="168"/>
      <c r="AZ1" s="168"/>
      <c r="BA1" s="168"/>
      <c r="BB1" s="168"/>
      <c r="BC1" s="168"/>
      <c r="BD1" s="168"/>
    </row>
    <row r="2" spans="1:56" ht="11.25" customHeight="1" x14ac:dyDescent="0.25">
      <c r="A2" s="167"/>
      <c r="B2" s="167"/>
      <c r="C2" s="167"/>
      <c r="D2" s="167"/>
      <c r="E2" s="167"/>
      <c r="F2" s="167"/>
      <c r="G2" s="167"/>
      <c r="H2" s="167"/>
      <c r="I2" s="167"/>
      <c r="J2" s="155"/>
      <c r="L2" s="168" t="s">
        <v>483</v>
      </c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I2" s="168" t="s">
        <v>483</v>
      </c>
      <c r="AJ2" s="168"/>
      <c r="AK2" s="168"/>
      <c r="AL2" s="168"/>
      <c r="AM2" s="168"/>
      <c r="AN2" s="168"/>
      <c r="AO2" s="168"/>
      <c r="AP2" s="168"/>
      <c r="AQ2" s="168"/>
      <c r="AR2" s="168"/>
      <c r="AS2" s="168"/>
      <c r="AT2" s="168"/>
      <c r="AU2" s="168"/>
      <c r="AV2" s="168"/>
      <c r="AW2" s="168"/>
      <c r="AX2" s="168"/>
      <c r="AY2" s="168"/>
      <c r="AZ2" s="168"/>
      <c r="BA2" s="168"/>
      <c r="BB2" s="168"/>
      <c r="BC2" s="168"/>
      <c r="BD2" s="168"/>
    </row>
    <row r="3" spans="1:56" ht="11.25" customHeight="1" x14ac:dyDescent="0.25">
      <c r="A3" s="167"/>
      <c r="B3" s="167"/>
      <c r="C3" s="167"/>
      <c r="D3" s="167"/>
      <c r="E3" s="167"/>
      <c r="F3" s="167"/>
      <c r="G3" s="167"/>
      <c r="H3" s="167"/>
      <c r="I3" s="167"/>
      <c r="J3" s="155"/>
      <c r="L3" s="168" t="s">
        <v>484</v>
      </c>
      <c r="M3" s="168"/>
      <c r="N3" s="168"/>
      <c r="O3" s="168"/>
      <c r="P3" s="168"/>
      <c r="Q3" s="168"/>
      <c r="R3" s="168"/>
      <c r="S3" s="168"/>
      <c r="T3" s="168" t="s">
        <v>493</v>
      </c>
      <c r="U3" s="168"/>
      <c r="V3" s="168"/>
      <c r="W3" s="168"/>
      <c r="X3" s="168"/>
      <c r="Y3" s="168"/>
      <c r="Z3" s="168"/>
      <c r="AA3" s="116" t="s">
        <v>501</v>
      </c>
      <c r="AB3" s="168" t="s">
        <v>503</v>
      </c>
      <c r="AC3" s="168"/>
      <c r="AD3" s="168" t="s">
        <v>506</v>
      </c>
      <c r="AE3" s="168"/>
      <c r="AF3" s="168"/>
      <c r="AG3" s="168"/>
      <c r="AI3" s="168" t="s">
        <v>484</v>
      </c>
      <c r="AJ3" s="168"/>
      <c r="AK3" s="168"/>
      <c r="AL3" s="168"/>
      <c r="AM3" s="168"/>
      <c r="AN3" s="168"/>
      <c r="AO3" s="168"/>
      <c r="AP3" s="168"/>
      <c r="AQ3" s="168" t="s">
        <v>493</v>
      </c>
      <c r="AR3" s="168"/>
      <c r="AS3" s="168"/>
      <c r="AT3" s="168"/>
      <c r="AU3" s="168"/>
      <c r="AV3" s="168"/>
      <c r="AW3" s="168"/>
      <c r="AX3" s="116" t="s">
        <v>501</v>
      </c>
      <c r="AY3" s="168" t="s">
        <v>503</v>
      </c>
      <c r="AZ3" s="168"/>
      <c r="BA3" s="168" t="s">
        <v>506</v>
      </c>
      <c r="BB3" s="168"/>
      <c r="BC3" s="168"/>
      <c r="BD3" s="168"/>
    </row>
    <row r="4" spans="1:56" ht="11.25" customHeight="1" x14ac:dyDescent="0.25">
      <c r="A4" s="167"/>
      <c r="B4" s="167"/>
      <c r="C4" s="167"/>
      <c r="D4" s="167"/>
      <c r="E4" s="167"/>
      <c r="F4" s="167"/>
      <c r="G4" s="167"/>
      <c r="H4" s="167"/>
      <c r="I4" s="167"/>
      <c r="J4" s="155"/>
      <c r="L4" s="116" t="s">
        <v>569</v>
      </c>
      <c r="M4" s="116" t="s">
        <v>485</v>
      </c>
      <c r="N4" s="116" t="s">
        <v>486</v>
      </c>
      <c r="O4" s="116" t="s">
        <v>487</v>
      </c>
      <c r="P4" s="116" t="s">
        <v>488</v>
      </c>
      <c r="Q4" s="116" t="s">
        <v>489</v>
      </c>
      <c r="R4" s="116" t="s">
        <v>490</v>
      </c>
      <c r="S4" s="116" t="s">
        <v>491</v>
      </c>
      <c r="T4" s="116" t="s">
        <v>494</v>
      </c>
      <c r="U4" s="116" t="s">
        <v>495</v>
      </c>
      <c r="V4" s="116" t="s">
        <v>496</v>
      </c>
      <c r="W4" s="116" t="s">
        <v>497</v>
      </c>
      <c r="X4" s="116" t="s">
        <v>498</v>
      </c>
      <c r="Y4" s="116" t="s">
        <v>499</v>
      </c>
      <c r="Z4" s="116" t="s">
        <v>500</v>
      </c>
      <c r="AA4" s="116" t="s">
        <v>502</v>
      </c>
      <c r="AB4" s="116" t="s">
        <v>504</v>
      </c>
      <c r="AC4" s="116" t="s">
        <v>505</v>
      </c>
      <c r="AD4" s="116" t="s">
        <v>507</v>
      </c>
      <c r="AE4" s="116" t="s">
        <v>508</v>
      </c>
      <c r="AF4" s="116" t="s">
        <v>509</v>
      </c>
      <c r="AG4" s="116" t="s">
        <v>510</v>
      </c>
      <c r="AI4" s="116" t="s">
        <v>569</v>
      </c>
      <c r="AJ4" s="116" t="s">
        <v>485</v>
      </c>
      <c r="AK4" s="116" t="s">
        <v>486</v>
      </c>
      <c r="AL4" s="116" t="s">
        <v>487</v>
      </c>
      <c r="AM4" s="116" t="s">
        <v>488</v>
      </c>
      <c r="AN4" s="116" t="s">
        <v>489</v>
      </c>
      <c r="AO4" s="116" t="s">
        <v>490</v>
      </c>
      <c r="AP4" s="116" t="s">
        <v>491</v>
      </c>
      <c r="AQ4" s="116" t="s">
        <v>494</v>
      </c>
      <c r="AR4" s="116" t="s">
        <v>495</v>
      </c>
      <c r="AS4" s="116" t="s">
        <v>496</v>
      </c>
      <c r="AT4" s="116" t="s">
        <v>497</v>
      </c>
      <c r="AU4" s="116" t="s">
        <v>498</v>
      </c>
      <c r="AV4" s="116" t="s">
        <v>499</v>
      </c>
      <c r="AW4" s="116" t="s">
        <v>500</v>
      </c>
      <c r="AX4" s="116" t="s">
        <v>502</v>
      </c>
      <c r="AY4" s="116" t="s">
        <v>504</v>
      </c>
      <c r="AZ4" s="116" t="s">
        <v>505</v>
      </c>
      <c r="BA4" s="116" t="s">
        <v>507</v>
      </c>
      <c r="BB4" s="116" t="s">
        <v>508</v>
      </c>
      <c r="BC4" s="116" t="s">
        <v>509</v>
      </c>
      <c r="BD4" s="116" t="s">
        <v>510</v>
      </c>
    </row>
    <row r="5" spans="1:56" ht="11.25" customHeight="1" x14ac:dyDescent="0.25">
      <c r="A5" s="166" t="s">
        <v>38</v>
      </c>
      <c r="B5" s="166" t="s">
        <v>50</v>
      </c>
      <c r="C5" s="166" t="s">
        <v>25</v>
      </c>
      <c r="D5" s="166" t="s">
        <v>25</v>
      </c>
      <c r="E5" s="166" t="s">
        <v>25</v>
      </c>
      <c r="F5" s="166" t="s">
        <v>25</v>
      </c>
      <c r="G5" s="57" t="s">
        <v>84</v>
      </c>
      <c r="H5" s="57" t="s">
        <v>83</v>
      </c>
      <c r="I5" s="57">
        <f>'MERCADO TUSD'!$U$2</f>
        <v>2940</v>
      </c>
      <c r="J5" s="16"/>
      <c r="L5" s="17">
        <f>('TUSD BE'!$L$5+'TUSD BF'!$L$5+'TUSD CVA'!$L$5)*1</f>
        <v>0</v>
      </c>
      <c r="M5" s="17">
        <f>('TUSD BE'!$M$5+'TUSD BF'!$M$5+'TUSD CVA'!$M$5)*1</f>
        <v>0</v>
      </c>
      <c r="N5" s="17">
        <f ca="1">('TUSD BE'!$N$5+'TUSD BF'!$N$5+'TUSD CVA'!$N$5)*1</f>
        <v>0</v>
      </c>
      <c r="O5" s="17">
        <f>('TUSD BE'!$O$5+'TUSD BF'!$O$5+'TUSD CVA'!$O$5)*1</f>
        <v>0</v>
      </c>
      <c r="P5" s="17">
        <f>('TUSD BE'!$P$5+'TUSD BF'!$P$5+'TUSD CVA'!$P$5)*1</f>
        <v>0</v>
      </c>
      <c r="Q5" s="17">
        <f>('TUSD BE'!$Q$5+'TUSD BF'!$Q$5+'TUSD CVA'!$Q$5)*1</f>
        <v>0</v>
      </c>
      <c r="R5" s="17">
        <f>('TUSD BE'!$R$5+'TUSD BF'!$R$5+'TUSD CVA'!$R$5)*1</f>
        <v>0</v>
      </c>
      <c r="S5" s="17">
        <f>('TUSD BE'!$S$5+'TUSD BF'!$S$5+'TUSD CVA'!$S$5)*1</f>
        <v>0</v>
      </c>
      <c r="T5" s="17">
        <f>('TUSD BE'!$U$5+'TUSD BF'!$U$5+'TUSD CVA'!$U$5)*1</f>
        <v>6.8484877048029826</v>
      </c>
      <c r="U5" s="17">
        <f>('TUSD BE'!$V$5+'TUSD BF'!$V$5+'TUSD CVA'!$V$5)*1</f>
        <v>6.154170919019486</v>
      </c>
      <c r="V5" s="17">
        <f>('TUSD BE'!$W$5+'TUSD BF'!$W$5+'TUSD CVA'!$W$5)*1</f>
        <v>1.0374903690445818</v>
      </c>
      <c r="W5" s="17">
        <f>('TUSD BE'!$X$5+'TUSD BF'!$X$5+'TUSD CVA'!$X$5)*1</f>
        <v>0</v>
      </c>
      <c r="X5" s="17">
        <f>('TUSD BE'!$Y$5+'TUSD BF'!$Y$5+'TUSD CVA'!$Y$5)*1</f>
        <v>0</v>
      </c>
      <c r="Y5" s="17">
        <f>('TUSD BE'!$Z$5+'TUSD BF'!$Z$5+'TUSD CVA'!$Z$5)*1</f>
        <v>0</v>
      </c>
      <c r="Z5" s="17">
        <f>('TUSD BE'!$AA$5+'TUSD BF'!$AA$5+'TUSD CVA'!$AA$5)*1</f>
        <v>0</v>
      </c>
      <c r="AA5" s="17">
        <f>('TUSD BE'!$AC$5+'TUSD BF'!$AC$5+'TUSD CVA'!$AC$5)*1</f>
        <v>12.574961708155133</v>
      </c>
      <c r="AB5" s="17">
        <f ca="1">('TUSD BE'!$AE$5+'TUSD BF'!$AE$5+'TUSD CVA'!$AE$5)*1</f>
        <v>-4.7425810949930094</v>
      </c>
      <c r="AC5" s="17">
        <f ca="1">('TUSD BE'!$AF$5+'TUSD BF'!$AF$5+'TUSD CVA'!$AF$5)*1</f>
        <v>0</v>
      </c>
      <c r="AD5" s="17">
        <f>('TUSD BE'!$AH$5+'TUSD BF'!$AH$5+'TUSD CVA'!$AH$5)*1</f>
        <v>0</v>
      </c>
      <c r="AE5" s="17">
        <f>('TUSD BE'!$AI$5+'TUSD BF'!$AI$5+'TUSD CVA'!$AI$5)*1</f>
        <v>0</v>
      </c>
      <c r="AF5" s="17">
        <f ca="1">('TUSD BE'!$AJ$5+'TUSD BF'!$AJ$5+'TUSD CVA'!$AJ$5)*1</f>
        <v>0</v>
      </c>
      <c r="AG5" s="17">
        <f ca="1">('TUSD BE'!$AK$5+'TUSD BF'!$AK$5+'TUSD CVA'!$AK$5)*1</f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5.2472486518295502</v>
      </c>
      <c r="AR5" s="17">
        <v>3.8430668019060299</v>
      </c>
      <c r="AS5" s="17">
        <v>0.28017651877682098</v>
      </c>
      <c r="AT5" s="17">
        <v>0</v>
      </c>
      <c r="AU5" s="17">
        <v>0</v>
      </c>
      <c r="AV5" s="17">
        <v>0</v>
      </c>
      <c r="AW5" s="17">
        <v>0</v>
      </c>
      <c r="AX5" s="17">
        <v>12.225682656894501</v>
      </c>
      <c r="AY5" s="17">
        <v>0</v>
      </c>
      <c r="AZ5" s="17">
        <v>0</v>
      </c>
      <c r="BA5" s="17">
        <v>0</v>
      </c>
      <c r="BB5" s="17">
        <v>0</v>
      </c>
      <c r="BC5" s="17">
        <v>0</v>
      </c>
      <c r="BD5" s="17">
        <v>0</v>
      </c>
    </row>
    <row r="6" spans="1:56" ht="11.25" customHeight="1" x14ac:dyDescent="0.25">
      <c r="A6" s="166"/>
      <c r="B6" s="166"/>
      <c r="C6" s="166"/>
      <c r="D6" s="166"/>
      <c r="E6" s="166"/>
      <c r="F6" s="166"/>
      <c r="G6" s="57" t="s">
        <v>85</v>
      </c>
      <c r="H6" s="57" t="s">
        <v>83</v>
      </c>
      <c r="I6" s="57">
        <f>'MERCADO TUSD'!$U$3</f>
        <v>2940</v>
      </c>
      <c r="J6" s="16"/>
      <c r="L6" s="17">
        <f>('TUSD BE'!$L$6+'TUSD BF'!$L$6+'TUSD CVA'!$L$6)*1</f>
        <v>0</v>
      </c>
      <c r="M6" s="17">
        <f>('TUSD BE'!$M$6+'TUSD BF'!$M$6+'TUSD CVA'!$M$6)*1</f>
        <v>0</v>
      </c>
      <c r="N6" s="17">
        <f ca="1">('TUSD BE'!$N$6+'TUSD BF'!$N$6+'TUSD CVA'!$N$6)*1</f>
        <v>0</v>
      </c>
      <c r="O6" s="17">
        <f>('TUSD BE'!$O$6+'TUSD BF'!$O$6+'TUSD CVA'!$O$6)*1</f>
        <v>0</v>
      </c>
      <c r="P6" s="17">
        <f>('TUSD BE'!$P$6+'TUSD BF'!$P$6+'TUSD CVA'!$P$6)*1</f>
        <v>0</v>
      </c>
      <c r="Q6" s="17">
        <f>('TUSD BE'!$Q$6+'TUSD BF'!$Q$6+'TUSD CVA'!$Q$6)*1</f>
        <v>0</v>
      </c>
      <c r="R6" s="17">
        <f>('TUSD BE'!$R$6+'TUSD BF'!$R$6+'TUSD CVA'!$R$6)*1</f>
        <v>0</v>
      </c>
      <c r="S6" s="17">
        <f>('TUSD BE'!$S$6+'TUSD BF'!$S$6+'TUSD CVA'!$S$6)*1</f>
        <v>0</v>
      </c>
      <c r="T6" s="17">
        <f>('TUSD BE'!$U$6+'TUSD BF'!$U$6+'TUSD CVA'!$U$6)*1</f>
        <v>6.8496949388253787</v>
      </c>
      <c r="U6" s="17">
        <f>('TUSD BE'!$V$6+'TUSD BF'!$V$6+'TUSD CVA'!$V$6)*1</f>
        <v>5.3127035338215904</v>
      </c>
      <c r="V6" s="17">
        <f>('TUSD BE'!$W$6+'TUSD BF'!$W$6+'TUSD CVA'!$W$6)*1</f>
        <v>0.99056366607593405</v>
      </c>
      <c r="W6" s="17">
        <f>('TUSD BE'!$X$6+'TUSD BF'!$X$6+'TUSD CVA'!$X$6)*1</f>
        <v>0</v>
      </c>
      <c r="X6" s="17">
        <f>('TUSD BE'!$Y$6+'TUSD BF'!$Y$6+'TUSD CVA'!$Y$6)*1</f>
        <v>0</v>
      </c>
      <c r="Y6" s="17">
        <f>('TUSD BE'!$Z$6+'TUSD BF'!$Z$6+'TUSD CVA'!$Z$6)*1</f>
        <v>0</v>
      </c>
      <c r="Z6" s="17">
        <f>('TUSD BE'!$AA$6+'TUSD BF'!$AA$6+'TUSD CVA'!$AA$6)*1</f>
        <v>0</v>
      </c>
      <c r="AA6" s="17">
        <f>('TUSD BE'!$AC$6+'TUSD BF'!$AC$6+'TUSD CVA'!$AC$6)*1</f>
        <v>12.574961708155133</v>
      </c>
      <c r="AB6" s="17">
        <f ca="1">('TUSD BE'!$AE$6+'TUSD BF'!$AE$6+'TUSD CVA'!$AE$6)*1</f>
        <v>-4.5883503212995524</v>
      </c>
      <c r="AC6" s="17">
        <f ca="1">('TUSD BE'!$AF$6+'TUSD BF'!$AF$6+'TUSD CVA'!$AF$6)*1</f>
        <v>0</v>
      </c>
      <c r="AD6" s="17">
        <f>('TUSD BE'!$AH$6+'TUSD BF'!$AH$6+'TUSD CVA'!$AH$6)*1</f>
        <v>0</v>
      </c>
      <c r="AE6" s="17">
        <f>('TUSD BE'!$AI$6+'TUSD BF'!$AI$6+'TUSD CVA'!$AI$6)*1</f>
        <v>0</v>
      </c>
      <c r="AF6" s="17">
        <f ca="1">('TUSD BE'!$AJ$6+'TUSD BF'!$AJ$6+'TUSD CVA'!$AJ$6)*1</f>
        <v>0</v>
      </c>
      <c r="AG6" s="17">
        <f ca="1">('TUSD BE'!$AK$6+'TUSD BF'!$AK$6+'TUSD CVA'!$AK$6)*1</f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4.2161806662878503</v>
      </c>
      <c r="AR6" s="17">
        <v>3.0517695880612701</v>
      </c>
      <c r="AS6" s="17">
        <v>0.23106144731283601</v>
      </c>
      <c r="AT6" s="17">
        <v>0</v>
      </c>
      <c r="AU6" s="17">
        <v>0</v>
      </c>
      <c r="AV6" s="17">
        <v>0</v>
      </c>
      <c r="AW6" s="17">
        <v>0</v>
      </c>
      <c r="AX6" s="17">
        <v>8.7954765075905499</v>
      </c>
      <c r="AY6" s="17">
        <v>0</v>
      </c>
      <c r="AZ6" s="17">
        <v>0</v>
      </c>
      <c r="BA6" s="17">
        <v>0</v>
      </c>
      <c r="BB6" s="17">
        <v>0</v>
      </c>
      <c r="BC6" s="17">
        <v>0</v>
      </c>
      <c r="BD6" s="17">
        <v>0</v>
      </c>
    </row>
    <row r="7" spans="1:56" ht="11.25" customHeight="1" x14ac:dyDescent="0.25">
      <c r="A7" s="166"/>
      <c r="B7" s="166"/>
      <c r="C7" s="166"/>
      <c r="D7" s="166"/>
      <c r="E7" s="166"/>
      <c r="F7" s="166"/>
      <c r="G7" s="57" t="s">
        <v>82</v>
      </c>
      <c r="H7" s="57" t="s">
        <v>78</v>
      </c>
      <c r="I7" s="57">
        <f>'MERCADO TUSD'!$U$4</f>
        <v>1433.7980000000002</v>
      </c>
      <c r="J7" s="16"/>
      <c r="L7" s="17">
        <f>('TUSD BE'!$L$7+'TUSD BF'!$L$7+'TUSD CVA'!$L$7)*1</f>
        <v>5.817466527536423</v>
      </c>
      <c r="M7" s="17">
        <f>('TUSD BE'!$M$7+'TUSD BF'!$M$7+'TUSD CVA'!$M$7)*1</f>
        <v>0.37480666711286997</v>
      </c>
      <c r="N7" s="17">
        <f ca="1">('TUSD BE'!$N$7+'TUSD BF'!$N$7+'TUSD CVA'!$N$7)*1</f>
        <v>0.12849781771993959</v>
      </c>
      <c r="O7" s="17">
        <f>('TUSD BE'!$O$7+'TUSD BF'!$O$7+'TUSD CVA'!$O$7)*1</f>
        <v>0</v>
      </c>
      <c r="P7" s="17">
        <f>('TUSD BE'!$P$7+'TUSD BF'!$P$7+'TUSD CVA'!$P$7)*1</f>
        <v>0</v>
      </c>
      <c r="Q7" s="17">
        <f>('TUSD BE'!$Q$7+'TUSD BF'!$Q$7+'TUSD CVA'!$Q$7)*1</f>
        <v>83.931024384977334</v>
      </c>
      <c r="R7" s="17">
        <f>('TUSD BE'!$R$7+'TUSD BF'!$R$7+'TUSD CVA'!$R$7)*1</f>
        <v>16.736115121766648</v>
      </c>
      <c r="S7" s="17">
        <f>('TUSD BE'!$S$7+'TUSD BF'!$S$7+'TUSD CVA'!$S$7)*1</f>
        <v>0</v>
      </c>
      <c r="T7" s="17">
        <f>('TUSD BE'!$U$7+'TUSD BF'!$U$7+'TUSD CVA'!$U$7)*1</f>
        <v>0</v>
      </c>
      <c r="U7" s="17">
        <f>('TUSD BE'!$V$7+'TUSD BF'!$V$7+'TUSD CVA'!$V$7)*1</f>
        <v>0</v>
      </c>
      <c r="V7" s="17">
        <f>('TUSD BE'!$W$7+'TUSD BF'!$W$7+'TUSD CVA'!$W$7)*1</f>
        <v>0</v>
      </c>
      <c r="W7" s="17">
        <f>('TUSD BE'!$X$7+'TUSD BF'!$X$7+'TUSD CVA'!$X$7)*1</f>
        <v>0</v>
      </c>
      <c r="X7" s="17">
        <f>('TUSD BE'!$Y$7+'TUSD BF'!$Y$7+'TUSD CVA'!$Y$7)*1</f>
        <v>0</v>
      </c>
      <c r="Y7" s="17">
        <f>('TUSD BE'!$Z$7+'TUSD BF'!$Z$7+'TUSD CVA'!$Z$7)*1</f>
        <v>0</v>
      </c>
      <c r="Z7" s="17">
        <f>('TUSD BE'!$AA$7+'TUSD BF'!$AA$7+'TUSD CVA'!$AA$7)*1</f>
        <v>0</v>
      </c>
      <c r="AA7" s="17">
        <f>('TUSD BE'!$AC$7+'TUSD BF'!$AC$7+'TUSD CVA'!$AC$7)*1</f>
        <v>0</v>
      </c>
      <c r="AB7" s="17">
        <f ca="1">('TUSD BE'!$AE$7+'TUSD BF'!$AE$7+'TUSD CVA'!$AE$7)*1</f>
        <v>-18.013314834326135</v>
      </c>
      <c r="AC7" s="17">
        <f ca="1">('TUSD BE'!$AF$7+'TUSD BF'!$AF$7+'TUSD CVA'!$AF$7)*1</f>
        <v>0</v>
      </c>
      <c r="AD7" s="17">
        <f>('TUSD BE'!$AH$7+'TUSD BF'!$AH$7+'TUSD CVA'!$AH$7)*1</f>
        <v>5.9601538210526765</v>
      </c>
      <c r="AE7" s="17">
        <f>('TUSD BE'!$AI$7+'TUSD BF'!$AI$7+'TUSD CVA'!$AI$7)*1</f>
        <v>0</v>
      </c>
      <c r="AF7" s="17">
        <f ca="1">('TUSD BE'!$AJ$7+'TUSD BF'!$AJ$7+'TUSD CVA'!$AJ$7)*1</f>
        <v>0.55649648678054686</v>
      </c>
      <c r="AG7" s="17">
        <f ca="1">('TUSD BE'!$AK$7+'TUSD BF'!$AK$7+'TUSD CVA'!$AK$7)*1</f>
        <v>0.32420210999114968</v>
      </c>
      <c r="AI7" s="17">
        <v>6.4071800808325703</v>
      </c>
      <c r="AJ7" s="17">
        <v>0.31564324574884101</v>
      </c>
      <c r="AK7" s="17">
        <v>0.15363238732930701</v>
      </c>
      <c r="AL7" s="17">
        <v>0</v>
      </c>
      <c r="AM7" s="17">
        <v>0</v>
      </c>
      <c r="AN7" s="17">
        <v>49.961470164853502</v>
      </c>
      <c r="AO7" s="17">
        <v>9.1357516628062605</v>
      </c>
      <c r="AP7" s="17">
        <v>0</v>
      </c>
      <c r="AQ7" s="17">
        <v>0</v>
      </c>
      <c r="AR7" s="17">
        <v>0</v>
      </c>
      <c r="AS7" s="17">
        <v>0</v>
      </c>
      <c r="AT7" s="17">
        <v>0</v>
      </c>
      <c r="AU7" s="17">
        <v>0</v>
      </c>
      <c r="AV7" s="17">
        <v>0</v>
      </c>
      <c r="AW7" s="17">
        <v>0</v>
      </c>
      <c r="AX7" s="17">
        <v>0</v>
      </c>
      <c r="AY7" s="17">
        <v>0</v>
      </c>
      <c r="AZ7" s="17">
        <v>0</v>
      </c>
      <c r="BA7" s="17">
        <v>5.7705974505567799</v>
      </c>
      <c r="BB7" s="17">
        <v>0</v>
      </c>
      <c r="BC7" s="17">
        <v>0.64779786247205196</v>
      </c>
      <c r="BD7" s="17">
        <v>-1.1369245753239601</v>
      </c>
    </row>
    <row r="8" spans="1:56" ht="11.25" customHeight="1" x14ac:dyDescent="0.25">
      <c r="A8" s="166"/>
      <c r="B8" s="166"/>
      <c r="C8" s="166"/>
      <c r="D8" s="166"/>
      <c r="E8" s="115" t="s">
        <v>86</v>
      </c>
      <c r="F8" s="115" t="s">
        <v>25</v>
      </c>
      <c r="G8" s="57" t="s">
        <v>82</v>
      </c>
      <c r="H8" s="57" t="s">
        <v>78</v>
      </c>
      <c r="I8" s="57">
        <f>'MERCADO TUSD'!$U$5</f>
        <v>0</v>
      </c>
      <c r="J8" s="16"/>
      <c r="L8" s="17">
        <f>('TUSD BE'!$L$8+'TUSD BF'!$L$8+'TUSD CVA'!$L$8)*1</f>
        <v>0</v>
      </c>
      <c r="M8" s="17">
        <f>('TUSD BE'!$M$8+'TUSD BF'!$M$8+'TUSD CVA'!$M$8)*1</f>
        <v>0.37480666711286997</v>
      </c>
      <c r="N8" s="17">
        <f ca="1">('TUSD BE'!$N$8+'TUSD BF'!$N$8+'TUSD CVA'!$N$8)*1</f>
        <v>0.11961551330167629</v>
      </c>
      <c r="O8" s="17">
        <f>('TUSD BE'!$O$8+'TUSD BF'!$O$8+'TUSD CVA'!$O$8)*1</f>
        <v>0</v>
      </c>
      <c r="P8" s="17">
        <f>('TUSD BE'!$P$8+'TUSD BF'!$P$8+'TUSD CVA'!$P$8)*1</f>
        <v>0</v>
      </c>
      <c r="Q8" s="17">
        <f>('TUSD BE'!$Q$8+'TUSD BF'!$Q$8+'TUSD CVA'!$Q$8)*1</f>
        <v>0</v>
      </c>
      <c r="R8" s="17">
        <f>('TUSD BE'!$R$8+'TUSD BF'!$R$8+'TUSD CVA'!$R$8)*1</f>
        <v>0</v>
      </c>
      <c r="S8" s="17">
        <f>('TUSD BE'!$S$8+'TUSD BF'!$S$8+'TUSD CVA'!$S$8)*1</f>
        <v>0</v>
      </c>
      <c r="T8" s="17">
        <f>('TUSD BE'!$U$8+'TUSD BF'!$U$8+'TUSD CVA'!$U$8)*1</f>
        <v>0</v>
      </c>
      <c r="U8" s="17">
        <f>('TUSD BE'!$V$8+'TUSD BF'!$V$8+'TUSD CVA'!$V$8)*1</f>
        <v>0</v>
      </c>
      <c r="V8" s="17">
        <f>('TUSD BE'!$W$8+'TUSD BF'!$W$8+'TUSD CVA'!$W$8)*1</f>
        <v>0</v>
      </c>
      <c r="W8" s="17">
        <f>('TUSD BE'!$X$8+'TUSD BF'!$X$8+'TUSD CVA'!$X$8)*1</f>
        <v>0</v>
      </c>
      <c r="X8" s="17">
        <f>('TUSD BE'!$Y$8+'TUSD BF'!$Y$8+'TUSD CVA'!$Y$8)*1</f>
        <v>0</v>
      </c>
      <c r="Y8" s="17">
        <f>('TUSD BE'!$Z$8+'TUSD BF'!$Z$8+'TUSD CVA'!$Z$8)*1</f>
        <v>0</v>
      </c>
      <c r="Z8" s="17">
        <f>('TUSD BE'!$AA$8+'TUSD BF'!$AA$8+'TUSD CVA'!$AA$8)*1</f>
        <v>0</v>
      </c>
      <c r="AA8" s="17">
        <f>('TUSD BE'!$AC$8+'TUSD BF'!$AC$8+'TUSD CVA'!$AC$8)*1</f>
        <v>0</v>
      </c>
      <c r="AB8" s="17">
        <f ca="1">('TUSD BE'!$AE$8+'TUSD BF'!$AE$8+'TUSD CVA'!$AE$8)*1</f>
        <v>-1.2461857100869504</v>
      </c>
      <c r="AC8" s="17">
        <f ca="1">('TUSD BE'!$AF$8+'TUSD BF'!$AF$8+'TUSD CVA'!$AF$8)*1</f>
        <v>0</v>
      </c>
      <c r="AD8" s="17">
        <f>('TUSD BE'!$AH$8+'TUSD BF'!$AH$8+'TUSD CVA'!$AH$8)*1</f>
        <v>5.9601538210526765</v>
      </c>
      <c r="AE8" s="17">
        <f>('TUSD BE'!$AI$8+'TUSD BF'!$AI$8+'TUSD CVA'!$AI$8)*1</f>
        <v>0</v>
      </c>
      <c r="AF8" s="17">
        <f ca="1">('TUSD BE'!$AJ$8+'TUSD BF'!$AJ$8+'TUSD CVA'!$AJ$8)*1</f>
        <v>0.55649648678054686</v>
      </c>
      <c r="AG8" s="17">
        <f ca="1">('TUSD BE'!$AK$8+'TUSD BF'!$AK$8+'TUSD CVA'!$AK$8)*1</f>
        <v>0.32420210999114968</v>
      </c>
      <c r="AI8" s="17">
        <v>0</v>
      </c>
      <c r="AJ8" s="17">
        <v>0.31564324574884101</v>
      </c>
      <c r="AK8" s="17">
        <v>0.14094003377640499</v>
      </c>
      <c r="AL8" s="17">
        <v>0</v>
      </c>
      <c r="AM8" s="17">
        <v>0</v>
      </c>
      <c r="AN8" s="17">
        <v>0</v>
      </c>
      <c r="AO8" s="17">
        <v>0</v>
      </c>
      <c r="AP8" s="17">
        <v>0</v>
      </c>
      <c r="AQ8" s="17">
        <v>0</v>
      </c>
      <c r="AR8" s="17">
        <v>0</v>
      </c>
      <c r="AS8" s="17">
        <v>0</v>
      </c>
      <c r="AT8" s="17">
        <v>0</v>
      </c>
      <c r="AU8" s="17">
        <v>0</v>
      </c>
      <c r="AV8" s="17">
        <v>0</v>
      </c>
      <c r="AW8" s="17">
        <v>0</v>
      </c>
      <c r="AX8" s="17">
        <v>0</v>
      </c>
      <c r="AY8" s="17">
        <v>0</v>
      </c>
      <c r="AZ8" s="17">
        <v>0</v>
      </c>
      <c r="BA8" s="17">
        <v>5.7705974505567799</v>
      </c>
      <c r="BB8" s="17">
        <v>0</v>
      </c>
      <c r="BC8" s="17">
        <v>0.64779786247205196</v>
      </c>
      <c r="BD8" s="17">
        <v>-1.1369245753239601</v>
      </c>
    </row>
    <row r="9" spans="1:56" ht="11.25" customHeight="1" x14ac:dyDescent="0.25">
      <c r="A9" s="166"/>
      <c r="B9" s="115" t="s">
        <v>58</v>
      </c>
      <c r="C9" s="115" t="s">
        <v>25</v>
      </c>
      <c r="D9" s="115" t="s">
        <v>25</v>
      </c>
      <c r="E9" s="115" t="s">
        <v>25</v>
      </c>
      <c r="F9" s="115" t="s">
        <v>25</v>
      </c>
      <c r="G9" s="57" t="s">
        <v>9</v>
      </c>
      <c r="H9" s="57" t="s">
        <v>83</v>
      </c>
      <c r="I9" s="57">
        <f>'MERCADO TUSD'!$U$6</f>
        <v>20731</v>
      </c>
      <c r="J9" s="16"/>
      <c r="L9" s="17">
        <f>('TUSD BE'!$L$9+'TUSD BF'!$L$9+'TUSD CVA'!$L$9)*1</f>
        <v>0</v>
      </c>
      <c r="M9" s="17">
        <f>('TUSD BE'!$M$9+'TUSD BF'!$M$9+'TUSD CVA'!$M$9)*1</f>
        <v>2.6138271459538471E-2</v>
      </c>
      <c r="N9" s="17">
        <f ca="1">('TUSD BE'!$N$9+'TUSD BF'!$N$9+'TUSD CVA'!$N$9)*1</f>
        <v>6.0222023955825231E-2</v>
      </c>
      <c r="O9" s="17">
        <f>('TUSD BE'!$O$9+'TUSD BF'!$O$9+'TUSD CVA'!$O$9)*1</f>
        <v>0</v>
      </c>
      <c r="P9" s="17">
        <f>('TUSD BE'!$P$9+'TUSD BF'!$P$9+'TUSD CVA'!$P$9)*1</f>
        <v>0</v>
      </c>
      <c r="Q9" s="17">
        <f>('TUSD BE'!$Q$9+'TUSD BF'!$Q$9+'TUSD CVA'!$Q$9)*1</f>
        <v>0</v>
      </c>
      <c r="R9" s="17">
        <f>('TUSD BE'!$R$9+'TUSD BF'!$R$9+'TUSD CVA'!$R$9)*1</f>
        <v>0</v>
      </c>
      <c r="S9" s="17">
        <f>('TUSD BE'!$S$9+'TUSD BF'!$S$9+'TUSD CVA'!$S$9)*1</f>
        <v>0</v>
      </c>
      <c r="T9" s="17">
        <f>('TUSD BE'!$U$9+'TUSD BF'!$U$9+'TUSD CVA'!$U$9)*1</f>
        <v>0</v>
      </c>
      <c r="U9" s="17">
        <f>('TUSD BE'!$V$9+'TUSD BF'!$V$9+'TUSD CVA'!$V$9)*1</f>
        <v>0</v>
      </c>
      <c r="V9" s="17">
        <f>('TUSD BE'!$W$9+'TUSD BF'!$W$9+'TUSD CVA'!$W$9)*1</f>
        <v>0</v>
      </c>
      <c r="W9" s="17">
        <f>('TUSD BE'!$X$9+'TUSD BF'!$X$9+'TUSD CVA'!$X$9)*1</f>
        <v>0</v>
      </c>
      <c r="X9" s="17">
        <f>('TUSD BE'!$Y$9+'TUSD BF'!$Y$9+'TUSD CVA'!$Y$9)*1</f>
        <v>0</v>
      </c>
      <c r="Y9" s="17">
        <f>('TUSD BE'!$Z$9+'TUSD BF'!$Z$9+'TUSD CVA'!$Z$9)*1</f>
        <v>0</v>
      </c>
      <c r="Z9" s="17">
        <f>('TUSD BE'!$AA$9+'TUSD BF'!$AA$9+'TUSD CVA'!$AA$9)*1</f>
        <v>0</v>
      </c>
      <c r="AA9" s="17">
        <f>('TUSD BE'!$AC$9+'TUSD BF'!$AC$9+'TUSD CVA'!$AC$9)*1</f>
        <v>6.7355399951127879</v>
      </c>
      <c r="AB9" s="17">
        <f ca="1">('TUSD BE'!$AE$9+'TUSD BF'!$AE$9+'TUSD CVA'!$AE$9)*1</f>
        <v>-1.2439832558100161</v>
      </c>
      <c r="AC9" s="17">
        <f ca="1">('TUSD BE'!$AF$9+'TUSD BF'!$AF$9+'TUSD CVA'!$AF$9)*1</f>
        <v>0</v>
      </c>
      <c r="AD9" s="17">
        <f>('TUSD BE'!$AH$9+'TUSD BF'!$AH$9+'TUSD CVA'!$AH$9)*1</f>
        <v>0</v>
      </c>
      <c r="AE9" s="17">
        <f>('TUSD BE'!$AI$9+'TUSD BF'!$AI$9+'TUSD CVA'!$AI$9)*1</f>
        <v>0</v>
      </c>
      <c r="AF9" s="17">
        <f ca="1">('TUSD BE'!$AJ$9+'TUSD BF'!$AJ$9+'TUSD CVA'!$AJ$9)*1</f>
        <v>0</v>
      </c>
      <c r="AG9" s="17">
        <f ca="1">('TUSD BE'!$AK$9+'TUSD BF'!$AK$9+'TUSD CVA'!$AK$9)*1</f>
        <v>0</v>
      </c>
      <c r="AI9" s="17">
        <v>0</v>
      </c>
      <c r="AJ9" s="17">
        <v>2.0718947531937901E-2</v>
      </c>
      <c r="AK9" s="17">
        <v>6.6761779688266701E-2</v>
      </c>
      <c r="AL9" s="17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>
        <v>0</v>
      </c>
      <c r="AW9" s="17">
        <v>0</v>
      </c>
      <c r="AX9" s="17">
        <v>5.5588828101004202</v>
      </c>
      <c r="AY9" s="17">
        <v>0</v>
      </c>
      <c r="AZ9" s="17">
        <v>0</v>
      </c>
      <c r="BA9" s="17">
        <v>0</v>
      </c>
      <c r="BB9" s="17">
        <v>0</v>
      </c>
      <c r="BC9" s="17">
        <v>0</v>
      </c>
      <c r="BD9" s="17">
        <v>0</v>
      </c>
    </row>
    <row r="10" spans="1:56" ht="11.25" customHeight="1" x14ac:dyDescent="0.25">
      <c r="A10" s="166"/>
      <c r="B10" s="166" t="s">
        <v>39</v>
      </c>
      <c r="C10" s="166" t="s">
        <v>25</v>
      </c>
      <c r="D10" s="166" t="s">
        <v>25</v>
      </c>
      <c r="E10" s="166" t="s">
        <v>25</v>
      </c>
      <c r="F10" s="166" t="s">
        <v>25</v>
      </c>
      <c r="G10" s="57" t="s">
        <v>9</v>
      </c>
      <c r="H10" s="57" t="s">
        <v>83</v>
      </c>
      <c r="I10" s="57">
        <f>'MERCADO TUSD'!$U$7</f>
        <v>252451</v>
      </c>
      <c r="J10" s="16"/>
      <c r="L10" s="17">
        <f>('TUSD BE'!$L$10+'TUSD BF'!$L$10+'TUSD CVA'!$L$10)*1</f>
        <v>0</v>
      </c>
      <c r="M10" s="17">
        <f>('TUSD BE'!$M$10+'TUSD BF'!$M$10+'TUSD CVA'!$M$10)*1</f>
        <v>0</v>
      </c>
      <c r="N10" s="17">
        <f ca="1">('TUSD BE'!$N$10+'TUSD BF'!$N$10+'TUSD CVA'!$N$10)*1</f>
        <v>0</v>
      </c>
      <c r="O10" s="17">
        <f>('TUSD BE'!$O$10+'TUSD BF'!$O$10+'TUSD CVA'!$O$10)*1</f>
        <v>0</v>
      </c>
      <c r="P10" s="17">
        <f>('TUSD BE'!$P$10+'TUSD BF'!$P$10+'TUSD CVA'!$P$10)*1</f>
        <v>0</v>
      </c>
      <c r="Q10" s="17">
        <f>('TUSD BE'!$Q$10+'TUSD BF'!$Q$10+'TUSD CVA'!$Q$10)*1</f>
        <v>0</v>
      </c>
      <c r="R10" s="17">
        <f>('TUSD BE'!$R$10+'TUSD BF'!$R$10+'TUSD CVA'!$R$10)*1</f>
        <v>0</v>
      </c>
      <c r="S10" s="17">
        <f>('TUSD BE'!$S$10+'TUSD BF'!$S$10+'TUSD CVA'!$S$10)*1</f>
        <v>0</v>
      </c>
      <c r="T10" s="17">
        <f>('TUSD BE'!$U$10+'TUSD BF'!$U$10+'TUSD CVA'!$U$10)*1</f>
        <v>6.8496949388253787</v>
      </c>
      <c r="U10" s="17">
        <f>('TUSD BE'!$V$10+'TUSD BF'!$V$10+'TUSD CVA'!$V$10)*1</f>
        <v>5.3127035338215904</v>
      </c>
      <c r="V10" s="17">
        <f>('TUSD BE'!$W$10+'TUSD BF'!$W$10+'TUSD CVA'!$W$10)*1</f>
        <v>0.99056366607593405</v>
      </c>
      <c r="W10" s="17">
        <f>('TUSD BE'!$X$10+'TUSD BF'!$X$10+'TUSD CVA'!$X$10)*1</f>
        <v>0</v>
      </c>
      <c r="X10" s="17">
        <f>('TUSD BE'!$Y$10+'TUSD BF'!$Y$10+'TUSD CVA'!$Y$10)*1</f>
        <v>0</v>
      </c>
      <c r="Y10" s="17">
        <f>('TUSD BE'!$Z$10+'TUSD BF'!$Z$10+'TUSD CVA'!$Z$10)*1</f>
        <v>0</v>
      </c>
      <c r="Z10" s="17">
        <f>('TUSD BE'!$AA$10+'TUSD BF'!$AA$10+'TUSD CVA'!$AA$10)*1</f>
        <v>0</v>
      </c>
      <c r="AA10" s="17">
        <f>('TUSD BE'!$AC$10+'TUSD BF'!$AC$10+'TUSD CVA'!$AC$10)*1</f>
        <v>12.574961708155133</v>
      </c>
      <c r="AB10" s="17">
        <f ca="1">('TUSD BE'!$AE$10+'TUSD BF'!$AE$10+'TUSD CVA'!$AE$10)*1</f>
        <v>-4.5883503212995524</v>
      </c>
      <c r="AC10" s="17">
        <f ca="1">('TUSD BE'!$AF$10+'TUSD BF'!$AF$10+'TUSD CVA'!$AF$10)*1</f>
        <v>0</v>
      </c>
      <c r="AD10" s="17">
        <f>('TUSD BE'!$AH$10+'TUSD BF'!$AH$10+'TUSD CVA'!$AH$10)*1</f>
        <v>0</v>
      </c>
      <c r="AE10" s="17">
        <f>('TUSD BE'!$AI$10+'TUSD BF'!$AI$10+'TUSD CVA'!$AI$10)*1</f>
        <v>0</v>
      </c>
      <c r="AF10" s="17">
        <f ca="1">('TUSD BE'!$AJ$10+'TUSD BF'!$AJ$10+'TUSD CVA'!$AJ$10)*1</f>
        <v>0</v>
      </c>
      <c r="AG10" s="17">
        <f ca="1">('TUSD BE'!$AK$10+'TUSD BF'!$AK$10+'TUSD CVA'!$AK$10)*1</f>
        <v>0</v>
      </c>
      <c r="AI10" s="17">
        <v>0</v>
      </c>
      <c r="AJ10" s="17">
        <v>0</v>
      </c>
      <c r="AK10" s="17">
        <v>0</v>
      </c>
      <c r="AL10" s="17">
        <v>0</v>
      </c>
      <c r="AM10" s="17">
        <v>0</v>
      </c>
      <c r="AN10" s="17">
        <v>0</v>
      </c>
      <c r="AO10" s="17">
        <v>0</v>
      </c>
      <c r="AP10" s="17">
        <v>0</v>
      </c>
      <c r="AQ10" s="17">
        <v>4.2161806662878503</v>
      </c>
      <c r="AR10" s="17">
        <v>3.0517695880612701</v>
      </c>
      <c r="AS10" s="17">
        <v>0.23106144731283601</v>
      </c>
      <c r="AT10" s="17">
        <v>0</v>
      </c>
      <c r="AU10" s="17">
        <v>0</v>
      </c>
      <c r="AV10" s="17">
        <v>0</v>
      </c>
      <c r="AW10" s="17">
        <v>0</v>
      </c>
      <c r="AX10" s="17">
        <v>8.7954765075905499</v>
      </c>
      <c r="AY10" s="17">
        <v>0</v>
      </c>
      <c r="AZ10" s="17">
        <v>0</v>
      </c>
      <c r="BA10" s="17">
        <v>0</v>
      </c>
      <c r="BB10" s="17">
        <v>0</v>
      </c>
      <c r="BC10" s="17">
        <v>0</v>
      </c>
      <c r="BD10" s="17">
        <v>0</v>
      </c>
    </row>
    <row r="11" spans="1:56" ht="11.25" customHeight="1" x14ac:dyDescent="0.25">
      <c r="A11" s="166"/>
      <c r="B11" s="166"/>
      <c r="C11" s="166"/>
      <c r="D11" s="166"/>
      <c r="E11" s="166"/>
      <c r="F11" s="166"/>
      <c r="G11" s="57" t="s">
        <v>79</v>
      </c>
      <c r="H11" s="57" t="s">
        <v>78</v>
      </c>
      <c r="I11" s="57">
        <f>'MERCADO TUSD'!$U$8</f>
        <v>6165.058</v>
      </c>
      <c r="J11" s="16"/>
      <c r="L11" s="17">
        <f>('TUSD BE'!$L$11+'TUSD BF'!$L$11+'TUSD CVA'!$L$11)*1</f>
        <v>5.817466527536423</v>
      </c>
      <c r="M11" s="17">
        <f>('TUSD BE'!$M$11+'TUSD BF'!$M$11+'TUSD CVA'!$M$11)*1</f>
        <v>0.37480666711286997</v>
      </c>
      <c r="N11" s="17">
        <f ca="1">('TUSD BE'!$N$11+'TUSD BF'!$N$11+'TUSD CVA'!$N$11)*1</f>
        <v>4.7830216318175571</v>
      </c>
      <c r="O11" s="17">
        <f>('TUSD BE'!$O$11+'TUSD BF'!$O$11+'TUSD CVA'!$O$11)*1</f>
        <v>0</v>
      </c>
      <c r="P11" s="17">
        <f>('TUSD BE'!$P$11+'TUSD BF'!$P$11+'TUSD CVA'!$P$11)*1</f>
        <v>0</v>
      </c>
      <c r="Q11" s="17">
        <f>('TUSD BE'!$Q$11+'TUSD BF'!$Q$11+'TUSD CVA'!$Q$11)*1</f>
        <v>83.931024384977334</v>
      </c>
      <c r="R11" s="17">
        <f>('TUSD BE'!$R$11+'TUSD BF'!$R$11+'TUSD CVA'!$R$11)*1</f>
        <v>16.736115121766648</v>
      </c>
      <c r="S11" s="17">
        <f>('TUSD BE'!$S$11+'TUSD BF'!$S$11+'TUSD CVA'!$S$11)*1</f>
        <v>0</v>
      </c>
      <c r="T11" s="17">
        <f>('TUSD BE'!$U$11+'TUSD BF'!$U$11+'TUSD CVA'!$U$11)*1</f>
        <v>164.70474852659859</v>
      </c>
      <c r="U11" s="17">
        <f>('TUSD BE'!$V$11+'TUSD BF'!$V$11+'TUSD CVA'!$V$11)*1</f>
        <v>148.00846906775053</v>
      </c>
      <c r="V11" s="17">
        <f>('TUSD BE'!$W$11+'TUSD BF'!$W$11+'TUSD CVA'!$W$11)*1</f>
        <v>24.951698406836972</v>
      </c>
      <c r="W11" s="17">
        <f>('TUSD BE'!$X$11+'TUSD BF'!$X$11+'TUSD CVA'!$X$11)*1</f>
        <v>0</v>
      </c>
      <c r="X11" s="17">
        <f>('TUSD BE'!$Y$11+'TUSD BF'!$Y$11+'TUSD CVA'!$Y$11)*1</f>
        <v>0</v>
      </c>
      <c r="Y11" s="17">
        <f>('TUSD BE'!$Z$11+'TUSD BF'!$Z$11+'TUSD CVA'!$Z$11)*1</f>
        <v>0</v>
      </c>
      <c r="Z11" s="17">
        <f>('TUSD BE'!$AA$11+'TUSD BF'!$AA$11+'TUSD CVA'!$AA$11)*1</f>
        <v>0</v>
      </c>
      <c r="AA11" s="17">
        <f>('TUSD BE'!$AC$11+'TUSD BF'!$AC$11+'TUSD CVA'!$AC$11)*1</f>
        <v>302.42736058770208</v>
      </c>
      <c r="AB11" s="17">
        <f ca="1">('TUSD BE'!$AE$11+'TUSD BF'!$AE$11+'TUSD CVA'!$AE$11)*1</f>
        <v>-132.90522387551769</v>
      </c>
      <c r="AC11" s="17">
        <f ca="1">('TUSD BE'!$AF$11+'TUSD BF'!$AF$11+'TUSD CVA'!$AF$11)*1</f>
        <v>0</v>
      </c>
      <c r="AD11" s="17">
        <f>('TUSD BE'!$AH$11+'TUSD BF'!$AH$11+'TUSD CVA'!$AH$11)*1</f>
        <v>5.9601538210526765</v>
      </c>
      <c r="AE11" s="17">
        <f>('TUSD BE'!$AI$11+'TUSD BF'!$AI$11+'TUSD CVA'!$AI$11)*1</f>
        <v>0</v>
      </c>
      <c r="AF11" s="17">
        <f ca="1">('TUSD BE'!$AJ$11+'TUSD BF'!$AJ$11+'TUSD CVA'!$AJ$11)*1</f>
        <v>0.55649648678054686</v>
      </c>
      <c r="AG11" s="17">
        <f ca="1">('TUSD BE'!$AK$11+'TUSD BF'!$AK$11+'TUSD CVA'!$AK$11)*1</f>
        <v>0.32420210999114968</v>
      </c>
      <c r="AI11" s="17">
        <v>6.4071800808325703</v>
      </c>
      <c r="AJ11" s="17">
        <v>0.31564324574884101</v>
      </c>
      <c r="AK11" s="17">
        <v>6.2889460172647302</v>
      </c>
      <c r="AL11" s="17">
        <v>0</v>
      </c>
      <c r="AM11" s="17">
        <v>0</v>
      </c>
      <c r="AN11" s="17">
        <v>49.961470164853502</v>
      </c>
      <c r="AO11" s="17">
        <v>9.1357516628062605</v>
      </c>
      <c r="AP11" s="17">
        <v>0</v>
      </c>
      <c r="AQ11" s="17">
        <v>126.196728635754</v>
      </c>
      <c r="AR11" s="17">
        <v>92.427177990094506</v>
      </c>
      <c r="AS11" s="17">
        <v>6.7378214704103296</v>
      </c>
      <c r="AT11" s="17">
        <v>0</v>
      </c>
      <c r="AU11" s="17">
        <v>0</v>
      </c>
      <c r="AV11" s="17">
        <v>0</v>
      </c>
      <c r="AW11" s="17">
        <v>0</v>
      </c>
      <c r="AX11" s="17">
        <v>294.027864055507</v>
      </c>
      <c r="AY11" s="17">
        <v>0</v>
      </c>
      <c r="AZ11" s="17">
        <v>0</v>
      </c>
      <c r="BA11" s="17">
        <v>5.7705974505567799</v>
      </c>
      <c r="BB11" s="17">
        <v>0</v>
      </c>
      <c r="BC11" s="17">
        <v>0.64779786247205196</v>
      </c>
      <c r="BD11" s="17">
        <v>-1.1369245753239601</v>
      </c>
    </row>
    <row r="12" spans="1:56" ht="11.25" customHeight="1" x14ac:dyDescent="0.25">
      <c r="A12" s="166"/>
      <c r="B12" s="166"/>
      <c r="C12" s="166"/>
      <c r="D12" s="166"/>
      <c r="E12" s="166"/>
      <c r="F12" s="166"/>
      <c r="G12" s="57" t="s">
        <v>80</v>
      </c>
      <c r="H12" s="57" t="s">
        <v>78</v>
      </c>
      <c r="I12" s="57">
        <f>'MERCADO TUSD'!$U$9</f>
        <v>60495.598999999995</v>
      </c>
      <c r="J12" s="16"/>
      <c r="L12" s="17">
        <f>('TUSD BE'!$L$12+'TUSD BF'!$L$12+'TUSD CVA'!$L$12)*1</f>
        <v>5.817466527536423</v>
      </c>
      <c r="M12" s="17">
        <f>('TUSD BE'!$M$12+'TUSD BF'!$M$12+'TUSD CVA'!$M$12)*1</f>
        <v>0.37480666711286997</v>
      </c>
      <c r="N12" s="17">
        <f ca="1">('TUSD BE'!$N$12+'TUSD BF'!$N$12+'TUSD CVA'!$N$12)*1</f>
        <v>0.12849781771993959</v>
      </c>
      <c r="O12" s="17">
        <f>('TUSD BE'!$O$12+'TUSD BF'!$O$12+'TUSD CVA'!$O$12)*1</f>
        <v>0</v>
      </c>
      <c r="P12" s="17">
        <f>('TUSD BE'!$P$12+'TUSD BF'!$P$12+'TUSD CVA'!$P$12)*1</f>
        <v>0</v>
      </c>
      <c r="Q12" s="17">
        <f>('TUSD BE'!$Q$12+'TUSD BF'!$Q$12+'TUSD CVA'!$Q$12)*1</f>
        <v>83.931024384977334</v>
      </c>
      <c r="R12" s="17">
        <f>('TUSD BE'!$R$12+'TUSD BF'!$R$12+'TUSD CVA'!$R$12)*1</f>
        <v>16.736115121766648</v>
      </c>
      <c r="S12" s="17">
        <f>('TUSD BE'!$S$12+'TUSD BF'!$S$12+'TUSD CVA'!$S$12)*1</f>
        <v>0</v>
      </c>
      <c r="T12" s="17">
        <f>('TUSD BE'!$U$12+'TUSD BF'!$U$12+'TUSD CVA'!$U$12)*1</f>
        <v>0</v>
      </c>
      <c r="U12" s="17">
        <f>('TUSD BE'!$V$12+'TUSD BF'!$V$12+'TUSD CVA'!$V$12)*1</f>
        <v>0</v>
      </c>
      <c r="V12" s="17">
        <f>('TUSD BE'!$W$12+'TUSD BF'!$W$12+'TUSD CVA'!$W$12)*1</f>
        <v>0</v>
      </c>
      <c r="W12" s="17">
        <f>('TUSD BE'!$X$12+'TUSD BF'!$X$12+'TUSD CVA'!$X$12)*1</f>
        <v>0</v>
      </c>
      <c r="X12" s="17">
        <f>('TUSD BE'!$Y$12+'TUSD BF'!$Y$12+'TUSD CVA'!$Y$12)*1</f>
        <v>0</v>
      </c>
      <c r="Y12" s="17">
        <f>('TUSD BE'!$Z$12+'TUSD BF'!$Z$12+'TUSD CVA'!$Z$12)*1</f>
        <v>0</v>
      </c>
      <c r="Z12" s="17">
        <f>('TUSD BE'!$AA$12+'TUSD BF'!$AA$12+'TUSD CVA'!$AA$12)*1</f>
        <v>0</v>
      </c>
      <c r="AA12" s="17">
        <f>('TUSD BE'!$AC$12+'TUSD BF'!$AC$12+'TUSD CVA'!$AC$12)*1</f>
        <v>0</v>
      </c>
      <c r="AB12" s="17">
        <f ca="1">('TUSD BE'!$AE$12+'TUSD BF'!$AE$12+'TUSD CVA'!$AE$12)*1</f>
        <v>-18.013314834326135</v>
      </c>
      <c r="AC12" s="17">
        <f ca="1">('TUSD BE'!$AF$12+'TUSD BF'!$AF$12+'TUSD CVA'!$AF$12)*1</f>
        <v>0</v>
      </c>
      <c r="AD12" s="17">
        <f>('TUSD BE'!$AH$12+'TUSD BF'!$AH$12+'TUSD CVA'!$AH$12)*1</f>
        <v>5.9601538210526765</v>
      </c>
      <c r="AE12" s="17">
        <f>('TUSD BE'!$AI$12+'TUSD BF'!$AI$12+'TUSD CVA'!$AI$12)*1</f>
        <v>0</v>
      </c>
      <c r="AF12" s="17">
        <f ca="1">('TUSD BE'!$AJ$12+'TUSD BF'!$AJ$12+'TUSD CVA'!$AJ$12)*1</f>
        <v>0.55649648678054686</v>
      </c>
      <c r="AG12" s="17">
        <f ca="1">('TUSD BE'!$AK$12+'TUSD BF'!$AK$12+'TUSD CVA'!$AK$12)*1</f>
        <v>0.32420210999114968</v>
      </c>
      <c r="AI12" s="17">
        <v>6.4071800808325703</v>
      </c>
      <c r="AJ12" s="17">
        <v>0.31564324574884101</v>
      </c>
      <c r="AK12" s="17">
        <v>0.15363238732930701</v>
      </c>
      <c r="AL12" s="17">
        <v>0</v>
      </c>
      <c r="AM12" s="17">
        <v>0</v>
      </c>
      <c r="AN12" s="17">
        <v>49.961470164853502</v>
      </c>
      <c r="AO12" s="17">
        <v>9.1357516628062605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>
        <v>0</v>
      </c>
      <c r="AW12" s="17">
        <v>0</v>
      </c>
      <c r="AX12" s="17">
        <v>0</v>
      </c>
      <c r="AY12" s="17">
        <v>0</v>
      </c>
      <c r="AZ12" s="17">
        <v>0</v>
      </c>
      <c r="BA12" s="17">
        <v>5.7705974505567799</v>
      </c>
      <c r="BB12" s="17">
        <v>0</v>
      </c>
      <c r="BC12" s="17">
        <v>0.64779786247205196</v>
      </c>
      <c r="BD12" s="17">
        <v>-1.1369245753239601</v>
      </c>
    </row>
    <row r="13" spans="1:56" ht="11.25" customHeight="1" x14ac:dyDescent="0.25">
      <c r="A13" s="166"/>
      <c r="B13" s="166"/>
      <c r="C13" s="166"/>
      <c r="D13" s="166"/>
      <c r="E13" s="166" t="s">
        <v>86</v>
      </c>
      <c r="F13" s="166" t="s">
        <v>25</v>
      </c>
      <c r="G13" s="57" t="s">
        <v>79</v>
      </c>
      <c r="H13" s="57" t="s">
        <v>78</v>
      </c>
      <c r="I13" s="57">
        <f>'MERCADO TUSD'!$U$10</f>
        <v>0</v>
      </c>
      <c r="J13" s="16"/>
      <c r="L13" s="17">
        <f>('TUSD BE'!$L$13+'TUSD BF'!$L$13+'TUSD CVA'!$L$13)*1</f>
        <v>0</v>
      </c>
      <c r="M13" s="17">
        <f>('TUSD BE'!$M$13+'TUSD BF'!$M$13+'TUSD CVA'!$M$13)*1</f>
        <v>0.37480666711286997</v>
      </c>
      <c r="N13" s="17">
        <f ca="1">('TUSD BE'!$N$13+'TUSD BF'!$N$13+'TUSD CVA'!$N$13)*1</f>
        <v>4.7741393273992934</v>
      </c>
      <c r="O13" s="17">
        <f>('TUSD BE'!$O$13+'TUSD BF'!$O$13+'TUSD CVA'!$O$13)*1</f>
        <v>0</v>
      </c>
      <c r="P13" s="17">
        <f>('TUSD BE'!$P$13+'TUSD BF'!$P$13+'TUSD CVA'!$P$13)*1</f>
        <v>0</v>
      </c>
      <c r="Q13" s="17">
        <f>('TUSD BE'!$Q$13+'TUSD BF'!$Q$13+'TUSD CVA'!$Q$13)*1</f>
        <v>0</v>
      </c>
      <c r="R13" s="17">
        <f>('TUSD BE'!$R$13+'TUSD BF'!$R$13+'TUSD CVA'!$R$13)*1</f>
        <v>0</v>
      </c>
      <c r="S13" s="17">
        <f>('TUSD BE'!$S$13+'TUSD BF'!$S$13+'TUSD CVA'!$S$13)*1</f>
        <v>0</v>
      </c>
      <c r="T13" s="17">
        <f>('TUSD BE'!$U$13+'TUSD BF'!$U$13+'TUSD CVA'!$U$13)*1</f>
        <v>164.70474852659859</v>
      </c>
      <c r="U13" s="17">
        <f>('TUSD BE'!$V$13+'TUSD BF'!$V$13+'TUSD CVA'!$V$13)*1</f>
        <v>148.00846906775053</v>
      </c>
      <c r="V13" s="17">
        <f>('TUSD BE'!$W$13+'TUSD BF'!$W$13+'TUSD CVA'!$W$13)*1</f>
        <v>24.951698406836972</v>
      </c>
      <c r="W13" s="17">
        <f>('TUSD BE'!$X$13+'TUSD BF'!$X$13+'TUSD CVA'!$X$13)*1</f>
        <v>0</v>
      </c>
      <c r="X13" s="17">
        <f>('TUSD BE'!$Y$13+'TUSD BF'!$Y$13+'TUSD CVA'!$Y$13)*1</f>
        <v>0</v>
      </c>
      <c r="Y13" s="17">
        <f>('TUSD BE'!$Z$13+'TUSD BF'!$Z$13+'TUSD CVA'!$Z$13)*1</f>
        <v>0</v>
      </c>
      <c r="Z13" s="17">
        <f>('TUSD BE'!$AA$13+'TUSD BF'!$AA$13+'TUSD CVA'!$AA$13)*1</f>
        <v>0</v>
      </c>
      <c r="AA13" s="17">
        <f>('TUSD BE'!$AC$13+'TUSD BF'!$AC$13+'TUSD CVA'!$AC$13)*1</f>
        <v>302.42736058770208</v>
      </c>
      <c r="AB13" s="17">
        <f ca="1">('TUSD BE'!$AE$13+'TUSD BF'!$AE$13+'TUSD CVA'!$AE$13)*1</f>
        <v>-116.13809475127852</v>
      </c>
      <c r="AC13" s="17">
        <f ca="1">('TUSD BE'!$AF$13+'TUSD BF'!$AF$13+'TUSD CVA'!$AF$13)*1</f>
        <v>0</v>
      </c>
      <c r="AD13" s="17">
        <f>('TUSD BE'!$AH$13+'TUSD BF'!$AH$13+'TUSD CVA'!$AH$13)*1</f>
        <v>5.9601538210526765</v>
      </c>
      <c r="AE13" s="17">
        <f>('TUSD BE'!$AI$13+'TUSD BF'!$AI$13+'TUSD CVA'!$AI$13)*1</f>
        <v>0</v>
      </c>
      <c r="AF13" s="17">
        <f ca="1">('TUSD BE'!$AJ$13+'TUSD BF'!$AJ$13+'TUSD CVA'!$AJ$13)*1</f>
        <v>0.55649648678054686</v>
      </c>
      <c r="AG13" s="17">
        <f ca="1">('TUSD BE'!$AK$13+'TUSD BF'!$AK$13+'TUSD CVA'!$AK$13)*1</f>
        <v>0.32420210999114968</v>
      </c>
      <c r="AI13" s="17">
        <v>0</v>
      </c>
      <c r="AJ13" s="17">
        <v>0.31564324574884101</v>
      </c>
      <c r="AK13" s="17">
        <v>6.27625366371183</v>
      </c>
      <c r="AL13" s="17">
        <v>0</v>
      </c>
      <c r="AM13" s="17">
        <v>0</v>
      </c>
      <c r="AN13" s="17">
        <v>0</v>
      </c>
      <c r="AO13" s="17">
        <v>0</v>
      </c>
      <c r="AP13" s="17">
        <v>0</v>
      </c>
      <c r="AQ13" s="17">
        <v>126.196728635754</v>
      </c>
      <c r="AR13" s="17">
        <v>92.427177990094506</v>
      </c>
      <c r="AS13" s="17">
        <v>6.7378214704103296</v>
      </c>
      <c r="AT13" s="17">
        <v>0</v>
      </c>
      <c r="AU13" s="17">
        <v>0</v>
      </c>
      <c r="AV13" s="17">
        <v>0</v>
      </c>
      <c r="AW13" s="17">
        <v>0</v>
      </c>
      <c r="AX13" s="17">
        <v>294.027864055507</v>
      </c>
      <c r="AY13" s="17">
        <v>0</v>
      </c>
      <c r="AZ13" s="17">
        <v>0</v>
      </c>
      <c r="BA13" s="17">
        <v>5.7705974505567799</v>
      </c>
      <c r="BB13" s="17">
        <v>0</v>
      </c>
      <c r="BC13" s="17">
        <v>0.64779786247205196</v>
      </c>
      <c r="BD13" s="17">
        <v>-1.1369245753239601</v>
      </c>
    </row>
    <row r="14" spans="1:56" ht="11.25" customHeight="1" x14ac:dyDescent="0.25">
      <c r="A14" s="166"/>
      <c r="B14" s="166"/>
      <c r="C14" s="166"/>
      <c r="D14" s="166"/>
      <c r="E14" s="166"/>
      <c r="F14" s="166"/>
      <c r="G14" s="57" t="s">
        <v>80</v>
      </c>
      <c r="H14" s="57" t="s">
        <v>78</v>
      </c>
      <c r="I14" s="57">
        <f>'MERCADO TUSD'!$U$11</f>
        <v>0</v>
      </c>
      <c r="J14" s="16"/>
      <c r="L14" s="17">
        <f>('TUSD BE'!$L$14+'TUSD BF'!$L$14+'TUSD CVA'!$L$14)*1</f>
        <v>0</v>
      </c>
      <c r="M14" s="17">
        <f>('TUSD BE'!$M$14+'TUSD BF'!$M$14+'TUSD CVA'!$M$14)*1</f>
        <v>0.37480666711286997</v>
      </c>
      <c r="N14" s="17">
        <f ca="1">('TUSD BE'!$N$14+'TUSD BF'!$N$14+'TUSD CVA'!$N$14)*1</f>
        <v>0.11961551330167629</v>
      </c>
      <c r="O14" s="17">
        <f>('TUSD BE'!$O$14+'TUSD BF'!$O$14+'TUSD CVA'!$O$14)*1</f>
        <v>0</v>
      </c>
      <c r="P14" s="17">
        <f>('TUSD BE'!$P$14+'TUSD BF'!$P$14+'TUSD CVA'!$P$14)*1</f>
        <v>0</v>
      </c>
      <c r="Q14" s="17">
        <f>('TUSD BE'!$Q$14+'TUSD BF'!$Q$14+'TUSD CVA'!$Q$14)*1</f>
        <v>0</v>
      </c>
      <c r="R14" s="17">
        <f>('TUSD BE'!$R$14+'TUSD BF'!$R$14+'TUSD CVA'!$R$14)*1</f>
        <v>0</v>
      </c>
      <c r="S14" s="17">
        <f>('TUSD BE'!$S$14+'TUSD BF'!$S$14+'TUSD CVA'!$S$14)*1</f>
        <v>0</v>
      </c>
      <c r="T14" s="17">
        <f>('TUSD BE'!$U$14+'TUSD BF'!$U$14+'TUSD CVA'!$U$14)*1</f>
        <v>0</v>
      </c>
      <c r="U14" s="17">
        <f>('TUSD BE'!$V$14+'TUSD BF'!$V$14+'TUSD CVA'!$V$14)*1</f>
        <v>0</v>
      </c>
      <c r="V14" s="17">
        <f>('TUSD BE'!$W$14+'TUSD BF'!$W$14+'TUSD CVA'!$W$14)*1</f>
        <v>0</v>
      </c>
      <c r="W14" s="17">
        <f>('TUSD BE'!$X$14+'TUSD BF'!$X$14+'TUSD CVA'!$X$14)*1</f>
        <v>0</v>
      </c>
      <c r="X14" s="17">
        <f>('TUSD BE'!$Y$14+'TUSD BF'!$Y$14+'TUSD CVA'!$Y$14)*1</f>
        <v>0</v>
      </c>
      <c r="Y14" s="17">
        <f>('TUSD BE'!$Z$14+'TUSD BF'!$Z$14+'TUSD CVA'!$Z$14)*1</f>
        <v>0</v>
      </c>
      <c r="Z14" s="17">
        <f>('TUSD BE'!$AA$14+'TUSD BF'!$AA$14+'TUSD CVA'!$AA$14)*1</f>
        <v>0</v>
      </c>
      <c r="AA14" s="17">
        <f>('TUSD BE'!$AC$14+'TUSD BF'!$AC$14+'TUSD CVA'!$AC$14)*1</f>
        <v>0</v>
      </c>
      <c r="AB14" s="17">
        <f ca="1">('TUSD BE'!$AE$14+'TUSD BF'!$AE$14+'TUSD CVA'!$AE$14)*1</f>
        <v>-1.2461857100869504</v>
      </c>
      <c r="AC14" s="17">
        <f ca="1">('TUSD BE'!$AF$14+'TUSD BF'!$AF$14+'TUSD CVA'!$AF$14)*1</f>
        <v>0</v>
      </c>
      <c r="AD14" s="17">
        <f>('TUSD BE'!$AH$14+'TUSD BF'!$AH$14+'TUSD CVA'!$AH$14)*1</f>
        <v>5.9601538210526765</v>
      </c>
      <c r="AE14" s="17">
        <f>('TUSD BE'!$AI$14+'TUSD BF'!$AI$14+'TUSD CVA'!$AI$14)*1</f>
        <v>0</v>
      </c>
      <c r="AF14" s="17">
        <f ca="1">('TUSD BE'!$AJ$14+'TUSD BF'!$AJ$14+'TUSD CVA'!$AJ$14)*1</f>
        <v>0.55649648678054686</v>
      </c>
      <c r="AG14" s="17">
        <f ca="1">('TUSD BE'!$AK$14+'TUSD BF'!$AK$14+'TUSD CVA'!$AK$14)*1</f>
        <v>0.32420210999114968</v>
      </c>
      <c r="AI14" s="17">
        <v>0</v>
      </c>
      <c r="AJ14" s="17">
        <v>0.31564324574884101</v>
      </c>
      <c r="AK14" s="17">
        <v>0.14094003377640499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  <c r="BA14" s="17">
        <v>5.7705974505567799</v>
      </c>
      <c r="BB14" s="17">
        <v>0</v>
      </c>
      <c r="BC14" s="17">
        <v>0.64779786247205196</v>
      </c>
      <c r="BD14" s="17">
        <v>-1.1369245753239601</v>
      </c>
    </row>
    <row r="15" spans="1:56" ht="11.25" customHeight="1" x14ac:dyDescent="0.25">
      <c r="A15" s="166" t="s">
        <v>89</v>
      </c>
      <c r="B15" s="166" t="s">
        <v>58</v>
      </c>
      <c r="C15" s="166" t="s">
        <v>25</v>
      </c>
      <c r="D15" s="166" t="s">
        <v>25</v>
      </c>
      <c r="E15" s="115" t="s">
        <v>90</v>
      </c>
      <c r="F15" s="115" t="s">
        <v>25</v>
      </c>
      <c r="G15" s="57" t="s">
        <v>9</v>
      </c>
      <c r="H15" s="57" t="s">
        <v>83</v>
      </c>
      <c r="I15" s="57">
        <f>'MERCADO TUSD'!$U$12+0.00000001</f>
        <v>1E-8</v>
      </c>
      <c r="J15" s="16"/>
      <c r="L15" s="17">
        <f>('TUSD BE'!$L$15+'TUSD BF'!$L$15+'TUSD CVA'!$L$15)*1</f>
        <v>0</v>
      </c>
      <c r="M15" s="17">
        <f>('TUSD BE'!$M$15+'TUSD BF'!$M$15+'TUSD CVA'!$M$15)*1</f>
        <v>2.2072318121388042E-2</v>
      </c>
      <c r="N15" s="17">
        <f ca="1">('TUSD BE'!$N$15+'TUSD BF'!$N$15+'TUSD CVA'!$N$15)*1</f>
        <v>5.0895604316648753E-2</v>
      </c>
      <c r="O15" s="17">
        <f>('TUSD BE'!$O$15+'TUSD BF'!$O$15+'TUSD CVA'!$O$15)*1</f>
        <v>0</v>
      </c>
      <c r="P15" s="17">
        <f>('TUSD BE'!$P$15+'TUSD BF'!$P$15+'TUSD CVA'!$P$15)*1</f>
        <v>0</v>
      </c>
      <c r="Q15" s="17">
        <f>('TUSD BE'!$Q$15+'TUSD BF'!$Q$15+'TUSD CVA'!$Q$15)*1</f>
        <v>0</v>
      </c>
      <c r="R15" s="17">
        <f>('TUSD BE'!$R$15+'TUSD BF'!$R$15+'TUSD CVA'!$R$15)*1</f>
        <v>0</v>
      </c>
      <c r="S15" s="17">
        <f>('TUSD BE'!$S$15+'TUSD BF'!$S$15+'TUSD CVA'!$S$15)*1</f>
        <v>0</v>
      </c>
      <c r="T15" s="17">
        <f>('TUSD BE'!$U$15+'TUSD BF'!$U$15+'TUSD CVA'!$U$15)*1</f>
        <v>0</v>
      </c>
      <c r="U15" s="17">
        <f>('TUSD BE'!$V$15+'TUSD BF'!$V$15+'TUSD CVA'!$V$15)*1</f>
        <v>0</v>
      </c>
      <c r="V15" s="17">
        <f>('TUSD BE'!$W$15+'TUSD BF'!$W$15+'TUSD CVA'!$W$15)*1</f>
        <v>0</v>
      </c>
      <c r="W15" s="17">
        <f>('TUSD BE'!$X$15+'TUSD BF'!$X$15+'TUSD CVA'!$X$15)*1</f>
        <v>0</v>
      </c>
      <c r="X15" s="17">
        <f>('TUSD BE'!$Y$15+'TUSD BF'!$Y$15+'TUSD CVA'!$Y$15)*1</f>
        <v>0</v>
      </c>
      <c r="Y15" s="17">
        <f>('TUSD BE'!$Z$15+'TUSD BF'!$Z$15+'TUSD CVA'!$Z$15)*1</f>
        <v>0</v>
      </c>
      <c r="Z15" s="17">
        <f>('TUSD BE'!$AA$15+'TUSD BF'!$AA$15+'TUSD CVA'!$AA$15)*1</f>
        <v>0</v>
      </c>
      <c r="AA15" s="17">
        <f>('TUSD BE'!$AC$15+'TUSD BF'!$AC$15+'TUSD CVA'!$AC$15)*1</f>
        <v>5.6878092650969458</v>
      </c>
      <c r="AB15" s="17">
        <f ca="1">('TUSD BE'!$AE$15+'TUSD BF'!$AE$15+'TUSD CVA'!$AE$15)*1</f>
        <v>-1.0504858034219009</v>
      </c>
      <c r="AC15" s="17">
        <f ca="1">('TUSD BE'!$AF$15+'TUSD BF'!$AF$15+'TUSD CVA'!$AF$15)*1</f>
        <v>0</v>
      </c>
      <c r="AD15" s="17">
        <f>('TUSD BE'!$AH$15+'TUSD BF'!$AH$15+'TUSD CVA'!$AH$15)*1</f>
        <v>0</v>
      </c>
      <c r="AE15" s="17">
        <f>('TUSD BE'!$AI$15+'TUSD BF'!$AI$15+'TUSD CVA'!$AI$15)*1</f>
        <v>0</v>
      </c>
      <c r="AF15" s="17">
        <f ca="1">('TUSD BE'!$AJ$15+'TUSD BF'!$AJ$15+'TUSD CVA'!$AJ$15)*1</f>
        <v>0</v>
      </c>
      <c r="AG15" s="17">
        <f ca="1">('TUSD BE'!$AK$15+'TUSD BF'!$AK$15+'TUSD CVA'!$AK$15)*1</f>
        <v>0</v>
      </c>
      <c r="AI15" s="17">
        <v>0</v>
      </c>
      <c r="AJ15" s="17">
        <v>3.6899458937832301E-2</v>
      </c>
      <c r="AK15" s="17">
        <v>0.11905427632622501</v>
      </c>
      <c r="AL15" s="17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>
        <v>0</v>
      </c>
      <c r="AW15" s="17">
        <v>0</v>
      </c>
      <c r="AX15" s="17">
        <v>9.9097553992178593</v>
      </c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</row>
    <row r="16" spans="1:56" ht="11.25" customHeight="1" x14ac:dyDescent="0.25">
      <c r="A16" s="166"/>
      <c r="B16" s="166"/>
      <c r="C16" s="166"/>
      <c r="D16" s="166"/>
      <c r="E16" s="115" t="s">
        <v>91</v>
      </c>
      <c r="F16" s="115" t="s">
        <v>25</v>
      </c>
      <c r="G16" s="57" t="s">
        <v>9</v>
      </c>
      <c r="H16" s="57" t="s">
        <v>83</v>
      </c>
      <c r="I16" s="57">
        <f>'MERCADO TUSD'!$U$13+0.00000001</f>
        <v>1E-8</v>
      </c>
      <c r="J16" s="16"/>
      <c r="L16" s="17">
        <f>('TUSD BE'!$L$16+'TUSD BF'!$L$16+'TUSD CVA'!$L$16)*1</f>
        <v>0</v>
      </c>
      <c r="M16" s="17">
        <f>('TUSD BE'!$M$16+'TUSD BF'!$M$16+'TUSD CVA'!$M$16)*1</f>
        <v>2.2072318121388042E-2</v>
      </c>
      <c r="N16" s="17">
        <f ca="1">('TUSD BE'!$N$16+'TUSD BF'!$N$16+'TUSD CVA'!$N$16)*1</f>
        <v>5.0895604316648753E-2</v>
      </c>
      <c r="O16" s="17">
        <f>('TUSD BE'!$O$16+'TUSD BF'!$O$16+'TUSD CVA'!$O$16)*1</f>
        <v>0</v>
      </c>
      <c r="P16" s="17">
        <f>('TUSD BE'!$P$16+'TUSD BF'!$P$16+'TUSD CVA'!$P$16)*1</f>
        <v>0</v>
      </c>
      <c r="Q16" s="17">
        <f>('TUSD BE'!$Q$16+'TUSD BF'!$Q$16+'TUSD CVA'!$Q$16)*1</f>
        <v>0</v>
      </c>
      <c r="R16" s="17">
        <f>('TUSD BE'!$R$16+'TUSD BF'!$R$16+'TUSD CVA'!$R$16)*1</f>
        <v>0</v>
      </c>
      <c r="S16" s="17">
        <f>('TUSD BE'!$S$16+'TUSD BF'!$S$16+'TUSD CVA'!$S$16)*1</f>
        <v>0</v>
      </c>
      <c r="T16" s="17">
        <f>('TUSD BE'!$U$16+'TUSD BF'!$U$16+'TUSD CVA'!$U$16)*1</f>
        <v>0</v>
      </c>
      <c r="U16" s="17">
        <f>('TUSD BE'!$V$16+'TUSD BF'!$V$16+'TUSD CVA'!$V$16)*1</f>
        <v>0</v>
      </c>
      <c r="V16" s="17">
        <f>('TUSD BE'!$W$16+'TUSD BF'!$W$16+'TUSD CVA'!$W$16)*1</f>
        <v>0</v>
      </c>
      <c r="W16" s="17">
        <f>('TUSD BE'!$X$16+'TUSD BF'!$X$16+'TUSD CVA'!$X$16)*1</f>
        <v>0</v>
      </c>
      <c r="X16" s="17">
        <f>('TUSD BE'!$Y$16+'TUSD BF'!$Y$16+'TUSD CVA'!$Y$16)*1</f>
        <v>0</v>
      </c>
      <c r="Y16" s="17">
        <f>('TUSD BE'!$Z$16+'TUSD BF'!$Z$16+'TUSD CVA'!$Z$16)*1</f>
        <v>0</v>
      </c>
      <c r="Z16" s="17">
        <f>('TUSD BE'!$AA$16+'TUSD BF'!$AA$16+'TUSD CVA'!$AA$16)*1</f>
        <v>0</v>
      </c>
      <c r="AA16" s="17">
        <f>('TUSD BE'!$AC$16+'TUSD BF'!$AC$16+'TUSD CVA'!$AC$16)*1</f>
        <v>9.5104166064895388</v>
      </c>
      <c r="AB16" s="17">
        <f ca="1">('TUSD BE'!$AE$16+'TUSD BF'!$AE$16+'TUSD CVA'!$AE$16)*1</f>
        <v>-1.7475731078938566</v>
      </c>
      <c r="AC16" s="17">
        <f ca="1">('TUSD BE'!$AF$16+'TUSD BF'!$AF$16+'TUSD CVA'!$AF$16)*1</f>
        <v>0</v>
      </c>
      <c r="AD16" s="17">
        <f>('TUSD BE'!$AH$16+'TUSD BF'!$AH$16+'TUSD CVA'!$AH$16)*1</f>
        <v>0</v>
      </c>
      <c r="AE16" s="17">
        <f>('TUSD BE'!$AI$16+'TUSD BF'!$AI$16+'TUSD CVA'!$AI$16)*1</f>
        <v>0</v>
      </c>
      <c r="AF16" s="17">
        <f ca="1">('TUSD BE'!$AJ$16+'TUSD BF'!$AJ$16+'TUSD CVA'!$AJ$16)*1</f>
        <v>0</v>
      </c>
      <c r="AG16" s="17">
        <f ca="1">('TUSD BE'!$AK$16+'TUSD BF'!$AK$16+'TUSD CVA'!$AK$16)*1</f>
        <v>0</v>
      </c>
      <c r="AI16" s="17">
        <v>0</v>
      </c>
      <c r="AJ16" s="17">
        <v>3.6899458937832301E-2</v>
      </c>
      <c r="AK16" s="17">
        <v>0.11905427632622501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0</v>
      </c>
      <c r="AX16" s="17">
        <v>12.906719227540799</v>
      </c>
      <c r="AY16" s="17">
        <v>0</v>
      </c>
      <c r="AZ16" s="17">
        <v>0</v>
      </c>
      <c r="BA16" s="17">
        <v>0</v>
      </c>
      <c r="BB16" s="17">
        <v>0</v>
      </c>
      <c r="BC16" s="17">
        <v>0</v>
      </c>
      <c r="BD16" s="17">
        <v>0</v>
      </c>
    </row>
    <row r="17" spans="1:56" ht="11.25" customHeight="1" x14ac:dyDescent="0.25">
      <c r="A17" s="166" t="s">
        <v>22</v>
      </c>
      <c r="B17" s="166" t="s">
        <v>32</v>
      </c>
      <c r="C17" s="166" t="s">
        <v>24</v>
      </c>
      <c r="D17" s="166" t="s">
        <v>24</v>
      </c>
      <c r="E17" s="166" t="s">
        <v>25</v>
      </c>
      <c r="F17" s="166" t="s">
        <v>25</v>
      </c>
      <c r="G17" s="57" t="s">
        <v>79</v>
      </c>
      <c r="H17" s="57" t="s">
        <v>78</v>
      </c>
      <c r="I17" s="57">
        <f>'MERCADO TUSD'!$U$14</f>
        <v>2.7580000000000005</v>
      </c>
      <c r="J17" s="16"/>
      <c r="L17" s="17">
        <f>('TUSD BE'!$L$17+'TUSD BF'!$L$17+'TUSD CVA'!$L$17)*1</f>
        <v>6.9255553899243143</v>
      </c>
      <c r="M17" s="17">
        <f>('TUSD BE'!$M$17+'TUSD BF'!$M$17+'TUSD CVA'!$M$17)*1</f>
        <v>0.84363362321217295</v>
      </c>
      <c r="N17" s="17">
        <f ca="1">('TUSD BE'!$N$17+'TUSD BF'!$N$17+'TUSD CVA'!$N$17)*1</f>
        <v>6.5313897525276561</v>
      </c>
      <c r="O17" s="17">
        <f>('TUSD BE'!$O$17+'TUSD BF'!$O$17+'TUSD CVA'!$O$17)*1</f>
        <v>0</v>
      </c>
      <c r="P17" s="17">
        <f>('TUSD BE'!$P$17+'TUSD BF'!$P$17+'TUSD CVA'!$P$17)*1</f>
        <v>0</v>
      </c>
      <c r="Q17" s="17">
        <f>('TUSD BE'!$Q$17+'TUSD BF'!$Q$17+'TUSD CVA'!$Q$17)*1</f>
        <v>99.917886172592077</v>
      </c>
      <c r="R17" s="17">
        <f>('TUSD BE'!$R$17+'TUSD BF'!$R$17+'TUSD CVA'!$R$17)*1</f>
        <v>16.736115121766648</v>
      </c>
      <c r="S17" s="17">
        <f>('TUSD BE'!$S$17+'TUSD BF'!$S$17+'TUSD CVA'!$S$17)*1</f>
        <v>0</v>
      </c>
      <c r="T17" s="17">
        <f>('TUSD BE'!$U$17+'TUSD BF'!$U$17+'TUSD CVA'!$U$17)*1</f>
        <v>101.60790782477751</v>
      </c>
      <c r="U17" s="17">
        <f>('TUSD BE'!$V$17+'TUSD BF'!$V$17+'TUSD CVA'!$V$17)*1</f>
        <v>85.607505376898317</v>
      </c>
      <c r="V17" s="17">
        <f>('TUSD BE'!$W$17+'TUSD BF'!$W$17+'TUSD CVA'!$W$17)*1</f>
        <v>15.073677460404598</v>
      </c>
      <c r="W17" s="17">
        <f>('TUSD BE'!$X$17+'TUSD BF'!$X$17+'TUSD CVA'!$X$17)*1</f>
        <v>0</v>
      </c>
      <c r="X17" s="17">
        <f>('TUSD BE'!$Y$17+'TUSD BF'!$Y$17+'TUSD CVA'!$Y$17)*1</f>
        <v>0</v>
      </c>
      <c r="Y17" s="17">
        <f>('TUSD BE'!$Z$17+'TUSD BF'!$Z$17+'TUSD CVA'!$Z$17)*1</f>
        <v>0</v>
      </c>
      <c r="Z17" s="17">
        <f>('TUSD BE'!$AA$17+'TUSD BF'!$AA$17+'TUSD CVA'!$AA$17)*1</f>
        <v>0</v>
      </c>
      <c r="AA17" s="17">
        <f>('TUSD BE'!$AC$17+'TUSD BF'!$AC$17+'TUSD CVA'!$AC$17)*1</f>
        <v>557.75099632235049</v>
      </c>
      <c r="AB17" s="17">
        <f ca="1">('TUSD BE'!$AE$17+'TUSD BF'!$AE$17+'TUSD CVA'!$AE$17)*1</f>
        <v>-161.60830589734135</v>
      </c>
      <c r="AC17" s="17">
        <f ca="1">('TUSD BE'!$AF$17+'TUSD BF'!$AF$17+'TUSD CVA'!$AF$17)*1</f>
        <v>0</v>
      </c>
      <c r="AD17" s="17">
        <f>('TUSD BE'!$AH$17+'TUSD BF'!$AH$17+'TUSD CVA'!$AH$17)*1</f>
        <v>21.080320800855066</v>
      </c>
      <c r="AE17" s="17">
        <f>('TUSD BE'!$AI$17+'TUSD BF'!$AI$17+'TUSD CVA'!$AI$17)*1</f>
        <v>0</v>
      </c>
      <c r="AF17" s="17">
        <f ca="1">('TUSD BE'!$AJ$17+'TUSD BF'!$AJ$17+'TUSD CVA'!$AJ$17)*1</f>
        <v>0.75859136189690113</v>
      </c>
      <c r="AG17" s="17">
        <f ca="1">('TUSD BE'!$AK$17+'TUSD BF'!$AK$17+'TUSD CVA'!$AK$17)*1</f>
        <v>0.44193795646551826</v>
      </c>
      <c r="AI17" s="17">
        <v>7.36457480555468</v>
      </c>
      <c r="AJ17" s="17">
        <v>0.96123768145393296</v>
      </c>
      <c r="AK17" s="17">
        <v>9.6182189297374894</v>
      </c>
      <c r="AL17" s="17">
        <v>0</v>
      </c>
      <c r="AM17" s="17">
        <v>0</v>
      </c>
      <c r="AN17" s="17">
        <v>57.426977200981099</v>
      </c>
      <c r="AO17" s="17">
        <v>9.1357516628062605</v>
      </c>
      <c r="AP17" s="17">
        <v>0</v>
      </c>
      <c r="AQ17" s="17">
        <v>83.059172090879699</v>
      </c>
      <c r="AR17" s="17">
        <v>60.587722689318902</v>
      </c>
      <c r="AS17" s="17">
        <v>4.4742901213449597</v>
      </c>
      <c r="AT17" s="17">
        <v>0</v>
      </c>
      <c r="AU17" s="17">
        <v>0</v>
      </c>
      <c r="AV17" s="17">
        <v>0</v>
      </c>
      <c r="AW17" s="17">
        <v>0</v>
      </c>
      <c r="AX17" s="17">
        <v>622.32205718550904</v>
      </c>
      <c r="AY17" s="17">
        <v>0</v>
      </c>
      <c r="AZ17" s="17">
        <v>0</v>
      </c>
      <c r="BA17" s="17">
        <v>20.4098584629849</v>
      </c>
      <c r="BB17" s="17">
        <v>0</v>
      </c>
      <c r="BC17" s="17">
        <v>1.1203653527114199</v>
      </c>
      <c r="BD17" s="17">
        <v>-1.96630920944735</v>
      </c>
    </row>
    <row r="18" spans="1:56" ht="11.25" customHeight="1" x14ac:dyDescent="0.25">
      <c r="A18" s="166"/>
      <c r="B18" s="166"/>
      <c r="C18" s="166"/>
      <c r="D18" s="166"/>
      <c r="E18" s="166"/>
      <c r="F18" s="166"/>
      <c r="G18" s="57" t="s">
        <v>92</v>
      </c>
      <c r="H18" s="57" t="s">
        <v>78</v>
      </c>
      <c r="I18" s="57">
        <f>'MERCADO TUSD'!$U$15</f>
        <v>1.9870000000000001</v>
      </c>
      <c r="J18" s="16"/>
      <c r="L18" s="17">
        <f>('TUSD BE'!$L$18+'TUSD BF'!$L$18+'TUSD CVA'!$L$18)*1</f>
        <v>6.9255553899243143</v>
      </c>
      <c r="M18" s="17">
        <f>('TUSD BE'!$M$18+'TUSD BF'!$M$18+'TUSD CVA'!$M$18)*1</f>
        <v>0.84363362321217295</v>
      </c>
      <c r="N18" s="17">
        <f ca="1">('TUSD BE'!$N$18+'TUSD BF'!$N$18+'TUSD CVA'!$N$18)*1</f>
        <v>3.4581284119565043</v>
      </c>
      <c r="O18" s="17">
        <f>('TUSD BE'!$O$18+'TUSD BF'!$O$18+'TUSD CVA'!$O$18)*1</f>
        <v>0</v>
      </c>
      <c r="P18" s="17">
        <f>('TUSD BE'!$P$18+'TUSD BF'!$P$18+'TUSD CVA'!$P$18)*1</f>
        <v>0</v>
      </c>
      <c r="Q18" s="17">
        <f>('TUSD BE'!$Q$18+'TUSD BF'!$Q$18+'TUSD CVA'!$Q$18)*1</f>
        <v>99.917886172592077</v>
      </c>
      <c r="R18" s="17">
        <f>('TUSD BE'!$R$18+'TUSD BF'!$R$18+'TUSD CVA'!$R$18)*1</f>
        <v>16.736115121766648</v>
      </c>
      <c r="S18" s="17">
        <f>('TUSD BE'!$S$18+'TUSD BF'!$S$18+'TUSD CVA'!$S$18)*1</f>
        <v>0</v>
      </c>
      <c r="T18" s="17">
        <f>('TUSD BE'!$U$18+'TUSD BF'!$U$18+'TUSD CVA'!$U$18)*1</f>
        <v>50.804029364515159</v>
      </c>
      <c r="U18" s="17">
        <f>('TUSD BE'!$V$18+'TUSD BF'!$V$18+'TUSD CVA'!$V$18)*1</f>
        <v>42.803667173470991</v>
      </c>
      <c r="V18" s="17">
        <f>('TUSD BE'!$W$18+'TUSD BF'!$W$18+'TUSD CVA'!$W$18)*1</f>
        <v>7.5368887586702833</v>
      </c>
      <c r="W18" s="17">
        <f>('TUSD BE'!$X$18+'TUSD BF'!$X$18+'TUSD CVA'!$X$18)*1</f>
        <v>0</v>
      </c>
      <c r="X18" s="17">
        <f>('TUSD BE'!$Y$18+'TUSD BF'!$Y$18+'TUSD CVA'!$Y$18)*1</f>
        <v>0</v>
      </c>
      <c r="Y18" s="17">
        <f>('TUSD BE'!$Z$18+'TUSD BF'!$Z$18+'TUSD CVA'!$Z$18)*1</f>
        <v>0</v>
      </c>
      <c r="Z18" s="17">
        <f>('TUSD BE'!$AA$18+'TUSD BF'!$AA$18+'TUSD CVA'!$AA$18)*1</f>
        <v>0</v>
      </c>
      <c r="AA18" s="17">
        <f>('TUSD BE'!$AC$18+'TUSD BF'!$AC$18+'TUSD CVA'!$AC$18)*1</f>
        <v>278.87549816117524</v>
      </c>
      <c r="AB18" s="17">
        <f ca="1">('TUSD BE'!$AE$18+'TUSD BF'!$AE$18+'TUSD CVA'!$AE$18)*1</f>
        <v>-92.555427717865925</v>
      </c>
      <c r="AC18" s="17">
        <f ca="1">('TUSD BE'!$AF$18+'TUSD BF'!$AF$18+'TUSD CVA'!$AF$18)*1</f>
        <v>0</v>
      </c>
      <c r="AD18" s="17">
        <f>('TUSD BE'!$AH$18+'TUSD BF'!$AH$18+'TUSD CVA'!$AH$18)*1</f>
        <v>21.080320800855066</v>
      </c>
      <c r="AE18" s="17">
        <f>('TUSD BE'!$AI$18+'TUSD BF'!$AI$18+'TUSD CVA'!$AI$18)*1</f>
        <v>0</v>
      </c>
      <c r="AF18" s="17">
        <f ca="1">('TUSD BE'!$AJ$18+'TUSD BF'!$AJ$18+'TUSD CVA'!$AJ$18)*1</f>
        <v>0.75859136189690113</v>
      </c>
      <c r="AG18" s="17">
        <f ca="1">('TUSD BE'!$AK$18+'TUSD BF'!$AK$18+'TUSD CVA'!$AK$18)*1</f>
        <v>0.44193795646551826</v>
      </c>
      <c r="AI18" s="17">
        <v>7.36457480555468</v>
      </c>
      <c r="AJ18" s="17">
        <v>0.96123768145393296</v>
      </c>
      <c r="AK18" s="17">
        <v>5.1326992993750498</v>
      </c>
      <c r="AL18" s="17">
        <v>0</v>
      </c>
      <c r="AM18" s="17">
        <v>0</v>
      </c>
      <c r="AN18" s="17">
        <v>57.426977200981099</v>
      </c>
      <c r="AO18" s="17">
        <v>9.1357516628062605</v>
      </c>
      <c r="AP18" s="17">
        <v>0</v>
      </c>
      <c r="AQ18" s="17">
        <v>42.429657688556198</v>
      </c>
      <c r="AR18" s="17">
        <v>30.950418227368999</v>
      </c>
      <c r="AS18" s="17">
        <v>2.2856505479161702</v>
      </c>
      <c r="AT18" s="17">
        <v>0</v>
      </c>
      <c r="AU18" s="17">
        <v>0</v>
      </c>
      <c r="AV18" s="17">
        <v>0</v>
      </c>
      <c r="AW18" s="17">
        <v>0</v>
      </c>
      <c r="AX18" s="17">
        <v>317.904435776041</v>
      </c>
      <c r="AY18" s="17">
        <v>0</v>
      </c>
      <c r="AZ18" s="17">
        <v>0</v>
      </c>
      <c r="BA18" s="17">
        <v>20.4098584629849</v>
      </c>
      <c r="BB18" s="17">
        <v>0</v>
      </c>
      <c r="BC18" s="17">
        <v>1.1203653527114199</v>
      </c>
      <c r="BD18" s="17">
        <v>-1.96630920944735</v>
      </c>
    </row>
    <row r="19" spans="1:56" ht="11.25" customHeight="1" x14ac:dyDescent="0.25">
      <c r="A19" s="166"/>
      <c r="B19" s="166"/>
      <c r="C19" s="166"/>
      <c r="D19" s="166"/>
      <c r="E19" s="166"/>
      <c r="F19" s="166"/>
      <c r="G19" s="57" t="s">
        <v>80</v>
      </c>
      <c r="H19" s="57" t="s">
        <v>78</v>
      </c>
      <c r="I19" s="57">
        <f>'MERCADO TUSD'!$U$16</f>
        <v>16.794</v>
      </c>
      <c r="J19" s="16"/>
      <c r="L19" s="17">
        <f>('TUSD BE'!$L$19+'TUSD BF'!$L$19+'TUSD CVA'!$L$19)*1</f>
        <v>6.9255553899243143</v>
      </c>
      <c r="M19" s="17">
        <f>('TUSD BE'!$M$19+'TUSD BF'!$M$19+'TUSD CVA'!$M$19)*1</f>
        <v>0.84363362321217295</v>
      </c>
      <c r="N19" s="17">
        <f ca="1">('TUSD BE'!$N$19+'TUSD BF'!$N$19+'TUSD CVA'!$N$19)*1</f>
        <v>0.99951898420740604</v>
      </c>
      <c r="O19" s="17">
        <f>('TUSD BE'!$O$19+'TUSD BF'!$O$19+'TUSD CVA'!$O$19)*1</f>
        <v>0</v>
      </c>
      <c r="P19" s="17">
        <f>('TUSD BE'!$P$19+'TUSD BF'!$P$19+'TUSD CVA'!$P$19)*1</f>
        <v>0</v>
      </c>
      <c r="Q19" s="17">
        <f>('TUSD BE'!$Q$19+'TUSD BF'!$Q$19+'TUSD CVA'!$Q$19)*1</f>
        <v>99.917886172592077</v>
      </c>
      <c r="R19" s="17">
        <f>('TUSD BE'!$R$19+'TUSD BF'!$R$19+'TUSD CVA'!$R$19)*1</f>
        <v>16.736115121766648</v>
      </c>
      <c r="S19" s="17">
        <f>('TUSD BE'!$S$19+'TUSD BF'!$S$19+'TUSD CVA'!$S$19)*1</f>
        <v>0</v>
      </c>
      <c r="T19" s="17">
        <f>('TUSD BE'!$U$19+'TUSD BF'!$U$19+'TUSD CVA'!$U$19)*1</f>
        <v>10.16083605375359</v>
      </c>
      <c r="U19" s="17">
        <f>('TUSD BE'!$V$19+'TUSD BF'!$V$19+'TUSD CVA'!$V$19)*1</f>
        <v>8.5607334346941979</v>
      </c>
      <c r="V19" s="17">
        <f>('TUSD BE'!$W$19+'TUSD BF'!$W$19+'TUSD CVA'!$W$19)*1</f>
        <v>1.5073577403468632</v>
      </c>
      <c r="W19" s="17">
        <f>('TUSD BE'!$X$19+'TUSD BF'!$X$19+'TUSD CVA'!$X$19)*1</f>
        <v>0</v>
      </c>
      <c r="X19" s="17">
        <f>('TUSD BE'!$Y$19+'TUSD BF'!$Y$19+'TUSD CVA'!$Y$19)*1</f>
        <v>0</v>
      </c>
      <c r="Y19" s="17">
        <f>('TUSD BE'!$Z$19+'TUSD BF'!$Z$19+'TUSD CVA'!$Z$19)*1</f>
        <v>0</v>
      </c>
      <c r="Z19" s="17">
        <f>('TUSD BE'!$AA$19+'TUSD BF'!$AA$19+'TUSD CVA'!$AA$19)*1</f>
        <v>0</v>
      </c>
      <c r="AA19" s="17">
        <f>('TUSD BE'!$AC$19+'TUSD BF'!$AC$19+'TUSD CVA'!$AC$19)*1</f>
        <v>55.775139504016238</v>
      </c>
      <c r="AB19" s="17">
        <f ca="1">('TUSD BE'!$AE$19+'TUSD BF'!$AE$19+'TUSD CVA'!$AE$19)*1</f>
        <v>-37.313122159108744</v>
      </c>
      <c r="AC19" s="17">
        <f ca="1">('TUSD BE'!$AF$19+'TUSD BF'!$AF$19+'TUSD CVA'!$AF$19)*1</f>
        <v>0</v>
      </c>
      <c r="AD19" s="17">
        <f>('TUSD BE'!$AH$19+'TUSD BF'!$AH$19+'TUSD CVA'!$AH$19)*1</f>
        <v>21.080320800855066</v>
      </c>
      <c r="AE19" s="17">
        <f>('TUSD BE'!$AI$19+'TUSD BF'!$AI$19+'TUSD CVA'!$AI$19)*1</f>
        <v>0</v>
      </c>
      <c r="AF19" s="17">
        <f ca="1">('TUSD BE'!$AJ$19+'TUSD BF'!$AJ$19+'TUSD CVA'!$AJ$19)*1</f>
        <v>0.75859136189690113</v>
      </c>
      <c r="AG19" s="17">
        <f ca="1">('TUSD BE'!$AK$19+'TUSD BF'!$AK$19+'TUSD CVA'!$AK$19)*1</f>
        <v>0.44193795646551826</v>
      </c>
      <c r="AI19" s="17">
        <v>7.36457480555468</v>
      </c>
      <c r="AJ19" s="17">
        <v>0.96123768145393296</v>
      </c>
      <c r="AK19" s="17">
        <v>1.1581852461706601</v>
      </c>
      <c r="AL19" s="17">
        <v>0</v>
      </c>
      <c r="AM19" s="17">
        <v>0</v>
      </c>
      <c r="AN19" s="17">
        <v>57.426977200981099</v>
      </c>
      <c r="AO19" s="17">
        <v>9.1357516628062605</v>
      </c>
      <c r="AP19" s="17">
        <v>0</v>
      </c>
      <c r="AQ19" s="17">
        <v>6.4287127313874901</v>
      </c>
      <c r="AR19" s="17">
        <v>4.6894617476777496</v>
      </c>
      <c r="AS19" s="17">
        <v>0.346301892769112</v>
      </c>
      <c r="AT19" s="17">
        <v>0</v>
      </c>
      <c r="AU19" s="17">
        <v>0</v>
      </c>
      <c r="AV19" s="17">
        <v>0</v>
      </c>
      <c r="AW19" s="17">
        <v>0</v>
      </c>
      <c r="AX19" s="17">
        <v>48.167300197249098</v>
      </c>
      <c r="AY19" s="17">
        <v>0</v>
      </c>
      <c r="AZ19" s="17">
        <v>0</v>
      </c>
      <c r="BA19" s="17">
        <v>20.4098584629849</v>
      </c>
      <c r="BB19" s="17">
        <v>0</v>
      </c>
      <c r="BC19" s="17">
        <v>1.1203653527114199</v>
      </c>
      <c r="BD19" s="17">
        <v>-1.96630920944735</v>
      </c>
    </row>
    <row r="20" spans="1:56" ht="11.25" customHeight="1" x14ac:dyDescent="0.25">
      <c r="A20" s="166"/>
      <c r="B20" s="166" t="s">
        <v>23</v>
      </c>
      <c r="C20" s="166" t="s">
        <v>24</v>
      </c>
      <c r="D20" s="115" t="s">
        <v>24</v>
      </c>
      <c r="E20" s="115" t="s">
        <v>25</v>
      </c>
      <c r="F20" s="115" t="s">
        <v>25</v>
      </c>
      <c r="G20" s="57" t="s">
        <v>82</v>
      </c>
      <c r="H20" s="57" t="s">
        <v>78</v>
      </c>
      <c r="I20" s="57">
        <f>'MERCADO TUSD'!$U$17</f>
        <v>38061.052999999993</v>
      </c>
      <c r="J20" s="16"/>
      <c r="L20" s="17">
        <f>('TUSD BE'!$L$20+'TUSD BF'!$L$20+'TUSD CVA'!$L$20)*1</f>
        <v>6.9255553899243143</v>
      </c>
      <c r="M20" s="17">
        <f>('TUSD BE'!$M$20+'TUSD BF'!$M$20+'TUSD CVA'!$M$20)*1</f>
        <v>0.84363362321217295</v>
      </c>
      <c r="N20" s="17">
        <f ca="1">('TUSD BE'!$N$20+'TUSD BF'!$N$20+'TUSD CVA'!$N$20)*1</f>
        <v>2.2474490022166118</v>
      </c>
      <c r="O20" s="17">
        <f>('TUSD BE'!$O$20+'TUSD BF'!$O$20+'TUSD CVA'!$O$20)*1</f>
        <v>0</v>
      </c>
      <c r="P20" s="17">
        <f>('TUSD BE'!$P$20+'TUSD BF'!$P$20+'TUSD CVA'!$P$20)*1</f>
        <v>0</v>
      </c>
      <c r="Q20" s="17">
        <f>('TUSD BE'!$Q$20+'TUSD BF'!$Q$20+'TUSD CVA'!$Q$20)*1</f>
        <v>99.917886172592077</v>
      </c>
      <c r="R20" s="17">
        <f>('TUSD BE'!$R$20+'TUSD BF'!$R$20+'TUSD CVA'!$R$20)*1</f>
        <v>16.736115121766648</v>
      </c>
      <c r="S20" s="17">
        <f>('TUSD BE'!$S$20+'TUSD BF'!$S$20+'TUSD CVA'!$S$20)*1</f>
        <v>0</v>
      </c>
      <c r="T20" s="17">
        <f>('TUSD BE'!$U$20+'TUSD BF'!$U$20+'TUSD CVA'!$U$20)*1</f>
        <v>30.7902019327191</v>
      </c>
      <c r="U20" s="17">
        <f>('TUSD BE'!$V$20+'TUSD BF'!$V$20+'TUSD CVA'!$V$20)*1</f>
        <v>25.941652747851943</v>
      </c>
      <c r="V20" s="17">
        <f>('TUSD BE'!$W$20+'TUSD BF'!$W$20+'TUSD CVA'!$W$20)*1</f>
        <v>4.5677992407776298</v>
      </c>
      <c r="W20" s="17">
        <f>('TUSD BE'!$X$20+'TUSD BF'!$X$20+'TUSD CVA'!$X$20)*1</f>
        <v>0</v>
      </c>
      <c r="X20" s="17">
        <f>('TUSD BE'!$Y$20+'TUSD BF'!$Y$20+'TUSD CVA'!$Y$20)*1</f>
        <v>0</v>
      </c>
      <c r="Y20" s="17">
        <f>('TUSD BE'!$Z$20+'TUSD BF'!$Z$20+'TUSD CVA'!$Z$20)*1</f>
        <v>0</v>
      </c>
      <c r="Z20" s="17">
        <f>('TUSD BE'!$AA$20+'TUSD BF'!$AA$20+'TUSD CVA'!$AA$20)*1</f>
        <v>0</v>
      </c>
      <c r="AA20" s="17">
        <f>('TUSD BE'!$AC$20+'TUSD BF'!$AC$20+'TUSD CVA'!$AC$20)*1</f>
        <v>169.01548363691015</v>
      </c>
      <c r="AB20" s="17">
        <f ca="1">('TUSD BE'!$AE$20+'TUSD BF'!$AE$20+'TUSD CVA'!$AE$20)*1</f>
        <v>-65.352761649010233</v>
      </c>
      <c r="AC20" s="17">
        <f ca="1">('TUSD BE'!$AF$20+'TUSD BF'!$AF$20+'TUSD CVA'!$AF$20)*1</f>
        <v>0</v>
      </c>
      <c r="AD20" s="17">
        <f>('TUSD BE'!$AH$20+'TUSD BF'!$AH$20+'TUSD CVA'!$AH$20)*1</f>
        <v>21.080320800855066</v>
      </c>
      <c r="AE20" s="17">
        <f>('TUSD BE'!$AI$20+'TUSD BF'!$AI$20+'TUSD CVA'!$AI$20)*1</f>
        <v>0</v>
      </c>
      <c r="AF20" s="17">
        <f ca="1">('TUSD BE'!$AJ$20+'TUSD BF'!$AJ$20+'TUSD CVA'!$AJ$20)*1</f>
        <v>0.75859136189690113</v>
      </c>
      <c r="AG20" s="17">
        <f ca="1">('TUSD BE'!$AK$20+'TUSD BF'!$AK$20+'TUSD CVA'!$AK$20)*1</f>
        <v>0.44193795646551826</v>
      </c>
      <c r="AI20" s="17">
        <v>7.36457480555468</v>
      </c>
      <c r="AJ20" s="17">
        <v>0.96123768145393296</v>
      </c>
      <c r="AK20" s="17">
        <v>3.17819869882219</v>
      </c>
      <c r="AL20" s="17">
        <v>0</v>
      </c>
      <c r="AM20" s="17">
        <v>0</v>
      </c>
      <c r="AN20" s="17">
        <v>57.426977200981099</v>
      </c>
      <c r="AO20" s="17">
        <v>9.1357516628062605</v>
      </c>
      <c r="AP20" s="17">
        <v>0</v>
      </c>
      <c r="AQ20" s="17">
        <v>24.7258477479132</v>
      </c>
      <c r="AR20" s="17">
        <v>18.036301160901498</v>
      </c>
      <c r="AS20" s="17">
        <v>1.3319705491704501</v>
      </c>
      <c r="AT20" s="17">
        <v>0</v>
      </c>
      <c r="AU20" s="17">
        <v>0</v>
      </c>
      <c r="AV20" s="17">
        <v>0</v>
      </c>
      <c r="AW20" s="17">
        <v>0</v>
      </c>
      <c r="AX20" s="17">
        <v>185.259018193206</v>
      </c>
      <c r="AY20" s="17">
        <v>0</v>
      </c>
      <c r="AZ20" s="17">
        <v>0</v>
      </c>
      <c r="BA20" s="17">
        <v>20.4098584629849</v>
      </c>
      <c r="BB20" s="17">
        <v>0</v>
      </c>
      <c r="BC20" s="17">
        <v>1.1203653527114199</v>
      </c>
      <c r="BD20" s="17">
        <v>-1.96630920944735</v>
      </c>
    </row>
    <row r="21" spans="1:56" ht="11.25" customHeight="1" x14ac:dyDescent="0.25">
      <c r="A21" s="166"/>
      <c r="B21" s="166"/>
      <c r="C21" s="166"/>
      <c r="D21" s="115" t="s">
        <v>28</v>
      </c>
      <c r="E21" s="115" t="s">
        <v>25</v>
      </c>
      <c r="F21" s="115" t="s">
        <v>25</v>
      </c>
      <c r="G21" s="57" t="s">
        <v>82</v>
      </c>
      <c r="H21" s="57" t="s">
        <v>78</v>
      </c>
      <c r="I21" s="57">
        <f>'MERCADO TUSD'!$U$18</f>
        <v>264.92899999999997</v>
      </c>
      <c r="J21" s="16"/>
      <c r="L21" s="17">
        <f>('TUSD BE'!$L$21+'TUSD BF'!$L$21+'TUSD CVA'!$L$21)*(1 - 0.65)</f>
        <v>0</v>
      </c>
      <c r="M21" s="17">
        <f>('TUSD BE'!$M$21+'TUSD BF'!$M$21+'TUSD CVA'!$M$21)*(1 - 0.65)</f>
        <v>0.29527176812426054</v>
      </c>
      <c r="N21" s="17">
        <f ca="1">('TUSD BE'!$N$21+'TUSD BF'!$N$21+'TUSD CVA'!$N$21)*(1 - 0.65)</f>
        <v>0.78349834422942177</v>
      </c>
      <c r="O21" s="17">
        <f>('TUSD BE'!$O$21+'TUSD BF'!$O$21+'TUSD CVA'!$O$21)*(1 - 0.65)</f>
        <v>0</v>
      </c>
      <c r="P21" s="17">
        <v>0</v>
      </c>
      <c r="Q21" s="17">
        <f>('TUSD BE'!$Q$21+'TUSD BF'!$Q$21+'TUSD CVA'!$Q$21)*(1 - 0.65)</f>
        <v>0</v>
      </c>
      <c r="R21" s="17">
        <v>0</v>
      </c>
      <c r="S21" s="17">
        <f>('TUSD BE'!$S$21+'TUSD BF'!$S$21+'TUSD CVA'!$S$21)*(1 - 0.65)</f>
        <v>0</v>
      </c>
      <c r="T21" s="17">
        <f>('TUSD BE'!$U$21+'TUSD BF'!$U$21+'TUSD CVA'!$U$21)*(1 - 0.65)</f>
        <v>10.776570676451684</v>
      </c>
      <c r="U21" s="17">
        <f>('TUSD BE'!$V$21+'TUSD BF'!$V$21+'TUSD CVA'!$V$21)*(1 - 0.65)</f>
        <v>9.079578461748179</v>
      </c>
      <c r="V21" s="17">
        <f>('TUSD BE'!$W$21+'TUSD BF'!$W$21+'TUSD CVA'!$W$21)*(1 - 0.65)</f>
        <v>1.5987297342721702</v>
      </c>
      <c r="W21" s="17">
        <f>('TUSD BE'!$X$21+'TUSD BF'!$X$21+'TUSD CVA'!$X$21)*(1 - 0.65)</f>
        <v>0</v>
      </c>
      <c r="X21" s="17">
        <f>('TUSD BE'!$Y$21+'TUSD BF'!$Y$21+'TUSD CVA'!$Y$21)*(1 - 0.65)</f>
        <v>0</v>
      </c>
      <c r="Y21" s="17">
        <f>('TUSD BE'!$Z$21+'TUSD BF'!$Z$21+'TUSD CVA'!$Z$21)*(1 - 0.65)</f>
        <v>0</v>
      </c>
      <c r="Z21" s="17">
        <f>('TUSD BE'!$AA$21+'TUSD BF'!$AA$21+'TUSD CVA'!$AA$21)*(1 - 0.65)</f>
        <v>0</v>
      </c>
      <c r="AA21" s="17">
        <f>('TUSD BE'!$AC$21+'TUSD BF'!$AC$21+'TUSD CVA'!$AC$21)*(1 - 0.65)</f>
        <v>59.15541927291855</v>
      </c>
      <c r="AB21" s="17">
        <f ca="1">('TUSD BE'!$AE$21+'TUSD BF'!$AE$21+'TUSD CVA'!$AE$21)*(1 - 0.65)</f>
        <v>-16.05306863328196</v>
      </c>
      <c r="AC21" s="17">
        <f ca="1">('TUSD BE'!$AF$21+'TUSD BF'!$AF$21+'TUSD CVA'!$AF$21)*(1 - 0.65)</f>
        <v>0</v>
      </c>
      <c r="AD21" s="17">
        <f>('TUSD BE'!$AH$21+'TUSD BF'!$AH$21+'TUSD CVA'!$AH$21)*(1 - 0.65)</f>
        <v>7.3781122802992725</v>
      </c>
      <c r="AE21" s="17">
        <f>('TUSD BE'!$AI$21+'TUSD BF'!$AI$21+'TUSD CVA'!$AI$21)*(1 - 0.65)</f>
        <v>0</v>
      </c>
      <c r="AF21" s="17">
        <f ca="1">('TUSD BE'!$AJ$21+'TUSD BF'!$AJ$21+'TUSD CVA'!$AJ$21)*(1 - 0.65)</f>
        <v>0.26550697666391537</v>
      </c>
      <c r="AG21" s="17">
        <f ca="1">('TUSD BE'!$AK$21+'TUSD BF'!$AK$21+'TUSD CVA'!$AK$21)*(1 - 0.65)</f>
        <v>0.15467828476293138</v>
      </c>
      <c r="AI21" s="17">
        <v>0</v>
      </c>
      <c r="AJ21" s="17">
        <v>0.33643318850887599</v>
      </c>
      <c r="AK21" s="17">
        <v>1.1079272208442501</v>
      </c>
      <c r="AL21" s="17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8.6540467117696096</v>
      </c>
      <c r="AR21" s="17">
        <v>6.3127054063155104</v>
      </c>
      <c r="AS21" s="17">
        <v>0.466189692209658</v>
      </c>
      <c r="AT21" s="17">
        <v>0</v>
      </c>
      <c r="AU21" s="17">
        <v>0</v>
      </c>
      <c r="AV21" s="17">
        <v>0</v>
      </c>
      <c r="AW21" s="17">
        <v>0</v>
      </c>
      <c r="AX21" s="17">
        <v>64.840656367622103</v>
      </c>
      <c r="AY21" s="17">
        <v>0</v>
      </c>
      <c r="AZ21" s="17">
        <v>0</v>
      </c>
      <c r="BA21" s="17">
        <v>7.1434504620447097</v>
      </c>
      <c r="BB21" s="17">
        <v>0</v>
      </c>
      <c r="BC21" s="17">
        <v>0.39212787344899602</v>
      </c>
      <c r="BD21" s="17">
        <v>-0.68820822330657305</v>
      </c>
    </row>
    <row r="22" spans="1:56" ht="11.25" customHeight="1" x14ac:dyDescent="0.25">
      <c r="A22" s="166"/>
      <c r="B22" s="166"/>
      <c r="C22" s="166"/>
      <c r="D22" s="115" t="s">
        <v>29</v>
      </c>
      <c r="E22" s="115" t="s">
        <v>25</v>
      </c>
      <c r="F22" s="115" t="s">
        <v>25</v>
      </c>
      <c r="G22" s="57" t="s">
        <v>82</v>
      </c>
      <c r="H22" s="57" t="s">
        <v>78</v>
      </c>
      <c r="I22" s="57">
        <f>'MERCADO TUSD'!$U$19</f>
        <v>546.98300000000006</v>
      </c>
      <c r="J22" s="16"/>
      <c r="L22" s="17">
        <f>('TUSD BE'!$L$22+'TUSD BF'!$L$22+'TUSD CVA'!$L$22)*(1 - 0.4)</f>
        <v>0</v>
      </c>
      <c r="M22" s="17">
        <f>('TUSD BE'!$M$22+'TUSD BF'!$M$22+'TUSD CVA'!$M$22)*(1 - 0.4)</f>
        <v>0.50618017392730374</v>
      </c>
      <c r="N22" s="17">
        <f ca="1">('TUSD BE'!$N$22+'TUSD BF'!$N$22+'TUSD CVA'!$N$22)*(1 - 0.4)</f>
        <v>1.3431400186790088</v>
      </c>
      <c r="O22" s="17">
        <f>('TUSD BE'!$O$22+'TUSD BF'!$O$22+'TUSD CVA'!$O$22)*(1 - 0.4)</f>
        <v>0</v>
      </c>
      <c r="P22" s="17">
        <v>0</v>
      </c>
      <c r="Q22" s="17">
        <f>('TUSD BE'!$Q$22+'TUSD BF'!$Q$22+'TUSD CVA'!$Q$22)*(1 - 0.4)</f>
        <v>0</v>
      </c>
      <c r="R22" s="17">
        <v>0</v>
      </c>
      <c r="S22" s="17">
        <f>('TUSD BE'!$S$22+'TUSD BF'!$S$22+'TUSD CVA'!$S$22)*(1 - 0.4)</f>
        <v>0</v>
      </c>
      <c r="T22" s="17">
        <f>('TUSD BE'!$U$22+'TUSD BF'!$U$22+'TUSD CVA'!$U$22)*(1 - 0.4)</f>
        <v>18.474121159631459</v>
      </c>
      <c r="U22" s="17">
        <f>('TUSD BE'!$V$22+'TUSD BF'!$V$22+'TUSD CVA'!$V$22)*(1 - 0.4)</f>
        <v>15.564991648711166</v>
      </c>
      <c r="V22" s="17">
        <f>('TUSD BE'!$W$22+'TUSD BF'!$W$22+'TUSD CVA'!$W$22)*(1 - 0.4)</f>
        <v>2.7406795444665777</v>
      </c>
      <c r="W22" s="17">
        <f>('TUSD BE'!$X$22+'TUSD BF'!$X$22+'TUSD CVA'!$X$22)*(1 - 0.4)</f>
        <v>0</v>
      </c>
      <c r="X22" s="17">
        <f>('TUSD BE'!$Y$22+'TUSD BF'!$Y$22+'TUSD CVA'!$Y$22)*(1 - 0.4)</f>
        <v>0</v>
      </c>
      <c r="Y22" s="17">
        <f>('TUSD BE'!$Z$22+'TUSD BF'!$Z$22+'TUSD CVA'!$Z$22)*(1 - 0.4)</f>
        <v>0</v>
      </c>
      <c r="Z22" s="17">
        <f>('TUSD BE'!$AA$22+'TUSD BF'!$AA$22+'TUSD CVA'!$AA$22)*(1 - 0.4)</f>
        <v>0</v>
      </c>
      <c r="AA22" s="17">
        <f>('TUSD BE'!$AC$22+'TUSD BF'!$AC$22+'TUSD CVA'!$AC$22)*(1 - 0.4)</f>
        <v>101.40929018214608</v>
      </c>
      <c r="AB22" s="17">
        <f ca="1">('TUSD BE'!$AE$22+'TUSD BF'!$AE$22+'TUSD CVA'!$AE$22)*(1 - 0.4)</f>
        <v>-27.51954622848336</v>
      </c>
      <c r="AC22" s="17">
        <f ca="1">('TUSD BE'!$AF$22+'TUSD BF'!$AF$22+'TUSD CVA'!$AF$22)*(1 - 0.4)</f>
        <v>0</v>
      </c>
      <c r="AD22" s="17">
        <f>('TUSD BE'!$AH$22+'TUSD BF'!$AH$22+'TUSD CVA'!$AH$22)*(1 - 0.4)</f>
        <v>12.648192480513039</v>
      </c>
      <c r="AE22" s="17">
        <f>('TUSD BE'!$AI$22+'TUSD BF'!$AI$22+'TUSD CVA'!$AI$22)*(1 - 0.4)</f>
        <v>0</v>
      </c>
      <c r="AF22" s="17">
        <f ca="1">('TUSD BE'!$AJ$22+'TUSD BF'!$AJ$22+'TUSD CVA'!$AJ$22)*(1 - 0.4)</f>
        <v>0.45515481713814065</v>
      </c>
      <c r="AG22" s="17">
        <f ca="1">('TUSD BE'!$AK$22+'TUSD BF'!$AK$22+'TUSD CVA'!$AK$22)*(1 - 0.4)</f>
        <v>0.26516277387931092</v>
      </c>
      <c r="AI22" s="17">
        <v>0</v>
      </c>
      <c r="AJ22" s="17">
        <v>0.57674260887235995</v>
      </c>
      <c r="AK22" s="17">
        <v>1.89930380716157</v>
      </c>
      <c r="AL22" s="17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14.835508648747901</v>
      </c>
      <c r="AR22" s="17">
        <v>10.8217806965409</v>
      </c>
      <c r="AS22" s="17">
        <v>0.79918232950227097</v>
      </c>
      <c r="AT22" s="17">
        <v>0</v>
      </c>
      <c r="AU22" s="17">
        <v>0</v>
      </c>
      <c r="AV22" s="17">
        <v>0</v>
      </c>
      <c r="AW22" s="17">
        <v>0</v>
      </c>
      <c r="AX22" s="17">
        <v>111.15541091592399</v>
      </c>
      <c r="AY22" s="17">
        <v>0</v>
      </c>
      <c r="AZ22" s="17">
        <v>0</v>
      </c>
      <c r="BA22" s="17">
        <v>12.245915077790899</v>
      </c>
      <c r="BB22" s="17">
        <v>0</v>
      </c>
      <c r="BC22" s="17">
        <v>0.67221921162685105</v>
      </c>
      <c r="BD22" s="17">
        <v>-1.17978552566841</v>
      </c>
    </row>
    <row r="23" spans="1:56" ht="11.25" customHeight="1" x14ac:dyDescent="0.25">
      <c r="A23" s="166"/>
      <c r="B23" s="166"/>
      <c r="C23" s="166"/>
      <c r="D23" s="115" t="s">
        <v>30</v>
      </c>
      <c r="E23" s="115" t="s">
        <v>25</v>
      </c>
      <c r="F23" s="115" t="s">
        <v>25</v>
      </c>
      <c r="G23" s="57" t="s">
        <v>82</v>
      </c>
      <c r="H23" s="57" t="s">
        <v>78</v>
      </c>
      <c r="I23" s="57">
        <f>'MERCADO TUSD'!$U$20</f>
        <v>480.18299999999999</v>
      </c>
      <c r="J23" s="16"/>
      <c r="L23" s="17">
        <f>('TUSD BE'!$L$23+'TUSD BF'!$L$23+'TUSD CVA'!$L$23)*(1 - 0.1)</f>
        <v>0</v>
      </c>
      <c r="M23" s="17">
        <f>('TUSD BE'!$M$23+'TUSD BF'!$M$23+'TUSD CVA'!$M$23)*(1 - 0.1)</f>
        <v>0.75927026089095562</v>
      </c>
      <c r="N23" s="17">
        <f ca="1">('TUSD BE'!$N$23+'TUSD BF'!$N$23+'TUSD CVA'!$N$23)*(1 - 0.1)</f>
        <v>2.0147100280185133</v>
      </c>
      <c r="O23" s="17">
        <f>('TUSD BE'!$O$23+'TUSD BF'!$O$23+'TUSD CVA'!$O$23)*(1 - 0.1)</f>
        <v>0</v>
      </c>
      <c r="P23" s="17">
        <v>0</v>
      </c>
      <c r="Q23" s="17">
        <f>('TUSD BE'!$Q$23+'TUSD BF'!$Q$23+'TUSD CVA'!$Q$23)*(1 - 0.1)</f>
        <v>0</v>
      </c>
      <c r="R23" s="17">
        <v>0</v>
      </c>
      <c r="S23" s="17">
        <f>('TUSD BE'!$S$23+'TUSD BF'!$S$23+'TUSD CVA'!$S$23)*(1 - 0.1)</f>
        <v>0</v>
      </c>
      <c r="T23" s="17">
        <f>('TUSD BE'!$U$23+'TUSD BF'!$U$23+'TUSD CVA'!$U$23)*(1 - 0.1)</f>
        <v>27.711181739447191</v>
      </c>
      <c r="U23" s="17">
        <f>('TUSD BE'!$V$23+'TUSD BF'!$V$23+'TUSD CVA'!$V$23)*(1 - 0.1)</f>
        <v>23.347487473066749</v>
      </c>
      <c r="V23" s="17">
        <f>('TUSD BE'!$W$23+'TUSD BF'!$W$23+'TUSD CVA'!$W$23)*(1 - 0.1)</f>
        <v>4.111019316699867</v>
      </c>
      <c r="W23" s="17">
        <f>('TUSD BE'!$X$23+'TUSD BF'!$X$23+'TUSD CVA'!$X$23)*(1 - 0.1)</f>
        <v>0</v>
      </c>
      <c r="X23" s="17">
        <f>('TUSD BE'!$Y$23+'TUSD BF'!$Y$23+'TUSD CVA'!$Y$23)*(1 - 0.1)</f>
        <v>0</v>
      </c>
      <c r="Y23" s="17">
        <f>('TUSD BE'!$Z$23+'TUSD BF'!$Z$23+'TUSD CVA'!$Z$23)*(1 - 0.1)</f>
        <v>0</v>
      </c>
      <c r="Z23" s="17">
        <f>('TUSD BE'!$AA$23+'TUSD BF'!$AA$23+'TUSD CVA'!$AA$23)*(1 - 0.1)</f>
        <v>0</v>
      </c>
      <c r="AA23" s="17">
        <f>('TUSD BE'!$AC$23+'TUSD BF'!$AC$23+'TUSD CVA'!$AC$23)*(1 - 0.1)</f>
        <v>152.11393527321914</v>
      </c>
      <c r="AB23" s="17">
        <f ca="1">('TUSD BE'!$AE$23+'TUSD BF'!$AE$23+'TUSD CVA'!$AE$23)*(1 - 0.1)</f>
        <v>-41.279319342725046</v>
      </c>
      <c r="AC23" s="17">
        <f ca="1">('TUSD BE'!$AF$23+'TUSD BF'!$AF$23+'TUSD CVA'!$AF$23)*(1 - 0.1)</f>
        <v>0</v>
      </c>
      <c r="AD23" s="17">
        <f>('TUSD BE'!$AH$23+'TUSD BF'!$AH$23+'TUSD CVA'!$AH$23)*(1 - 0.1)</f>
        <v>18.972288720769559</v>
      </c>
      <c r="AE23" s="17">
        <f>('TUSD BE'!$AI$23+'TUSD BF'!$AI$23+'TUSD CVA'!$AI$23)*(1 - 0.1)</f>
        <v>0</v>
      </c>
      <c r="AF23" s="17">
        <f ca="1">('TUSD BE'!$AJ$23+'TUSD BF'!$AJ$23+'TUSD CVA'!$AJ$23)*(1 - 0.1)</f>
        <v>0.68273222570721104</v>
      </c>
      <c r="AG23" s="17">
        <f ca="1">('TUSD BE'!$AK$23+'TUSD BF'!$AK$23+'TUSD CVA'!$AK$23)*(1 - 0.1)</f>
        <v>0.39774416081896646</v>
      </c>
      <c r="AI23" s="17">
        <v>0</v>
      </c>
      <c r="AJ23" s="17">
        <v>0.86511391330854004</v>
      </c>
      <c r="AK23" s="17">
        <v>2.8489557107423602</v>
      </c>
      <c r="AL23" s="17">
        <v>0</v>
      </c>
      <c r="AM23" s="17">
        <v>0</v>
      </c>
      <c r="AN23" s="17">
        <v>0</v>
      </c>
      <c r="AO23" s="17">
        <v>0</v>
      </c>
      <c r="AP23" s="17">
        <v>0</v>
      </c>
      <c r="AQ23" s="17">
        <v>22.253262973121899</v>
      </c>
      <c r="AR23" s="17">
        <v>16.232671044811301</v>
      </c>
      <c r="AS23" s="17">
        <v>1.1987734942534101</v>
      </c>
      <c r="AT23" s="17">
        <v>0</v>
      </c>
      <c r="AU23" s="17">
        <v>0</v>
      </c>
      <c r="AV23" s="17">
        <v>0</v>
      </c>
      <c r="AW23" s="17">
        <v>0</v>
      </c>
      <c r="AX23" s="17">
        <v>166.73311637388599</v>
      </c>
      <c r="AY23" s="17">
        <v>0</v>
      </c>
      <c r="AZ23" s="17">
        <v>0</v>
      </c>
      <c r="BA23" s="17">
        <v>18.368872616686399</v>
      </c>
      <c r="BB23" s="17">
        <v>0</v>
      </c>
      <c r="BC23" s="17">
        <v>1.00832881744028</v>
      </c>
      <c r="BD23" s="17">
        <v>-1.7696782885026201</v>
      </c>
    </row>
    <row r="24" spans="1:56" ht="11.25" customHeight="1" x14ac:dyDescent="0.25">
      <c r="A24" s="166"/>
      <c r="B24" s="166"/>
      <c r="C24" s="166"/>
      <c r="D24" s="115" t="s">
        <v>31</v>
      </c>
      <c r="E24" s="115" t="s">
        <v>25</v>
      </c>
      <c r="F24" s="115" t="s">
        <v>25</v>
      </c>
      <c r="G24" s="57" t="s">
        <v>82</v>
      </c>
      <c r="H24" s="57" t="s">
        <v>78</v>
      </c>
      <c r="I24" s="57">
        <f>'MERCADO TUSD'!$U$21</f>
        <v>145.91099999999997</v>
      </c>
      <c r="J24" s="16"/>
      <c r="L24" s="17">
        <f>('TUSD BE'!$L$24+'TUSD BF'!$L$24+'TUSD CVA'!$L$24)*1</f>
        <v>0</v>
      </c>
      <c r="M24" s="17">
        <f>('TUSD BE'!$M$24+'TUSD BF'!$M$24+'TUSD CVA'!$M$24)*1</f>
        <v>0.84363362321217295</v>
      </c>
      <c r="N24" s="17">
        <f ca="1">('TUSD BE'!$N$24+'TUSD BF'!$N$24+'TUSD CVA'!$N$24)*1</f>
        <v>2.238566697798348</v>
      </c>
      <c r="O24" s="17">
        <f>('TUSD BE'!$O$24+'TUSD BF'!$O$24+'TUSD CVA'!$O$24)*1</f>
        <v>0</v>
      </c>
      <c r="P24" s="17">
        <v>0</v>
      </c>
      <c r="Q24" s="17">
        <f>('TUSD BE'!$Q$24+'TUSD BF'!$Q$24+'TUSD CVA'!$Q$24)*1</f>
        <v>0</v>
      </c>
      <c r="R24" s="17">
        <v>0</v>
      </c>
      <c r="S24" s="17">
        <f>('TUSD BE'!$S$24+'TUSD BF'!$S$24+'TUSD CVA'!$S$24)*1</f>
        <v>0</v>
      </c>
      <c r="T24" s="17">
        <f>('TUSD BE'!$U$24+'TUSD BF'!$U$24+'TUSD CVA'!$U$24)*1</f>
        <v>30.7902019327191</v>
      </c>
      <c r="U24" s="17">
        <f>('TUSD BE'!$V$24+'TUSD BF'!$V$24+'TUSD CVA'!$V$24)*1</f>
        <v>25.941652747851943</v>
      </c>
      <c r="V24" s="17">
        <f>('TUSD BE'!$W$24+'TUSD BF'!$W$24+'TUSD CVA'!$W$24)*1</f>
        <v>4.5677992407776298</v>
      </c>
      <c r="W24" s="17">
        <f>('TUSD BE'!$X$24+'TUSD BF'!$X$24+'TUSD CVA'!$X$24)*1</f>
        <v>0</v>
      </c>
      <c r="X24" s="17">
        <f>('TUSD BE'!$Y$24+'TUSD BF'!$Y$24+'TUSD CVA'!$Y$24)*1</f>
        <v>0</v>
      </c>
      <c r="Y24" s="17">
        <f>('TUSD BE'!$Z$24+'TUSD BF'!$Z$24+'TUSD CVA'!$Z$24)*1</f>
        <v>0</v>
      </c>
      <c r="Z24" s="17">
        <f>('TUSD BE'!$AA$24+'TUSD BF'!$AA$24+'TUSD CVA'!$AA$24)*1</f>
        <v>0</v>
      </c>
      <c r="AA24" s="17">
        <f>('TUSD BE'!$AC$24+'TUSD BF'!$AC$24+'TUSD CVA'!$AC$24)*1</f>
        <v>169.01548363691015</v>
      </c>
      <c r="AB24" s="17">
        <f ca="1">('TUSD BE'!$AE$24+'TUSD BF'!$AE$24+'TUSD CVA'!$AE$24)*1</f>
        <v>-45.865910380805602</v>
      </c>
      <c r="AC24" s="17">
        <f ca="1">('TUSD BE'!$AF$24+'TUSD BF'!$AF$24+'TUSD CVA'!$AF$24)*1</f>
        <v>0</v>
      </c>
      <c r="AD24" s="17">
        <f>('TUSD BE'!$AH$24+'TUSD BF'!$AH$24+'TUSD CVA'!$AH$24)*1</f>
        <v>21.080320800855066</v>
      </c>
      <c r="AE24" s="17">
        <f>('TUSD BE'!$AI$24+'TUSD BF'!$AI$24+'TUSD CVA'!$AI$24)*1</f>
        <v>0</v>
      </c>
      <c r="AF24" s="17">
        <f ca="1">('TUSD BE'!$AJ$24+'TUSD BF'!$AJ$24+'TUSD CVA'!$AJ$24)*1</f>
        <v>0.75859136189690113</v>
      </c>
      <c r="AG24" s="17">
        <f ca="1">('TUSD BE'!$AK$24+'TUSD BF'!$AK$24+'TUSD CVA'!$AK$24)*1</f>
        <v>0.44193795646551826</v>
      </c>
      <c r="AI24" s="17">
        <v>0</v>
      </c>
      <c r="AJ24" s="17">
        <v>0.96123768145393296</v>
      </c>
      <c r="AK24" s="17">
        <v>3.16550634526928</v>
      </c>
      <c r="AL24" s="17">
        <v>0</v>
      </c>
      <c r="AM24" s="17">
        <v>0</v>
      </c>
      <c r="AN24" s="17">
        <v>0</v>
      </c>
      <c r="AO24" s="17">
        <v>0</v>
      </c>
      <c r="AP24" s="17">
        <v>0</v>
      </c>
      <c r="AQ24" s="17">
        <v>24.7258477479132</v>
      </c>
      <c r="AR24" s="17">
        <v>18.036301160901498</v>
      </c>
      <c r="AS24" s="17">
        <v>1.3319705491704501</v>
      </c>
      <c r="AT24" s="17">
        <v>0</v>
      </c>
      <c r="AU24" s="17">
        <v>0</v>
      </c>
      <c r="AV24" s="17">
        <v>0</v>
      </c>
      <c r="AW24" s="17">
        <v>0</v>
      </c>
      <c r="AX24" s="17">
        <v>185.259018193206</v>
      </c>
      <c r="AY24" s="17">
        <v>0</v>
      </c>
      <c r="AZ24" s="17">
        <v>0</v>
      </c>
      <c r="BA24" s="17">
        <v>20.4098584629849</v>
      </c>
      <c r="BB24" s="17">
        <v>0</v>
      </c>
      <c r="BC24" s="17">
        <v>1.1203653527114199</v>
      </c>
      <c r="BD24" s="17">
        <v>-1.96630920944735</v>
      </c>
    </row>
    <row r="25" spans="1:56" ht="11.25" customHeight="1" x14ac:dyDescent="0.25">
      <c r="A25" s="166"/>
      <c r="B25" s="166" t="s">
        <v>94</v>
      </c>
      <c r="C25" s="166" t="s">
        <v>24</v>
      </c>
      <c r="D25" s="115" t="s">
        <v>24</v>
      </c>
      <c r="E25" s="115" t="s">
        <v>25</v>
      </c>
      <c r="F25" s="115" t="s">
        <v>25</v>
      </c>
      <c r="G25" s="57" t="s">
        <v>82</v>
      </c>
      <c r="H25" s="57" t="s">
        <v>78</v>
      </c>
      <c r="I25" s="57">
        <f>'MERCADO TUSD'!$U$22</f>
        <v>0</v>
      </c>
      <c r="J25" s="16"/>
      <c r="L25" s="17">
        <f>('TUSD BE'!$L$25+'TUSD BF'!$L$25+'TUSD CVA'!$L$25)*1</f>
        <v>6.9255553899243143</v>
      </c>
      <c r="M25" s="17">
        <f>('TUSD BE'!$M$25+'TUSD BF'!$M$25+'TUSD CVA'!$M$25)*1</f>
        <v>0.84363362321217295</v>
      </c>
      <c r="N25" s="17">
        <f ca="1">('TUSD BE'!$N$25+'TUSD BF'!$N$25+'TUSD CVA'!$N$25)*1</f>
        <v>2.2474490022166118</v>
      </c>
      <c r="O25" s="17">
        <f>('TUSD BE'!$O$25+'TUSD BF'!$O$25+'TUSD CVA'!$O$25)*1</f>
        <v>0</v>
      </c>
      <c r="P25" s="17">
        <f>('TUSD BE'!$P$25+'TUSD BF'!$P$25+'TUSD CVA'!$P$25)*1</f>
        <v>0</v>
      </c>
      <c r="Q25" s="17">
        <f>('TUSD BE'!$Q$25+'TUSD BF'!$Q$25+'TUSD CVA'!$Q$25)*1</f>
        <v>99.917886172592077</v>
      </c>
      <c r="R25" s="17">
        <f>('TUSD BE'!$R$25+'TUSD BF'!$R$25+'TUSD CVA'!$R$25)*1</f>
        <v>16.736115121766648</v>
      </c>
      <c r="S25" s="17">
        <f>('TUSD BE'!$S$25+'TUSD BF'!$S$25+'TUSD CVA'!$S$25)*1</f>
        <v>0</v>
      </c>
      <c r="T25" s="17">
        <f>('TUSD BE'!$U$25+'TUSD BF'!$U$25+'TUSD CVA'!$U$25)*1</f>
        <v>30.7902019327191</v>
      </c>
      <c r="U25" s="17">
        <f>('TUSD BE'!$V$25+'TUSD BF'!$V$25+'TUSD CVA'!$V$25)*1</f>
        <v>25.941652747851943</v>
      </c>
      <c r="V25" s="17">
        <f>('TUSD BE'!$W$25+'TUSD BF'!$W$25+'TUSD CVA'!$W$25)*1</f>
        <v>4.5677992407776298</v>
      </c>
      <c r="W25" s="17">
        <f>('TUSD BE'!$X$25+'TUSD BF'!$X$25+'TUSD CVA'!$X$25)*1</f>
        <v>0</v>
      </c>
      <c r="X25" s="17">
        <f>('TUSD BE'!$Y$25+'TUSD BF'!$Y$25+'TUSD CVA'!$Y$25)*1</f>
        <v>0</v>
      </c>
      <c r="Y25" s="17">
        <f>('TUSD BE'!$Z$25+'TUSD BF'!$Z$25+'TUSD CVA'!$Z$25)*1</f>
        <v>0</v>
      </c>
      <c r="Z25" s="17">
        <f>('TUSD BE'!$AA$25+'TUSD BF'!$AA$25+'TUSD CVA'!$AA$25)*1</f>
        <v>0</v>
      </c>
      <c r="AA25" s="17">
        <f>('TUSD BE'!$AC$25+'TUSD BF'!$AC$25+'TUSD CVA'!$AC$25)*1</f>
        <v>169.01548363691015</v>
      </c>
      <c r="AB25" s="17">
        <f ca="1">('TUSD BE'!$AE$25+'TUSD BF'!$AE$25+'TUSD CVA'!$AE$25)*1</f>
        <v>-65.352761649010233</v>
      </c>
      <c r="AC25" s="17">
        <f ca="1">('TUSD BE'!$AF$25+'TUSD BF'!$AF$25+'TUSD CVA'!$AF$25)*1</f>
        <v>0</v>
      </c>
      <c r="AD25" s="17">
        <f>('TUSD BE'!$AH$25+'TUSD BF'!$AH$25+'TUSD CVA'!$AH$25)*1</f>
        <v>21.080320800855066</v>
      </c>
      <c r="AE25" s="17">
        <f>('TUSD BE'!$AI$25+'TUSD BF'!$AI$25+'TUSD CVA'!$AI$25)*1</f>
        <v>0</v>
      </c>
      <c r="AF25" s="17">
        <f ca="1">('TUSD BE'!$AJ$25+'TUSD BF'!$AJ$25+'TUSD CVA'!$AJ$25)*1</f>
        <v>0.75859136189690113</v>
      </c>
      <c r="AG25" s="17">
        <f ca="1">('TUSD BE'!$AK$25+'TUSD BF'!$AK$25+'TUSD CVA'!$AK$25)*1</f>
        <v>0.44193795646551826</v>
      </c>
      <c r="AI25" s="17">
        <v>7.36457480555468</v>
      </c>
      <c r="AJ25" s="17">
        <v>0.96123768145393296</v>
      </c>
      <c r="AK25" s="17">
        <v>3.17819869882219</v>
      </c>
      <c r="AL25" s="17">
        <v>0</v>
      </c>
      <c r="AM25" s="17">
        <v>0</v>
      </c>
      <c r="AN25" s="17">
        <v>57.426977200981099</v>
      </c>
      <c r="AO25" s="17">
        <v>9.1357516628062605</v>
      </c>
      <c r="AP25" s="17">
        <v>0</v>
      </c>
      <c r="AQ25" s="17">
        <v>24.7258477479132</v>
      </c>
      <c r="AR25" s="17">
        <v>18.036301160901498</v>
      </c>
      <c r="AS25" s="17">
        <v>1.3319705491704501</v>
      </c>
      <c r="AT25" s="17">
        <v>0</v>
      </c>
      <c r="AU25" s="17">
        <v>0</v>
      </c>
      <c r="AV25" s="17">
        <v>0</v>
      </c>
      <c r="AW25" s="17">
        <v>0</v>
      </c>
      <c r="AX25" s="17">
        <v>185.259018193206</v>
      </c>
      <c r="AY25" s="17">
        <v>0</v>
      </c>
      <c r="AZ25" s="17">
        <v>0</v>
      </c>
      <c r="BA25" s="17">
        <v>20.4098584629849</v>
      </c>
      <c r="BB25" s="17">
        <v>0</v>
      </c>
      <c r="BC25" s="17">
        <v>1.1203653527114199</v>
      </c>
      <c r="BD25" s="17">
        <v>-1.96630920944735</v>
      </c>
    </row>
    <row r="26" spans="1:56" ht="11.25" customHeight="1" x14ac:dyDescent="0.25">
      <c r="A26" s="166"/>
      <c r="B26" s="166"/>
      <c r="C26" s="166"/>
      <c r="D26" s="115" t="s">
        <v>28</v>
      </c>
      <c r="E26" s="115" t="s">
        <v>25</v>
      </c>
      <c r="F26" s="115" t="s">
        <v>25</v>
      </c>
      <c r="G26" s="57" t="s">
        <v>82</v>
      </c>
      <c r="H26" s="57" t="s">
        <v>78</v>
      </c>
      <c r="I26" s="57">
        <f>'MERCADO TUSD'!$U$23</f>
        <v>0</v>
      </c>
      <c r="J26" s="16"/>
      <c r="L26" s="17">
        <f>('TUSD BE'!$L$26+'TUSD BF'!$L$26+'TUSD CVA'!$L$26)*(1 - 0.65)</f>
        <v>0</v>
      </c>
      <c r="M26" s="17">
        <f>('TUSD BE'!$M$26+'TUSD BF'!$M$26+'TUSD CVA'!$M$26)*(1 - 0.65)</f>
        <v>0.29527176812426054</v>
      </c>
      <c r="N26" s="17">
        <f ca="1">('TUSD BE'!$N$26+'TUSD BF'!$N$26+'TUSD CVA'!$N$26)*(1 - 0.65)</f>
        <v>0.78349834422942177</v>
      </c>
      <c r="O26" s="17">
        <f>('TUSD BE'!$O$26+'TUSD BF'!$O$26+'TUSD CVA'!$O$26)*(1 - 0.65)</f>
        <v>0</v>
      </c>
      <c r="P26" s="17">
        <v>0</v>
      </c>
      <c r="Q26" s="17">
        <f>('TUSD BE'!$Q$26+'TUSD BF'!$Q$26+'TUSD CVA'!$Q$26)*(1 - 0.65)</f>
        <v>0</v>
      </c>
      <c r="R26" s="17">
        <v>0</v>
      </c>
      <c r="S26" s="17">
        <f>('TUSD BE'!$S$26+'TUSD BF'!$S$26+'TUSD CVA'!$S$26)*(1 - 0.65)</f>
        <v>0</v>
      </c>
      <c r="T26" s="17">
        <f>('TUSD BE'!$U$26+'TUSD BF'!$U$26+'TUSD CVA'!$U$26)*(1 - 0.65)</f>
        <v>10.776570676451684</v>
      </c>
      <c r="U26" s="17">
        <f>('TUSD BE'!$V$26+'TUSD BF'!$V$26+'TUSD CVA'!$V$26)*(1 - 0.65)</f>
        <v>9.079578461748179</v>
      </c>
      <c r="V26" s="17">
        <f>('TUSD BE'!$W$26+'TUSD BF'!$W$26+'TUSD CVA'!$W$26)*(1 - 0.65)</f>
        <v>1.5987297342721702</v>
      </c>
      <c r="W26" s="17">
        <f>('TUSD BE'!$X$26+'TUSD BF'!$X$26+'TUSD CVA'!$X$26)*(1 - 0.65)</f>
        <v>0</v>
      </c>
      <c r="X26" s="17">
        <f>('TUSD BE'!$Y$26+'TUSD BF'!$Y$26+'TUSD CVA'!$Y$26)*(1 - 0.65)</f>
        <v>0</v>
      </c>
      <c r="Y26" s="17">
        <f>('TUSD BE'!$Z$26+'TUSD BF'!$Z$26+'TUSD CVA'!$Z$26)*(1 - 0.65)</f>
        <v>0</v>
      </c>
      <c r="Z26" s="17">
        <f>('TUSD BE'!$AA$26+'TUSD BF'!$AA$26+'TUSD CVA'!$AA$26)*(1 - 0.65)</f>
        <v>0</v>
      </c>
      <c r="AA26" s="17">
        <f>('TUSD BE'!$AC$26+'TUSD BF'!$AC$26+'TUSD CVA'!$AC$26)*(1 - 0.65)</f>
        <v>59.15541927291855</v>
      </c>
      <c r="AB26" s="17">
        <f ca="1">('TUSD BE'!$AE$26+'TUSD BF'!$AE$26+'TUSD CVA'!$AE$26)*(1 - 0.65)</f>
        <v>-16.05306863328196</v>
      </c>
      <c r="AC26" s="17">
        <f ca="1">('TUSD BE'!$AF$26+'TUSD BF'!$AF$26+'TUSD CVA'!$AF$26)*(1 - 0.65)</f>
        <v>0</v>
      </c>
      <c r="AD26" s="17">
        <f>('TUSD BE'!$AH$26+'TUSD BF'!$AH$26+'TUSD CVA'!$AH$26)*(1 - 0.65)</f>
        <v>7.3781122802992725</v>
      </c>
      <c r="AE26" s="17">
        <f>('TUSD BE'!$AI$26+'TUSD BF'!$AI$26+'TUSD CVA'!$AI$26)*(1 - 0.65)</f>
        <v>0</v>
      </c>
      <c r="AF26" s="17">
        <f ca="1">('TUSD BE'!$AJ$26+'TUSD BF'!$AJ$26+'TUSD CVA'!$AJ$26)*(1 - 0.65)</f>
        <v>0.26550697666391537</v>
      </c>
      <c r="AG26" s="17">
        <f ca="1">('TUSD BE'!$AK$26+'TUSD BF'!$AK$26+'TUSD CVA'!$AK$26)*(1 - 0.65)</f>
        <v>0.15467828476293138</v>
      </c>
      <c r="AI26" s="17">
        <v>0</v>
      </c>
      <c r="AJ26" s="17">
        <v>0.33643318850887599</v>
      </c>
      <c r="AK26" s="17">
        <v>1.1079272208442501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8.6540467117696096</v>
      </c>
      <c r="AR26" s="17">
        <v>6.3127054063155104</v>
      </c>
      <c r="AS26" s="17">
        <v>0.466189692209658</v>
      </c>
      <c r="AT26" s="17">
        <v>0</v>
      </c>
      <c r="AU26" s="17">
        <v>0</v>
      </c>
      <c r="AV26" s="17">
        <v>0</v>
      </c>
      <c r="AW26" s="17">
        <v>0</v>
      </c>
      <c r="AX26" s="17">
        <v>64.840656367622103</v>
      </c>
      <c r="AY26" s="17">
        <v>0</v>
      </c>
      <c r="AZ26" s="17">
        <v>0</v>
      </c>
      <c r="BA26" s="17">
        <v>7.1434504620447097</v>
      </c>
      <c r="BB26" s="17">
        <v>0</v>
      </c>
      <c r="BC26" s="17">
        <v>0.39212787344899602</v>
      </c>
      <c r="BD26" s="17">
        <v>-0.68820822330657305</v>
      </c>
    </row>
    <row r="27" spans="1:56" ht="11.25" customHeight="1" x14ac:dyDescent="0.25">
      <c r="A27" s="166"/>
      <c r="B27" s="166"/>
      <c r="C27" s="166"/>
      <c r="D27" s="115" t="s">
        <v>29</v>
      </c>
      <c r="E27" s="115" t="s">
        <v>25</v>
      </c>
      <c r="F27" s="115" t="s">
        <v>25</v>
      </c>
      <c r="G27" s="57" t="s">
        <v>82</v>
      </c>
      <c r="H27" s="57" t="s">
        <v>78</v>
      </c>
      <c r="I27" s="57">
        <f>'MERCADO TUSD'!$U$24</f>
        <v>0</v>
      </c>
      <c r="J27" s="16"/>
      <c r="L27" s="17">
        <f>('TUSD BE'!$L$27+'TUSD BF'!$L$27+'TUSD CVA'!$L$27)*(1 - 0.4)</f>
        <v>0</v>
      </c>
      <c r="M27" s="17">
        <f>('TUSD BE'!$M$27+'TUSD BF'!$M$27+'TUSD CVA'!$M$27)*(1 - 0.4)</f>
        <v>0.50618017392730374</v>
      </c>
      <c r="N27" s="17">
        <f ca="1">('TUSD BE'!$N$27+'TUSD BF'!$N$27+'TUSD CVA'!$N$27)*(1 - 0.4)</f>
        <v>1.3431400186790088</v>
      </c>
      <c r="O27" s="17">
        <f>('TUSD BE'!$O$27+'TUSD BF'!$O$27+'TUSD CVA'!$O$27)*(1 - 0.4)</f>
        <v>0</v>
      </c>
      <c r="P27" s="17">
        <v>0</v>
      </c>
      <c r="Q27" s="17">
        <f>('TUSD BE'!$Q$27+'TUSD BF'!$Q$27+'TUSD CVA'!$Q$27)*(1 - 0.4)</f>
        <v>0</v>
      </c>
      <c r="R27" s="17">
        <v>0</v>
      </c>
      <c r="S27" s="17">
        <f>('TUSD BE'!$S$27+'TUSD BF'!$S$27+'TUSD CVA'!$S$27)*(1 - 0.4)</f>
        <v>0</v>
      </c>
      <c r="T27" s="17">
        <f>('TUSD BE'!$U$27+'TUSD BF'!$U$27+'TUSD CVA'!$U$27)*(1 - 0.4)</f>
        <v>18.474121159631459</v>
      </c>
      <c r="U27" s="17">
        <f>('TUSD BE'!$V$27+'TUSD BF'!$V$27+'TUSD CVA'!$V$27)*(1 - 0.4)</f>
        <v>15.564991648711166</v>
      </c>
      <c r="V27" s="17">
        <f>('TUSD BE'!$W$27+'TUSD BF'!$W$27+'TUSD CVA'!$W$27)*(1 - 0.4)</f>
        <v>2.7406795444665777</v>
      </c>
      <c r="W27" s="17">
        <f>('TUSD BE'!$X$27+'TUSD BF'!$X$27+'TUSD CVA'!$X$27)*(1 - 0.4)</f>
        <v>0</v>
      </c>
      <c r="X27" s="17">
        <f>('TUSD BE'!$Y$27+'TUSD BF'!$Y$27+'TUSD CVA'!$Y$27)*(1 - 0.4)</f>
        <v>0</v>
      </c>
      <c r="Y27" s="17">
        <f>('TUSD BE'!$Z$27+'TUSD BF'!$Z$27+'TUSD CVA'!$Z$27)*(1 - 0.4)</f>
        <v>0</v>
      </c>
      <c r="Z27" s="17">
        <f>('TUSD BE'!$AA$27+'TUSD BF'!$AA$27+'TUSD CVA'!$AA$27)*(1 - 0.4)</f>
        <v>0</v>
      </c>
      <c r="AA27" s="17">
        <f>('TUSD BE'!$AC$27+'TUSD BF'!$AC$27+'TUSD CVA'!$AC$27)*(1 - 0.4)</f>
        <v>101.40929018214608</v>
      </c>
      <c r="AB27" s="17">
        <f ca="1">('TUSD BE'!$AE$27+'TUSD BF'!$AE$27+'TUSD CVA'!$AE$27)*(1 - 0.4)</f>
        <v>-27.51954622848336</v>
      </c>
      <c r="AC27" s="17">
        <f ca="1">('TUSD BE'!$AF$27+'TUSD BF'!$AF$27+'TUSD CVA'!$AF$27)*(1 - 0.4)</f>
        <v>0</v>
      </c>
      <c r="AD27" s="17">
        <f>('TUSD BE'!$AH$27+'TUSD BF'!$AH$27+'TUSD CVA'!$AH$27)*(1 - 0.4)</f>
        <v>12.648192480513039</v>
      </c>
      <c r="AE27" s="17">
        <f>('TUSD BE'!$AI$27+'TUSD BF'!$AI$27+'TUSD CVA'!$AI$27)*(1 - 0.4)</f>
        <v>0</v>
      </c>
      <c r="AF27" s="17">
        <f ca="1">('TUSD BE'!$AJ$27+'TUSD BF'!$AJ$27+'TUSD CVA'!$AJ$27)*(1 - 0.4)</f>
        <v>0.45515481713814065</v>
      </c>
      <c r="AG27" s="17">
        <f ca="1">('TUSD BE'!$AK$27+'TUSD BF'!$AK$27+'TUSD CVA'!$AK$27)*(1 - 0.4)</f>
        <v>0.26516277387931092</v>
      </c>
      <c r="AI27" s="17">
        <v>0</v>
      </c>
      <c r="AJ27" s="17">
        <v>0.57674260887235995</v>
      </c>
      <c r="AK27" s="17">
        <v>1.89930380716157</v>
      </c>
      <c r="AL27" s="17">
        <v>0</v>
      </c>
      <c r="AM27" s="17">
        <v>0</v>
      </c>
      <c r="AN27" s="17">
        <v>0</v>
      </c>
      <c r="AO27" s="17">
        <v>0</v>
      </c>
      <c r="AP27" s="17">
        <v>0</v>
      </c>
      <c r="AQ27" s="17">
        <v>14.835508648747901</v>
      </c>
      <c r="AR27" s="17">
        <v>10.8217806965409</v>
      </c>
      <c r="AS27" s="17">
        <v>0.79918232950227097</v>
      </c>
      <c r="AT27" s="17">
        <v>0</v>
      </c>
      <c r="AU27" s="17">
        <v>0</v>
      </c>
      <c r="AV27" s="17">
        <v>0</v>
      </c>
      <c r="AW27" s="17">
        <v>0</v>
      </c>
      <c r="AX27" s="17">
        <v>111.15541091592399</v>
      </c>
      <c r="AY27" s="17">
        <v>0</v>
      </c>
      <c r="AZ27" s="17">
        <v>0</v>
      </c>
      <c r="BA27" s="17">
        <v>12.245915077790899</v>
      </c>
      <c r="BB27" s="17">
        <v>0</v>
      </c>
      <c r="BC27" s="17">
        <v>0.67221921162685105</v>
      </c>
      <c r="BD27" s="17">
        <v>-1.17978552566841</v>
      </c>
    </row>
    <row r="28" spans="1:56" ht="11.25" customHeight="1" x14ac:dyDescent="0.25">
      <c r="A28" s="166"/>
      <c r="B28" s="166"/>
      <c r="C28" s="166"/>
      <c r="D28" s="115" t="s">
        <v>30</v>
      </c>
      <c r="E28" s="115" t="s">
        <v>25</v>
      </c>
      <c r="F28" s="115" t="s">
        <v>25</v>
      </c>
      <c r="G28" s="57" t="s">
        <v>82</v>
      </c>
      <c r="H28" s="57" t="s">
        <v>78</v>
      </c>
      <c r="I28" s="57">
        <f>'MERCADO TUSD'!$U$25</f>
        <v>0</v>
      </c>
      <c r="J28" s="16"/>
      <c r="L28" s="17">
        <f>('TUSD BE'!$L$28+'TUSD BF'!$L$28+'TUSD CVA'!$L$28)*(1 - 0.1)</f>
        <v>0</v>
      </c>
      <c r="M28" s="17">
        <f>('TUSD BE'!$M$28+'TUSD BF'!$M$28+'TUSD CVA'!$M$28)*(1 - 0.1)</f>
        <v>0.75927026089095562</v>
      </c>
      <c r="N28" s="17">
        <f ca="1">('TUSD BE'!$N$28+'TUSD BF'!$N$28+'TUSD CVA'!$N$28)*(1 - 0.1)</f>
        <v>2.0147100280185133</v>
      </c>
      <c r="O28" s="17">
        <f>('TUSD BE'!$O$28+'TUSD BF'!$O$28+'TUSD CVA'!$O$28)*(1 - 0.1)</f>
        <v>0</v>
      </c>
      <c r="P28" s="17">
        <v>0</v>
      </c>
      <c r="Q28" s="17">
        <f>('TUSD BE'!$Q$28+'TUSD BF'!$Q$28+'TUSD CVA'!$Q$28)*(1 - 0.1)</f>
        <v>0</v>
      </c>
      <c r="R28" s="17">
        <v>0</v>
      </c>
      <c r="S28" s="17">
        <f>('TUSD BE'!$S$28+'TUSD BF'!$S$28+'TUSD CVA'!$S$28)*(1 - 0.1)</f>
        <v>0</v>
      </c>
      <c r="T28" s="17">
        <f>('TUSD BE'!$U$28+'TUSD BF'!$U$28+'TUSD CVA'!$U$28)*(1 - 0.1)</f>
        <v>27.711181739447191</v>
      </c>
      <c r="U28" s="17">
        <f>('TUSD BE'!$V$28+'TUSD BF'!$V$28+'TUSD CVA'!$V$28)*(1 - 0.1)</f>
        <v>23.347487473066749</v>
      </c>
      <c r="V28" s="17">
        <f>('TUSD BE'!$W$28+'TUSD BF'!$W$28+'TUSD CVA'!$W$28)*(1 - 0.1)</f>
        <v>4.111019316699867</v>
      </c>
      <c r="W28" s="17">
        <f>('TUSD BE'!$X$28+'TUSD BF'!$X$28+'TUSD CVA'!$X$28)*(1 - 0.1)</f>
        <v>0</v>
      </c>
      <c r="X28" s="17">
        <f>('TUSD BE'!$Y$28+'TUSD BF'!$Y$28+'TUSD CVA'!$Y$28)*(1 - 0.1)</f>
        <v>0</v>
      </c>
      <c r="Y28" s="17">
        <f>('TUSD BE'!$Z$28+'TUSD BF'!$Z$28+'TUSD CVA'!$Z$28)*(1 - 0.1)</f>
        <v>0</v>
      </c>
      <c r="Z28" s="17">
        <f>('TUSD BE'!$AA$28+'TUSD BF'!$AA$28+'TUSD CVA'!$AA$28)*(1 - 0.1)</f>
        <v>0</v>
      </c>
      <c r="AA28" s="17">
        <f>('TUSD BE'!$AC$28+'TUSD BF'!$AC$28+'TUSD CVA'!$AC$28)*(1 - 0.1)</f>
        <v>152.11393527321914</v>
      </c>
      <c r="AB28" s="17">
        <f ca="1">('TUSD BE'!$AE$28+'TUSD BF'!$AE$28+'TUSD CVA'!$AE$28)*(1 - 0.1)</f>
        <v>-41.279319342725046</v>
      </c>
      <c r="AC28" s="17">
        <f ca="1">('TUSD BE'!$AF$28+'TUSD BF'!$AF$28+'TUSD CVA'!$AF$28)*(1 - 0.1)</f>
        <v>0</v>
      </c>
      <c r="AD28" s="17">
        <f>('TUSD BE'!$AH$28+'TUSD BF'!$AH$28+'TUSD CVA'!$AH$28)*(1 - 0.1)</f>
        <v>18.972288720769559</v>
      </c>
      <c r="AE28" s="17">
        <f>('TUSD BE'!$AI$28+'TUSD BF'!$AI$28+'TUSD CVA'!$AI$28)*(1 - 0.1)</f>
        <v>0</v>
      </c>
      <c r="AF28" s="17">
        <f ca="1">('TUSD BE'!$AJ$28+'TUSD BF'!$AJ$28+'TUSD CVA'!$AJ$28)*(1 - 0.1)</f>
        <v>0.68273222570721104</v>
      </c>
      <c r="AG28" s="17">
        <f ca="1">('TUSD BE'!$AK$28+'TUSD BF'!$AK$28+'TUSD CVA'!$AK$28)*(1 - 0.1)</f>
        <v>0.39774416081896646</v>
      </c>
      <c r="AI28" s="17">
        <v>0</v>
      </c>
      <c r="AJ28" s="17">
        <v>0.86511391330854004</v>
      </c>
      <c r="AK28" s="17">
        <v>2.8489557107423602</v>
      </c>
      <c r="AL28" s="17">
        <v>0</v>
      </c>
      <c r="AM28" s="17">
        <v>0</v>
      </c>
      <c r="AN28" s="17">
        <v>0</v>
      </c>
      <c r="AO28" s="17">
        <v>0</v>
      </c>
      <c r="AP28" s="17">
        <v>0</v>
      </c>
      <c r="AQ28" s="17">
        <v>22.253262973121899</v>
      </c>
      <c r="AR28" s="17">
        <v>16.232671044811301</v>
      </c>
      <c r="AS28" s="17">
        <v>1.1987734942534101</v>
      </c>
      <c r="AT28" s="17">
        <v>0</v>
      </c>
      <c r="AU28" s="17">
        <v>0</v>
      </c>
      <c r="AV28" s="17">
        <v>0</v>
      </c>
      <c r="AW28" s="17">
        <v>0</v>
      </c>
      <c r="AX28" s="17">
        <v>166.73311637388599</v>
      </c>
      <c r="AY28" s="17">
        <v>0</v>
      </c>
      <c r="AZ28" s="17">
        <v>0</v>
      </c>
      <c r="BA28" s="17">
        <v>18.368872616686399</v>
      </c>
      <c r="BB28" s="17">
        <v>0</v>
      </c>
      <c r="BC28" s="17">
        <v>1.00832881744028</v>
      </c>
      <c r="BD28" s="17">
        <v>-1.7696782885026201</v>
      </c>
    </row>
    <row r="29" spans="1:56" ht="11.25" customHeight="1" x14ac:dyDescent="0.25">
      <c r="A29" s="166"/>
      <c r="B29" s="166"/>
      <c r="C29" s="166"/>
      <c r="D29" s="115" t="s">
        <v>31</v>
      </c>
      <c r="E29" s="115" t="s">
        <v>25</v>
      </c>
      <c r="F29" s="115" t="s">
        <v>25</v>
      </c>
      <c r="G29" s="57" t="s">
        <v>82</v>
      </c>
      <c r="H29" s="57" t="s">
        <v>78</v>
      </c>
      <c r="I29" s="57">
        <f>'MERCADO TUSD'!$U$26</f>
        <v>0</v>
      </c>
      <c r="J29" s="16"/>
      <c r="L29" s="17">
        <f>('TUSD BE'!$L$29+'TUSD BF'!$L$29+'TUSD CVA'!$L$29)*1</f>
        <v>0</v>
      </c>
      <c r="M29" s="17">
        <f>('TUSD BE'!$M$29+'TUSD BF'!$M$29+'TUSD CVA'!$M$29)*1</f>
        <v>0.84363362321217295</v>
      </c>
      <c r="N29" s="17">
        <f ca="1">('TUSD BE'!$N$29+'TUSD BF'!$N$29+'TUSD CVA'!$N$29)*1</f>
        <v>2.238566697798348</v>
      </c>
      <c r="O29" s="17">
        <f>('TUSD BE'!$O$29+'TUSD BF'!$O$29+'TUSD CVA'!$O$29)*1</f>
        <v>0</v>
      </c>
      <c r="P29" s="17">
        <v>0</v>
      </c>
      <c r="Q29" s="17">
        <f>('TUSD BE'!$Q$29+'TUSD BF'!$Q$29+'TUSD CVA'!$Q$29)*1</f>
        <v>0</v>
      </c>
      <c r="R29" s="17">
        <v>0</v>
      </c>
      <c r="S29" s="17">
        <f>('TUSD BE'!$S$29+'TUSD BF'!$S$29+'TUSD CVA'!$S$29)*1</f>
        <v>0</v>
      </c>
      <c r="T29" s="17">
        <f>('TUSD BE'!$U$29+'TUSD BF'!$U$29+'TUSD CVA'!$U$29)*1</f>
        <v>30.7902019327191</v>
      </c>
      <c r="U29" s="17">
        <f>('TUSD BE'!$V$29+'TUSD BF'!$V$29+'TUSD CVA'!$V$29)*1</f>
        <v>25.941652747851943</v>
      </c>
      <c r="V29" s="17">
        <f>('TUSD BE'!$W$29+'TUSD BF'!$W$29+'TUSD CVA'!$W$29)*1</f>
        <v>4.5677992407776298</v>
      </c>
      <c r="W29" s="17">
        <f>('TUSD BE'!$X$29+'TUSD BF'!$X$29+'TUSD CVA'!$X$29)*1</f>
        <v>0</v>
      </c>
      <c r="X29" s="17">
        <f>('TUSD BE'!$Y$29+'TUSD BF'!$Y$29+'TUSD CVA'!$Y$29)*1</f>
        <v>0</v>
      </c>
      <c r="Y29" s="17">
        <f>('TUSD BE'!$Z$29+'TUSD BF'!$Z$29+'TUSD CVA'!$Z$29)*1</f>
        <v>0</v>
      </c>
      <c r="Z29" s="17">
        <f>('TUSD BE'!$AA$29+'TUSD BF'!$AA$29+'TUSD CVA'!$AA$29)*1</f>
        <v>0</v>
      </c>
      <c r="AA29" s="17">
        <f>('TUSD BE'!$AC$29+'TUSD BF'!$AC$29+'TUSD CVA'!$AC$29)*1</f>
        <v>169.01548363691015</v>
      </c>
      <c r="AB29" s="17">
        <f ca="1">('TUSD BE'!$AE$29+'TUSD BF'!$AE$29+'TUSD CVA'!$AE$29)*1</f>
        <v>-45.865910380805602</v>
      </c>
      <c r="AC29" s="17">
        <f ca="1">('TUSD BE'!$AF$29+'TUSD BF'!$AF$29+'TUSD CVA'!$AF$29)*1</f>
        <v>0</v>
      </c>
      <c r="AD29" s="17">
        <f>('TUSD BE'!$AH$29+'TUSD BF'!$AH$29+'TUSD CVA'!$AH$29)*1</f>
        <v>21.080320800855066</v>
      </c>
      <c r="AE29" s="17">
        <f>('TUSD BE'!$AI$29+'TUSD BF'!$AI$29+'TUSD CVA'!$AI$29)*1</f>
        <v>0</v>
      </c>
      <c r="AF29" s="17">
        <f ca="1">('TUSD BE'!$AJ$29+'TUSD BF'!$AJ$29+'TUSD CVA'!$AJ$29)*1</f>
        <v>0.75859136189690113</v>
      </c>
      <c r="AG29" s="17">
        <f ca="1">('TUSD BE'!$AK$29+'TUSD BF'!$AK$29+'TUSD CVA'!$AK$29)*1</f>
        <v>0.44193795646551826</v>
      </c>
      <c r="AI29" s="17">
        <v>0</v>
      </c>
      <c r="AJ29" s="17">
        <v>0.96123768145393296</v>
      </c>
      <c r="AK29" s="17">
        <v>3.16550634526928</v>
      </c>
      <c r="AL29" s="17">
        <v>0</v>
      </c>
      <c r="AM29" s="17">
        <v>0</v>
      </c>
      <c r="AN29" s="17">
        <v>0</v>
      </c>
      <c r="AO29" s="17">
        <v>0</v>
      </c>
      <c r="AP29" s="17">
        <v>0</v>
      </c>
      <c r="AQ29" s="17">
        <v>24.7258477479132</v>
      </c>
      <c r="AR29" s="17">
        <v>18.036301160901498</v>
      </c>
      <c r="AS29" s="17">
        <v>1.3319705491704501</v>
      </c>
      <c r="AT29" s="17">
        <v>0</v>
      </c>
      <c r="AU29" s="17">
        <v>0</v>
      </c>
      <c r="AV29" s="17">
        <v>0</v>
      </c>
      <c r="AW29" s="17">
        <v>0</v>
      </c>
      <c r="AX29" s="17">
        <v>185.259018193206</v>
      </c>
      <c r="AY29" s="17">
        <v>0</v>
      </c>
      <c r="AZ29" s="17">
        <v>0</v>
      </c>
      <c r="BA29" s="17">
        <v>20.4098584629849</v>
      </c>
      <c r="BB29" s="17">
        <v>0</v>
      </c>
      <c r="BC29" s="17">
        <v>1.1203653527114199</v>
      </c>
      <c r="BD29" s="17">
        <v>-1.96630920944735</v>
      </c>
    </row>
    <row r="30" spans="1:56" ht="11.25" customHeight="1" x14ac:dyDescent="0.25">
      <c r="A30" s="166" t="s">
        <v>42</v>
      </c>
      <c r="B30" s="166" t="s">
        <v>32</v>
      </c>
      <c r="C30" s="166" t="s">
        <v>43</v>
      </c>
      <c r="D30" s="166" t="s">
        <v>25</v>
      </c>
      <c r="E30" s="166" t="s">
        <v>25</v>
      </c>
      <c r="F30" s="166" t="s">
        <v>25</v>
      </c>
      <c r="G30" s="57" t="s">
        <v>79</v>
      </c>
      <c r="H30" s="57" t="s">
        <v>78</v>
      </c>
      <c r="I30" s="57">
        <f>'MERCADO TUSD'!$U$27</f>
        <v>0</v>
      </c>
      <c r="J30" s="16"/>
      <c r="L30" s="17">
        <f>('TUSD BE'!$L$30+'TUSD BF'!$L$30+'TUSD CVA'!$L$30)*(1 - CUSTOS!$M$38)</f>
        <v>6.5100220665288555</v>
      </c>
      <c r="M30" s="17">
        <f>('TUSD BE'!$M$30+'TUSD BF'!$M$30+'TUSD CVA'!$M$30)*(1 - CUSTOS!$M$38)</f>
        <v>0.79301560581944253</v>
      </c>
      <c r="N30" s="17">
        <f ca="1">('TUSD BE'!$N$30+'TUSD BF'!$N$30+'TUSD CVA'!$N$30)*(1 - CUSTOS!$M$38)</f>
        <v>6.1395063673759962</v>
      </c>
      <c r="O30" s="17">
        <f>('TUSD BE'!$O$30+'TUSD BF'!$O$30+'TUSD CVA'!$O$30)*(1 - CUSTOS!$M$38)</f>
        <v>0</v>
      </c>
      <c r="P30" s="17">
        <f>('TUSD BE'!$P$30+'TUSD BF'!$P$30+'TUSD CVA'!$P$30)*(1 - CUSTOS!$M$38)</f>
        <v>0</v>
      </c>
      <c r="Q30" s="17">
        <f>('TUSD BE'!$Q$30+'TUSD BF'!$Q$30+'TUSD CVA'!$Q$30)*(1 - CUSTOS!$M$38)</f>
        <v>93.922813002236552</v>
      </c>
      <c r="R30" s="17">
        <f>('TUSD BE'!$R$30+'TUSD BF'!$R$30+'TUSD CVA'!$R$30)*(1 - CUSTOS!$M$38)</f>
        <v>15.731948214460648</v>
      </c>
      <c r="S30" s="17">
        <f>('TUSD BE'!$S$30+'TUSD BF'!$S$30+'TUSD CVA'!$S$30)*(1 - CUSTOS!$M$38)</f>
        <v>0</v>
      </c>
      <c r="T30" s="17">
        <f>('TUSD BE'!$U$30+'TUSD BF'!$U$30+'TUSD CVA'!$U$30)*(1 - CUSTOS!$M$38)</f>
        <v>95.511433355290862</v>
      </c>
      <c r="U30" s="17">
        <f>('TUSD BE'!$V$30+'TUSD BF'!$V$30+'TUSD CVA'!$V$30)*(1 - CUSTOS!$M$38)</f>
        <v>80.471055054284406</v>
      </c>
      <c r="V30" s="17">
        <f>('TUSD BE'!$W$30+'TUSD BF'!$W$30+'TUSD CVA'!$W$30)*(1 - CUSTOS!$M$38)</f>
        <v>14.169256812780322</v>
      </c>
      <c r="W30" s="17">
        <f>('TUSD BE'!$X$30+'TUSD BF'!$X$30+'TUSD CVA'!$X$30)*(1 - CUSTOS!$M$38)</f>
        <v>0</v>
      </c>
      <c r="X30" s="17">
        <f>('TUSD BE'!$Y$30+'TUSD BF'!$Y$30+'TUSD CVA'!$Y$30)*(1 - CUSTOS!$M$38)</f>
        <v>0</v>
      </c>
      <c r="Y30" s="17">
        <f>('TUSD BE'!$Z$30+'TUSD BF'!$Z$30+'TUSD CVA'!$Z$30)*(1 - CUSTOS!$M$38)</f>
        <v>0</v>
      </c>
      <c r="Z30" s="17">
        <f>('TUSD BE'!$AA$30+'TUSD BF'!$AA$30+'TUSD CVA'!$AA$30)*(1 - CUSTOS!$M$38)</f>
        <v>0</v>
      </c>
      <c r="AA30" s="17">
        <f>('TUSD BE'!$AC$30+'TUSD BF'!$AC$30+'TUSD CVA'!$AC$30)*(1 - CUSTOS!$M$38)</f>
        <v>524.28593654300948</v>
      </c>
      <c r="AB30" s="17">
        <f ca="1">('TUSD BE'!$AE$30+'TUSD BF'!$AE$30+'TUSD CVA'!$AE$30)*(1 - CUSTOS!$M$38)</f>
        <v>-151.91180754350086</v>
      </c>
      <c r="AC30" s="17">
        <f ca="1">('TUSD BE'!$AF$30+'TUSD BF'!$AF$30+'TUSD CVA'!$AF$30)*(1 - CUSTOS!$M$38)</f>
        <v>0</v>
      </c>
      <c r="AD30" s="17">
        <f>('TUSD BE'!$AH$30+'TUSD BF'!$AH$30+'TUSD CVA'!$AH$30)*(1 - CUSTOS!$M$38)</f>
        <v>19.815501552803759</v>
      </c>
      <c r="AE30" s="17">
        <f>('TUSD BE'!$AI$30+'TUSD BF'!$AI$30+'TUSD CVA'!$AI$30)*(1 - CUSTOS!$M$38)</f>
        <v>0</v>
      </c>
      <c r="AF30" s="17">
        <f ca="1">('TUSD BE'!$AJ$30+'TUSD BF'!$AJ$30+'TUSD CVA'!$AJ$30)*(1 - CUSTOS!$M$38)</f>
        <v>0.71307588018308699</v>
      </c>
      <c r="AG30" s="17">
        <f ca="1">('TUSD BE'!$AK$30+'TUSD BF'!$AK$30+'TUSD CVA'!$AK$30)*(1 - CUSTOS!$M$38)</f>
        <v>0.41542167907758715</v>
      </c>
      <c r="AI30" s="17">
        <v>6.4808258288881202</v>
      </c>
      <c r="AJ30" s="17">
        <v>0.84588915967946099</v>
      </c>
      <c r="AK30" s="17">
        <v>10.259180252170999</v>
      </c>
      <c r="AL30" s="17">
        <v>0</v>
      </c>
      <c r="AM30" s="17">
        <v>0</v>
      </c>
      <c r="AN30" s="17">
        <v>50.535739936863301</v>
      </c>
      <c r="AO30" s="17">
        <v>8.0394614632695092</v>
      </c>
      <c r="AP30" s="17">
        <v>0</v>
      </c>
      <c r="AQ30" s="17">
        <v>89.352436140813296</v>
      </c>
      <c r="AR30" s="17">
        <v>65.178342622796194</v>
      </c>
      <c r="AS30" s="17">
        <v>4.8132955812753098</v>
      </c>
      <c r="AT30" s="17">
        <v>0</v>
      </c>
      <c r="AU30" s="17">
        <v>0</v>
      </c>
      <c r="AV30" s="17">
        <v>0</v>
      </c>
      <c r="AW30" s="17">
        <v>0</v>
      </c>
      <c r="AX30" s="17">
        <v>669.47416226110397</v>
      </c>
      <c r="AY30" s="17">
        <v>0</v>
      </c>
      <c r="AZ30" s="17">
        <v>0</v>
      </c>
      <c r="BA30" s="17">
        <v>17.960675447426699</v>
      </c>
      <c r="BB30" s="17">
        <v>0</v>
      </c>
      <c r="BC30" s="17">
        <v>0.98592151038604803</v>
      </c>
      <c r="BD30" s="17">
        <v>-1.73035210431367</v>
      </c>
    </row>
    <row r="31" spans="1:56" ht="11.25" customHeight="1" x14ac:dyDescent="0.25">
      <c r="A31" s="166"/>
      <c r="B31" s="166"/>
      <c r="C31" s="166"/>
      <c r="D31" s="166"/>
      <c r="E31" s="166"/>
      <c r="F31" s="166"/>
      <c r="G31" s="57" t="s">
        <v>92</v>
      </c>
      <c r="H31" s="57" t="s">
        <v>78</v>
      </c>
      <c r="I31" s="57">
        <f>'MERCADO TUSD'!$U$28</f>
        <v>0</v>
      </c>
      <c r="J31" s="16"/>
      <c r="L31" s="17">
        <f>('TUSD BE'!$L$31+'TUSD BF'!$L$31+'TUSD CVA'!$L$31)*(1 - CUSTOS!$M$38)</f>
        <v>6.5100220665288555</v>
      </c>
      <c r="M31" s="17">
        <f>('TUSD BE'!$M$31+'TUSD BF'!$M$31+'TUSD CVA'!$M$31)*(1 - CUSTOS!$M$38)</f>
        <v>0.79301560581944253</v>
      </c>
      <c r="N31" s="17">
        <f ca="1">('TUSD BE'!$N$31+'TUSD BF'!$N$31+'TUSD CVA'!$N$31)*(1 - CUSTOS!$M$38)</f>
        <v>2.6728670742497682</v>
      </c>
      <c r="O31" s="17">
        <f>('TUSD BE'!$O$31+'TUSD BF'!$O$31+'TUSD CVA'!$O$31)*(1 - CUSTOS!$M$38)</f>
        <v>0</v>
      </c>
      <c r="P31" s="17">
        <f>('TUSD BE'!$P$31+'TUSD BF'!$P$31+'TUSD CVA'!$P$31)*(1 - CUSTOS!$M$38)</f>
        <v>0</v>
      </c>
      <c r="Q31" s="17">
        <f>('TUSD BE'!$Q$31+'TUSD BF'!$Q$31+'TUSD CVA'!$Q$31)*(1 - CUSTOS!$M$38)</f>
        <v>93.922813002236552</v>
      </c>
      <c r="R31" s="17">
        <f>('TUSD BE'!$R$31+'TUSD BF'!$R$31+'TUSD CVA'!$R$31)*(1 - CUSTOS!$M$38)</f>
        <v>15.731948214460648</v>
      </c>
      <c r="S31" s="17">
        <f>('TUSD BE'!$S$31+'TUSD BF'!$S$31+'TUSD CVA'!$S$31)*(1 - CUSTOS!$M$38)</f>
        <v>0</v>
      </c>
      <c r="T31" s="17">
        <f>('TUSD BE'!$U$31+'TUSD BF'!$U$31+'TUSD CVA'!$U$31)*(1 - CUSTOS!$M$38)</f>
        <v>38.204601712115867</v>
      </c>
      <c r="U31" s="17">
        <f>('TUSD BE'!$V$31+'TUSD BF'!$V$31+'TUSD CVA'!$V$31)*(1 - CUSTOS!$M$38)</f>
        <v>32.188357714450184</v>
      </c>
      <c r="V31" s="17">
        <f>('TUSD BE'!$W$31+'TUSD BF'!$W$31+'TUSD CVA'!$W$31)*(1 - CUSTOS!$M$38)</f>
        <v>5.6677591572240136</v>
      </c>
      <c r="W31" s="17">
        <f>('TUSD BE'!$X$31+'TUSD BF'!$X$31+'TUSD CVA'!$X$31)*(1 - CUSTOS!$M$38)</f>
        <v>0</v>
      </c>
      <c r="X31" s="17">
        <f>('TUSD BE'!$Y$31+'TUSD BF'!$Y$31+'TUSD CVA'!$Y$31)*(1 - CUSTOS!$M$38)</f>
        <v>0</v>
      </c>
      <c r="Y31" s="17">
        <f>('TUSD BE'!$Z$31+'TUSD BF'!$Z$31+'TUSD CVA'!$Z$31)*(1 - CUSTOS!$M$38)</f>
        <v>0</v>
      </c>
      <c r="Z31" s="17">
        <f>('TUSD BE'!$AA$31+'TUSD BF'!$AA$31+'TUSD CVA'!$AA$31)*(1 - CUSTOS!$M$38)</f>
        <v>0</v>
      </c>
      <c r="AA31" s="17">
        <f>('TUSD BE'!$AC$31+'TUSD BF'!$AC$31+'TUSD CVA'!$AC$31)*(1 - CUSTOS!$M$38)</f>
        <v>209.71433713772947</v>
      </c>
      <c r="AB31" s="17">
        <f ca="1">('TUSD BE'!$AE$31+'TUSD BF'!$AE$31+'TUSD CVA'!$AE$31)*(1 - CUSTOS!$M$38)</f>
        <v>-74.020149717466765</v>
      </c>
      <c r="AC31" s="17">
        <f ca="1">('TUSD BE'!$AF$31+'TUSD BF'!$AF$31+'TUSD CVA'!$AF$31)*(1 - CUSTOS!$M$38)</f>
        <v>0</v>
      </c>
      <c r="AD31" s="17">
        <f>('TUSD BE'!$AH$31+'TUSD BF'!$AH$31+'TUSD CVA'!$AH$31)*(1 - CUSTOS!$M$38)</f>
        <v>19.815501552803759</v>
      </c>
      <c r="AE31" s="17">
        <f>('TUSD BE'!$AI$31+'TUSD BF'!$AI$31+'TUSD CVA'!$AI$31)*(1 - CUSTOS!$M$38)</f>
        <v>0</v>
      </c>
      <c r="AF31" s="17">
        <f ca="1">('TUSD BE'!$AJ$31+'TUSD BF'!$AJ$31+'TUSD CVA'!$AJ$31)*(1 - CUSTOS!$M$38)</f>
        <v>0.71307588018308699</v>
      </c>
      <c r="AG31" s="17">
        <f ca="1">('TUSD BE'!$AK$31+'TUSD BF'!$AK$31+'TUSD CVA'!$AK$31)*(1 - CUSTOS!$M$38)</f>
        <v>0.41542167907758715</v>
      </c>
      <c r="AI31" s="17">
        <v>6.4808258288881202</v>
      </c>
      <c r="AJ31" s="17">
        <v>0.84588915967946099</v>
      </c>
      <c r="AK31" s="17">
        <v>5.3217447535408002</v>
      </c>
      <c r="AL31" s="17">
        <v>0</v>
      </c>
      <c r="AM31" s="17">
        <v>0</v>
      </c>
      <c r="AN31" s="17">
        <v>50.535739936863301</v>
      </c>
      <c r="AO31" s="17">
        <v>8.0394614632695092</v>
      </c>
      <c r="AP31" s="17">
        <v>0</v>
      </c>
      <c r="AQ31" s="17">
        <v>44.6294396990954</v>
      </c>
      <c r="AR31" s="17">
        <v>32.554998994681704</v>
      </c>
      <c r="AS31" s="17">
        <v>2.4041444314396299</v>
      </c>
      <c r="AT31" s="17">
        <v>0</v>
      </c>
      <c r="AU31" s="17">
        <v>0</v>
      </c>
      <c r="AV31" s="17">
        <v>0</v>
      </c>
      <c r="AW31" s="17">
        <v>0</v>
      </c>
      <c r="AX31" s="17">
        <v>334.386619265967</v>
      </c>
      <c r="AY31" s="17">
        <v>0</v>
      </c>
      <c r="AZ31" s="17">
        <v>0</v>
      </c>
      <c r="BA31" s="17">
        <v>17.960675447426699</v>
      </c>
      <c r="BB31" s="17">
        <v>0</v>
      </c>
      <c r="BC31" s="17">
        <v>0.98592151038604803</v>
      </c>
      <c r="BD31" s="17">
        <v>-1.73035210431367</v>
      </c>
    </row>
    <row r="32" spans="1:56" ht="11.25" customHeight="1" x14ac:dyDescent="0.25">
      <c r="A32" s="166"/>
      <c r="B32" s="166"/>
      <c r="C32" s="166"/>
      <c r="D32" s="166"/>
      <c r="E32" s="166"/>
      <c r="F32" s="166"/>
      <c r="G32" s="57" t="s">
        <v>80</v>
      </c>
      <c r="H32" s="57" t="s">
        <v>78</v>
      </c>
      <c r="I32" s="57">
        <f>'MERCADO TUSD'!$U$29</f>
        <v>0</v>
      </c>
      <c r="J32" s="16"/>
      <c r="L32" s="17">
        <f>('TUSD BE'!$L$32+'TUSD BF'!$L$32+'TUSD CVA'!$L$32)*(1 - CUSTOS!$M$38)</f>
        <v>6.5100220665288555</v>
      </c>
      <c r="M32" s="17">
        <f>('TUSD BE'!$M$32+'TUSD BF'!$M$32+'TUSD CVA'!$M$32)*(1 - CUSTOS!$M$38)</f>
        <v>0.79301560581944253</v>
      </c>
      <c r="N32" s="17">
        <f ca="1">('TUSD BE'!$N$32+'TUSD BF'!$N$32+'TUSD CVA'!$N$32)*(1 - CUSTOS!$M$38)</f>
        <v>1.5173198082710768</v>
      </c>
      <c r="O32" s="17">
        <f>('TUSD BE'!$O$32+'TUSD BF'!$O$32+'TUSD CVA'!$O$32)*(1 - CUSTOS!$M$38)</f>
        <v>0</v>
      </c>
      <c r="P32" s="17">
        <f>('TUSD BE'!$P$32+'TUSD BF'!$P$32+'TUSD CVA'!$P$32)*(1 - CUSTOS!$M$38)</f>
        <v>0</v>
      </c>
      <c r="Q32" s="17">
        <f>('TUSD BE'!$Q$32+'TUSD BF'!$Q$32+'TUSD CVA'!$Q$32)*(1 - CUSTOS!$M$38)</f>
        <v>93.922813002236552</v>
      </c>
      <c r="R32" s="17">
        <f>('TUSD BE'!$R$32+'TUSD BF'!$R$32+'TUSD CVA'!$R$32)*(1 - CUSTOS!$M$38)</f>
        <v>15.731948214460648</v>
      </c>
      <c r="S32" s="17">
        <f>('TUSD BE'!$S$32+'TUSD BF'!$S$32+'TUSD CVA'!$S$32)*(1 - CUSTOS!$M$38)</f>
        <v>0</v>
      </c>
      <c r="T32" s="17">
        <f>('TUSD BE'!$U$32+'TUSD BF'!$U$32+'TUSD CVA'!$U$32)*(1 - CUSTOS!$M$38)</f>
        <v>19.102229931059117</v>
      </c>
      <c r="U32" s="17">
        <f>('TUSD BE'!$V$32+'TUSD BF'!$V$32+'TUSD CVA'!$V$32)*(1 - CUSTOS!$M$38)</f>
        <v>16.094178857225092</v>
      </c>
      <c r="V32" s="17">
        <f>('TUSD BE'!$W$32+'TUSD BF'!$W$32+'TUSD CVA'!$W$32)*(1 - CUSTOS!$M$38)</f>
        <v>2.8338325518521028</v>
      </c>
      <c r="W32" s="17">
        <f>('TUSD BE'!$X$32+'TUSD BF'!$X$32+'TUSD CVA'!$X$32)*(1 - CUSTOS!$M$38)</f>
        <v>0</v>
      </c>
      <c r="X32" s="17">
        <f>('TUSD BE'!$Y$32+'TUSD BF'!$Y$32+'TUSD CVA'!$Y$32)*(1 - CUSTOS!$M$38)</f>
        <v>0</v>
      </c>
      <c r="Y32" s="17">
        <f>('TUSD BE'!$Z$32+'TUSD BF'!$Z$32+'TUSD CVA'!$Z$32)*(1 - CUSTOS!$M$38)</f>
        <v>0</v>
      </c>
      <c r="Z32" s="17">
        <f>('TUSD BE'!$AA$32+'TUSD BF'!$AA$32+'TUSD CVA'!$AA$32)*(1 - CUSTOS!$M$38)</f>
        <v>0</v>
      </c>
      <c r="AA32" s="17">
        <f>('TUSD BE'!$AC$32+'TUSD BF'!$AC$32+'TUSD CVA'!$AC$32)*(1 - CUSTOS!$M$38)</f>
        <v>104.85716856886474</v>
      </c>
      <c r="AB32" s="17">
        <f ca="1">('TUSD BE'!$AE$32+'TUSD BF'!$AE$32+'TUSD CVA'!$AE$32)*(1 - CUSTOS!$M$38)</f>
        <v>-48.056245053567039</v>
      </c>
      <c r="AC32" s="17">
        <f ca="1">('TUSD BE'!$AF$32+'TUSD BF'!$AF$32+'TUSD CVA'!$AF$32)*(1 - CUSTOS!$M$38)</f>
        <v>0</v>
      </c>
      <c r="AD32" s="17">
        <f>('TUSD BE'!$AH$32+'TUSD BF'!$AH$32+'TUSD CVA'!$AH$32)*(1 - CUSTOS!$M$38)</f>
        <v>19.815501552803759</v>
      </c>
      <c r="AE32" s="17">
        <f>('TUSD BE'!$AI$32+'TUSD BF'!$AI$32+'TUSD CVA'!$AI$32)*(1 - CUSTOS!$M$38)</f>
        <v>0</v>
      </c>
      <c r="AF32" s="17">
        <f ca="1">('TUSD BE'!$AJ$32+'TUSD BF'!$AJ$32+'TUSD CVA'!$AJ$32)*(1 - CUSTOS!$M$38)</f>
        <v>0.71307588018308699</v>
      </c>
      <c r="AG32" s="17">
        <f ca="1">('TUSD BE'!$AK$32+'TUSD BF'!$AK$32+'TUSD CVA'!$AK$32)*(1 - CUSTOS!$M$38)</f>
        <v>0.41542167907758715</v>
      </c>
      <c r="AI32" s="17">
        <v>6.4808258288881202</v>
      </c>
      <c r="AJ32" s="17">
        <v>0.84588915967946099</v>
      </c>
      <c r="AK32" s="17">
        <v>1.42757279063214</v>
      </c>
      <c r="AL32" s="17">
        <v>0</v>
      </c>
      <c r="AM32" s="17">
        <v>0</v>
      </c>
      <c r="AN32" s="17">
        <v>50.535739936863301</v>
      </c>
      <c r="AO32" s="17">
        <v>8.0394614632695092</v>
      </c>
      <c r="AP32" s="17">
        <v>0</v>
      </c>
      <c r="AQ32" s="17">
        <v>9.3562658586364993</v>
      </c>
      <c r="AR32" s="17">
        <v>6.8249208850284901</v>
      </c>
      <c r="AS32" s="17">
        <v>0.503992622214118</v>
      </c>
      <c r="AT32" s="17">
        <v>0</v>
      </c>
      <c r="AU32" s="17">
        <v>0</v>
      </c>
      <c r="AV32" s="17">
        <v>0</v>
      </c>
      <c r="AW32" s="17">
        <v>0</v>
      </c>
      <c r="AX32" s="17">
        <v>70.101983559075407</v>
      </c>
      <c r="AY32" s="17">
        <v>0</v>
      </c>
      <c r="AZ32" s="17">
        <v>0</v>
      </c>
      <c r="BA32" s="17">
        <v>17.960675447426699</v>
      </c>
      <c r="BB32" s="17">
        <v>0</v>
      </c>
      <c r="BC32" s="17">
        <v>0.98592151038604803</v>
      </c>
      <c r="BD32" s="17">
        <v>-1.73035210431367</v>
      </c>
    </row>
    <row r="33" spans="1:56" ht="11.25" customHeight="1" x14ac:dyDescent="0.25">
      <c r="A33" s="166"/>
      <c r="B33" s="115" t="s">
        <v>23</v>
      </c>
      <c r="C33" s="115" t="s">
        <v>43</v>
      </c>
      <c r="D33" s="115" t="s">
        <v>25</v>
      </c>
      <c r="E33" s="115" t="s">
        <v>25</v>
      </c>
      <c r="F33" s="115" t="s">
        <v>25</v>
      </c>
      <c r="G33" s="57" t="s">
        <v>82</v>
      </c>
      <c r="H33" s="57" t="s">
        <v>78</v>
      </c>
      <c r="I33" s="57">
        <f>'MERCADO TUSD'!$U$30</f>
        <v>1694.7730000000001</v>
      </c>
      <c r="J33" s="16"/>
      <c r="L33" s="17">
        <f>('TUSD BE'!$L$33+'TUSD BF'!$L$33+'TUSD CVA'!$L$33)*(1 - CUSTOS!$M$38)</f>
        <v>6.5100220665288555</v>
      </c>
      <c r="M33" s="17">
        <f>('TUSD BE'!$M$33+'TUSD BF'!$M$33+'TUSD CVA'!$M$33)*(1 - CUSTOS!$M$38)</f>
        <v>0.79301560581944253</v>
      </c>
      <c r="N33" s="17">
        <f ca="1">('TUSD BE'!$N$33+'TUSD BF'!$N$33+'TUSD CVA'!$N$33)*(1 - CUSTOS!$M$38)</f>
        <v>2.112602062083615</v>
      </c>
      <c r="O33" s="17">
        <f>('TUSD BE'!$O$33+'TUSD BF'!$O$33+'TUSD CVA'!$O$33)*(1 - CUSTOS!$M$38)</f>
        <v>0</v>
      </c>
      <c r="P33" s="17">
        <f>('TUSD BE'!$P$33+'TUSD BF'!$P$33+'TUSD CVA'!$P$33)*(1 - CUSTOS!$M$38)</f>
        <v>0</v>
      </c>
      <c r="Q33" s="17">
        <f>('TUSD BE'!$Q$33+'TUSD BF'!$Q$33+'TUSD CVA'!$Q$33)*(1 - CUSTOS!$M$38)</f>
        <v>93.922813002236552</v>
      </c>
      <c r="R33" s="17">
        <f>('TUSD BE'!$R$33+'TUSD BF'!$R$33+'TUSD CVA'!$R$33)*(1 - CUSTOS!$M$38)</f>
        <v>15.731948214460648</v>
      </c>
      <c r="S33" s="17">
        <f>('TUSD BE'!$S$33+'TUSD BF'!$S$33+'TUSD CVA'!$S$33)*(1 - CUSTOS!$M$38)</f>
        <v>0</v>
      </c>
      <c r="T33" s="17">
        <f>('TUSD BE'!$U$33+'TUSD BF'!$U$33+'TUSD CVA'!$U$33)*(1 - CUSTOS!$M$38)</f>
        <v>28.942789816755951</v>
      </c>
      <c r="U33" s="17">
        <f>('TUSD BE'!$V$33+'TUSD BF'!$V$33+'TUSD CVA'!$V$33)*(1 - CUSTOS!$M$38)</f>
        <v>24.385153582980827</v>
      </c>
      <c r="V33" s="17">
        <f>('TUSD BE'!$W$33+'TUSD BF'!$W$33+'TUSD CVA'!$W$33)*(1 - CUSTOS!$M$38)</f>
        <v>4.2937312863309716</v>
      </c>
      <c r="W33" s="17">
        <f>('TUSD BE'!$X$33+'TUSD BF'!$X$33+'TUSD CVA'!$X$33)*(1 - CUSTOS!$M$38)</f>
        <v>0</v>
      </c>
      <c r="X33" s="17">
        <f>('TUSD BE'!$Y$33+'TUSD BF'!$Y$33+'TUSD CVA'!$Y$33)*(1 - CUSTOS!$M$38)</f>
        <v>0</v>
      </c>
      <c r="Y33" s="17">
        <f>('TUSD BE'!$Z$33+'TUSD BF'!$Z$33+'TUSD CVA'!$Z$33)*(1 - CUSTOS!$M$38)</f>
        <v>0</v>
      </c>
      <c r="Z33" s="17">
        <f>('TUSD BE'!$AA$33+'TUSD BF'!$AA$33+'TUSD CVA'!$AA$33)*(1 - CUSTOS!$M$38)</f>
        <v>0</v>
      </c>
      <c r="AA33" s="17">
        <f>('TUSD BE'!$AC$33+'TUSD BF'!$AC$33+'TUSD CVA'!$AC$33)*(1 - CUSTOS!$M$38)</f>
        <v>158.87455461869553</v>
      </c>
      <c r="AB33" s="17">
        <f ca="1">('TUSD BE'!$AE$33+'TUSD BF'!$AE$33+'TUSD CVA'!$AE$33)*(1 - CUSTOS!$M$38)</f>
        <v>-61.431595950069614</v>
      </c>
      <c r="AC33" s="17">
        <f ca="1">('TUSD BE'!$AF$33+'TUSD BF'!$AF$33+'TUSD CVA'!$AF$33)*(1 - CUSTOS!$M$38)</f>
        <v>0</v>
      </c>
      <c r="AD33" s="17">
        <f>('TUSD BE'!$AH$33+'TUSD BF'!$AH$33+'TUSD CVA'!$AH$33)*(1 - CUSTOS!$M$38)</f>
        <v>19.815501552803759</v>
      </c>
      <c r="AE33" s="17">
        <f>('TUSD BE'!$AI$33+'TUSD BF'!$AI$33+'TUSD CVA'!$AI$33)*(1 - CUSTOS!$M$38)</f>
        <v>0</v>
      </c>
      <c r="AF33" s="17">
        <f ca="1">('TUSD BE'!$AJ$33+'TUSD BF'!$AJ$33+'TUSD CVA'!$AJ$33)*(1 - CUSTOS!$M$38)</f>
        <v>0.71307588018308699</v>
      </c>
      <c r="AG33" s="17">
        <f ca="1">('TUSD BE'!$AK$33+'TUSD BF'!$AK$33+'TUSD CVA'!$AK$33)*(1 - CUSTOS!$M$38)</f>
        <v>0.41542167907758715</v>
      </c>
      <c r="AI33" s="17">
        <v>6.4808258288881202</v>
      </c>
      <c r="AJ33" s="17">
        <v>0.84588915967946099</v>
      </c>
      <c r="AK33" s="17">
        <v>2.7968148549635199</v>
      </c>
      <c r="AL33" s="17">
        <v>0</v>
      </c>
      <c r="AM33" s="17">
        <v>0</v>
      </c>
      <c r="AN33" s="17">
        <v>50.535739936863301</v>
      </c>
      <c r="AO33" s="17">
        <v>8.0394614632695092</v>
      </c>
      <c r="AP33" s="17">
        <v>0</v>
      </c>
      <c r="AQ33" s="17">
        <v>21.758746018163599</v>
      </c>
      <c r="AR33" s="17">
        <v>15.8719450215933</v>
      </c>
      <c r="AS33" s="17">
        <v>1.17213408327</v>
      </c>
      <c r="AT33" s="17">
        <v>0</v>
      </c>
      <c r="AU33" s="17">
        <v>0</v>
      </c>
      <c r="AV33" s="17">
        <v>0</v>
      </c>
      <c r="AW33" s="17">
        <v>0</v>
      </c>
      <c r="AX33" s="17">
        <v>163.02793601002099</v>
      </c>
      <c r="AY33" s="17">
        <v>0</v>
      </c>
      <c r="AZ33" s="17">
        <v>0</v>
      </c>
      <c r="BA33" s="17">
        <v>17.960675447426699</v>
      </c>
      <c r="BB33" s="17">
        <v>0</v>
      </c>
      <c r="BC33" s="17">
        <v>0.98592151038604803</v>
      </c>
      <c r="BD33" s="17">
        <v>-1.73035210431367</v>
      </c>
    </row>
    <row r="34" spans="1:56" ht="11.25" customHeight="1" x14ac:dyDescent="0.25">
      <c r="A34" s="166"/>
      <c r="B34" s="166" t="s">
        <v>32</v>
      </c>
      <c r="C34" s="166" t="s">
        <v>43</v>
      </c>
      <c r="D34" s="166" t="s">
        <v>95</v>
      </c>
      <c r="E34" s="166" t="s">
        <v>25</v>
      </c>
      <c r="F34" s="166" t="s">
        <v>25</v>
      </c>
      <c r="G34" s="57" t="s">
        <v>79</v>
      </c>
      <c r="H34" s="57" t="s">
        <v>78</v>
      </c>
      <c r="I34" s="57">
        <f>'MERCADO TUSD'!$U$31</f>
        <v>0</v>
      </c>
      <c r="J34" s="16"/>
      <c r="L34" s="17">
        <f>('TUSD BE'!$L$34+'TUSD BF'!$L$34+'TUSD CVA'!$L$34)*(1 - CUSTOS!$M$39)</f>
        <v>6.5100220665288555</v>
      </c>
      <c r="M34" s="17">
        <f>('TUSD BE'!$M$34+'TUSD BF'!$M$34+'TUSD CVA'!$M$34)*(1 - CUSTOS!$M$39)</f>
        <v>0.79301560581944253</v>
      </c>
      <c r="N34" s="17">
        <f ca="1">('TUSD BE'!$N$34+'TUSD BF'!$N$34+'TUSD CVA'!$N$34)*(1 - CUSTOS!$M$39)</f>
        <v>6.1395063673759962</v>
      </c>
      <c r="O34" s="17">
        <f>('TUSD BE'!$O$34+'TUSD BF'!$O$34+'TUSD CVA'!$O$34)*(1 - CUSTOS!$M$39)</f>
        <v>0</v>
      </c>
      <c r="P34" s="17">
        <f>('TUSD BE'!$P$34+'TUSD BF'!$P$34+'TUSD CVA'!$P$34)*(1 - CUSTOS!$M$39)</f>
        <v>0</v>
      </c>
      <c r="Q34" s="17">
        <f>('TUSD BE'!$Q$34+'TUSD BF'!$Q$34+'TUSD CVA'!$Q$34)*(1 - CUSTOS!$M$39)</f>
        <v>93.922813002236552</v>
      </c>
      <c r="R34" s="17">
        <f>('TUSD BE'!$R$34+'TUSD BF'!$R$34+'TUSD CVA'!$R$34)*(1 - CUSTOS!$M$39)</f>
        <v>15.731948214460648</v>
      </c>
      <c r="S34" s="17">
        <f>('TUSD BE'!$S$34+'TUSD BF'!$S$34+'TUSD CVA'!$S$34)*(1 - CUSTOS!$M$39)</f>
        <v>0</v>
      </c>
      <c r="T34" s="17">
        <f>('TUSD BE'!$U$34+'TUSD BF'!$U$34+'TUSD CVA'!$U$34)*(1 - CUSTOS!$M$39)</f>
        <v>95.511433355290862</v>
      </c>
      <c r="U34" s="17">
        <f>('TUSD BE'!$V$34+'TUSD BF'!$V$34+'TUSD CVA'!$V$34)*(1 - CUSTOS!$M$39)</f>
        <v>80.471055054284406</v>
      </c>
      <c r="V34" s="17">
        <f>('TUSD BE'!$W$34+'TUSD BF'!$W$34+'TUSD CVA'!$W$34)*(1 - CUSTOS!$M$39)</f>
        <v>14.169256812780322</v>
      </c>
      <c r="W34" s="17">
        <f>('TUSD BE'!$X$34+'TUSD BF'!$X$34+'TUSD CVA'!$X$34)*(1 - CUSTOS!$M$39)</f>
        <v>0</v>
      </c>
      <c r="X34" s="17">
        <f>('TUSD BE'!$Y$34+'TUSD BF'!$Y$34+'TUSD CVA'!$Y$34)*(1 - CUSTOS!$M$39)</f>
        <v>0</v>
      </c>
      <c r="Y34" s="17">
        <f>('TUSD BE'!$Z$34+'TUSD BF'!$Z$34+'TUSD CVA'!$Z$34)*(1 - CUSTOS!$M$39)</f>
        <v>0</v>
      </c>
      <c r="Z34" s="17">
        <f>('TUSD BE'!$AA$34+'TUSD BF'!$AA$34+'TUSD CVA'!$AA$34)*(1 - CUSTOS!$M$39)</f>
        <v>0</v>
      </c>
      <c r="AA34" s="17">
        <f>('TUSD BE'!$AC$34+'TUSD BF'!$AC$34+'TUSD CVA'!$AC$34)*(1 - CUSTOS!$M$39)</f>
        <v>524.28593654300948</v>
      </c>
      <c r="AB34" s="17">
        <f ca="1">('TUSD BE'!$AE$34+'TUSD BF'!$AE$34+'TUSD CVA'!$AE$34)*(1 - CUSTOS!$M$39)</f>
        <v>-151.91180754350086</v>
      </c>
      <c r="AC34" s="17">
        <f ca="1">('TUSD BE'!$AF$34+'TUSD BF'!$AF$34+'TUSD CVA'!$AF$34)*(1 - CUSTOS!$M$39)</f>
        <v>0</v>
      </c>
      <c r="AD34" s="17">
        <f>('TUSD BE'!$AH$34+'TUSD BF'!$AH$34+'TUSD CVA'!$AH$34)*(1 - CUSTOS!$M$39)</f>
        <v>19.815501552803759</v>
      </c>
      <c r="AE34" s="17">
        <f>('TUSD BE'!$AI$34+'TUSD BF'!$AI$34+'TUSD CVA'!$AI$34)*(1 - CUSTOS!$M$39)</f>
        <v>0</v>
      </c>
      <c r="AF34" s="17">
        <f ca="1">('TUSD BE'!$AJ$34+'TUSD BF'!$AJ$34+'TUSD CVA'!$AJ$34)*(1 - CUSTOS!$M$39)</f>
        <v>0.71307588018308699</v>
      </c>
      <c r="AG34" s="17">
        <f ca="1">('TUSD BE'!$AK$34+'TUSD BF'!$AK$34+'TUSD CVA'!$AK$34)*(1 - CUSTOS!$M$39)</f>
        <v>0.41542167907758715</v>
      </c>
      <c r="AI34" s="17">
        <v>6.4808258288881202</v>
      </c>
      <c r="AJ34" s="17">
        <v>0.84588915967946099</v>
      </c>
      <c r="AK34" s="17">
        <v>10.259180252170999</v>
      </c>
      <c r="AL34" s="17">
        <v>0</v>
      </c>
      <c r="AM34" s="17">
        <v>0</v>
      </c>
      <c r="AN34" s="17">
        <v>50.535739936863301</v>
      </c>
      <c r="AO34" s="17">
        <v>8.0394614632695092</v>
      </c>
      <c r="AP34" s="17">
        <v>0</v>
      </c>
      <c r="AQ34" s="17">
        <v>89.352436140813296</v>
      </c>
      <c r="AR34" s="17">
        <v>65.178342622796194</v>
      </c>
      <c r="AS34" s="17">
        <v>4.8132955812753098</v>
      </c>
      <c r="AT34" s="17">
        <v>0</v>
      </c>
      <c r="AU34" s="17">
        <v>0</v>
      </c>
      <c r="AV34" s="17">
        <v>0</v>
      </c>
      <c r="AW34" s="17">
        <v>0</v>
      </c>
      <c r="AX34" s="17">
        <v>669.47416226110397</v>
      </c>
      <c r="AY34" s="17">
        <v>0</v>
      </c>
      <c r="AZ34" s="17">
        <v>0</v>
      </c>
      <c r="BA34" s="17">
        <v>17.960675447426699</v>
      </c>
      <c r="BB34" s="17">
        <v>0</v>
      </c>
      <c r="BC34" s="17">
        <v>0.98592151038604803</v>
      </c>
      <c r="BD34" s="17">
        <v>-1.73035210431367</v>
      </c>
    </row>
    <row r="35" spans="1:56" ht="11.25" customHeight="1" x14ac:dyDescent="0.25">
      <c r="A35" s="166"/>
      <c r="B35" s="166"/>
      <c r="C35" s="166"/>
      <c r="D35" s="166"/>
      <c r="E35" s="166"/>
      <c r="F35" s="166"/>
      <c r="G35" s="57" t="s">
        <v>92</v>
      </c>
      <c r="H35" s="57" t="s">
        <v>78</v>
      </c>
      <c r="I35" s="57">
        <f>'MERCADO TUSD'!$U$32</f>
        <v>0</v>
      </c>
      <c r="J35" s="16"/>
      <c r="L35" s="17">
        <f>('TUSD BE'!$L$35+'TUSD BF'!$L$35+'TUSD CVA'!$L$35)*(1 - CUSTOS!$M$39)</f>
        <v>6.5100220665288555</v>
      </c>
      <c r="M35" s="17">
        <f>('TUSD BE'!$M$35+'TUSD BF'!$M$35+'TUSD CVA'!$M$35)*(1 - CUSTOS!$M$39)</f>
        <v>0.79301560581944253</v>
      </c>
      <c r="N35" s="17">
        <f ca="1">('TUSD BE'!$N$35+'TUSD BF'!$N$35+'TUSD CVA'!$N$35)*(1 - CUSTOS!$M$39)</f>
        <v>2.6728670742497682</v>
      </c>
      <c r="O35" s="17">
        <f>('TUSD BE'!$O$35+'TUSD BF'!$O$35+'TUSD CVA'!$O$35)*(1 - CUSTOS!$M$39)</f>
        <v>0</v>
      </c>
      <c r="P35" s="17">
        <f>('TUSD BE'!$P$35+'TUSD BF'!$P$35+'TUSD CVA'!$P$35)*(1 - CUSTOS!$M$39)</f>
        <v>0</v>
      </c>
      <c r="Q35" s="17">
        <f>('TUSD BE'!$Q$35+'TUSD BF'!$Q$35+'TUSD CVA'!$Q$35)*(1 - CUSTOS!$M$39)</f>
        <v>93.922813002236552</v>
      </c>
      <c r="R35" s="17">
        <f>('TUSD BE'!$R$35+'TUSD BF'!$R$35+'TUSD CVA'!$R$35)*(1 - CUSTOS!$M$39)</f>
        <v>15.731948214460648</v>
      </c>
      <c r="S35" s="17">
        <f>('TUSD BE'!$S$35+'TUSD BF'!$S$35+'TUSD CVA'!$S$35)*(1 - CUSTOS!$M$39)</f>
        <v>0</v>
      </c>
      <c r="T35" s="17">
        <f>('TUSD BE'!$U$35+'TUSD BF'!$U$35+'TUSD CVA'!$U$35)*(1 - CUSTOS!$M$39)</f>
        <v>38.204601712115867</v>
      </c>
      <c r="U35" s="17">
        <f>('TUSD BE'!$V$35+'TUSD BF'!$V$35+'TUSD CVA'!$V$35)*(1 - CUSTOS!$M$39)</f>
        <v>32.188357714450184</v>
      </c>
      <c r="V35" s="17">
        <f>('TUSD BE'!$W$35+'TUSD BF'!$W$35+'TUSD CVA'!$W$35)*(1 - CUSTOS!$M$39)</f>
        <v>5.6677591572240136</v>
      </c>
      <c r="W35" s="17">
        <f>('TUSD BE'!$X$35+'TUSD BF'!$X$35+'TUSD CVA'!$X$35)*(1 - CUSTOS!$M$39)</f>
        <v>0</v>
      </c>
      <c r="X35" s="17">
        <f>('TUSD BE'!$Y$35+'TUSD BF'!$Y$35+'TUSD CVA'!$Y$35)*(1 - CUSTOS!$M$39)</f>
        <v>0</v>
      </c>
      <c r="Y35" s="17">
        <f>('TUSD BE'!$Z$35+'TUSD BF'!$Z$35+'TUSD CVA'!$Z$35)*(1 - CUSTOS!$M$39)</f>
        <v>0</v>
      </c>
      <c r="Z35" s="17">
        <f>('TUSD BE'!$AA$35+'TUSD BF'!$AA$35+'TUSD CVA'!$AA$35)*(1 - CUSTOS!$M$39)</f>
        <v>0</v>
      </c>
      <c r="AA35" s="17">
        <f>('TUSD BE'!$AC$35+'TUSD BF'!$AC$35+'TUSD CVA'!$AC$35)*(1 - CUSTOS!$M$39)</f>
        <v>209.71433713772947</v>
      </c>
      <c r="AB35" s="17">
        <f ca="1">('TUSD BE'!$AE$35+'TUSD BF'!$AE$35+'TUSD CVA'!$AE$35)*(1 - CUSTOS!$M$39)</f>
        <v>-74.020149717466765</v>
      </c>
      <c r="AC35" s="17">
        <f ca="1">('TUSD BE'!$AF$35+'TUSD BF'!$AF$35+'TUSD CVA'!$AF$35)*(1 - CUSTOS!$M$39)</f>
        <v>0</v>
      </c>
      <c r="AD35" s="17">
        <f>('TUSD BE'!$AH$35+'TUSD BF'!$AH$35+'TUSD CVA'!$AH$35)*(1 - CUSTOS!$M$39)</f>
        <v>19.815501552803759</v>
      </c>
      <c r="AE35" s="17">
        <f>('TUSD BE'!$AI$35+'TUSD BF'!$AI$35+'TUSD CVA'!$AI$35)*(1 - CUSTOS!$M$39)</f>
        <v>0</v>
      </c>
      <c r="AF35" s="17">
        <f ca="1">('TUSD BE'!$AJ$35+'TUSD BF'!$AJ$35+'TUSD CVA'!$AJ$35)*(1 - CUSTOS!$M$39)</f>
        <v>0.71307588018308699</v>
      </c>
      <c r="AG35" s="17">
        <f ca="1">('TUSD BE'!$AK$35+'TUSD BF'!$AK$35+'TUSD CVA'!$AK$35)*(1 - CUSTOS!$M$39)</f>
        <v>0.41542167907758715</v>
      </c>
      <c r="AI35" s="17">
        <v>6.4808258288881202</v>
      </c>
      <c r="AJ35" s="17">
        <v>0.84588915967946099</v>
      </c>
      <c r="AK35" s="17">
        <v>5.3217447535408002</v>
      </c>
      <c r="AL35" s="17">
        <v>0</v>
      </c>
      <c r="AM35" s="17">
        <v>0</v>
      </c>
      <c r="AN35" s="17">
        <v>50.535739936863301</v>
      </c>
      <c r="AO35" s="17">
        <v>8.0394614632695092</v>
      </c>
      <c r="AP35" s="17">
        <v>0</v>
      </c>
      <c r="AQ35" s="17">
        <v>44.6294396990954</v>
      </c>
      <c r="AR35" s="17">
        <v>32.554998994681704</v>
      </c>
      <c r="AS35" s="17">
        <v>2.4041444314396299</v>
      </c>
      <c r="AT35" s="17">
        <v>0</v>
      </c>
      <c r="AU35" s="17">
        <v>0</v>
      </c>
      <c r="AV35" s="17">
        <v>0</v>
      </c>
      <c r="AW35" s="17">
        <v>0</v>
      </c>
      <c r="AX35" s="17">
        <v>334.386619265967</v>
      </c>
      <c r="AY35" s="17">
        <v>0</v>
      </c>
      <c r="AZ35" s="17">
        <v>0</v>
      </c>
      <c r="BA35" s="17">
        <v>17.960675447426699</v>
      </c>
      <c r="BB35" s="17">
        <v>0</v>
      </c>
      <c r="BC35" s="17">
        <v>0.98592151038604803</v>
      </c>
      <c r="BD35" s="17">
        <v>-1.73035210431367</v>
      </c>
    </row>
    <row r="36" spans="1:56" ht="11.25" customHeight="1" x14ac:dyDescent="0.25">
      <c r="A36" s="166"/>
      <c r="B36" s="166"/>
      <c r="C36" s="166"/>
      <c r="D36" s="166"/>
      <c r="E36" s="166"/>
      <c r="F36" s="166"/>
      <c r="G36" s="57" t="s">
        <v>80</v>
      </c>
      <c r="H36" s="57" t="s">
        <v>78</v>
      </c>
      <c r="I36" s="57">
        <f>'MERCADO TUSD'!$U$33</f>
        <v>0</v>
      </c>
      <c r="J36" s="16"/>
      <c r="L36" s="17">
        <f>('TUSD BE'!$L$36+'TUSD BF'!$L$36+'TUSD CVA'!$L$36)*(1 - CUSTOS!$M$39)</f>
        <v>6.5100220665288555</v>
      </c>
      <c r="M36" s="17">
        <f>('TUSD BE'!$M$36+'TUSD BF'!$M$36+'TUSD CVA'!$M$36)*(1 - CUSTOS!$M$39)</f>
        <v>0.79301560581944253</v>
      </c>
      <c r="N36" s="17">
        <f ca="1">('TUSD BE'!$N$36+'TUSD BF'!$N$36+'TUSD CVA'!$N$36)*(1 - CUSTOS!$M$39)</f>
        <v>1.5173198082710768</v>
      </c>
      <c r="O36" s="17">
        <f>('TUSD BE'!$O$36+'TUSD BF'!$O$36+'TUSD CVA'!$O$36)*(1 - CUSTOS!$M$39)</f>
        <v>0</v>
      </c>
      <c r="P36" s="17">
        <f>('TUSD BE'!$P$36+'TUSD BF'!$P$36+'TUSD CVA'!$P$36)*(1 - CUSTOS!$M$39)</f>
        <v>0</v>
      </c>
      <c r="Q36" s="17">
        <f>('TUSD BE'!$Q$36+'TUSD BF'!$Q$36+'TUSD CVA'!$Q$36)*(1 - CUSTOS!$M$39)</f>
        <v>93.922813002236552</v>
      </c>
      <c r="R36" s="17">
        <f>('TUSD BE'!$R$36+'TUSD BF'!$R$36+'TUSD CVA'!$R$36)*(1 - CUSTOS!$M$39)</f>
        <v>15.731948214460648</v>
      </c>
      <c r="S36" s="17">
        <f>('TUSD BE'!$S$36+'TUSD BF'!$S$36+'TUSD CVA'!$S$36)*(1 - CUSTOS!$M$39)</f>
        <v>0</v>
      </c>
      <c r="T36" s="17">
        <f>('TUSD BE'!$U$36+'TUSD BF'!$U$36+'TUSD CVA'!$U$36)*(1 - CUSTOS!$M$39)</f>
        <v>19.102229931059117</v>
      </c>
      <c r="U36" s="17">
        <f>('TUSD BE'!$V$36+'TUSD BF'!$V$36+'TUSD CVA'!$V$36)*(1 - CUSTOS!$M$39)</f>
        <v>16.094178857225092</v>
      </c>
      <c r="V36" s="17">
        <f>('TUSD BE'!$W$36+'TUSD BF'!$W$36+'TUSD CVA'!$W$36)*(1 - CUSTOS!$M$39)</f>
        <v>2.8338325518521028</v>
      </c>
      <c r="W36" s="17">
        <f>('TUSD BE'!$X$36+'TUSD BF'!$X$36+'TUSD CVA'!$X$36)*(1 - CUSTOS!$M$39)</f>
        <v>0</v>
      </c>
      <c r="X36" s="17">
        <f>('TUSD BE'!$Y$36+'TUSD BF'!$Y$36+'TUSD CVA'!$Y$36)*(1 - CUSTOS!$M$39)</f>
        <v>0</v>
      </c>
      <c r="Y36" s="17">
        <f>('TUSD BE'!$Z$36+'TUSD BF'!$Z$36+'TUSD CVA'!$Z$36)*(1 - CUSTOS!$M$39)</f>
        <v>0</v>
      </c>
      <c r="Z36" s="17">
        <f>('TUSD BE'!$AA$36+'TUSD BF'!$AA$36+'TUSD CVA'!$AA$36)*(1 - CUSTOS!$M$39)</f>
        <v>0</v>
      </c>
      <c r="AA36" s="17">
        <f>('TUSD BE'!$AC$36+'TUSD BF'!$AC$36+'TUSD CVA'!$AC$36)*(1 - CUSTOS!$M$39)</f>
        <v>104.85716856886474</v>
      </c>
      <c r="AB36" s="17">
        <f ca="1">('TUSD BE'!$AE$36+'TUSD BF'!$AE$36+'TUSD CVA'!$AE$36)*(1 - CUSTOS!$M$39)</f>
        <v>-48.056245053567039</v>
      </c>
      <c r="AC36" s="17">
        <f ca="1">('TUSD BE'!$AF$36+'TUSD BF'!$AF$36+'TUSD CVA'!$AF$36)*(1 - CUSTOS!$M$39)</f>
        <v>0</v>
      </c>
      <c r="AD36" s="17">
        <f>('TUSD BE'!$AH$36+'TUSD BF'!$AH$36+'TUSD CVA'!$AH$36)*(1 - CUSTOS!$M$39)</f>
        <v>19.815501552803759</v>
      </c>
      <c r="AE36" s="17">
        <f>('TUSD BE'!$AI$36+'TUSD BF'!$AI$36+'TUSD CVA'!$AI$36)*(1 - CUSTOS!$M$39)</f>
        <v>0</v>
      </c>
      <c r="AF36" s="17">
        <f ca="1">('TUSD BE'!$AJ$36+'TUSD BF'!$AJ$36+'TUSD CVA'!$AJ$36)*(1 - CUSTOS!$M$39)</f>
        <v>0.71307588018308699</v>
      </c>
      <c r="AG36" s="17">
        <f ca="1">('TUSD BE'!$AK$36+'TUSD BF'!$AK$36+'TUSD CVA'!$AK$36)*(1 - CUSTOS!$M$39)</f>
        <v>0.41542167907758715</v>
      </c>
      <c r="AI36" s="17">
        <v>6.4808258288881202</v>
      </c>
      <c r="AJ36" s="17">
        <v>0.84588915967946099</v>
      </c>
      <c r="AK36" s="17">
        <v>1.42757279063214</v>
      </c>
      <c r="AL36" s="17">
        <v>0</v>
      </c>
      <c r="AM36" s="17">
        <v>0</v>
      </c>
      <c r="AN36" s="17">
        <v>50.535739936863301</v>
      </c>
      <c r="AO36" s="17">
        <v>8.0394614632695092</v>
      </c>
      <c r="AP36" s="17">
        <v>0</v>
      </c>
      <c r="AQ36" s="17">
        <v>9.3562658586364993</v>
      </c>
      <c r="AR36" s="17">
        <v>6.8249208850284901</v>
      </c>
      <c r="AS36" s="17">
        <v>0.503992622214118</v>
      </c>
      <c r="AT36" s="17">
        <v>0</v>
      </c>
      <c r="AU36" s="17">
        <v>0</v>
      </c>
      <c r="AV36" s="17">
        <v>0</v>
      </c>
      <c r="AW36" s="17">
        <v>0</v>
      </c>
      <c r="AX36" s="17">
        <v>70.101983559075407</v>
      </c>
      <c r="AY36" s="17">
        <v>0</v>
      </c>
      <c r="AZ36" s="17">
        <v>0</v>
      </c>
      <c r="BA36" s="17">
        <v>17.960675447426699</v>
      </c>
      <c r="BB36" s="17">
        <v>0</v>
      </c>
      <c r="BC36" s="17">
        <v>0.98592151038604803</v>
      </c>
      <c r="BD36" s="17">
        <v>-1.73035210431367</v>
      </c>
    </row>
    <row r="37" spans="1:56" ht="11.25" customHeight="1" x14ac:dyDescent="0.25">
      <c r="A37" s="166"/>
      <c r="B37" s="115" t="s">
        <v>23</v>
      </c>
      <c r="C37" s="115" t="s">
        <v>43</v>
      </c>
      <c r="D37" s="115" t="s">
        <v>95</v>
      </c>
      <c r="E37" s="115" t="s">
        <v>25</v>
      </c>
      <c r="F37" s="115" t="s">
        <v>25</v>
      </c>
      <c r="G37" s="57" t="s">
        <v>82</v>
      </c>
      <c r="H37" s="57" t="s">
        <v>78</v>
      </c>
      <c r="I37" s="57">
        <f>'MERCADO TUSD'!$U$34</f>
        <v>0</v>
      </c>
      <c r="J37" s="16"/>
      <c r="L37" s="17">
        <f>('TUSD BE'!$L$37+'TUSD BF'!$L$37+'TUSD CVA'!$L$37)*(1 - CUSTOS!$M$39)</f>
        <v>6.5100220665288555</v>
      </c>
      <c r="M37" s="17">
        <f>('TUSD BE'!$M$37+'TUSD BF'!$M$37+'TUSD CVA'!$M$37)*(1 - CUSTOS!$M$39)</f>
        <v>0.79301560581944253</v>
      </c>
      <c r="N37" s="17">
        <f ca="1">('TUSD BE'!$N$37+'TUSD BF'!$N$37+'TUSD CVA'!$N$37)*(1 - CUSTOS!$M$39)</f>
        <v>2.112602062083615</v>
      </c>
      <c r="O37" s="17">
        <f>('TUSD BE'!$O$37+'TUSD BF'!$O$37+'TUSD CVA'!$O$37)*(1 - CUSTOS!$M$39)</f>
        <v>0</v>
      </c>
      <c r="P37" s="17">
        <f>('TUSD BE'!$P$37+'TUSD BF'!$P$37+'TUSD CVA'!$P$37)*(1 - CUSTOS!$M$39)</f>
        <v>0</v>
      </c>
      <c r="Q37" s="17">
        <f>('TUSD BE'!$Q$37+'TUSD BF'!$Q$37+'TUSD CVA'!$Q$37)*(1 - CUSTOS!$M$39)</f>
        <v>93.922813002236552</v>
      </c>
      <c r="R37" s="17">
        <f>('TUSD BE'!$R$37+'TUSD BF'!$R$37+'TUSD CVA'!$R$37)*(1 - CUSTOS!$M$39)</f>
        <v>15.731948214460648</v>
      </c>
      <c r="S37" s="17">
        <f>('TUSD BE'!$S$37+'TUSD BF'!$S$37+'TUSD CVA'!$S$37)*(1 - CUSTOS!$M$39)</f>
        <v>0</v>
      </c>
      <c r="T37" s="17">
        <f>('TUSD BE'!$U$37+'TUSD BF'!$U$37+'TUSD CVA'!$U$37)*(1 - CUSTOS!$M$39)</f>
        <v>28.942789816755951</v>
      </c>
      <c r="U37" s="17">
        <f>('TUSD BE'!$V$37+'TUSD BF'!$V$37+'TUSD CVA'!$V$37)*(1 - CUSTOS!$M$39)</f>
        <v>24.385153582980827</v>
      </c>
      <c r="V37" s="17">
        <f>('TUSD BE'!$W$37+'TUSD BF'!$W$37+'TUSD CVA'!$W$37)*(1 - CUSTOS!$M$39)</f>
        <v>4.2937312863309716</v>
      </c>
      <c r="W37" s="17">
        <f>('TUSD BE'!$X$37+'TUSD BF'!$X$37+'TUSD CVA'!$X$37)*(1 - CUSTOS!$M$39)</f>
        <v>0</v>
      </c>
      <c r="X37" s="17">
        <f>('TUSD BE'!$Y$37+'TUSD BF'!$Y$37+'TUSD CVA'!$Y$37)*(1 - CUSTOS!$M$39)</f>
        <v>0</v>
      </c>
      <c r="Y37" s="17">
        <f>('TUSD BE'!$Z$37+'TUSD BF'!$Z$37+'TUSD CVA'!$Z$37)*(1 - CUSTOS!$M$39)</f>
        <v>0</v>
      </c>
      <c r="Z37" s="17">
        <f>('TUSD BE'!$AA$37+'TUSD BF'!$AA$37+'TUSD CVA'!$AA$37)*(1 - CUSTOS!$M$39)</f>
        <v>0</v>
      </c>
      <c r="AA37" s="17">
        <f>('TUSD BE'!$AC$37+'TUSD BF'!$AC$37+'TUSD CVA'!$AC$37)*(1 - CUSTOS!$M$39)</f>
        <v>158.87455461869553</v>
      </c>
      <c r="AB37" s="17">
        <f ca="1">('TUSD BE'!$AE$37+'TUSD BF'!$AE$37+'TUSD CVA'!$AE$37)*(1 - CUSTOS!$M$39)</f>
        <v>-61.431595950069614</v>
      </c>
      <c r="AC37" s="17">
        <f ca="1">('TUSD BE'!$AF$37+'TUSD BF'!$AF$37+'TUSD CVA'!$AF$37)*(1 - CUSTOS!$M$39)</f>
        <v>0</v>
      </c>
      <c r="AD37" s="17">
        <f>('TUSD BE'!$AH$37+'TUSD BF'!$AH$37+'TUSD CVA'!$AH$37)*(1 - CUSTOS!$M$39)</f>
        <v>19.815501552803759</v>
      </c>
      <c r="AE37" s="17">
        <f>('TUSD BE'!$AI$37+'TUSD BF'!$AI$37+'TUSD CVA'!$AI$37)*(1 - CUSTOS!$M$39)</f>
        <v>0</v>
      </c>
      <c r="AF37" s="17">
        <f ca="1">('TUSD BE'!$AJ$37+'TUSD BF'!$AJ$37+'TUSD CVA'!$AJ$37)*(1 - CUSTOS!$M$39)</f>
        <v>0.71307588018308699</v>
      </c>
      <c r="AG37" s="17">
        <f ca="1">('TUSD BE'!$AK$37+'TUSD BF'!$AK$37+'TUSD CVA'!$AK$37)*(1 - CUSTOS!$M$39)</f>
        <v>0.41542167907758715</v>
      </c>
      <c r="AI37" s="17">
        <v>6.4808258288881202</v>
      </c>
      <c r="AJ37" s="17">
        <v>0.84588915967946099</v>
      </c>
      <c r="AK37" s="17">
        <v>2.7968148549635199</v>
      </c>
      <c r="AL37" s="17">
        <v>0</v>
      </c>
      <c r="AM37" s="17">
        <v>0</v>
      </c>
      <c r="AN37" s="17">
        <v>50.535739936863301</v>
      </c>
      <c r="AO37" s="17">
        <v>8.0394614632695092</v>
      </c>
      <c r="AP37" s="17">
        <v>0</v>
      </c>
      <c r="AQ37" s="17">
        <v>21.758746018163599</v>
      </c>
      <c r="AR37" s="17">
        <v>15.8719450215933</v>
      </c>
      <c r="AS37" s="17">
        <v>1.17213408327</v>
      </c>
      <c r="AT37" s="17">
        <v>0</v>
      </c>
      <c r="AU37" s="17">
        <v>0</v>
      </c>
      <c r="AV37" s="17">
        <v>0</v>
      </c>
      <c r="AW37" s="17">
        <v>0</v>
      </c>
      <c r="AX37" s="17">
        <v>163.02793601002099</v>
      </c>
      <c r="AY37" s="17">
        <v>0</v>
      </c>
      <c r="AZ37" s="17">
        <v>0</v>
      </c>
      <c r="BA37" s="17">
        <v>17.960675447426699</v>
      </c>
      <c r="BB37" s="17">
        <v>0</v>
      </c>
      <c r="BC37" s="17">
        <v>0.98592151038604803</v>
      </c>
      <c r="BD37" s="17">
        <v>-1.73035210431367</v>
      </c>
    </row>
    <row r="38" spans="1:56" ht="11.25" customHeight="1" x14ac:dyDescent="0.25">
      <c r="A38" s="166"/>
      <c r="B38" s="166" t="s">
        <v>32</v>
      </c>
      <c r="C38" s="166" t="s">
        <v>43</v>
      </c>
      <c r="D38" s="166" t="s">
        <v>96</v>
      </c>
      <c r="E38" s="166" t="s">
        <v>25</v>
      </c>
      <c r="F38" s="166" t="s">
        <v>25</v>
      </c>
      <c r="G38" s="57" t="s">
        <v>79</v>
      </c>
      <c r="H38" s="57" t="s">
        <v>78</v>
      </c>
      <c r="I38" s="57">
        <f>'MERCADO TUSD'!$U$35</f>
        <v>0</v>
      </c>
      <c r="J38" s="16"/>
      <c r="L38" s="17">
        <f>('TUSD BE'!$L$38+'TUSD BF'!$L$38+'TUSD CVA'!$L$38)*(1 - CUSTOS!$M$40)</f>
        <v>6.3715109587303695</v>
      </c>
      <c r="M38" s="17">
        <f>('TUSD BE'!$M$38+'TUSD BF'!$M$38+'TUSD CVA'!$M$38)*(1 - CUSTOS!$M$40)</f>
        <v>0.77614293335519913</v>
      </c>
      <c r="N38" s="17">
        <f ca="1">('TUSD BE'!$N$38+'TUSD BF'!$N$38+'TUSD CVA'!$N$38)*(1 - CUSTOS!$M$40)</f>
        <v>6.0088785723254441</v>
      </c>
      <c r="O38" s="17">
        <f>('TUSD BE'!$O$38+'TUSD BF'!$O$38+'TUSD CVA'!$O$38)*(1 - CUSTOS!$M$40)</f>
        <v>0</v>
      </c>
      <c r="P38" s="17">
        <f>('TUSD BE'!$P$38+'TUSD BF'!$P$38+'TUSD CVA'!$P$38)*(1 - CUSTOS!$M$40)</f>
        <v>0</v>
      </c>
      <c r="Q38" s="17">
        <f>('TUSD BE'!$Q$38+'TUSD BF'!$Q$38+'TUSD CVA'!$Q$38)*(1 - CUSTOS!$M$40)</f>
        <v>91.92445527878472</v>
      </c>
      <c r="R38" s="17">
        <f>('TUSD BE'!$R$38+'TUSD BF'!$R$38+'TUSD CVA'!$R$38)*(1 - CUSTOS!$M$40)</f>
        <v>15.397225912025316</v>
      </c>
      <c r="S38" s="17">
        <f>('TUSD BE'!$S$38+'TUSD BF'!$S$38+'TUSD CVA'!$S$38)*(1 - CUSTOS!$M$40)</f>
        <v>0</v>
      </c>
      <c r="T38" s="17">
        <f>('TUSD BE'!$U$38+'TUSD BF'!$U$38+'TUSD CVA'!$U$38)*(1 - CUSTOS!$M$40)</f>
        <v>93.479275198795321</v>
      </c>
      <c r="U38" s="17">
        <f>('TUSD BE'!$V$38+'TUSD BF'!$V$38+'TUSD CVA'!$V$38)*(1 - CUSTOS!$M$40)</f>
        <v>78.758904946746455</v>
      </c>
      <c r="V38" s="17">
        <f>('TUSD BE'!$W$38+'TUSD BF'!$W$38+'TUSD CVA'!$W$38)*(1 - CUSTOS!$M$40)</f>
        <v>13.86778326357223</v>
      </c>
      <c r="W38" s="17">
        <f>('TUSD BE'!$X$38+'TUSD BF'!$X$38+'TUSD CVA'!$X$38)*(1 - CUSTOS!$M$40)</f>
        <v>0</v>
      </c>
      <c r="X38" s="17">
        <f>('TUSD BE'!$Y$38+'TUSD BF'!$Y$38+'TUSD CVA'!$Y$38)*(1 - CUSTOS!$M$40)</f>
        <v>0</v>
      </c>
      <c r="Y38" s="17">
        <f>('TUSD BE'!$Z$38+'TUSD BF'!$Z$38+'TUSD CVA'!$Z$38)*(1 - CUSTOS!$M$40)</f>
        <v>0</v>
      </c>
      <c r="Z38" s="17">
        <f>('TUSD BE'!$AA$38+'TUSD BF'!$AA$38+'TUSD CVA'!$AA$38)*(1 - CUSTOS!$M$40)</f>
        <v>0</v>
      </c>
      <c r="AA38" s="17">
        <f>('TUSD BE'!$AC$38+'TUSD BF'!$AC$38+'TUSD CVA'!$AC$38)*(1 - CUSTOS!$M$40)</f>
        <v>513.13091661656244</v>
      </c>
      <c r="AB38" s="17">
        <f ca="1">('TUSD BE'!$AE$38+'TUSD BF'!$AE$38+'TUSD CVA'!$AE$38)*(1 - CUSTOS!$M$40)</f>
        <v>-148.67964142555405</v>
      </c>
      <c r="AC38" s="17">
        <f ca="1">('TUSD BE'!$AF$38+'TUSD BF'!$AF$38+'TUSD CVA'!$AF$38)*(1 - CUSTOS!$M$40)</f>
        <v>0</v>
      </c>
      <c r="AD38" s="17">
        <f>('TUSD BE'!$AH$38+'TUSD BF'!$AH$38+'TUSD CVA'!$AH$38)*(1 - CUSTOS!$M$40)</f>
        <v>19.393895136786661</v>
      </c>
      <c r="AE38" s="17">
        <f>('TUSD BE'!$AI$38+'TUSD BF'!$AI$38+'TUSD CVA'!$AI$38)*(1 - CUSTOS!$M$40)</f>
        <v>0</v>
      </c>
      <c r="AF38" s="17">
        <f ca="1">('TUSD BE'!$AJ$38+'TUSD BF'!$AJ$38+'TUSD CVA'!$AJ$38)*(1 - CUSTOS!$M$40)</f>
        <v>0.69790405294514912</v>
      </c>
      <c r="AG38" s="17">
        <f ca="1">('TUSD BE'!$AK$38+'TUSD BF'!$AK$38+'TUSD CVA'!$AK$38)*(1 - CUSTOS!$M$40)</f>
        <v>0.40658291994827683</v>
      </c>
      <c r="AI38" s="17">
        <v>6.1862428366659303</v>
      </c>
      <c r="AJ38" s="17">
        <v>0.807439652421304</v>
      </c>
      <c r="AK38" s="17">
        <v>9.7928538770723392</v>
      </c>
      <c r="AL38" s="17">
        <v>0</v>
      </c>
      <c r="AM38" s="17">
        <v>0</v>
      </c>
      <c r="AN38" s="17">
        <v>48.238660848824097</v>
      </c>
      <c r="AO38" s="17">
        <v>7.6740313967572602</v>
      </c>
      <c r="AP38" s="17">
        <v>0</v>
      </c>
      <c r="AQ38" s="17">
        <v>85.290961770776306</v>
      </c>
      <c r="AR38" s="17">
        <v>62.215690685396297</v>
      </c>
      <c r="AS38" s="17">
        <v>4.5945094184900697</v>
      </c>
      <c r="AT38" s="17">
        <v>0</v>
      </c>
      <c r="AU38" s="17">
        <v>0</v>
      </c>
      <c r="AV38" s="17">
        <v>0</v>
      </c>
      <c r="AW38" s="17">
        <v>0</v>
      </c>
      <c r="AX38" s="17">
        <v>639.04351852196305</v>
      </c>
      <c r="AY38" s="17">
        <v>0</v>
      </c>
      <c r="AZ38" s="17">
        <v>0</v>
      </c>
      <c r="BA38" s="17">
        <v>17.1442811089073</v>
      </c>
      <c r="BB38" s="17">
        <v>0</v>
      </c>
      <c r="BC38" s="17">
        <v>0.94110689627759103</v>
      </c>
      <c r="BD38" s="17">
        <v>-1.6516997359357799</v>
      </c>
    </row>
    <row r="39" spans="1:56" ht="11.25" customHeight="1" x14ac:dyDescent="0.25">
      <c r="A39" s="166"/>
      <c r="B39" s="166"/>
      <c r="C39" s="166"/>
      <c r="D39" s="166"/>
      <c r="E39" s="166"/>
      <c r="F39" s="166"/>
      <c r="G39" s="57" t="s">
        <v>92</v>
      </c>
      <c r="H39" s="57" t="s">
        <v>78</v>
      </c>
      <c r="I39" s="57">
        <f>'MERCADO TUSD'!$U$36</f>
        <v>0</v>
      </c>
      <c r="J39" s="16"/>
      <c r="L39" s="17">
        <f>('TUSD BE'!$L$39+'TUSD BF'!$L$39+'TUSD CVA'!$L$39)*(1 - CUSTOS!$M$40)</f>
        <v>6.3715109587303695</v>
      </c>
      <c r="M39" s="17">
        <f>('TUSD BE'!$M$39+'TUSD BF'!$M$39+'TUSD CVA'!$M$39)*(1 - CUSTOS!$M$40)</f>
        <v>0.77614293335519913</v>
      </c>
      <c r="N39" s="17">
        <f ca="1">('TUSD BE'!$N$39+'TUSD BF'!$N$39+'TUSD CVA'!$N$39)*(1 - CUSTOS!$M$40)</f>
        <v>2.6159975620316884</v>
      </c>
      <c r="O39" s="17">
        <f>('TUSD BE'!$O$39+'TUSD BF'!$O$39+'TUSD CVA'!$O$39)*(1 - CUSTOS!$M$40)</f>
        <v>0</v>
      </c>
      <c r="P39" s="17">
        <f>('TUSD BE'!$P$39+'TUSD BF'!$P$39+'TUSD CVA'!$P$39)*(1 - CUSTOS!$M$40)</f>
        <v>0</v>
      </c>
      <c r="Q39" s="17">
        <f>('TUSD BE'!$Q$39+'TUSD BF'!$Q$39+'TUSD CVA'!$Q$39)*(1 - CUSTOS!$M$40)</f>
        <v>91.92445527878472</v>
      </c>
      <c r="R39" s="17">
        <f>('TUSD BE'!$R$39+'TUSD BF'!$R$39+'TUSD CVA'!$R$39)*(1 - CUSTOS!$M$40)</f>
        <v>15.397225912025316</v>
      </c>
      <c r="S39" s="17">
        <f>('TUSD BE'!$S$39+'TUSD BF'!$S$39+'TUSD CVA'!$S$39)*(1 - CUSTOS!$M$40)</f>
        <v>0</v>
      </c>
      <c r="T39" s="17">
        <f>('TUSD BE'!$U$39+'TUSD BF'!$U$39+'TUSD CVA'!$U$39)*(1 - CUSTOS!$M$40)</f>
        <v>37.391737845900636</v>
      </c>
      <c r="U39" s="17">
        <f>('TUSD BE'!$V$39+'TUSD BF'!$V$39+'TUSD CVA'!$V$39)*(1 - CUSTOS!$M$40)</f>
        <v>31.503499039674651</v>
      </c>
      <c r="V39" s="17">
        <f>('TUSD BE'!$W$39+'TUSD BF'!$W$39+'TUSD CVA'!$W$39)*(1 - CUSTOS!$M$40)</f>
        <v>5.5471685368575452</v>
      </c>
      <c r="W39" s="17">
        <f>('TUSD BE'!$X$39+'TUSD BF'!$X$39+'TUSD CVA'!$X$39)*(1 - CUSTOS!$M$40)</f>
        <v>0</v>
      </c>
      <c r="X39" s="17">
        <f>('TUSD BE'!$Y$39+'TUSD BF'!$Y$39+'TUSD CVA'!$Y$39)*(1 - CUSTOS!$M$40)</f>
        <v>0</v>
      </c>
      <c r="Y39" s="17">
        <f>('TUSD BE'!$Z$39+'TUSD BF'!$Z$39+'TUSD CVA'!$Z$39)*(1 - CUSTOS!$M$40)</f>
        <v>0</v>
      </c>
      <c r="Z39" s="17">
        <f>('TUSD BE'!$AA$39+'TUSD BF'!$AA$39+'TUSD CVA'!$AA$39)*(1 - CUSTOS!$M$40)</f>
        <v>0</v>
      </c>
      <c r="AA39" s="17">
        <f>('TUSD BE'!$AC$39+'TUSD BF'!$AC$39+'TUSD CVA'!$AC$39)*(1 - CUSTOS!$M$40)</f>
        <v>205.25232996458632</v>
      </c>
      <c r="AB39" s="17">
        <f ca="1">('TUSD BE'!$AE$39+'TUSD BF'!$AE$39+'TUSD CVA'!$AE$39)*(1 - CUSTOS!$M$40)</f>
        <v>-72.445252914967483</v>
      </c>
      <c r="AC39" s="17">
        <f ca="1">('TUSD BE'!$AF$39+'TUSD BF'!$AF$39+'TUSD CVA'!$AF$39)*(1 - CUSTOS!$M$40)</f>
        <v>0</v>
      </c>
      <c r="AD39" s="17">
        <f>('TUSD BE'!$AH$39+'TUSD BF'!$AH$39+'TUSD CVA'!$AH$39)*(1 - CUSTOS!$M$40)</f>
        <v>19.393895136786661</v>
      </c>
      <c r="AE39" s="17">
        <f>('TUSD BE'!$AI$39+'TUSD BF'!$AI$39+'TUSD CVA'!$AI$39)*(1 - CUSTOS!$M$40)</f>
        <v>0</v>
      </c>
      <c r="AF39" s="17">
        <f ca="1">('TUSD BE'!$AJ$39+'TUSD BF'!$AJ$39+'TUSD CVA'!$AJ$39)*(1 - CUSTOS!$M$40)</f>
        <v>0.69790405294514912</v>
      </c>
      <c r="AG39" s="17">
        <f ca="1">('TUSD BE'!$AK$39+'TUSD BF'!$AK$39+'TUSD CVA'!$AK$39)*(1 - CUSTOS!$M$40)</f>
        <v>0.40658291994827683</v>
      </c>
      <c r="AI39" s="17">
        <v>6.1862428366659303</v>
      </c>
      <c r="AJ39" s="17">
        <v>0.807439652421304</v>
      </c>
      <c r="AK39" s="17">
        <v>5.0798472647434902</v>
      </c>
      <c r="AL39" s="17">
        <v>0</v>
      </c>
      <c r="AM39" s="17">
        <v>0</v>
      </c>
      <c r="AN39" s="17">
        <v>48.238660848824097</v>
      </c>
      <c r="AO39" s="17">
        <v>7.6740313967572602</v>
      </c>
      <c r="AP39" s="17">
        <v>0</v>
      </c>
      <c r="AQ39" s="17">
        <v>42.600828803681999</v>
      </c>
      <c r="AR39" s="17">
        <v>31.075226313105201</v>
      </c>
      <c r="AS39" s="17">
        <v>2.2948651391014701</v>
      </c>
      <c r="AT39" s="17">
        <v>0</v>
      </c>
      <c r="AU39" s="17">
        <v>0</v>
      </c>
      <c r="AV39" s="17">
        <v>0</v>
      </c>
      <c r="AW39" s="17">
        <v>0</v>
      </c>
      <c r="AX39" s="17">
        <v>319.18722748115101</v>
      </c>
      <c r="AY39" s="17">
        <v>0</v>
      </c>
      <c r="AZ39" s="17">
        <v>0</v>
      </c>
      <c r="BA39" s="17">
        <v>17.1442811089073</v>
      </c>
      <c r="BB39" s="17">
        <v>0</v>
      </c>
      <c r="BC39" s="17">
        <v>0.94110689627759103</v>
      </c>
      <c r="BD39" s="17">
        <v>-1.6516997359357799</v>
      </c>
    </row>
    <row r="40" spans="1:56" ht="11.25" customHeight="1" x14ac:dyDescent="0.25">
      <c r="A40" s="166"/>
      <c r="B40" s="166"/>
      <c r="C40" s="166"/>
      <c r="D40" s="166"/>
      <c r="E40" s="166"/>
      <c r="F40" s="166"/>
      <c r="G40" s="57" t="s">
        <v>80</v>
      </c>
      <c r="H40" s="57" t="s">
        <v>78</v>
      </c>
      <c r="I40" s="57">
        <f>'MERCADO TUSD'!$U$37</f>
        <v>0</v>
      </c>
      <c r="J40" s="16"/>
      <c r="L40" s="17">
        <f>('TUSD BE'!$L$40+'TUSD BF'!$L$40+'TUSD CVA'!$L$40)*(1 - CUSTOS!$M$40)</f>
        <v>6.3715109587303695</v>
      </c>
      <c r="M40" s="17">
        <f>('TUSD BE'!$M$40+'TUSD BF'!$M$40+'TUSD CVA'!$M$40)*(1 - CUSTOS!$M$40)</f>
        <v>0.77614293335519913</v>
      </c>
      <c r="N40" s="17">
        <f ca="1">('TUSD BE'!$N$40+'TUSD BF'!$N$40+'TUSD CVA'!$N$40)*(1 - CUSTOS!$M$40)</f>
        <v>1.4850364080950966</v>
      </c>
      <c r="O40" s="17">
        <f>('TUSD BE'!$O$40+'TUSD BF'!$O$40+'TUSD CVA'!$O$40)*(1 - CUSTOS!$M$40)</f>
        <v>0</v>
      </c>
      <c r="P40" s="17">
        <f>('TUSD BE'!$P$40+'TUSD BF'!$P$40+'TUSD CVA'!$P$40)*(1 - CUSTOS!$M$40)</f>
        <v>0</v>
      </c>
      <c r="Q40" s="17">
        <f>('TUSD BE'!$Q$40+'TUSD BF'!$Q$40+'TUSD CVA'!$Q$40)*(1 - CUSTOS!$M$40)</f>
        <v>91.92445527878472</v>
      </c>
      <c r="R40" s="17">
        <f>('TUSD BE'!$R$40+'TUSD BF'!$R$40+'TUSD CVA'!$R$40)*(1 - CUSTOS!$M$40)</f>
        <v>15.397225912025316</v>
      </c>
      <c r="S40" s="17">
        <f>('TUSD BE'!$S$40+'TUSD BF'!$S$40+'TUSD CVA'!$S$40)*(1 - CUSTOS!$M$40)</f>
        <v>0</v>
      </c>
      <c r="T40" s="17">
        <f>('TUSD BE'!$U$40+'TUSD BF'!$U$40+'TUSD CVA'!$U$40)*(1 - CUSTOS!$M$40)</f>
        <v>18.695799506994032</v>
      </c>
      <c r="U40" s="17">
        <f>('TUSD BE'!$V$40+'TUSD BF'!$V$40+'TUSD CVA'!$V$40)*(1 - CUSTOS!$M$40)</f>
        <v>15.751749519837325</v>
      </c>
      <c r="V40" s="17">
        <f>('TUSD BE'!$W$40+'TUSD BF'!$W$40+'TUSD CVA'!$W$40)*(1 - CUSTOS!$M$40)</f>
        <v>2.7735382422382284</v>
      </c>
      <c r="W40" s="17">
        <f>('TUSD BE'!$X$40+'TUSD BF'!$X$40+'TUSD CVA'!$X$40)*(1 - CUSTOS!$M$40)</f>
        <v>0</v>
      </c>
      <c r="X40" s="17">
        <f>('TUSD BE'!$Y$40+'TUSD BF'!$Y$40+'TUSD CVA'!$Y$40)*(1 - CUSTOS!$M$40)</f>
        <v>0</v>
      </c>
      <c r="Y40" s="17">
        <f>('TUSD BE'!$Z$40+'TUSD BF'!$Z$40+'TUSD CVA'!$Z$40)*(1 - CUSTOS!$M$40)</f>
        <v>0</v>
      </c>
      <c r="Z40" s="17">
        <f>('TUSD BE'!$AA$40+'TUSD BF'!$AA$40+'TUSD CVA'!$AA$40)*(1 - CUSTOS!$M$40)</f>
        <v>0</v>
      </c>
      <c r="AA40" s="17">
        <f>('TUSD BE'!$AC$40+'TUSD BF'!$AC$40+'TUSD CVA'!$AC$40)*(1 - CUSTOS!$M$40)</f>
        <v>102.62616498229316</v>
      </c>
      <c r="AB40" s="17">
        <f ca="1">('TUSD BE'!$AE$40+'TUSD BF'!$AE$40+'TUSD CVA'!$AE$40)*(1 - CUSTOS!$M$40)</f>
        <v>-47.033771754554976</v>
      </c>
      <c r="AC40" s="17">
        <f ca="1">('TUSD BE'!$AF$40+'TUSD BF'!$AF$40+'TUSD CVA'!$AF$40)*(1 - CUSTOS!$M$40)</f>
        <v>0</v>
      </c>
      <c r="AD40" s="17">
        <f>('TUSD BE'!$AH$40+'TUSD BF'!$AH$40+'TUSD CVA'!$AH$40)*(1 - CUSTOS!$M$40)</f>
        <v>19.393895136786661</v>
      </c>
      <c r="AE40" s="17">
        <f>('TUSD BE'!$AI$40+'TUSD BF'!$AI$40+'TUSD CVA'!$AI$40)*(1 - CUSTOS!$M$40)</f>
        <v>0</v>
      </c>
      <c r="AF40" s="17">
        <f ca="1">('TUSD BE'!$AJ$40+'TUSD BF'!$AJ$40+'TUSD CVA'!$AJ$40)*(1 - CUSTOS!$M$40)</f>
        <v>0.69790405294514912</v>
      </c>
      <c r="AG40" s="17">
        <f ca="1">('TUSD BE'!$AK$40+'TUSD BF'!$AK$40+'TUSD CVA'!$AK$40)*(1 - CUSTOS!$M$40)</f>
        <v>0.40658291994827683</v>
      </c>
      <c r="AI40" s="17">
        <v>6.1862428366659303</v>
      </c>
      <c r="AJ40" s="17">
        <v>0.807439652421304</v>
      </c>
      <c r="AK40" s="17">
        <v>1.36268311833068</v>
      </c>
      <c r="AL40" s="17">
        <v>0</v>
      </c>
      <c r="AM40" s="17">
        <v>0</v>
      </c>
      <c r="AN40" s="17">
        <v>48.238660848824097</v>
      </c>
      <c r="AO40" s="17">
        <v>7.6740313967572602</v>
      </c>
      <c r="AP40" s="17">
        <v>0</v>
      </c>
      <c r="AQ40" s="17">
        <v>8.9309810468802997</v>
      </c>
      <c r="AR40" s="17">
        <v>6.5146972084362798</v>
      </c>
      <c r="AS40" s="17">
        <v>0.48108386665893099</v>
      </c>
      <c r="AT40" s="17">
        <v>0</v>
      </c>
      <c r="AU40" s="17">
        <v>0</v>
      </c>
      <c r="AV40" s="17">
        <v>0</v>
      </c>
      <c r="AW40" s="17">
        <v>0</v>
      </c>
      <c r="AX40" s="17">
        <v>66.915529760935598</v>
      </c>
      <c r="AY40" s="17">
        <v>0</v>
      </c>
      <c r="AZ40" s="17">
        <v>0</v>
      </c>
      <c r="BA40" s="17">
        <v>17.1442811089073</v>
      </c>
      <c r="BB40" s="17">
        <v>0</v>
      </c>
      <c r="BC40" s="17">
        <v>0.94110689627759103</v>
      </c>
      <c r="BD40" s="17">
        <v>-1.6516997359357799</v>
      </c>
    </row>
    <row r="41" spans="1:56" ht="11.25" customHeight="1" x14ac:dyDescent="0.25">
      <c r="A41" s="166"/>
      <c r="B41" s="115" t="s">
        <v>23</v>
      </c>
      <c r="C41" s="115" t="s">
        <v>43</v>
      </c>
      <c r="D41" s="115" t="s">
        <v>96</v>
      </c>
      <c r="E41" s="115" t="s">
        <v>25</v>
      </c>
      <c r="F41" s="115" t="s">
        <v>25</v>
      </c>
      <c r="G41" s="57" t="s">
        <v>82</v>
      </c>
      <c r="H41" s="57" t="s">
        <v>78</v>
      </c>
      <c r="I41" s="57">
        <f>'MERCADO TUSD'!$U$38</f>
        <v>0</v>
      </c>
      <c r="J41" s="16"/>
      <c r="L41" s="17">
        <f>('TUSD BE'!$L$41+'TUSD BF'!$L$41+'TUSD CVA'!$L$41)*(1 - CUSTOS!$M$40)</f>
        <v>6.3715109587303695</v>
      </c>
      <c r="M41" s="17">
        <f>('TUSD BE'!$M$41+'TUSD BF'!$M$41+'TUSD CVA'!$M$41)*(1 - CUSTOS!$M$40)</f>
        <v>0.77614293335519913</v>
      </c>
      <c r="N41" s="17">
        <f ca="1">('TUSD BE'!$N$41+'TUSD BF'!$N$41+'TUSD CVA'!$N$41)*(1 - CUSTOS!$M$40)</f>
        <v>2.0676530820392829</v>
      </c>
      <c r="O41" s="17">
        <f>('TUSD BE'!$O$41+'TUSD BF'!$O$41+'TUSD CVA'!$O$41)*(1 - CUSTOS!$M$40)</f>
        <v>0</v>
      </c>
      <c r="P41" s="17">
        <f>('TUSD BE'!$P$41+'TUSD BF'!$P$41+'TUSD CVA'!$P$41)*(1 - CUSTOS!$M$40)</f>
        <v>0</v>
      </c>
      <c r="Q41" s="17">
        <f>('TUSD BE'!$Q$41+'TUSD BF'!$Q$41+'TUSD CVA'!$Q$41)*(1 - CUSTOS!$M$40)</f>
        <v>91.92445527878472</v>
      </c>
      <c r="R41" s="17">
        <f>('TUSD BE'!$R$41+'TUSD BF'!$R$41+'TUSD CVA'!$R$41)*(1 - CUSTOS!$M$40)</f>
        <v>15.397225912025316</v>
      </c>
      <c r="S41" s="17">
        <f>('TUSD BE'!$S$41+'TUSD BF'!$S$41+'TUSD CVA'!$S$41)*(1 - CUSTOS!$M$40)</f>
        <v>0</v>
      </c>
      <c r="T41" s="17">
        <f>('TUSD BE'!$U$41+'TUSD BF'!$U$41+'TUSD CVA'!$U$41)*(1 - CUSTOS!$M$40)</f>
        <v>28.326985778101573</v>
      </c>
      <c r="U41" s="17">
        <f>('TUSD BE'!$V$41+'TUSD BF'!$V$41+'TUSD CVA'!$V$41)*(1 - CUSTOS!$M$40)</f>
        <v>23.866320528023788</v>
      </c>
      <c r="V41" s="17">
        <f>('TUSD BE'!$W$41+'TUSD BF'!$W$41+'TUSD CVA'!$W$41)*(1 - CUSTOS!$M$40)</f>
        <v>4.2023753015154197</v>
      </c>
      <c r="W41" s="17">
        <f>('TUSD BE'!$X$41+'TUSD BF'!$X$41+'TUSD CVA'!$X$41)*(1 - CUSTOS!$M$40)</f>
        <v>0</v>
      </c>
      <c r="X41" s="17">
        <f>('TUSD BE'!$Y$41+'TUSD BF'!$Y$41+'TUSD CVA'!$Y$41)*(1 - CUSTOS!$M$40)</f>
        <v>0</v>
      </c>
      <c r="Y41" s="17">
        <f>('TUSD BE'!$Z$41+'TUSD BF'!$Z$41+'TUSD CVA'!$Z$41)*(1 - CUSTOS!$M$40)</f>
        <v>0</v>
      </c>
      <c r="Z41" s="17">
        <f>('TUSD BE'!$AA$41+'TUSD BF'!$AA$41+'TUSD CVA'!$AA$41)*(1 - CUSTOS!$M$40)</f>
        <v>0</v>
      </c>
      <c r="AA41" s="17">
        <f>('TUSD BE'!$AC$41+'TUSD BF'!$AC$41+'TUSD CVA'!$AC$41)*(1 - CUSTOS!$M$40)</f>
        <v>155.49424494595735</v>
      </c>
      <c r="AB41" s="17">
        <f ca="1">('TUSD BE'!$AE$41+'TUSD BF'!$AE$41+'TUSD CVA'!$AE$41)*(1 - CUSTOS!$M$40)</f>
        <v>-60.124540717089417</v>
      </c>
      <c r="AC41" s="17">
        <f ca="1">('TUSD BE'!$AF$41+'TUSD BF'!$AF$41+'TUSD CVA'!$AF$41)*(1 - CUSTOS!$M$40)</f>
        <v>0</v>
      </c>
      <c r="AD41" s="17">
        <f>('TUSD BE'!$AH$41+'TUSD BF'!$AH$41+'TUSD CVA'!$AH$41)*(1 - CUSTOS!$M$40)</f>
        <v>19.393895136786661</v>
      </c>
      <c r="AE41" s="17">
        <f>('TUSD BE'!$AI$41+'TUSD BF'!$AI$41+'TUSD CVA'!$AI$41)*(1 - CUSTOS!$M$40)</f>
        <v>0</v>
      </c>
      <c r="AF41" s="17">
        <f ca="1">('TUSD BE'!$AJ$41+'TUSD BF'!$AJ$41+'TUSD CVA'!$AJ$41)*(1 - CUSTOS!$M$40)</f>
        <v>0.69790405294514912</v>
      </c>
      <c r="AG41" s="17">
        <f ca="1">('TUSD BE'!$AK$41+'TUSD BF'!$AK$41+'TUSD CVA'!$AK$41)*(1 - CUSTOS!$M$40)</f>
        <v>0.40658291994827683</v>
      </c>
      <c r="AI41" s="17">
        <v>6.1862428366659303</v>
      </c>
      <c r="AJ41" s="17">
        <v>0.807439652421304</v>
      </c>
      <c r="AK41" s="17">
        <v>2.6696869070106399</v>
      </c>
      <c r="AL41" s="17">
        <v>0</v>
      </c>
      <c r="AM41" s="17">
        <v>0</v>
      </c>
      <c r="AN41" s="17">
        <v>48.238660848824097</v>
      </c>
      <c r="AO41" s="17">
        <v>7.6740313967572602</v>
      </c>
      <c r="AP41" s="17">
        <v>0</v>
      </c>
      <c r="AQ41" s="17">
        <v>20.769712108247099</v>
      </c>
      <c r="AR41" s="17">
        <v>15.150492975157199</v>
      </c>
      <c r="AS41" s="17">
        <v>1.1188552613031799</v>
      </c>
      <c r="AT41" s="17">
        <v>0</v>
      </c>
      <c r="AU41" s="17">
        <v>0</v>
      </c>
      <c r="AV41" s="17">
        <v>0</v>
      </c>
      <c r="AW41" s="17">
        <v>0</v>
      </c>
      <c r="AX41" s="17">
        <v>155.61757528229299</v>
      </c>
      <c r="AY41" s="17">
        <v>0</v>
      </c>
      <c r="AZ41" s="17">
        <v>0</v>
      </c>
      <c r="BA41" s="17">
        <v>17.1442811089073</v>
      </c>
      <c r="BB41" s="17">
        <v>0</v>
      </c>
      <c r="BC41" s="17">
        <v>0.94110689627759103</v>
      </c>
      <c r="BD41" s="17">
        <v>-1.6516997359357799</v>
      </c>
    </row>
    <row r="42" spans="1:56" ht="11.25" customHeight="1" x14ac:dyDescent="0.25">
      <c r="A42" s="166"/>
      <c r="B42" s="166" t="s">
        <v>94</v>
      </c>
      <c r="C42" s="166" t="s">
        <v>43</v>
      </c>
      <c r="D42" s="115" t="s">
        <v>25</v>
      </c>
      <c r="E42" s="115" t="s">
        <v>25</v>
      </c>
      <c r="F42" s="115" t="s">
        <v>25</v>
      </c>
      <c r="G42" s="57" t="s">
        <v>82</v>
      </c>
      <c r="H42" s="57" t="s">
        <v>78</v>
      </c>
      <c r="I42" s="57">
        <f>'MERCADO TUSD'!$U$39</f>
        <v>0</v>
      </c>
      <c r="J42" s="16"/>
      <c r="L42" s="17">
        <f>('TUSD BE'!$L$42+'TUSD BF'!$L$42+'TUSD CVA'!$L$42)*(1 - CUSTOS!$M$38)</f>
        <v>6.5100220665288555</v>
      </c>
      <c r="M42" s="17">
        <f>('TUSD BE'!$M$42+'TUSD BF'!$M$42+'TUSD CVA'!$M$42)*(1 - CUSTOS!$M$38)</f>
        <v>0.79301560581944253</v>
      </c>
      <c r="N42" s="17">
        <f ca="1">('TUSD BE'!$N$42+'TUSD BF'!$N$42+'TUSD CVA'!$N$42)*(1 - CUSTOS!$M$38)</f>
        <v>2.112602062083615</v>
      </c>
      <c r="O42" s="17">
        <f>('TUSD BE'!$O$42+'TUSD BF'!$O$42+'TUSD CVA'!$O$42)*(1 - CUSTOS!$M$38)</f>
        <v>0</v>
      </c>
      <c r="P42" s="17">
        <f>('TUSD BE'!$P$42+'TUSD BF'!$P$42+'TUSD CVA'!$P$42)*(1 - CUSTOS!$M$38)</f>
        <v>0</v>
      </c>
      <c r="Q42" s="17">
        <f>('TUSD BE'!$Q$42+'TUSD BF'!$Q$42+'TUSD CVA'!$Q$42)*(1 - CUSTOS!$M$38)</f>
        <v>93.922813002236552</v>
      </c>
      <c r="R42" s="17">
        <f>('TUSD BE'!$R$42+'TUSD BF'!$R$42+'TUSD CVA'!$R$42)*(1 - CUSTOS!$M$38)</f>
        <v>15.731948214460648</v>
      </c>
      <c r="S42" s="17">
        <f>('TUSD BE'!$S$42+'TUSD BF'!$S$42+'TUSD CVA'!$S$42)*(1 - CUSTOS!$M$38)</f>
        <v>0</v>
      </c>
      <c r="T42" s="17">
        <f>('TUSD BE'!$U$42+'TUSD BF'!$U$42+'TUSD CVA'!$U$42)*(1 - CUSTOS!$M$38)</f>
        <v>28.942789816755951</v>
      </c>
      <c r="U42" s="17">
        <f>('TUSD BE'!$V$42+'TUSD BF'!$V$42+'TUSD CVA'!$V$42)*(1 - CUSTOS!$M$38)</f>
        <v>24.385153582980827</v>
      </c>
      <c r="V42" s="17">
        <f>('TUSD BE'!$W$42+'TUSD BF'!$W$42+'TUSD CVA'!$W$42)*(1 - CUSTOS!$M$38)</f>
        <v>4.2937312863309716</v>
      </c>
      <c r="W42" s="17">
        <f>('TUSD BE'!$X$42+'TUSD BF'!$X$42+'TUSD CVA'!$X$42)*(1 - CUSTOS!$M$38)</f>
        <v>0</v>
      </c>
      <c r="X42" s="17">
        <f>('TUSD BE'!$Y$42+'TUSD BF'!$Y$42+'TUSD CVA'!$Y$42)*(1 - CUSTOS!$M$38)</f>
        <v>0</v>
      </c>
      <c r="Y42" s="17">
        <f>('TUSD BE'!$Z$42+'TUSD BF'!$Z$42+'TUSD CVA'!$Z$42)*(1 - CUSTOS!$M$38)</f>
        <v>0</v>
      </c>
      <c r="Z42" s="17">
        <f>('TUSD BE'!$AA$42+'TUSD BF'!$AA$42+'TUSD CVA'!$AA$42)*(1 - CUSTOS!$M$38)</f>
        <v>0</v>
      </c>
      <c r="AA42" s="17">
        <f>('TUSD BE'!$AC$42+'TUSD BF'!$AC$42+'TUSD CVA'!$AC$42)*(1 - CUSTOS!$M$38)</f>
        <v>158.87455461869553</v>
      </c>
      <c r="AB42" s="17">
        <f ca="1">('TUSD BE'!$AE$42+'TUSD BF'!$AE$42+'TUSD CVA'!$AE$42)*(1 - CUSTOS!$M$38)</f>
        <v>-61.431595950069614</v>
      </c>
      <c r="AC42" s="17">
        <f ca="1">('TUSD BE'!$AF$42+'TUSD BF'!$AF$42+'TUSD CVA'!$AF$42)*(1 - CUSTOS!$M$38)</f>
        <v>0</v>
      </c>
      <c r="AD42" s="17">
        <f>('TUSD BE'!$AH$42+'TUSD BF'!$AH$42+'TUSD CVA'!$AH$42)*(1 - CUSTOS!$M$38)</f>
        <v>19.815501552803759</v>
      </c>
      <c r="AE42" s="17">
        <f>('TUSD BE'!$AI$42+'TUSD BF'!$AI$42+'TUSD CVA'!$AI$42)*(1 - CUSTOS!$M$38)</f>
        <v>0</v>
      </c>
      <c r="AF42" s="17">
        <f ca="1">('TUSD BE'!$AJ$42+'TUSD BF'!$AJ$42+'TUSD CVA'!$AJ$42)*(1 - CUSTOS!$M$38)</f>
        <v>0.71307588018308699</v>
      </c>
      <c r="AG42" s="17">
        <f ca="1">('TUSD BE'!$AK$42+'TUSD BF'!$AK$42+'TUSD CVA'!$AK$42)*(1 - CUSTOS!$M$38)</f>
        <v>0.41542167907758715</v>
      </c>
      <c r="AI42" s="17">
        <v>6.4808258288881202</v>
      </c>
      <c r="AJ42" s="17">
        <v>0.84588915967946099</v>
      </c>
      <c r="AK42" s="17">
        <v>2.7968148549635199</v>
      </c>
      <c r="AL42" s="17">
        <v>0</v>
      </c>
      <c r="AM42" s="17">
        <v>0</v>
      </c>
      <c r="AN42" s="17">
        <v>50.535739936863301</v>
      </c>
      <c r="AO42" s="17">
        <v>8.0394614632695092</v>
      </c>
      <c r="AP42" s="17">
        <v>0</v>
      </c>
      <c r="AQ42" s="17">
        <v>21.758746018163599</v>
      </c>
      <c r="AR42" s="17">
        <v>15.8719450215933</v>
      </c>
      <c r="AS42" s="17">
        <v>1.17213408327</v>
      </c>
      <c r="AT42" s="17">
        <v>0</v>
      </c>
      <c r="AU42" s="17">
        <v>0</v>
      </c>
      <c r="AV42" s="17">
        <v>0</v>
      </c>
      <c r="AW42" s="17">
        <v>0</v>
      </c>
      <c r="AX42" s="17">
        <v>163.02793601002099</v>
      </c>
      <c r="AY42" s="17">
        <v>0</v>
      </c>
      <c r="AZ42" s="17">
        <v>0</v>
      </c>
      <c r="BA42" s="17">
        <v>17.960675447426699</v>
      </c>
      <c r="BB42" s="17">
        <v>0</v>
      </c>
      <c r="BC42" s="17">
        <v>0.98592151038604803</v>
      </c>
      <c r="BD42" s="17">
        <v>-1.73035210431367</v>
      </c>
    </row>
    <row r="43" spans="1:56" ht="11.25" customHeight="1" x14ac:dyDescent="0.25">
      <c r="A43" s="166"/>
      <c r="B43" s="166"/>
      <c r="C43" s="166"/>
      <c r="D43" s="115" t="s">
        <v>95</v>
      </c>
      <c r="E43" s="115" t="s">
        <v>25</v>
      </c>
      <c r="F43" s="115" t="s">
        <v>25</v>
      </c>
      <c r="G43" s="57" t="s">
        <v>82</v>
      </c>
      <c r="H43" s="57" t="s">
        <v>78</v>
      </c>
      <c r="I43" s="57">
        <f>'MERCADO TUSD'!$U$40</f>
        <v>0</v>
      </c>
      <c r="J43" s="16"/>
      <c r="L43" s="17">
        <f>('TUSD BE'!$L$43+'TUSD BF'!$L$43+'TUSD CVA'!$L$43)*(1 - CUSTOS!$M$39)</f>
        <v>6.5100220665288555</v>
      </c>
      <c r="M43" s="17">
        <f>('TUSD BE'!$M$43+'TUSD BF'!$M$43+'TUSD CVA'!$M$43)*(1 - CUSTOS!$M$39)</f>
        <v>0.79301560581944253</v>
      </c>
      <c r="N43" s="17">
        <f ca="1">('TUSD BE'!$N$43+'TUSD BF'!$N$43+'TUSD CVA'!$N$43)*(1 - CUSTOS!$M$39)</f>
        <v>2.112602062083615</v>
      </c>
      <c r="O43" s="17">
        <f>('TUSD BE'!$O$43+'TUSD BF'!$O$43+'TUSD CVA'!$O$43)*(1 - CUSTOS!$M$39)</f>
        <v>0</v>
      </c>
      <c r="P43" s="17">
        <f>('TUSD BE'!$P$43+'TUSD BF'!$P$43+'TUSD CVA'!$P$43)*(1 - CUSTOS!$M$39)</f>
        <v>0</v>
      </c>
      <c r="Q43" s="17">
        <f>('TUSD BE'!$Q$43+'TUSD BF'!$Q$43+'TUSD CVA'!$Q$43)*(1 - CUSTOS!$M$39)</f>
        <v>93.922813002236552</v>
      </c>
      <c r="R43" s="17">
        <f>('TUSD BE'!$R$43+'TUSD BF'!$R$43+'TUSD CVA'!$R$43)*(1 - CUSTOS!$M$39)</f>
        <v>15.731948214460648</v>
      </c>
      <c r="S43" s="17">
        <f>('TUSD BE'!$S$43+'TUSD BF'!$S$43+'TUSD CVA'!$S$43)*(1 - CUSTOS!$M$39)</f>
        <v>0</v>
      </c>
      <c r="T43" s="17">
        <f>('TUSD BE'!$U$43+'TUSD BF'!$U$43+'TUSD CVA'!$U$43)*(1 - CUSTOS!$M$39)</f>
        <v>28.942789816755951</v>
      </c>
      <c r="U43" s="17">
        <f>('TUSD BE'!$V$43+'TUSD BF'!$V$43+'TUSD CVA'!$V$43)*(1 - CUSTOS!$M$39)</f>
        <v>24.385153582980827</v>
      </c>
      <c r="V43" s="17">
        <f>('TUSD BE'!$W$43+'TUSD BF'!$W$43+'TUSD CVA'!$W$43)*(1 - CUSTOS!$M$39)</f>
        <v>4.2937312863309716</v>
      </c>
      <c r="W43" s="17">
        <f>('TUSD BE'!$X$43+'TUSD BF'!$X$43+'TUSD CVA'!$X$43)*(1 - CUSTOS!$M$39)</f>
        <v>0</v>
      </c>
      <c r="X43" s="17">
        <f>('TUSD BE'!$Y$43+'TUSD BF'!$Y$43+'TUSD CVA'!$Y$43)*(1 - CUSTOS!$M$39)</f>
        <v>0</v>
      </c>
      <c r="Y43" s="17">
        <f>('TUSD BE'!$Z$43+'TUSD BF'!$Z$43+'TUSD CVA'!$Z$43)*(1 - CUSTOS!$M$39)</f>
        <v>0</v>
      </c>
      <c r="Z43" s="17">
        <f>('TUSD BE'!$AA$43+'TUSD BF'!$AA$43+'TUSD CVA'!$AA$43)*(1 - CUSTOS!$M$39)</f>
        <v>0</v>
      </c>
      <c r="AA43" s="17">
        <f>('TUSD BE'!$AC$43+'TUSD BF'!$AC$43+'TUSD CVA'!$AC$43)*(1 - CUSTOS!$M$39)</f>
        <v>158.87455461869553</v>
      </c>
      <c r="AB43" s="17">
        <f ca="1">('TUSD BE'!$AE$43+'TUSD BF'!$AE$43+'TUSD CVA'!$AE$43)*(1 - CUSTOS!$M$39)</f>
        <v>-61.431595950069614</v>
      </c>
      <c r="AC43" s="17">
        <f ca="1">('TUSD BE'!$AF$43+'TUSD BF'!$AF$43+'TUSD CVA'!$AF$43)*(1 - CUSTOS!$M$39)</f>
        <v>0</v>
      </c>
      <c r="AD43" s="17">
        <f>('TUSD BE'!$AH$43+'TUSD BF'!$AH$43+'TUSD CVA'!$AH$43)*(1 - CUSTOS!$M$39)</f>
        <v>19.815501552803759</v>
      </c>
      <c r="AE43" s="17">
        <f>('TUSD BE'!$AI$43+'TUSD BF'!$AI$43+'TUSD CVA'!$AI$43)*(1 - CUSTOS!$M$39)</f>
        <v>0</v>
      </c>
      <c r="AF43" s="17">
        <f ca="1">('TUSD BE'!$AJ$43+'TUSD BF'!$AJ$43+'TUSD CVA'!$AJ$43)*(1 - CUSTOS!$M$39)</f>
        <v>0.71307588018308699</v>
      </c>
      <c r="AG43" s="17">
        <f ca="1">('TUSD BE'!$AK$43+'TUSD BF'!$AK$43+'TUSD CVA'!$AK$43)*(1 - CUSTOS!$M$39)</f>
        <v>0.41542167907758715</v>
      </c>
      <c r="AI43" s="17">
        <v>6.4808258288881202</v>
      </c>
      <c r="AJ43" s="17">
        <v>0.84588915967946099</v>
      </c>
      <c r="AK43" s="17">
        <v>2.7968148549635199</v>
      </c>
      <c r="AL43" s="17">
        <v>0</v>
      </c>
      <c r="AM43" s="17">
        <v>0</v>
      </c>
      <c r="AN43" s="17">
        <v>50.535739936863301</v>
      </c>
      <c r="AO43" s="17">
        <v>8.0394614632695092</v>
      </c>
      <c r="AP43" s="17">
        <v>0</v>
      </c>
      <c r="AQ43" s="17">
        <v>21.758746018163599</v>
      </c>
      <c r="AR43" s="17">
        <v>15.8719450215933</v>
      </c>
      <c r="AS43" s="17">
        <v>1.17213408327</v>
      </c>
      <c r="AT43" s="17">
        <v>0</v>
      </c>
      <c r="AU43" s="17">
        <v>0</v>
      </c>
      <c r="AV43" s="17">
        <v>0</v>
      </c>
      <c r="AW43" s="17">
        <v>0</v>
      </c>
      <c r="AX43" s="17">
        <v>163.02793601002099</v>
      </c>
      <c r="AY43" s="17">
        <v>0</v>
      </c>
      <c r="AZ43" s="17">
        <v>0</v>
      </c>
      <c r="BA43" s="17">
        <v>17.960675447426699</v>
      </c>
      <c r="BB43" s="17">
        <v>0</v>
      </c>
      <c r="BC43" s="17">
        <v>0.98592151038604803</v>
      </c>
      <c r="BD43" s="17">
        <v>-1.73035210431367</v>
      </c>
    </row>
    <row r="44" spans="1:56" ht="11.25" customHeight="1" x14ac:dyDescent="0.25">
      <c r="A44" s="166"/>
      <c r="B44" s="166"/>
      <c r="C44" s="166"/>
      <c r="D44" s="115" t="s">
        <v>96</v>
      </c>
      <c r="E44" s="115" t="s">
        <v>25</v>
      </c>
      <c r="F44" s="115" t="s">
        <v>25</v>
      </c>
      <c r="G44" s="57" t="s">
        <v>82</v>
      </c>
      <c r="H44" s="57" t="s">
        <v>78</v>
      </c>
      <c r="I44" s="57">
        <f>'MERCADO TUSD'!$U$41</f>
        <v>0</v>
      </c>
      <c r="J44" s="16"/>
      <c r="L44" s="17">
        <f>('TUSD BE'!$L$44+'TUSD BF'!$L$44+'TUSD CVA'!$L$44)*(1 - CUSTOS!$M$40)</f>
        <v>6.3715109587303695</v>
      </c>
      <c r="M44" s="17">
        <f>('TUSD BE'!$M$44+'TUSD BF'!$M$44+'TUSD CVA'!$M$44)*(1 - CUSTOS!$M$40)</f>
        <v>0.77614293335519913</v>
      </c>
      <c r="N44" s="17">
        <f ca="1">('TUSD BE'!$N$44+'TUSD BF'!$N$44+'TUSD CVA'!$N$44)*(1 - CUSTOS!$M$40)</f>
        <v>2.0676530820392829</v>
      </c>
      <c r="O44" s="17">
        <f>('TUSD BE'!$O$44+'TUSD BF'!$O$44+'TUSD CVA'!$O$44)*(1 - CUSTOS!$M$40)</f>
        <v>0</v>
      </c>
      <c r="P44" s="17">
        <f>('TUSD BE'!$P$44+'TUSD BF'!$P$44+'TUSD CVA'!$P$44)*(1 - CUSTOS!$M$40)</f>
        <v>0</v>
      </c>
      <c r="Q44" s="17">
        <f>('TUSD BE'!$Q$44+'TUSD BF'!$Q$44+'TUSD CVA'!$Q$44)*(1 - CUSTOS!$M$40)</f>
        <v>91.92445527878472</v>
      </c>
      <c r="R44" s="17">
        <f>('TUSD BE'!$R$44+'TUSD BF'!$R$44+'TUSD CVA'!$R$44)*(1 - CUSTOS!$M$40)</f>
        <v>15.397225912025316</v>
      </c>
      <c r="S44" s="17">
        <f>('TUSD BE'!$S$44+'TUSD BF'!$S$44+'TUSD CVA'!$S$44)*(1 - CUSTOS!$M$40)</f>
        <v>0</v>
      </c>
      <c r="T44" s="17">
        <f>('TUSD BE'!$U$44+'TUSD BF'!$U$44+'TUSD CVA'!$U$44)*(1 - CUSTOS!$M$40)</f>
        <v>28.326985778101573</v>
      </c>
      <c r="U44" s="17">
        <f>('TUSD BE'!$V$44+'TUSD BF'!$V$44+'TUSD CVA'!$V$44)*(1 - CUSTOS!$M$40)</f>
        <v>23.866320528023788</v>
      </c>
      <c r="V44" s="17">
        <f>('TUSD BE'!$W$44+'TUSD BF'!$W$44+'TUSD CVA'!$W$44)*(1 - CUSTOS!$M$40)</f>
        <v>4.2023753015154197</v>
      </c>
      <c r="W44" s="17">
        <f>('TUSD BE'!$X$44+'TUSD BF'!$X$44+'TUSD CVA'!$X$44)*(1 - CUSTOS!$M$40)</f>
        <v>0</v>
      </c>
      <c r="X44" s="17">
        <f>('TUSD BE'!$Y$44+'TUSD BF'!$Y$44+'TUSD CVA'!$Y$44)*(1 - CUSTOS!$M$40)</f>
        <v>0</v>
      </c>
      <c r="Y44" s="17">
        <f>('TUSD BE'!$Z$44+'TUSD BF'!$Z$44+'TUSD CVA'!$Z$44)*(1 - CUSTOS!$M$40)</f>
        <v>0</v>
      </c>
      <c r="Z44" s="17">
        <f>('TUSD BE'!$AA$44+'TUSD BF'!$AA$44+'TUSD CVA'!$AA$44)*(1 - CUSTOS!$M$40)</f>
        <v>0</v>
      </c>
      <c r="AA44" s="17">
        <f>('TUSD BE'!$AC$44+'TUSD BF'!$AC$44+'TUSD CVA'!$AC$44)*(1 - CUSTOS!$M$40)</f>
        <v>155.49424494595735</v>
      </c>
      <c r="AB44" s="17">
        <f ca="1">('TUSD BE'!$AE$44+'TUSD BF'!$AE$44+'TUSD CVA'!$AE$44)*(1 - CUSTOS!$M$40)</f>
        <v>-60.124540717089417</v>
      </c>
      <c r="AC44" s="17">
        <f ca="1">('TUSD BE'!$AF$44+'TUSD BF'!$AF$44+'TUSD CVA'!$AF$44)*(1 - CUSTOS!$M$40)</f>
        <v>0</v>
      </c>
      <c r="AD44" s="17">
        <f>('TUSD BE'!$AH$44+'TUSD BF'!$AH$44+'TUSD CVA'!$AH$44)*(1 - CUSTOS!$M$40)</f>
        <v>19.393895136786661</v>
      </c>
      <c r="AE44" s="17">
        <f>('TUSD BE'!$AI$44+'TUSD BF'!$AI$44+'TUSD CVA'!$AI$44)*(1 - CUSTOS!$M$40)</f>
        <v>0</v>
      </c>
      <c r="AF44" s="17">
        <f ca="1">('TUSD BE'!$AJ$44+'TUSD BF'!$AJ$44+'TUSD CVA'!$AJ$44)*(1 - CUSTOS!$M$40)</f>
        <v>0.69790405294514912</v>
      </c>
      <c r="AG44" s="17">
        <f ca="1">('TUSD BE'!$AK$44+'TUSD BF'!$AK$44+'TUSD CVA'!$AK$44)*(1 - CUSTOS!$M$40)</f>
        <v>0.40658291994827683</v>
      </c>
      <c r="AI44" s="17">
        <v>6.1862428366659303</v>
      </c>
      <c r="AJ44" s="17">
        <v>0.807439652421304</v>
      </c>
      <c r="AK44" s="17">
        <v>2.6696869070106399</v>
      </c>
      <c r="AL44" s="17">
        <v>0</v>
      </c>
      <c r="AM44" s="17">
        <v>0</v>
      </c>
      <c r="AN44" s="17">
        <v>48.238660848824097</v>
      </c>
      <c r="AO44" s="17">
        <v>7.6740313967572602</v>
      </c>
      <c r="AP44" s="17">
        <v>0</v>
      </c>
      <c r="AQ44" s="17">
        <v>20.769712108247099</v>
      </c>
      <c r="AR44" s="17">
        <v>15.150492975157199</v>
      </c>
      <c r="AS44" s="17">
        <v>1.1188552613031799</v>
      </c>
      <c r="AT44" s="17">
        <v>0</v>
      </c>
      <c r="AU44" s="17">
        <v>0</v>
      </c>
      <c r="AV44" s="17">
        <v>0</v>
      </c>
      <c r="AW44" s="17">
        <v>0</v>
      </c>
      <c r="AX44" s="17">
        <v>155.61757528229299</v>
      </c>
      <c r="AY44" s="17">
        <v>0</v>
      </c>
      <c r="AZ44" s="17">
        <v>0</v>
      </c>
      <c r="BA44" s="17">
        <v>17.1442811089073</v>
      </c>
      <c r="BB44" s="17">
        <v>0</v>
      </c>
      <c r="BC44" s="17">
        <v>0.94110689627759103</v>
      </c>
      <c r="BD44" s="17">
        <v>-1.6516997359357799</v>
      </c>
    </row>
    <row r="45" spans="1:56" ht="11.25" customHeight="1" x14ac:dyDescent="0.25">
      <c r="A45" s="166" t="s">
        <v>36</v>
      </c>
      <c r="B45" s="166" t="s">
        <v>32</v>
      </c>
      <c r="C45" s="166" t="s">
        <v>25</v>
      </c>
      <c r="D45" s="166" t="s">
        <v>25</v>
      </c>
      <c r="E45" s="166" t="s">
        <v>25</v>
      </c>
      <c r="F45" s="166" t="s">
        <v>25</v>
      </c>
      <c r="G45" s="57" t="s">
        <v>79</v>
      </c>
      <c r="H45" s="57" t="s">
        <v>78</v>
      </c>
      <c r="I45" s="57">
        <f>'MERCADO TUSD'!$U$42</f>
        <v>1.1140000000000001</v>
      </c>
      <c r="J45" s="16"/>
      <c r="L45" s="17">
        <f>('TUSD BE'!$L$45+'TUSD BF'!$L$45+'TUSD CVA'!$L$45)*1</f>
        <v>6.9255553899243143</v>
      </c>
      <c r="M45" s="17">
        <f>('TUSD BE'!$M$45+'TUSD BF'!$M$45+'TUSD CVA'!$M$45)*1</f>
        <v>0.84363362321217295</v>
      </c>
      <c r="N45" s="17">
        <f ca="1">('TUSD BE'!$N$45+'TUSD BF'!$N$45+'TUSD CVA'!$N$45)*1</f>
        <v>7.276422347214071</v>
      </c>
      <c r="O45" s="17">
        <f>('TUSD BE'!$O$45+'TUSD BF'!$O$45+'TUSD CVA'!$O$45)*1</f>
        <v>0</v>
      </c>
      <c r="P45" s="17">
        <f>('TUSD BE'!$P$45+'TUSD BF'!$P$45+'TUSD CVA'!$P$45)*1</f>
        <v>0</v>
      </c>
      <c r="Q45" s="17">
        <f>('TUSD BE'!$Q$45+'TUSD BF'!$Q$45+'TUSD CVA'!$Q$45)*1</f>
        <v>99.917886172592077</v>
      </c>
      <c r="R45" s="17">
        <f>('TUSD BE'!$R$45+'TUSD BF'!$R$45+'TUSD CVA'!$R$45)*1</f>
        <v>16.736115121766648</v>
      </c>
      <c r="S45" s="17">
        <f>('TUSD BE'!$S$45+'TUSD BF'!$S$45+'TUSD CVA'!$S$45)*1</f>
        <v>0</v>
      </c>
      <c r="T45" s="17">
        <f>('TUSD BE'!$U$45+'TUSD BF'!$U$45+'TUSD CVA'!$U$45)*1</f>
        <v>113.9239584170146</v>
      </c>
      <c r="U45" s="17">
        <f>('TUSD BE'!$V$45+'TUSD BF'!$V$45+'TUSD CVA'!$V$45)*1</f>
        <v>95.984063858065298</v>
      </c>
      <c r="V45" s="17">
        <f>('TUSD BE'!$W$45+'TUSD BF'!$W$45+'TUSD CVA'!$W$45)*1</f>
        <v>16.900817168102844</v>
      </c>
      <c r="W45" s="17">
        <f>('TUSD BE'!$X$45+'TUSD BF'!$X$45+'TUSD CVA'!$X$45)*1</f>
        <v>0</v>
      </c>
      <c r="X45" s="17">
        <f>('TUSD BE'!$Y$45+'TUSD BF'!$Y$45+'TUSD CVA'!$Y$45)*1</f>
        <v>0</v>
      </c>
      <c r="Y45" s="17">
        <f>('TUSD BE'!$Z$45+'TUSD BF'!$Z$45+'TUSD CVA'!$Z$45)*1</f>
        <v>0</v>
      </c>
      <c r="Z45" s="17">
        <f>('TUSD BE'!$AA$45+'TUSD BF'!$AA$45+'TUSD CVA'!$AA$45)*1</f>
        <v>0</v>
      </c>
      <c r="AA45" s="17">
        <f>('TUSD BE'!$AC$45+'TUSD BF'!$AC$45+'TUSD CVA'!$AC$45)*1</f>
        <v>625.35718977711463</v>
      </c>
      <c r="AB45" s="17">
        <f ca="1">('TUSD BE'!$AE$45+'TUSD BF'!$AE$45+'TUSD CVA'!$AE$45)*1</f>
        <v>-178.34837721179397</v>
      </c>
      <c r="AC45" s="17">
        <f ca="1">('TUSD BE'!$AF$45+'TUSD BF'!$AF$45+'TUSD CVA'!$AF$45)*1</f>
        <v>0</v>
      </c>
      <c r="AD45" s="17">
        <f>('TUSD BE'!$AH$45+'TUSD BF'!$AH$45+'TUSD CVA'!$AH$45)*1</f>
        <v>21.080320800855066</v>
      </c>
      <c r="AE45" s="17">
        <f>('TUSD BE'!$AI$45+'TUSD BF'!$AI$45+'TUSD CVA'!$AI$45)*1</f>
        <v>0</v>
      </c>
      <c r="AF45" s="17">
        <f ca="1">('TUSD BE'!$AJ$45+'TUSD BF'!$AJ$45+'TUSD CVA'!$AJ$45)*1</f>
        <v>0.75859136189690113</v>
      </c>
      <c r="AG45" s="17">
        <f ca="1">('TUSD BE'!$AK$45+'TUSD BF'!$AK$45+'TUSD CVA'!$AK$45)*1</f>
        <v>0.44193795646551826</v>
      </c>
      <c r="AI45" s="17">
        <v>7.36457480555468</v>
      </c>
      <c r="AJ45" s="17">
        <v>0.96123768145393296</v>
      </c>
      <c r="AK45" s="17">
        <v>5.7223238529104901</v>
      </c>
      <c r="AL45" s="17">
        <v>0</v>
      </c>
      <c r="AM45" s="17">
        <v>0</v>
      </c>
      <c r="AN45" s="17">
        <v>57.426977200981099</v>
      </c>
      <c r="AO45" s="17">
        <v>9.1357516628062605</v>
      </c>
      <c r="AP45" s="17">
        <v>0</v>
      </c>
      <c r="AQ45" s="17">
        <v>47.770447716868297</v>
      </c>
      <c r="AR45" s="17">
        <v>34.846238176864603</v>
      </c>
      <c r="AS45" s="17">
        <v>2.5733162442566502</v>
      </c>
      <c r="AT45" s="17">
        <v>0</v>
      </c>
      <c r="AU45" s="17">
        <v>0</v>
      </c>
      <c r="AV45" s="17">
        <v>0</v>
      </c>
      <c r="AW45" s="17">
        <v>0</v>
      </c>
      <c r="AX45" s="17">
        <v>357.92039727773101</v>
      </c>
      <c r="AY45" s="17">
        <v>0</v>
      </c>
      <c r="AZ45" s="17">
        <v>0</v>
      </c>
      <c r="BA45" s="17">
        <v>20.4098584629849</v>
      </c>
      <c r="BB45" s="17">
        <v>0</v>
      </c>
      <c r="BC45" s="17">
        <v>1.1203653527114199</v>
      </c>
      <c r="BD45" s="17">
        <v>-1.96630920944735</v>
      </c>
    </row>
    <row r="46" spans="1:56" ht="11.25" customHeight="1" x14ac:dyDescent="0.25">
      <c r="A46" s="166"/>
      <c r="B46" s="166"/>
      <c r="C46" s="166"/>
      <c r="D46" s="166"/>
      <c r="E46" s="166"/>
      <c r="F46" s="166"/>
      <c r="G46" s="57" t="s">
        <v>92</v>
      </c>
      <c r="H46" s="57" t="s">
        <v>78</v>
      </c>
      <c r="I46" s="57">
        <f>'MERCADO TUSD'!$U$43</f>
        <v>0.48499999999999999</v>
      </c>
      <c r="J46" s="16"/>
      <c r="L46" s="17">
        <f>('TUSD BE'!$L$46+'TUSD BF'!$L$46+'TUSD CVA'!$L$46)*1</f>
        <v>6.9255553899243143</v>
      </c>
      <c r="M46" s="17">
        <f>('TUSD BE'!$M$46+'TUSD BF'!$M$46+'TUSD CVA'!$M$46)*1</f>
        <v>0.84363362321217295</v>
      </c>
      <c r="N46" s="17">
        <f ca="1">('TUSD BE'!$N$46+'TUSD BF'!$N$46+'TUSD CVA'!$N$46)*1</f>
        <v>1.7631759947980359</v>
      </c>
      <c r="O46" s="17">
        <f>('TUSD BE'!$O$46+'TUSD BF'!$O$46+'TUSD CVA'!$O$46)*1</f>
        <v>0</v>
      </c>
      <c r="P46" s="17">
        <f>('TUSD BE'!$P$46+'TUSD BF'!$P$46+'TUSD CVA'!$P$46)*1</f>
        <v>0</v>
      </c>
      <c r="Q46" s="17">
        <f>('TUSD BE'!$Q$46+'TUSD BF'!$Q$46+'TUSD CVA'!$Q$46)*1</f>
        <v>99.917886172592077</v>
      </c>
      <c r="R46" s="17">
        <f>('TUSD BE'!$R$46+'TUSD BF'!$R$46+'TUSD CVA'!$R$46)*1</f>
        <v>16.736115121766648</v>
      </c>
      <c r="S46" s="17">
        <f>('TUSD BE'!$S$46+'TUSD BF'!$S$46+'TUSD CVA'!$S$46)*1</f>
        <v>0</v>
      </c>
      <c r="T46" s="17">
        <f>('TUSD BE'!$U$46+'TUSD BF'!$U$46+'TUSD CVA'!$U$46)*1</f>
        <v>22.784731321701798</v>
      </c>
      <c r="U46" s="17">
        <f>('TUSD BE'!$V$46+'TUSD BF'!$V$46+'TUSD CVA'!$V$46)*1</f>
        <v>19.196744359630522</v>
      </c>
      <c r="V46" s="17">
        <f>('TUSD BE'!$W$46+'TUSD BF'!$W$46+'TUSD CVA'!$W$46)*1</f>
        <v>3.3801234108461822</v>
      </c>
      <c r="W46" s="17">
        <f>('TUSD BE'!$X$46+'TUSD BF'!$X$46+'TUSD CVA'!$X$46)*1</f>
        <v>0</v>
      </c>
      <c r="X46" s="17">
        <f>('TUSD BE'!$Y$46+'TUSD BF'!$Y$46+'TUSD CVA'!$Y$46)*1</f>
        <v>0</v>
      </c>
      <c r="Y46" s="17">
        <f>('TUSD BE'!$Z$46+'TUSD BF'!$Z$46+'TUSD CVA'!$Z$46)*1</f>
        <v>0</v>
      </c>
      <c r="Z46" s="17">
        <f>('TUSD BE'!$AA$46+'TUSD BF'!$AA$46+'TUSD CVA'!$AA$46)*1</f>
        <v>0</v>
      </c>
      <c r="AA46" s="17">
        <f>('TUSD BE'!$AC$46+'TUSD BF'!$AC$46+'TUSD CVA'!$AC$46)*1</f>
        <v>125.07139808364175</v>
      </c>
      <c r="AB46" s="17">
        <f ca="1">('TUSD BE'!$AE$46+'TUSD BF'!$AE$46+'TUSD CVA'!$AE$46)*1</f>
        <v>-54.471665917654775</v>
      </c>
      <c r="AC46" s="17">
        <f ca="1">('TUSD BE'!$AF$46+'TUSD BF'!$AF$46+'TUSD CVA'!$AF$46)*1</f>
        <v>0</v>
      </c>
      <c r="AD46" s="17">
        <f>('TUSD BE'!$AH$46+'TUSD BF'!$AH$46+'TUSD CVA'!$AH$46)*1</f>
        <v>21.080320800855066</v>
      </c>
      <c r="AE46" s="17">
        <f>('TUSD BE'!$AI$46+'TUSD BF'!$AI$46+'TUSD CVA'!$AI$46)*1</f>
        <v>0</v>
      </c>
      <c r="AF46" s="17">
        <f ca="1">('TUSD BE'!$AJ$46+'TUSD BF'!$AJ$46+'TUSD CVA'!$AJ$46)*1</f>
        <v>0.75859136189690113</v>
      </c>
      <c r="AG46" s="17">
        <f ca="1">('TUSD BE'!$AK$46+'TUSD BF'!$AK$46+'TUSD CVA'!$AK$46)*1</f>
        <v>0.44193795646551826</v>
      </c>
      <c r="AI46" s="17">
        <v>7.36457480555468</v>
      </c>
      <c r="AJ46" s="17">
        <v>0.96123768145393296</v>
      </c>
      <c r="AK46" s="17">
        <v>5.0344274827563504</v>
      </c>
      <c r="AL46" s="17">
        <v>0</v>
      </c>
      <c r="AM46" s="17">
        <v>0</v>
      </c>
      <c r="AN46" s="17">
        <v>57.426977200981099</v>
      </c>
      <c r="AO46" s="17">
        <v>9.1357516628062605</v>
      </c>
      <c r="AP46" s="17">
        <v>0</v>
      </c>
      <c r="AQ46" s="17">
        <v>41.539477997983703</v>
      </c>
      <c r="AR46" s="17">
        <v>30.301114902453001</v>
      </c>
      <c r="AS46" s="17">
        <v>2.2376965892527498</v>
      </c>
      <c r="AT46" s="17">
        <v>0</v>
      </c>
      <c r="AU46" s="17">
        <v>0</v>
      </c>
      <c r="AV46" s="17">
        <v>0</v>
      </c>
      <c r="AW46" s="17">
        <v>0</v>
      </c>
      <c r="AX46" s="17">
        <v>311.23509118727401</v>
      </c>
      <c r="AY46" s="17">
        <v>0</v>
      </c>
      <c r="AZ46" s="17">
        <v>0</v>
      </c>
      <c r="BA46" s="17">
        <v>20.4098584629849</v>
      </c>
      <c r="BB46" s="17">
        <v>0</v>
      </c>
      <c r="BC46" s="17">
        <v>1.1203653527114199</v>
      </c>
      <c r="BD46" s="17">
        <v>-1.96630920944735</v>
      </c>
    </row>
    <row r="47" spans="1:56" ht="11.25" customHeight="1" x14ac:dyDescent="0.25">
      <c r="A47" s="166"/>
      <c r="B47" s="166"/>
      <c r="C47" s="166"/>
      <c r="D47" s="166"/>
      <c r="E47" s="166"/>
      <c r="F47" s="166"/>
      <c r="G47" s="57" t="s">
        <v>80</v>
      </c>
      <c r="H47" s="57" t="s">
        <v>78</v>
      </c>
      <c r="I47" s="57">
        <f>'MERCADO TUSD'!$U$44</f>
        <v>6.2670000000000003</v>
      </c>
      <c r="J47" s="16"/>
      <c r="L47" s="17">
        <f>('TUSD BE'!$L$47+'TUSD BF'!$L$47+'TUSD CVA'!$L$47)*1</f>
        <v>6.9255553899243143</v>
      </c>
      <c r="M47" s="17">
        <f>('TUSD BE'!$M$47+'TUSD BF'!$M$47+'TUSD CVA'!$M$47)*1</f>
        <v>0.84363362321217295</v>
      </c>
      <c r="N47" s="17">
        <f ca="1">('TUSD BE'!$N$47+'TUSD BF'!$N$47+'TUSD CVA'!$N$47)*1</f>
        <v>1.7631759947980359</v>
      </c>
      <c r="O47" s="17">
        <f>('TUSD BE'!$O$47+'TUSD BF'!$O$47+'TUSD CVA'!$O$47)*1</f>
        <v>0</v>
      </c>
      <c r="P47" s="17">
        <f>('TUSD BE'!$P$47+'TUSD BF'!$P$47+'TUSD CVA'!$P$47)*1</f>
        <v>0</v>
      </c>
      <c r="Q47" s="17">
        <f>('TUSD BE'!$Q$47+'TUSD BF'!$Q$47+'TUSD CVA'!$Q$47)*1</f>
        <v>99.917886172592077</v>
      </c>
      <c r="R47" s="17">
        <f>('TUSD BE'!$R$47+'TUSD BF'!$R$47+'TUSD CVA'!$R$47)*1</f>
        <v>16.736115121766648</v>
      </c>
      <c r="S47" s="17">
        <f>('TUSD BE'!$S$47+'TUSD BF'!$S$47+'TUSD CVA'!$S$47)*1</f>
        <v>0</v>
      </c>
      <c r="T47" s="17">
        <f>('TUSD BE'!$U$47+'TUSD BF'!$U$47+'TUSD CVA'!$U$47)*1</f>
        <v>22.784731321701798</v>
      </c>
      <c r="U47" s="17">
        <f>('TUSD BE'!$V$47+'TUSD BF'!$V$47+'TUSD CVA'!$V$47)*1</f>
        <v>19.196744359630522</v>
      </c>
      <c r="V47" s="17">
        <f>('TUSD BE'!$W$47+'TUSD BF'!$W$47+'TUSD CVA'!$W$47)*1</f>
        <v>3.3801234108461822</v>
      </c>
      <c r="W47" s="17">
        <f>('TUSD BE'!$X$47+'TUSD BF'!$X$47+'TUSD CVA'!$X$47)*1</f>
        <v>0</v>
      </c>
      <c r="X47" s="17">
        <f>('TUSD BE'!$Y$47+'TUSD BF'!$Y$47+'TUSD CVA'!$Y$47)*1</f>
        <v>0</v>
      </c>
      <c r="Y47" s="17">
        <f>('TUSD BE'!$Z$47+'TUSD BF'!$Z$47+'TUSD CVA'!$Z$47)*1</f>
        <v>0</v>
      </c>
      <c r="Z47" s="17">
        <f>('TUSD BE'!$AA$47+'TUSD BF'!$AA$47+'TUSD CVA'!$AA$47)*1</f>
        <v>0</v>
      </c>
      <c r="AA47" s="17">
        <f>('TUSD BE'!$AC$47+'TUSD BF'!$AC$47+'TUSD CVA'!$AC$47)*1</f>
        <v>125.07139808364175</v>
      </c>
      <c r="AB47" s="17">
        <f ca="1">('TUSD BE'!$AE$47+'TUSD BF'!$AE$47+'TUSD CVA'!$AE$47)*1</f>
        <v>-54.471665917654775</v>
      </c>
      <c r="AC47" s="17">
        <f ca="1">('TUSD BE'!$AF$47+'TUSD BF'!$AF$47+'TUSD CVA'!$AF$47)*1</f>
        <v>0</v>
      </c>
      <c r="AD47" s="17">
        <f>('TUSD BE'!$AH$47+'TUSD BF'!$AH$47+'TUSD CVA'!$AH$47)*1</f>
        <v>21.080320800855066</v>
      </c>
      <c r="AE47" s="17">
        <f>('TUSD BE'!$AI$47+'TUSD BF'!$AI$47+'TUSD CVA'!$AI$47)*1</f>
        <v>0</v>
      </c>
      <c r="AF47" s="17">
        <f ca="1">('TUSD BE'!$AJ$47+'TUSD BF'!$AJ$47+'TUSD CVA'!$AJ$47)*1</f>
        <v>0.75859136189690113</v>
      </c>
      <c r="AG47" s="17">
        <f ca="1">('TUSD BE'!$AK$47+'TUSD BF'!$AK$47+'TUSD CVA'!$AK$47)*1</f>
        <v>0.44193795646551826</v>
      </c>
      <c r="AI47" s="17">
        <v>7.36457480555468</v>
      </c>
      <c r="AJ47" s="17">
        <v>0.96123768145393296</v>
      </c>
      <c r="AK47" s="17">
        <v>2.7414395822425499</v>
      </c>
      <c r="AL47" s="17">
        <v>0</v>
      </c>
      <c r="AM47" s="17">
        <v>0</v>
      </c>
      <c r="AN47" s="17">
        <v>57.426977200981099</v>
      </c>
      <c r="AO47" s="17">
        <v>9.1357516628062605</v>
      </c>
      <c r="AP47" s="17">
        <v>0</v>
      </c>
      <c r="AQ47" s="17">
        <v>20.769738998991802</v>
      </c>
      <c r="AR47" s="17">
        <v>15.150557451226501</v>
      </c>
      <c r="AS47" s="17">
        <v>1.11884829462638</v>
      </c>
      <c r="AT47" s="17">
        <v>0</v>
      </c>
      <c r="AU47" s="17">
        <v>0</v>
      </c>
      <c r="AV47" s="17">
        <v>0</v>
      </c>
      <c r="AW47" s="17">
        <v>0</v>
      </c>
      <c r="AX47" s="17">
        <v>155.617545593637</v>
      </c>
      <c r="AY47" s="17">
        <v>0</v>
      </c>
      <c r="AZ47" s="17">
        <v>0</v>
      </c>
      <c r="BA47" s="17">
        <v>20.4098584629849</v>
      </c>
      <c r="BB47" s="17">
        <v>0</v>
      </c>
      <c r="BC47" s="17">
        <v>1.1203653527114199</v>
      </c>
      <c r="BD47" s="17">
        <v>-1.96630920944735</v>
      </c>
    </row>
    <row r="48" spans="1:56" ht="11.25" customHeight="1" x14ac:dyDescent="0.25">
      <c r="A48" s="166"/>
      <c r="B48" s="115" t="s">
        <v>23</v>
      </c>
      <c r="C48" s="115" t="s">
        <v>25</v>
      </c>
      <c r="D48" s="115" t="s">
        <v>25</v>
      </c>
      <c r="E48" s="115" t="s">
        <v>25</v>
      </c>
      <c r="F48" s="115" t="s">
        <v>25</v>
      </c>
      <c r="G48" s="57" t="s">
        <v>82</v>
      </c>
      <c r="H48" s="57" t="s">
        <v>78</v>
      </c>
      <c r="I48" s="57">
        <f>'MERCADO TUSD'!$U$45</f>
        <v>13646.102000000001</v>
      </c>
      <c r="J48" s="16"/>
      <c r="L48" s="17">
        <f>('TUSD BE'!$L$48+'TUSD BF'!$L$48+'TUSD CVA'!$L$48)*1</f>
        <v>6.9255553899243143</v>
      </c>
      <c r="M48" s="17">
        <f>('TUSD BE'!$M$48+'TUSD BF'!$M$48+'TUSD CVA'!$M$48)*1</f>
        <v>0.84363362321217295</v>
      </c>
      <c r="N48" s="17">
        <f ca="1">('TUSD BE'!$N$48+'TUSD BF'!$N$48+'TUSD CVA'!$N$48)*1</f>
        <v>2.2474490022166118</v>
      </c>
      <c r="O48" s="17">
        <f>('TUSD BE'!$O$48+'TUSD BF'!$O$48+'TUSD CVA'!$O$48)*1</f>
        <v>0</v>
      </c>
      <c r="P48" s="17">
        <f>('TUSD BE'!$P$48+'TUSD BF'!$P$48+'TUSD CVA'!$P$48)*1</f>
        <v>0</v>
      </c>
      <c r="Q48" s="17">
        <f>('TUSD BE'!$Q$48+'TUSD BF'!$Q$48+'TUSD CVA'!$Q$48)*1</f>
        <v>99.917886172592077</v>
      </c>
      <c r="R48" s="17">
        <f>('TUSD BE'!$R$48+'TUSD BF'!$R$48+'TUSD CVA'!$R$48)*1</f>
        <v>16.736115121766648</v>
      </c>
      <c r="S48" s="17">
        <f>('TUSD BE'!$S$48+'TUSD BF'!$S$48+'TUSD CVA'!$S$48)*1</f>
        <v>0</v>
      </c>
      <c r="T48" s="17">
        <f>('TUSD BE'!$U$48+'TUSD BF'!$U$48+'TUSD CVA'!$U$48)*1</f>
        <v>30.7902019327191</v>
      </c>
      <c r="U48" s="17">
        <f>('TUSD BE'!$V$48+'TUSD BF'!$V$48+'TUSD CVA'!$V$48)*1</f>
        <v>25.941652747851943</v>
      </c>
      <c r="V48" s="17">
        <f>('TUSD BE'!$W$48+'TUSD BF'!$W$48+'TUSD CVA'!$W$48)*1</f>
        <v>4.5677992407776298</v>
      </c>
      <c r="W48" s="17">
        <f>('TUSD BE'!$X$48+'TUSD BF'!$X$48+'TUSD CVA'!$X$48)*1</f>
        <v>0</v>
      </c>
      <c r="X48" s="17">
        <f>('TUSD BE'!$Y$48+'TUSD BF'!$Y$48+'TUSD CVA'!$Y$48)*1</f>
        <v>0</v>
      </c>
      <c r="Y48" s="17">
        <f>('TUSD BE'!$Z$48+'TUSD BF'!$Z$48+'TUSD CVA'!$Z$48)*1</f>
        <v>0</v>
      </c>
      <c r="Z48" s="17">
        <f>('TUSD BE'!$AA$48+'TUSD BF'!$AA$48+'TUSD CVA'!$AA$48)*1</f>
        <v>0</v>
      </c>
      <c r="AA48" s="17">
        <f>('TUSD BE'!$AC$48+'TUSD BF'!$AC$48+'TUSD CVA'!$AC$48)*1</f>
        <v>169.01548363691015</v>
      </c>
      <c r="AB48" s="17">
        <f ca="1">('TUSD BE'!$AE$48+'TUSD BF'!$AE$48+'TUSD CVA'!$AE$48)*1</f>
        <v>-65.352761649010233</v>
      </c>
      <c r="AC48" s="17">
        <f ca="1">('TUSD BE'!$AF$48+'TUSD BF'!$AF$48+'TUSD CVA'!$AF$48)*1</f>
        <v>0</v>
      </c>
      <c r="AD48" s="17">
        <f>('TUSD BE'!$AH$48+'TUSD BF'!$AH$48+'TUSD CVA'!$AH$48)*1</f>
        <v>21.080320800855066</v>
      </c>
      <c r="AE48" s="17">
        <f>('TUSD BE'!$AI$48+'TUSD BF'!$AI$48+'TUSD CVA'!$AI$48)*1</f>
        <v>0</v>
      </c>
      <c r="AF48" s="17">
        <f ca="1">('TUSD BE'!$AJ$48+'TUSD BF'!$AJ$48+'TUSD CVA'!$AJ$48)*1</f>
        <v>0.75859136189690113</v>
      </c>
      <c r="AG48" s="17">
        <f ca="1">('TUSD BE'!$AK$48+'TUSD BF'!$AK$48+'TUSD CVA'!$AK$48)*1</f>
        <v>0.44193795646551826</v>
      </c>
      <c r="AI48" s="17">
        <v>7.36457480555468</v>
      </c>
      <c r="AJ48" s="17">
        <v>0.96123768145393296</v>
      </c>
      <c r="AK48" s="17">
        <v>3.17819869882219</v>
      </c>
      <c r="AL48" s="17">
        <v>0</v>
      </c>
      <c r="AM48" s="17">
        <v>0</v>
      </c>
      <c r="AN48" s="17">
        <v>57.426977200981099</v>
      </c>
      <c r="AO48" s="17">
        <v>9.1357516628062605</v>
      </c>
      <c r="AP48" s="17">
        <v>0</v>
      </c>
      <c r="AQ48" s="17">
        <v>24.7258477479132</v>
      </c>
      <c r="AR48" s="17">
        <v>18.036301160901498</v>
      </c>
      <c r="AS48" s="17">
        <v>1.3319705491704501</v>
      </c>
      <c r="AT48" s="17">
        <v>0</v>
      </c>
      <c r="AU48" s="17">
        <v>0</v>
      </c>
      <c r="AV48" s="17">
        <v>0</v>
      </c>
      <c r="AW48" s="17">
        <v>0</v>
      </c>
      <c r="AX48" s="17">
        <v>185.259018193206</v>
      </c>
      <c r="AY48" s="17">
        <v>0</v>
      </c>
      <c r="AZ48" s="17">
        <v>0</v>
      </c>
      <c r="BA48" s="17">
        <v>20.4098584629849</v>
      </c>
      <c r="BB48" s="17">
        <v>0</v>
      </c>
      <c r="BC48" s="17">
        <v>1.1203653527114199</v>
      </c>
      <c r="BD48" s="17">
        <v>-1.96630920944735</v>
      </c>
    </row>
    <row r="49" spans="1:56" ht="11.25" customHeight="1" x14ac:dyDescent="0.25">
      <c r="A49" s="166"/>
      <c r="B49" s="115" t="s">
        <v>94</v>
      </c>
      <c r="C49" s="115" t="s">
        <v>25</v>
      </c>
      <c r="D49" s="115" t="s">
        <v>25</v>
      </c>
      <c r="E49" s="115" t="s">
        <v>25</v>
      </c>
      <c r="F49" s="115" t="s">
        <v>25</v>
      </c>
      <c r="G49" s="57" t="s">
        <v>82</v>
      </c>
      <c r="H49" s="57" t="s">
        <v>78</v>
      </c>
      <c r="I49" s="57">
        <f>'MERCADO TUSD'!$U$46</f>
        <v>0</v>
      </c>
      <c r="J49" s="16"/>
      <c r="L49" s="17">
        <f>('TUSD BE'!$L$49+'TUSD BF'!$L$49+'TUSD CVA'!$L$49)*1</f>
        <v>6.9255553899243143</v>
      </c>
      <c r="M49" s="17">
        <f>('TUSD BE'!$M$49+'TUSD BF'!$M$49+'TUSD CVA'!$M$49)*1</f>
        <v>0.84363362321217295</v>
      </c>
      <c r="N49" s="17">
        <f ca="1">('TUSD BE'!$N$49+'TUSD BF'!$N$49+'TUSD CVA'!$N$49)*1</f>
        <v>2.2474490022166118</v>
      </c>
      <c r="O49" s="17">
        <f>('TUSD BE'!$O$49+'TUSD BF'!$O$49+'TUSD CVA'!$O$49)*1</f>
        <v>0</v>
      </c>
      <c r="P49" s="17">
        <f>('TUSD BE'!$P$49+'TUSD BF'!$P$49+'TUSD CVA'!$P$49)*1</f>
        <v>0</v>
      </c>
      <c r="Q49" s="17">
        <f>('TUSD BE'!$Q$49+'TUSD BF'!$Q$49+'TUSD CVA'!$Q$49)*1</f>
        <v>99.917886172592077</v>
      </c>
      <c r="R49" s="17">
        <f>('TUSD BE'!$R$49+'TUSD BF'!$R$49+'TUSD CVA'!$R$49)*1</f>
        <v>16.736115121766648</v>
      </c>
      <c r="S49" s="17">
        <f>('TUSD BE'!$S$49+'TUSD BF'!$S$49+'TUSD CVA'!$S$49)*1</f>
        <v>0</v>
      </c>
      <c r="T49" s="17">
        <f>('TUSD BE'!$U$49+'TUSD BF'!$U$49+'TUSD CVA'!$U$49)*1</f>
        <v>30.7902019327191</v>
      </c>
      <c r="U49" s="17">
        <f>('TUSD BE'!$V$49+'TUSD BF'!$V$49+'TUSD CVA'!$V$49)*1</f>
        <v>25.941652747851943</v>
      </c>
      <c r="V49" s="17">
        <f>('TUSD BE'!$W$49+'TUSD BF'!$W$49+'TUSD CVA'!$W$49)*1</f>
        <v>4.5677992407776298</v>
      </c>
      <c r="W49" s="17">
        <f>('TUSD BE'!$X$49+'TUSD BF'!$X$49+'TUSD CVA'!$X$49)*1</f>
        <v>0</v>
      </c>
      <c r="X49" s="17">
        <f>('TUSD BE'!$Y$49+'TUSD BF'!$Y$49+'TUSD CVA'!$Y$49)*1</f>
        <v>0</v>
      </c>
      <c r="Y49" s="17">
        <f>('TUSD BE'!$Z$49+'TUSD BF'!$Z$49+'TUSD CVA'!$Z$49)*1</f>
        <v>0</v>
      </c>
      <c r="Z49" s="17">
        <f>('TUSD BE'!$AA$49+'TUSD BF'!$AA$49+'TUSD CVA'!$AA$49)*1</f>
        <v>0</v>
      </c>
      <c r="AA49" s="17">
        <f>('TUSD BE'!$AC$49+'TUSD BF'!$AC$49+'TUSD CVA'!$AC$49)*1</f>
        <v>169.01548363691015</v>
      </c>
      <c r="AB49" s="17">
        <f ca="1">('TUSD BE'!$AE$49+'TUSD BF'!$AE$49+'TUSD CVA'!$AE$49)*1</f>
        <v>-65.352761649010233</v>
      </c>
      <c r="AC49" s="17">
        <f ca="1">('TUSD BE'!$AF$49+'TUSD BF'!$AF$49+'TUSD CVA'!$AF$49)*1</f>
        <v>0</v>
      </c>
      <c r="AD49" s="17">
        <f>('TUSD BE'!$AH$49+'TUSD BF'!$AH$49+'TUSD CVA'!$AH$49)*1</f>
        <v>21.080320800855066</v>
      </c>
      <c r="AE49" s="17">
        <f>('TUSD BE'!$AI$49+'TUSD BF'!$AI$49+'TUSD CVA'!$AI$49)*1</f>
        <v>0</v>
      </c>
      <c r="AF49" s="17">
        <f ca="1">('TUSD BE'!$AJ$49+'TUSD BF'!$AJ$49+'TUSD CVA'!$AJ$49)*1</f>
        <v>0.75859136189690113</v>
      </c>
      <c r="AG49" s="17">
        <f ca="1">('TUSD BE'!$AK$49+'TUSD BF'!$AK$49+'TUSD CVA'!$AK$49)*1</f>
        <v>0.44193795646551826</v>
      </c>
      <c r="AI49" s="17">
        <v>7.36457480555468</v>
      </c>
      <c r="AJ49" s="17">
        <v>0.96123768145393296</v>
      </c>
      <c r="AK49" s="17">
        <v>3.17819869882219</v>
      </c>
      <c r="AL49" s="17">
        <v>0</v>
      </c>
      <c r="AM49" s="17">
        <v>0</v>
      </c>
      <c r="AN49" s="17">
        <v>57.426977200981099</v>
      </c>
      <c r="AO49" s="17">
        <v>9.1357516628062605</v>
      </c>
      <c r="AP49" s="17">
        <v>0</v>
      </c>
      <c r="AQ49" s="17">
        <v>24.7258477479132</v>
      </c>
      <c r="AR49" s="17">
        <v>18.036301160901498</v>
      </c>
      <c r="AS49" s="17">
        <v>1.3319705491704501</v>
      </c>
      <c r="AT49" s="17">
        <v>0</v>
      </c>
      <c r="AU49" s="17">
        <v>0</v>
      </c>
      <c r="AV49" s="17">
        <v>0</v>
      </c>
      <c r="AW49" s="17">
        <v>0</v>
      </c>
      <c r="AX49" s="17">
        <v>185.259018193206</v>
      </c>
      <c r="AY49" s="17">
        <v>0</v>
      </c>
      <c r="AZ49" s="17">
        <v>0</v>
      </c>
      <c r="BA49" s="17">
        <v>20.4098584629849</v>
      </c>
      <c r="BB49" s="17">
        <v>0</v>
      </c>
      <c r="BC49" s="17">
        <v>1.1203653527114199</v>
      </c>
      <c r="BD49" s="17">
        <v>-1.96630920944735</v>
      </c>
    </row>
    <row r="50" spans="1:56" ht="11.25" customHeight="1" x14ac:dyDescent="0.25">
      <c r="A50" s="166" t="s">
        <v>45</v>
      </c>
      <c r="B50" s="166" t="s">
        <v>23</v>
      </c>
      <c r="C50" s="166" t="s">
        <v>46</v>
      </c>
      <c r="D50" s="115" t="s">
        <v>47</v>
      </c>
      <c r="E50" s="115" t="s">
        <v>25</v>
      </c>
      <c r="F50" s="115" t="s">
        <v>25</v>
      </c>
      <c r="G50" s="57" t="s">
        <v>82</v>
      </c>
      <c r="H50" s="57" t="s">
        <v>78</v>
      </c>
      <c r="I50" s="57">
        <f>'MERCADO TUSD'!$U$47</f>
        <v>4914.0960000000005</v>
      </c>
      <c r="J50" s="16"/>
      <c r="L50" s="17">
        <f>('TUSD BE'!$L$50+'TUSD BF'!$L$50+'TUSD CVA'!$L$50)*1</f>
        <v>3.809055464458373</v>
      </c>
      <c r="M50" s="17">
        <f>('TUSD BE'!$M$50+'TUSD BF'!$M$50+'TUSD CVA'!$M$50)*1</f>
        <v>0.46399849276669519</v>
      </c>
      <c r="N50" s="17">
        <f ca="1">('TUSD BE'!$N$50+'TUSD BF'!$N$50+'TUSD CVA'!$N$50)*1</f>
        <v>1.2360969512191367</v>
      </c>
      <c r="O50" s="17">
        <f>('TUSD BE'!$O$50+'TUSD BF'!$O$50+'TUSD CVA'!$O$50)*1</f>
        <v>0</v>
      </c>
      <c r="P50" s="17">
        <f>('TUSD BE'!$P$50+'TUSD BF'!$P$50+'TUSD CVA'!$P$50)*1</f>
        <v>0</v>
      </c>
      <c r="Q50" s="17">
        <f>('TUSD BE'!$Q$50+'TUSD BF'!$Q$50+'TUSD CVA'!$Q$50)*1</f>
        <v>54.954837394925647</v>
      </c>
      <c r="R50" s="17">
        <f>('TUSD BE'!$R$50+'TUSD BF'!$R$50+'TUSD CVA'!$R$50)*1</f>
        <v>9.2048633169716574</v>
      </c>
      <c r="S50" s="17">
        <f>('TUSD BE'!$S$50+'TUSD BF'!$S$50+'TUSD CVA'!$S$50)*1</f>
        <v>0</v>
      </c>
      <c r="T50" s="17">
        <f>('TUSD BE'!$U$50+'TUSD BF'!$U$50+'TUSD CVA'!$U$50)*1</f>
        <v>16.934611062995508</v>
      </c>
      <c r="U50" s="17">
        <f>('TUSD BE'!$V$50+'TUSD BF'!$V$50+'TUSD CVA'!$V$50)*1</f>
        <v>14.267909011318569</v>
      </c>
      <c r="V50" s="17">
        <f>('TUSD BE'!$W$50+'TUSD BF'!$W$50+'TUSD CVA'!$W$50)*1</f>
        <v>2.5122895824276963</v>
      </c>
      <c r="W50" s="17">
        <f>('TUSD BE'!$X$50+'TUSD BF'!$X$50+'TUSD CVA'!$X$50)*1</f>
        <v>0</v>
      </c>
      <c r="X50" s="17">
        <f>('TUSD BE'!$Y$50+'TUSD BF'!$Y$50+'TUSD CVA'!$Y$50)*1</f>
        <v>0</v>
      </c>
      <c r="Y50" s="17">
        <f>('TUSD BE'!$Z$50+'TUSD BF'!$Z$50+'TUSD CVA'!$Z$50)*1</f>
        <v>0</v>
      </c>
      <c r="Z50" s="17">
        <f>('TUSD BE'!$AA$50+'TUSD BF'!$AA$50+'TUSD CVA'!$AA$50)*1</f>
        <v>0</v>
      </c>
      <c r="AA50" s="17">
        <f>('TUSD BE'!$AC$50+'TUSD BF'!$AC$50+'TUSD CVA'!$AC$50)*1</f>
        <v>92.958516000300591</v>
      </c>
      <c r="AB50" s="17">
        <f ca="1">('TUSD BE'!$AE$50+'TUSD BF'!$AE$50+'TUSD CVA'!$AE$50)*1</f>
        <v>-35.944018906955627</v>
      </c>
      <c r="AC50" s="17">
        <f ca="1">('TUSD BE'!$AF$50+'TUSD BF'!$AF$50+'TUSD CVA'!$AF$50)*1</f>
        <v>0</v>
      </c>
      <c r="AD50" s="17">
        <f>('TUSD BE'!$AH$50+'TUSD BF'!$AH$50+'TUSD CVA'!$AH$50)*1</f>
        <v>11.594176440470285</v>
      </c>
      <c r="AE50" s="17">
        <f>('TUSD BE'!$AI$50+'TUSD BF'!$AI$50+'TUSD CVA'!$AI$50)*1</f>
        <v>0</v>
      </c>
      <c r="AF50" s="17">
        <f ca="1">('TUSD BE'!$AJ$50+'TUSD BF'!$AJ$50+'TUSD CVA'!$AJ$50)*1</f>
        <v>0.41722524904329567</v>
      </c>
      <c r="AG50" s="17">
        <f ca="1">('TUSD BE'!$AK$50+'TUSD BF'!$AK$50+'TUSD CVA'!$AK$50)*1</f>
        <v>0.24306587605603502</v>
      </c>
      <c r="AI50" s="17">
        <v>4.05051614305507</v>
      </c>
      <c r="AJ50" s="17">
        <v>0.52868072479966299</v>
      </c>
      <c r="AK50" s="17">
        <v>1.7480092843521999</v>
      </c>
      <c r="AL50" s="17">
        <v>0</v>
      </c>
      <c r="AM50" s="17">
        <v>0</v>
      </c>
      <c r="AN50" s="17">
        <v>31.5848374605396</v>
      </c>
      <c r="AO50" s="17">
        <v>5.0246634145434399</v>
      </c>
      <c r="AP50" s="17">
        <v>0</v>
      </c>
      <c r="AQ50" s="17">
        <v>13.599216261352201</v>
      </c>
      <c r="AR50" s="17">
        <v>9.9199656384958104</v>
      </c>
      <c r="AS50" s="17">
        <v>0.73258380204374796</v>
      </c>
      <c r="AT50" s="17">
        <v>0</v>
      </c>
      <c r="AU50" s="17">
        <v>0</v>
      </c>
      <c r="AV50" s="17">
        <v>0</v>
      </c>
      <c r="AW50" s="17">
        <v>0</v>
      </c>
      <c r="AX50" s="17">
        <v>101.89246000626299</v>
      </c>
      <c r="AY50" s="17">
        <v>0</v>
      </c>
      <c r="AZ50" s="17">
        <v>0</v>
      </c>
      <c r="BA50" s="17">
        <v>11.2254221546417</v>
      </c>
      <c r="BB50" s="17">
        <v>0</v>
      </c>
      <c r="BC50" s="17">
        <v>0.61620094399128</v>
      </c>
      <c r="BD50" s="17">
        <v>-1.0814700651960401</v>
      </c>
    </row>
    <row r="51" spans="1:56" ht="11.25" customHeight="1" x14ac:dyDescent="0.25">
      <c r="A51" s="166"/>
      <c r="B51" s="166"/>
      <c r="C51" s="166"/>
      <c r="D51" s="57" t="s">
        <v>97</v>
      </c>
      <c r="E51" s="57" t="s">
        <v>25</v>
      </c>
      <c r="F51" s="57" t="s">
        <v>25</v>
      </c>
      <c r="G51" s="57" t="s">
        <v>82</v>
      </c>
      <c r="H51" s="57" t="s">
        <v>78</v>
      </c>
      <c r="I51" s="57">
        <f>'MERCADO TUSD'!$U$48</f>
        <v>0</v>
      </c>
      <c r="J51" s="16"/>
      <c r="L51" s="17">
        <f>('TUSD BE'!$L$51+'TUSD BF'!$L$51+'TUSD CVA'!$L$51)*1</f>
        <v>4.1553332339545888</v>
      </c>
      <c r="M51" s="17">
        <f>('TUSD BE'!$M$51+'TUSD BF'!$M$51+'TUSD CVA'!$M$51)*1</f>
        <v>0.50618017392730374</v>
      </c>
      <c r="N51" s="17">
        <f ca="1">('TUSD BE'!$N$51+'TUSD BF'!$N$51+'TUSD CVA'!$N$51)*1</f>
        <v>1.348469401329967</v>
      </c>
      <c r="O51" s="17">
        <f>('TUSD BE'!$O$51+'TUSD BF'!$O$51+'TUSD CVA'!$O$51)*1</f>
        <v>0</v>
      </c>
      <c r="P51" s="17">
        <f>('TUSD BE'!$P$51+'TUSD BF'!$P$51+'TUSD CVA'!$P$51)*1</f>
        <v>0</v>
      </c>
      <c r="Q51" s="17">
        <f>('TUSD BE'!$Q$51+'TUSD BF'!$Q$51+'TUSD CVA'!$Q$51)*1</f>
        <v>59.950731703555242</v>
      </c>
      <c r="R51" s="17">
        <f>('TUSD BE'!$R$51+'TUSD BF'!$R$51+'TUSD CVA'!$R$51)*1</f>
        <v>10.041669073059987</v>
      </c>
      <c r="S51" s="17">
        <f>('TUSD BE'!$S$51+'TUSD BF'!$S$51+'TUSD CVA'!$S$51)*1</f>
        <v>0</v>
      </c>
      <c r="T51" s="17">
        <f>('TUSD BE'!$U$51+'TUSD BF'!$U$51+'TUSD CVA'!$U$51)*1</f>
        <v>18.474121159631459</v>
      </c>
      <c r="U51" s="17">
        <f>('TUSD BE'!$V$51+'TUSD BF'!$V$51+'TUSD CVA'!$V$51)*1</f>
        <v>15.564991648711169</v>
      </c>
      <c r="V51" s="17">
        <f>('TUSD BE'!$W$51+'TUSD BF'!$W$51+'TUSD CVA'!$W$51)*1</f>
        <v>2.7406795444665777</v>
      </c>
      <c r="W51" s="17">
        <f>('TUSD BE'!$X$51+'TUSD BF'!$X$51+'TUSD CVA'!$X$51)*1</f>
        <v>0</v>
      </c>
      <c r="X51" s="17">
        <f>('TUSD BE'!$Y$51+'TUSD BF'!$Y$51+'TUSD CVA'!$Y$51)*1</f>
        <v>0</v>
      </c>
      <c r="Y51" s="17">
        <f>('TUSD BE'!$Z$51+'TUSD BF'!$Z$51+'TUSD CVA'!$Z$51)*1</f>
        <v>0</v>
      </c>
      <c r="Z51" s="17">
        <f>('TUSD BE'!$AA$51+'TUSD BF'!$AA$51+'TUSD CVA'!$AA$51)*1</f>
        <v>0</v>
      </c>
      <c r="AA51" s="17">
        <f>('TUSD BE'!$AC$51+'TUSD BF'!$AC$51+'TUSD CVA'!$AC$51)*1</f>
        <v>101.40929018214609</v>
      </c>
      <c r="AB51" s="17">
        <f ca="1">('TUSD BE'!$AE$51+'TUSD BF'!$AE$51+'TUSD CVA'!$AE$51)*1</f>
        <v>-39.211656989406137</v>
      </c>
      <c r="AC51" s="17">
        <f ca="1">('TUSD BE'!$AF$51+'TUSD BF'!$AF$51+'TUSD CVA'!$AF$51)*1</f>
        <v>0</v>
      </c>
      <c r="AD51" s="17">
        <f>('TUSD BE'!$AH$51+'TUSD BF'!$AH$51+'TUSD CVA'!$AH$51)*1</f>
        <v>12.648192480513041</v>
      </c>
      <c r="AE51" s="17">
        <f>('TUSD BE'!$AI$51+'TUSD BF'!$AI$51+'TUSD CVA'!$AI$51)*1</f>
        <v>0</v>
      </c>
      <c r="AF51" s="17">
        <f ca="1">('TUSD BE'!$AJ$51+'TUSD BF'!$AJ$51+'TUSD CVA'!$AJ$51)*1</f>
        <v>0.45515481713814065</v>
      </c>
      <c r="AG51" s="17">
        <f ca="1">('TUSD BE'!$AK$51+'TUSD BF'!$AK$51+'TUSD CVA'!$AK$51)*1</f>
        <v>0.26516277387931092</v>
      </c>
      <c r="AI51" s="17">
        <v>4.4187448833328098</v>
      </c>
      <c r="AJ51" s="17">
        <v>0.57674260887235995</v>
      </c>
      <c r="AK51" s="17">
        <v>1.90691921929331</v>
      </c>
      <c r="AL51" s="17">
        <v>0</v>
      </c>
      <c r="AM51" s="17">
        <v>0</v>
      </c>
      <c r="AN51" s="17">
        <v>34.4561863205886</v>
      </c>
      <c r="AO51" s="17">
        <v>5.4814509976837602</v>
      </c>
      <c r="AP51" s="17">
        <v>0</v>
      </c>
      <c r="AQ51" s="17">
        <v>14.835508648747901</v>
      </c>
      <c r="AR51" s="17">
        <v>10.8217806965409</v>
      </c>
      <c r="AS51" s="17">
        <v>0.79918232950227097</v>
      </c>
      <c r="AT51" s="17">
        <v>0</v>
      </c>
      <c r="AU51" s="17">
        <v>0</v>
      </c>
      <c r="AV51" s="17">
        <v>0</v>
      </c>
      <c r="AW51" s="17">
        <v>0</v>
      </c>
      <c r="AX51" s="17">
        <v>111.15541091592399</v>
      </c>
      <c r="AY51" s="17">
        <v>0</v>
      </c>
      <c r="AZ51" s="17">
        <v>0</v>
      </c>
      <c r="BA51" s="17">
        <v>12.245915077790899</v>
      </c>
      <c r="BB51" s="17">
        <v>0</v>
      </c>
      <c r="BC51" s="17">
        <v>0.67221921162685105</v>
      </c>
      <c r="BD51" s="17">
        <v>-1.17978552566841</v>
      </c>
    </row>
    <row r="53" spans="1:56" ht="11.25" customHeight="1" x14ac:dyDescent="0.25">
      <c r="L53" s="168" t="s">
        <v>750</v>
      </c>
      <c r="M53" s="168"/>
      <c r="N53" s="168"/>
      <c r="O53" s="168"/>
      <c r="P53" s="168"/>
      <c r="Q53" s="168"/>
      <c r="R53" s="168"/>
      <c r="S53" s="168"/>
      <c r="T53" s="168"/>
      <c r="U53" s="168"/>
      <c r="V53" s="168"/>
      <c r="W53" s="168"/>
      <c r="X53" s="168"/>
      <c r="Y53" s="168"/>
      <c r="Z53" s="168"/>
      <c r="AA53" s="168"/>
      <c r="AB53" s="168"/>
      <c r="AC53" s="168"/>
      <c r="AD53" s="168"/>
      <c r="AE53" s="168"/>
      <c r="AF53" s="168"/>
      <c r="AG53" s="168"/>
      <c r="AI53" s="168" t="s">
        <v>751</v>
      </c>
      <c r="AJ53" s="168"/>
      <c r="AK53" s="168"/>
      <c r="AL53" s="168"/>
      <c r="AM53" s="168"/>
      <c r="AN53" s="168"/>
      <c r="AO53" s="168"/>
      <c r="AP53" s="168"/>
      <c r="AQ53" s="168"/>
      <c r="AR53" s="168"/>
      <c r="AS53" s="168"/>
      <c r="AT53" s="168"/>
      <c r="AU53" s="168"/>
      <c r="AV53" s="168"/>
      <c r="AW53" s="168"/>
      <c r="AX53" s="168"/>
      <c r="AY53" s="168"/>
      <c r="AZ53" s="168"/>
      <c r="BA53" s="168"/>
      <c r="BB53" s="168"/>
      <c r="BC53" s="168"/>
      <c r="BD53" s="168"/>
    </row>
    <row r="54" spans="1:56" ht="11.25" customHeight="1" x14ac:dyDescent="0.25">
      <c r="L54" s="168" t="s">
        <v>483</v>
      </c>
      <c r="M54" s="168"/>
      <c r="N54" s="168"/>
      <c r="O54" s="168"/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68"/>
      <c r="AA54" s="168"/>
      <c r="AB54" s="168"/>
      <c r="AC54" s="168"/>
      <c r="AD54" s="168"/>
      <c r="AE54" s="168"/>
      <c r="AF54" s="168"/>
      <c r="AG54" s="168"/>
      <c r="AI54" s="168" t="s">
        <v>483</v>
      </c>
      <c r="AJ54" s="168"/>
      <c r="AK54" s="168"/>
      <c r="AL54" s="168"/>
      <c r="AM54" s="168"/>
      <c r="AN54" s="168"/>
      <c r="AO54" s="168"/>
      <c r="AP54" s="168"/>
      <c r="AQ54" s="168"/>
      <c r="AR54" s="168"/>
      <c r="AS54" s="168"/>
      <c r="AT54" s="168"/>
      <c r="AU54" s="168"/>
      <c r="AV54" s="168"/>
      <c r="AW54" s="168"/>
      <c r="AX54" s="168"/>
      <c r="AY54" s="168"/>
      <c r="AZ54" s="168"/>
      <c r="BA54" s="168"/>
      <c r="BB54" s="168"/>
      <c r="BC54" s="168"/>
      <c r="BD54" s="168"/>
    </row>
    <row r="55" spans="1:56" ht="11.25" customHeight="1" x14ac:dyDescent="0.25">
      <c r="L55" s="168" t="s">
        <v>484</v>
      </c>
      <c r="M55" s="168"/>
      <c r="N55" s="168"/>
      <c r="O55" s="168"/>
      <c r="P55" s="168"/>
      <c r="Q55" s="168"/>
      <c r="R55" s="168"/>
      <c r="S55" s="168"/>
      <c r="T55" s="168" t="s">
        <v>493</v>
      </c>
      <c r="U55" s="168"/>
      <c r="V55" s="168"/>
      <c r="W55" s="168"/>
      <c r="X55" s="168"/>
      <c r="Y55" s="168"/>
      <c r="Z55" s="168"/>
      <c r="AA55" s="116" t="s">
        <v>501</v>
      </c>
      <c r="AB55" s="168" t="s">
        <v>503</v>
      </c>
      <c r="AC55" s="168"/>
      <c r="AD55" s="168" t="s">
        <v>506</v>
      </c>
      <c r="AE55" s="168"/>
      <c r="AF55" s="168"/>
      <c r="AG55" s="168"/>
      <c r="AI55" s="168" t="s">
        <v>484</v>
      </c>
      <c r="AJ55" s="168"/>
      <c r="AK55" s="168"/>
      <c r="AL55" s="168"/>
      <c r="AM55" s="168"/>
      <c r="AN55" s="168"/>
      <c r="AO55" s="168"/>
      <c r="AP55" s="168"/>
      <c r="AQ55" s="168" t="s">
        <v>493</v>
      </c>
      <c r="AR55" s="168"/>
      <c r="AS55" s="168"/>
      <c r="AT55" s="168"/>
      <c r="AU55" s="168"/>
      <c r="AV55" s="168"/>
      <c r="AW55" s="168"/>
      <c r="AX55" s="116" t="s">
        <v>501</v>
      </c>
      <c r="AY55" s="168" t="s">
        <v>503</v>
      </c>
      <c r="AZ55" s="168"/>
      <c r="BA55" s="168" t="s">
        <v>506</v>
      </c>
      <c r="BB55" s="168"/>
      <c r="BC55" s="168"/>
      <c r="BD55" s="168"/>
    </row>
    <row r="56" spans="1:56" ht="11.25" customHeight="1" x14ac:dyDescent="0.25">
      <c r="L56" s="116" t="s">
        <v>569</v>
      </c>
      <c r="M56" s="116" t="s">
        <v>485</v>
      </c>
      <c r="N56" s="116" t="s">
        <v>486</v>
      </c>
      <c r="O56" s="116" t="s">
        <v>487</v>
      </c>
      <c r="P56" s="116" t="s">
        <v>488</v>
      </c>
      <c r="Q56" s="116" t="s">
        <v>489</v>
      </c>
      <c r="R56" s="116" t="s">
        <v>490</v>
      </c>
      <c r="S56" s="116" t="s">
        <v>491</v>
      </c>
      <c r="T56" s="116" t="s">
        <v>494</v>
      </c>
      <c r="U56" s="116" t="s">
        <v>495</v>
      </c>
      <c r="V56" s="116" t="s">
        <v>496</v>
      </c>
      <c r="W56" s="116" t="s">
        <v>497</v>
      </c>
      <c r="X56" s="116" t="s">
        <v>498</v>
      </c>
      <c r="Y56" s="116" t="s">
        <v>499</v>
      </c>
      <c r="Z56" s="116" t="s">
        <v>500</v>
      </c>
      <c r="AA56" s="116" t="s">
        <v>502</v>
      </c>
      <c r="AB56" s="116" t="s">
        <v>504</v>
      </c>
      <c r="AC56" s="116" t="s">
        <v>505</v>
      </c>
      <c r="AD56" s="116" t="s">
        <v>507</v>
      </c>
      <c r="AE56" s="116" t="s">
        <v>508</v>
      </c>
      <c r="AF56" s="116" t="s">
        <v>509</v>
      </c>
      <c r="AG56" s="116" t="s">
        <v>510</v>
      </c>
      <c r="AI56" s="116" t="s">
        <v>569</v>
      </c>
      <c r="AJ56" s="116" t="s">
        <v>485</v>
      </c>
      <c r="AK56" s="116" t="s">
        <v>486</v>
      </c>
      <c r="AL56" s="116" t="s">
        <v>487</v>
      </c>
      <c r="AM56" s="116" t="s">
        <v>488</v>
      </c>
      <c r="AN56" s="116" t="s">
        <v>489</v>
      </c>
      <c r="AO56" s="116" t="s">
        <v>490</v>
      </c>
      <c r="AP56" s="116" t="s">
        <v>491</v>
      </c>
      <c r="AQ56" s="116" t="s">
        <v>494</v>
      </c>
      <c r="AR56" s="116" t="s">
        <v>495</v>
      </c>
      <c r="AS56" s="116" t="s">
        <v>496</v>
      </c>
      <c r="AT56" s="116" t="s">
        <v>497</v>
      </c>
      <c r="AU56" s="116" t="s">
        <v>498</v>
      </c>
      <c r="AV56" s="116" t="s">
        <v>499</v>
      </c>
      <c r="AW56" s="116" t="s">
        <v>500</v>
      </c>
      <c r="AX56" s="116" t="s">
        <v>502</v>
      </c>
      <c r="AY56" s="116" t="s">
        <v>504</v>
      </c>
      <c r="AZ56" s="116" t="s">
        <v>505</v>
      </c>
      <c r="BA56" s="116" t="s">
        <v>507</v>
      </c>
      <c r="BB56" s="116" t="s">
        <v>508</v>
      </c>
      <c r="BC56" s="116" t="s">
        <v>509</v>
      </c>
      <c r="BD56" s="116" t="s">
        <v>510</v>
      </c>
    </row>
    <row r="57" spans="1:56" ht="11.25" customHeight="1" x14ac:dyDescent="0.25">
      <c r="A57" s="9" t="s">
        <v>38</v>
      </c>
      <c r="B57" s="9" t="s">
        <v>752</v>
      </c>
      <c r="C57" s="9" t="s">
        <v>753</v>
      </c>
      <c r="D57" s="9" t="s">
        <v>754</v>
      </c>
      <c r="E57" s="9" t="s">
        <v>755</v>
      </c>
      <c r="F57" s="9" t="s">
        <v>756</v>
      </c>
      <c r="G57" s="9" t="s">
        <v>757</v>
      </c>
      <c r="L57" s="17">
        <f>$I$5*$L$5</f>
        <v>0</v>
      </c>
      <c r="M57" s="17">
        <f>$I$5*$M$5</f>
        <v>0</v>
      </c>
      <c r="N57" s="17">
        <f ca="1">$I$5*$N$5</f>
        <v>0</v>
      </c>
      <c r="O57" s="17">
        <f>$I$5*$O$5</f>
        <v>0</v>
      </c>
      <c r="P57" s="17">
        <f>$I$5*$P$5</f>
        <v>0</v>
      </c>
      <c r="Q57" s="17">
        <f>$I$5*$Q$5</f>
        <v>0</v>
      </c>
      <c r="R57" s="17">
        <f>$I$5*$R$5</f>
        <v>0</v>
      </c>
      <c r="S57" s="17">
        <f>$I$5*$S$5</f>
        <v>0</v>
      </c>
      <c r="T57" s="17">
        <f>$I$5*$T$5</f>
        <v>20134.553852120767</v>
      </c>
      <c r="U57" s="17">
        <f>$I$5*$U$5</f>
        <v>18093.262501917288</v>
      </c>
      <c r="V57" s="17">
        <f>$I$5*$V$5</f>
        <v>3050.2216849910706</v>
      </c>
      <c r="W57" s="17">
        <f>$I$5*$W$5</f>
        <v>0</v>
      </c>
      <c r="X57" s="17">
        <f>$I$5*$X$5</f>
        <v>0</v>
      </c>
      <c r="Y57" s="17">
        <f>$I$5*$Y$5</f>
        <v>0</v>
      </c>
      <c r="Z57" s="17">
        <f>$I$5*$Z$5</f>
        <v>0</v>
      </c>
      <c r="AA57" s="17">
        <f>$I$5*$AA$5</f>
        <v>36970.387421976091</v>
      </c>
      <c r="AB57" s="17">
        <f ca="1">$I$5*$AB$5</f>
        <v>-13943.188419279448</v>
      </c>
      <c r="AC57" s="17">
        <f ca="1">$I$5*$AC$5</f>
        <v>0</v>
      </c>
      <c r="AD57" s="17">
        <f>$I$5*$AD$5</f>
        <v>0</v>
      </c>
      <c r="AE57" s="17">
        <f>$I$5*$AE$5</f>
        <v>0</v>
      </c>
      <c r="AF57" s="17">
        <f ca="1">$I$5*$AF$5</f>
        <v>0</v>
      </c>
      <c r="AG57" s="17">
        <f ca="1">$I$5*$AG$5</f>
        <v>0</v>
      </c>
      <c r="AI57" s="17">
        <f>$I$5*$AI$5</f>
        <v>0</v>
      </c>
      <c r="AJ57" s="17">
        <f>$I$5*$AJ$5</f>
        <v>0</v>
      </c>
      <c r="AK57" s="17">
        <f>$I$5*$AK$5</f>
        <v>0</v>
      </c>
      <c r="AL57" s="17">
        <f>$I$5*$AL$5</f>
        <v>0</v>
      </c>
      <c r="AM57" s="17">
        <f>$I$5*$AM$5</f>
        <v>0</v>
      </c>
      <c r="AN57" s="17">
        <f>$I$5*$AN$5</f>
        <v>0</v>
      </c>
      <c r="AO57" s="17">
        <f>$I$5*$AO$5</f>
        <v>0</v>
      </c>
      <c r="AP57" s="17">
        <f>$I$5*$AP$5</f>
        <v>0</v>
      </c>
      <c r="AQ57" s="17">
        <f>$I$5*$AQ$5</f>
        <v>15426.911036378879</v>
      </c>
      <c r="AR57" s="17">
        <f>$I$5*$AR$5</f>
        <v>11298.616397603728</v>
      </c>
      <c r="AS57" s="17">
        <f>$I$5*$AS$5</f>
        <v>823.71896520385371</v>
      </c>
      <c r="AT57" s="17">
        <f>$I$5*$AT$5</f>
        <v>0</v>
      </c>
      <c r="AU57" s="17">
        <f>$I$5*$AU$5</f>
        <v>0</v>
      </c>
      <c r="AV57" s="17">
        <f>$I$5*$AV$5</f>
        <v>0</v>
      </c>
      <c r="AW57" s="17">
        <f>$I$5*$AW$5</f>
        <v>0</v>
      </c>
      <c r="AX57" s="17">
        <f>$I$5*$AX$5</f>
        <v>35943.50701126983</v>
      </c>
      <c r="AY57" s="17">
        <f>$I$5*$AY$5</f>
        <v>0</v>
      </c>
      <c r="AZ57" s="17">
        <f>$I$5*$AZ$5</f>
        <v>0</v>
      </c>
      <c r="BA57" s="17">
        <f>$I$5*$BA$5</f>
        <v>0</v>
      </c>
      <c r="BB57" s="17">
        <f>$I$5*$BB$5</f>
        <v>0</v>
      </c>
      <c r="BC57" s="17">
        <f>$I$5*$BC$5</f>
        <v>0</v>
      </c>
      <c r="BD57" s="17">
        <f>$I$5*$BD$5</f>
        <v>0</v>
      </c>
    </row>
    <row r="58" spans="1:56" ht="11.25" customHeight="1" x14ac:dyDescent="0.25">
      <c r="A58" s="9" t="s">
        <v>38</v>
      </c>
      <c r="B58" s="9" t="s">
        <v>752</v>
      </c>
      <c r="C58" s="9" t="s">
        <v>753</v>
      </c>
      <c r="D58" s="9" t="s">
        <v>754</v>
      </c>
      <c r="E58" s="9" t="s">
        <v>755</v>
      </c>
      <c r="F58" s="9" t="s">
        <v>756</v>
      </c>
      <c r="G58" s="9" t="s">
        <v>758</v>
      </c>
      <c r="L58" s="17">
        <f>$I$6*$L$6</f>
        <v>0</v>
      </c>
      <c r="M58" s="17">
        <f>$I$6*$M$6</f>
        <v>0</v>
      </c>
      <c r="N58" s="17">
        <f ca="1">$I$6*$N$6</f>
        <v>0</v>
      </c>
      <c r="O58" s="17">
        <f>$I$6*$O$6</f>
        <v>0</v>
      </c>
      <c r="P58" s="17">
        <f>$I$6*$P$6</f>
        <v>0</v>
      </c>
      <c r="Q58" s="17">
        <f>$I$6*$Q$6</f>
        <v>0</v>
      </c>
      <c r="R58" s="17">
        <f>$I$6*$R$6</f>
        <v>0</v>
      </c>
      <c r="S58" s="17">
        <f>$I$6*$S$6</f>
        <v>0</v>
      </c>
      <c r="T58" s="17">
        <f>$I$6*$T$6</f>
        <v>20138.103120146614</v>
      </c>
      <c r="U58" s="17">
        <f>$I$6*$U$6</f>
        <v>15619.348389435476</v>
      </c>
      <c r="V58" s="17">
        <f>$I$6*$V$6</f>
        <v>2912.2571782632463</v>
      </c>
      <c r="W58" s="17">
        <f>$I$6*$W$6</f>
        <v>0</v>
      </c>
      <c r="X58" s="17">
        <f>$I$6*$X$6</f>
        <v>0</v>
      </c>
      <c r="Y58" s="17">
        <f>$I$6*$Y$6</f>
        <v>0</v>
      </c>
      <c r="Z58" s="17">
        <f>$I$6*$Z$6</f>
        <v>0</v>
      </c>
      <c r="AA58" s="17">
        <f>$I$6*$AA$6</f>
        <v>36970.387421976091</v>
      </c>
      <c r="AB58" s="17">
        <f ca="1">$I$6*$AB$6</f>
        <v>-13489.749944620684</v>
      </c>
      <c r="AC58" s="17">
        <f ca="1">$I$6*$AC$6</f>
        <v>0</v>
      </c>
      <c r="AD58" s="17">
        <f>$I$6*$AD$6</f>
        <v>0</v>
      </c>
      <c r="AE58" s="17">
        <f>$I$6*$AE$6</f>
        <v>0</v>
      </c>
      <c r="AF58" s="17">
        <f ca="1">$I$6*$AF$6</f>
        <v>0</v>
      </c>
      <c r="AG58" s="17">
        <f ca="1">$I$6*$AG$6</f>
        <v>0</v>
      </c>
      <c r="AI58" s="17">
        <f>$I$6*$AI$6</f>
        <v>0</v>
      </c>
      <c r="AJ58" s="17">
        <f>$I$6*$AJ$6</f>
        <v>0</v>
      </c>
      <c r="AK58" s="17">
        <f>$I$6*$AK$6</f>
        <v>0</v>
      </c>
      <c r="AL58" s="17">
        <f>$I$6*$AL$6</f>
        <v>0</v>
      </c>
      <c r="AM58" s="17">
        <f>$I$6*$AM$6</f>
        <v>0</v>
      </c>
      <c r="AN58" s="17">
        <f>$I$6*$AN$6</f>
        <v>0</v>
      </c>
      <c r="AO58" s="17">
        <f>$I$6*$AO$6</f>
        <v>0</v>
      </c>
      <c r="AP58" s="17">
        <f>$I$6*$AP$6</f>
        <v>0</v>
      </c>
      <c r="AQ58" s="17">
        <f>$I$6*$AQ$6</f>
        <v>12395.57115888628</v>
      </c>
      <c r="AR58" s="17">
        <f>$I$6*$AR$6</f>
        <v>8972.2025889001343</v>
      </c>
      <c r="AS58" s="17">
        <f>$I$6*$AS$6</f>
        <v>679.32065509973791</v>
      </c>
      <c r="AT58" s="17">
        <f>$I$6*$AT$6</f>
        <v>0</v>
      </c>
      <c r="AU58" s="17">
        <f>$I$6*$AU$6</f>
        <v>0</v>
      </c>
      <c r="AV58" s="17">
        <f>$I$6*$AV$6</f>
        <v>0</v>
      </c>
      <c r="AW58" s="17">
        <f>$I$6*$AW$6</f>
        <v>0</v>
      </c>
      <c r="AX58" s="17">
        <f>$I$6*$AX$6</f>
        <v>25858.700932316216</v>
      </c>
      <c r="AY58" s="17">
        <f>$I$6*$AY$6</f>
        <v>0</v>
      </c>
      <c r="AZ58" s="17">
        <f>$I$6*$AZ$6</f>
        <v>0</v>
      </c>
      <c r="BA58" s="17">
        <f>$I$6*$BA$6</f>
        <v>0</v>
      </c>
      <c r="BB58" s="17">
        <f>$I$6*$BB$6</f>
        <v>0</v>
      </c>
      <c r="BC58" s="17">
        <f>$I$6*$BC$6</f>
        <v>0</v>
      </c>
      <c r="BD58" s="17">
        <f>$I$6*$BD$6</f>
        <v>0</v>
      </c>
    </row>
    <row r="59" spans="1:56" ht="11.25" customHeight="1" x14ac:dyDescent="0.25">
      <c r="A59" s="9" t="s">
        <v>38</v>
      </c>
      <c r="B59" s="9" t="s">
        <v>752</v>
      </c>
      <c r="C59" s="9" t="s">
        <v>753</v>
      </c>
      <c r="D59" s="9" t="s">
        <v>754</v>
      </c>
      <c r="E59" s="9" t="s">
        <v>755</v>
      </c>
      <c r="F59" s="9" t="s">
        <v>756</v>
      </c>
      <c r="G59" s="9" t="s">
        <v>759</v>
      </c>
      <c r="L59" s="17">
        <f>$I$7*$L$7</f>
        <v>8341.071872248669</v>
      </c>
      <c r="M59" s="17">
        <f>$I$7*$M$7</f>
        <v>537.39704969309878</v>
      </c>
      <c r="N59" s="17">
        <f ca="1">$I$7*$N$7</f>
        <v>184.23991405121399</v>
      </c>
      <c r="O59" s="17">
        <f>$I$7*$O$7</f>
        <v>0</v>
      </c>
      <c r="P59" s="17">
        <f>$I$7*$P$7</f>
        <v>0</v>
      </c>
      <c r="Q59" s="17">
        <f>$I$7*$Q$7</f>
        <v>120340.13490113175</v>
      </c>
      <c r="R59" s="17">
        <f>$I$7*$R$7</f>
        <v>23996.208389358781</v>
      </c>
      <c r="S59" s="17">
        <f>$I$7*$S$7</f>
        <v>0</v>
      </c>
      <c r="T59" s="17">
        <f>$I$7*$T$7</f>
        <v>0</v>
      </c>
      <c r="U59" s="17">
        <f>$I$7*$U$7</f>
        <v>0</v>
      </c>
      <c r="V59" s="17">
        <f>$I$7*$V$7</f>
        <v>0</v>
      </c>
      <c r="W59" s="17">
        <f>$I$7*$W$7</f>
        <v>0</v>
      </c>
      <c r="X59" s="17">
        <f>$I$7*$X$7</f>
        <v>0</v>
      </c>
      <c r="Y59" s="17">
        <f>$I$7*$Y$7</f>
        <v>0</v>
      </c>
      <c r="Z59" s="17">
        <f>$I$7*$Z$7</f>
        <v>0</v>
      </c>
      <c r="AA59" s="17">
        <f>$I$7*$AA$7</f>
        <v>0</v>
      </c>
      <c r="AB59" s="17">
        <f ca="1">$I$7*$AB$7</f>
        <v>-25827.454782827146</v>
      </c>
      <c r="AC59" s="17">
        <f ca="1">$I$7*$AC$7</f>
        <v>0</v>
      </c>
      <c r="AD59" s="17">
        <f>$I$7*$AD$7</f>
        <v>8545.6566283176871</v>
      </c>
      <c r="AE59" s="17">
        <f>$I$7*$AE$7</f>
        <v>0</v>
      </c>
      <c r="AF59" s="17">
        <f ca="1">$I$7*$AF$7</f>
        <v>797.90354975297464</v>
      </c>
      <c r="AG59" s="17">
        <f ca="1">$I$7*$AG$7</f>
        <v>464.8403369010905</v>
      </c>
      <c r="AI59" s="17">
        <f>$I$7*$AI$7</f>
        <v>9186.6019855375798</v>
      </c>
      <c r="AJ59" s="17">
        <f>$I$7*$AJ$7</f>
        <v>452.56865446819683</v>
      </c>
      <c r="AK59" s="17">
        <f>$I$7*$AK$7</f>
        <v>220.27780968798575</v>
      </c>
      <c r="AL59" s="17">
        <f>$I$7*$AL$7</f>
        <v>0</v>
      </c>
      <c r="AM59" s="17">
        <f>$I$7*$AM$7</f>
        <v>0</v>
      </c>
      <c r="AN59" s="17">
        <f>$I$7*$AN$7</f>
        <v>71634.655999426628</v>
      </c>
      <c r="AO59" s="17">
        <f>$I$7*$AO$7</f>
        <v>13098.822462628294</v>
      </c>
      <c r="AP59" s="17">
        <f>$I$7*$AP$7</f>
        <v>0</v>
      </c>
      <c r="AQ59" s="17">
        <f>$I$7*$AQ$7</f>
        <v>0</v>
      </c>
      <c r="AR59" s="17">
        <f>$I$7*$AR$7</f>
        <v>0</v>
      </c>
      <c r="AS59" s="17">
        <f>$I$7*$AS$7</f>
        <v>0</v>
      </c>
      <c r="AT59" s="17">
        <f>$I$7*$AT$7</f>
        <v>0</v>
      </c>
      <c r="AU59" s="17">
        <f>$I$7*$AU$7</f>
        <v>0</v>
      </c>
      <c r="AV59" s="17">
        <f>$I$7*$AV$7</f>
        <v>0</v>
      </c>
      <c r="AW59" s="17">
        <f>$I$7*$AW$7</f>
        <v>0</v>
      </c>
      <c r="AX59" s="17">
        <f>$I$7*$AX$7</f>
        <v>0</v>
      </c>
      <c r="AY59" s="17">
        <f>$I$7*$AY$7</f>
        <v>0</v>
      </c>
      <c r="AZ59" s="17">
        <f>$I$7*$AZ$7</f>
        <v>0</v>
      </c>
      <c r="BA59" s="17">
        <f>$I$7*$BA$7</f>
        <v>8273.8710834134108</v>
      </c>
      <c r="BB59" s="17">
        <f>$I$7*$BB$7</f>
        <v>0</v>
      </c>
      <c r="BC59" s="17">
        <f>$I$7*$BC$7</f>
        <v>928.81127961670325</v>
      </c>
      <c r="BD59" s="17">
        <f>$I$7*$BD$7</f>
        <v>-1630.1201822503435</v>
      </c>
    </row>
    <row r="60" spans="1:56" ht="11.25" customHeight="1" x14ac:dyDescent="0.25">
      <c r="A60" s="9" t="s">
        <v>38</v>
      </c>
      <c r="B60" s="9" t="s">
        <v>752</v>
      </c>
      <c r="C60" s="9" t="s">
        <v>753</v>
      </c>
      <c r="D60" s="9" t="s">
        <v>754</v>
      </c>
      <c r="E60" s="9" t="s">
        <v>760</v>
      </c>
      <c r="F60" s="9" t="s">
        <v>761</v>
      </c>
      <c r="G60" s="9" t="s">
        <v>762</v>
      </c>
      <c r="L60" s="17">
        <f>$I$8*$L$8</f>
        <v>0</v>
      </c>
      <c r="M60" s="17">
        <f>$I$8*$M$8</f>
        <v>0</v>
      </c>
      <c r="N60" s="17">
        <f ca="1">$I$8*$N$8</f>
        <v>0</v>
      </c>
      <c r="O60" s="17">
        <f>$I$8*$O$8</f>
        <v>0</v>
      </c>
      <c r="P60" s="17">
        <f>$I$8*$P$8</f>
        <v>0</v>
      </c>
      <c r="Q60" s="17">
        <f>$I$8*$Q$8</f>
        <v>0</v>
      </c>
      <c r="R60" s="17">
        <f>$I$8*$R$8</f>
        <v>0</v>
      </c>
      <c r="S60" s="17">
        <f>$I$8*$S$8</f>
        <v>0</v>
      </c>
      <c r="T60" s="17">
        <f>$I$8*$T$8</f>
        <v>0</v>
      </c>
      <c r="U60" s="17">
        <f>$I$8*$U$8</f>
        <v>0</v>
      </c>
      <c r="V60" s="17">
        <f>$I$8*$V$8</f>
        <v>0</v>
      </c>
      <c r="W60" s="17">
        <f>$I$8*$W$8</f>
        <v>0</v>
      </c>
      <c r="X60" s="17">
        <f>$I$8*$X$8</f>
        <v>0</v>
      </c>
      <c r="Y60" s="17">
        <f>$I$8*$Y$8</f>
        <v>0</v>
      </c>
      <c r="Z60" s="17">
        <f>$I$8*$Z$8</f>
        <v>0</v>
      </c>
      <c r="AA60" s="17">
        <f>$I$8*$AA$8</f>
        <v>0</v>
      </c>
      <c r="AB60" s="17">
        <f ca="1">$I$8*$AB$8</f>
        <v>0</v>
      </c>
      <c r="AC60" s="17">
        <f ca="1">$I$8*$AC$8</f>
        <v>0</v>
      </c>
      <c r="AD60" s="17">
        <f>$I$8*$AD$8</f>
        <v>0</v>
      </c>
      <c r="AE60" s="17">
        <f>$I$8*$AE$8</f>
        <v>0</v>
      </c>
      <c r="AF60" s="17">
        <f ca="1">$I$8*$AF$8</f>
        <v>0</v>
      </c>
      <c r="AG60" s="17">
        <f ca="1">$I$8*$AG$8</f>
        <v>0</v>
      </c>
      <c r="AI60" s="17">
        <f>$I$8*$AI$8</f>
        <v>0</v>
      </c>
      <c r="AJ60" s="17">
        <f>$I$8*$AJ$8</f>
        <v>0</v>
      </c>
      <c r="AK60" s="17">
        <f>$I$8*$AK$8</f>
        <v>0</v>
      </c>
      <c r="AL60" s="17">
        <f>$I$8*$AL$8</f>
        <v>0</v>
      </c>
      <c r="AM60" s="17">
        <f>$I$8*$AM$8</f>
        <v>0</v>
      </c>
      <c r="AN60" s="17">
        <f>$I$8*$AN$8</f>
        <v>0</v>
      </c>
      <c r="AO60" s="17">
        <f>$I$8*$AO$8</f>
        <v>0</v>
      </c>
      <c r="AP60" s="17">
        <f>$I$8*$AP$8</f>
        <v>0</v>
      </c>
      <c r="AQ60" s="17">
        <f>$I$8*$AQ$8</f>
        <v>0</v>
      </c>
      <c r="AR60" s="17">
        <f>$I$8*$AR$8</f>
        <v>0</v>
      </c>
      <c r="AS60" s="17">
        <f>$I$8*$AS$8</f>
        <v>0</v>
      </c>
      <c r="AT60" s="17">
        <f>$I$8*$AT$8</f>
        <v>0</v>
      </c>
      <c r="AU60" s="17">
        <f>$I$8*$AU$8</f>
        <v>0</v>
      </c>
      <c r="AV60" s="17">
        <f>$I$8*$AV$8</f>
        <v>0</v>
      </c>
      <c r="AW60" s="17">
        <f>$I$8*$AW$8</f>
        <v>0</v>
      </c>
      <c r="AX60" s="17">
        <f>$I$8*$AX$8</f>
        <v>0</v>
      </c>
      <c r="AY60" s="17">
        <f>$I$8*$AY$8</f>
        <v>0</v>
      </c>
      <c r="AZ60" s="17">
        <f>$I$8*$AZ$8</f>
        <v>0</v>
      </c>
      <c r="BA60" s="17">
        <f>$I$8*$BA$8</f>
        <v>0</v>
      </c>
      <c r="BB60" s="17">
        <f>$I$8*$BB$8</f>
        <v>0</v>
      </c>
      <c r="BC60" s="17">
        <f>$I$8*$BC$8</f>
        <v>0</v>
      </c>
      <c r="BD60" s="17">
        <f>$I$8*$BD$8</f>
        <v>0</v>
      </c>
    </row>
    <row r="61" spans="1:56" ht="11.25" customHeight="1" x14ac:dyDescent="0.25">
      <c r="A61" s="9" t="s">
        <v>38</v>
      </c>
      <c r="B61" s="9" t="s">
        <v>763</v>
      </c>
      <c r="C61" s="9" t="s">
        <v>764</v>
      </c>
      <c r="D61" s="9" t="s">
        <v>765</v>
      </c>
      <c r="E61" s="9" t="s">
        <v>766</v>
      </c>
      <c r="F61" s="9" t="s">
        <v>767</v>
      </c>
      <c r="G61" s="9" t="s">
        <v>768</v>
      </c>
      <c r="L61" s="17">
        <f>$I$9*$L$9</f>
        <v>0</v>
      </c>
      <c r="M61" s="17">
        <f>$I$9*$M$9</f>
        <v>541.87250562769202</v>
      </c>
      <c r="N61" s="17">
        <f ca="1">$I$9*$N$9</f>
        <v>1248.4627786282128</v>
      </c>
      <c r="O61" s="17">
        <f>$I$9*$O$9</f>
        <v>0</v>
      </c>
      <c r="P61" s="17">
        <f>$I$9*$P$9</f>
        <v>0</v>
      </c>
      <c r="Q61" s="17">
        <f>$I$9*$Q$9</f>
        <v>0</v>
      </c>
      <c r="R61" s="17">
        <f>$I$9*$R$9</f>
        <v>0</v>
      </c>
      <c r="S61" s="17">
        <f>$I$9*$S$9</f>
        <v>0</v>
      </c>
      <c r="T61" s="17">
        <f>$I$9*$T$9</f>
        <v>0</v>
      </c>
      <c r="U61" s="17">
        <f>$I$9*$U$9</f>
        <v>0</v>
      </c>
      <c r="V61" s="17">
        <f>$I$9*$V$9</f>
        <v>0</v>
      </c>
      <c r="W61" s="17">
        <f>$I$9*$W$9</f>
        <v>0</v>
      </c>
      <c r="X61" s="17">
        <f>$I$9*$X$9</f>
        <v>0</v>
      </c>
      <c r="Y61" s="17">
        <f>$I$9*$Y$9</f>
        <v>0</v>
      </c>
      <c r="Z61" s="17">
        <f>$I$9*$Z$9</f>
        <v>0</v>
      </c>
      <c r="AA61" s="17">
        <f>$I$9*$AA$9</f>
        <v>139634.4796386832</v>
      </c>
      <c r="AB61" s="17">
        <f ca="1">$I$9*$AB$9</f>
        <v>-25789.016876197446</v>
      </c>
      <c r="AC61" s="17">
        <f ca="1">$I$9*$AC$9</f>
        <v>0</v>
      </c>
      <c r="AD61" s="17">
        <f>$I$9*$AD$9</f>
        <v>0</v>
      </c>
      <c r="AE61" s="17">
        <f>$I$9*$AE$9</f>
        <v>0</v>
      </c>
      <c r="AF61" s="17">
        <f ca="1">$I$9*$AF$9</f>
        <v>0</v>
      </c>
      <c r="AG61" s="17">
        <f ca="1">$I$9*$AG$9</f>
        <v>0</v>
      </c>
      <c r="AI61" s="17">
        <f>$I$9*$AI$9</f>
        <v>0</v>
      </c>
      <c r="AJ61" s="17">
        <f>$I$9*$AJ$9</f>
        <v>429.52450128460464</v>
      </c>
      <c r="AK61" s="17">
        <f>$I$9*$AK$9</f>
        <v>1384.0384547174569</v>
      </c>
      <c r="AL61" s="17">
        <f>$I$9*$AL$9</f>
        <v>0</v>
      </c>
      <c r="AM61" s="17">
        <f>$I$9*$AM$9</f>
        <v>0</v>
      </c>
      <c r="AN61" s="17">
        <f>$I$9*$AN$9</f>
        <v>0</v>
      </c>
      <c r="AO61" s="17">
        <f>$I$9*$AO$9</f>
        <v>0</v>
      </c>
      <c r="AP61" s="17">
        <f>$I$9*$AP$9</f>
        <v>0</v>
      </c>
      <c r="AQ61" s="17">
        <f>$I$9*$AQ$9</f>
        <v>0</v>
      </c>
      <c r="AR61" s="17">
        <f>$I$9*$AR$9</f>
        <v>0</v>
      </c>
      <c r="AS61" s="17">
        <f>$I$9*$AS$9</f>
        <v>0</v>
      </c>
      <c r="AT61" s="17">
        <f>$I$9*$AT$9</f>
        <v>0</v>
      </c>
      <c r="AU61" s="17">
        <f>$I$9*$AU$9</f>
        <v>0</v>
      </c>
      <c r="AV61" s="17">
        <f>$I$9*$AV$9</f>
        <v>0</v>
      </c>
      <c r="AW61" s="17">
        <f>$I$9*$AW$9</f>
        <v>0</v>
      </c>
      <c r="AX61" s="17">
        <f>$I$9*$AX$9</f>
        <v>115241.19953619181</v>
      </c>
      <c r="AY61" s="17">
        <f>$I$9*$AY$9</f>
        <v>0</v>
      </c>
      <c r="AZ61" s="17">
        <f>$I$9*$AZ$9</f>
        <v>0</v>
      </c>
      <c r="BA61" s="17">
        <f>$I$9*$BA$9</f>
        <v>0</v>
      </c>
      <c r="BB61" s="17">
        <f>$I$9*$BB$9</f>
        <v>0</v>
      </c>
      <c r="BC61" s="17">
        <f>$I$9*$BC$9</f>
        <v>0</v>
      </c>
      <c r="BD61" s="17">
        <f>$I$9*$BD$9</f>
        <v>0</v>
      </c>
    </row>
    <row r="62" spans="1:56" ht="11.25" customHeight="1" x14ac:dyDescent="0.25">
      <c r="A62" s="9" t="s">
        <v>38</v>
      </c>
      <c r="B62" s="9" t="s">
        <v>769</v>
      </c>
      <c r="C62" s="9" t="s">
        <v>770</v>
      </c>
      <c r="D62" s="9" t="s">
        <v>771</v>
      </c>
      <c r="E62" s="9" t="s">
        <v>772</v>
      </c>
      <c r="F62" s="9" t="s">
        <v>773</v>
      </c>
      <c r="G62" s="9" t="s">
        <v>774</v>
      </c>
      <c r="L62" s="17">
        <f>$I$10*$L$10</f>
        <v>0</v>
      </c>
      <c r="M62" s="17">
        <f>$I$10*$M$10</f>
        <v>0</v>
      </c>
      <c r="N62" s="17">
        <f ca="1">$I$10*$N$10</f>
        <v>0</v>
      </c>
      <c r="O62" s="17">
        <f>$I$10*$O$10</f>
        <v>0</v>
      </c>
      <c r="P62" s="17">
        <f>$I$10*$P$10</f>
        <v>0</v>
      </c>
      <c r="Q62" s="17">
        <f>$I$10*$Q$10</f>
        <v>0</v>
      </c>
      <c r="R62" s="17">
        <f>$I$10*$R$10</f>
        <v>0</v>
      </c>
      <c r="S62" s="17">
        <f>$I$10*$S$10</f>
        <v>0</v>
      </c>
      <c r="T62" s="17">
        <f>$I$10*$T$10</f>
        <v>1729212.3370014057</v>
      </c>
      <c r="U62" s="17">
        <f>$I$10*$U$10</f>
        <v>1341197.3198167942</v>
      </c>
      <c r="V62" s="17">
        <f>$I$10*$V$10</f>
        <v>250068.78806453562</v>
      </c>
      <c r="W62" s="17">
        <f>$I$10*$W$10</f>
        <v>0</v>
      </c>
      <c r="X62" s="17">
        <f>$I$10*$X$10</f>
        <v>0</v>
      </c>
      <c r="Y62" s="17">
        <f>$I$10*$Y$10</f>
        <v>0</v>
      </c>
      <c r="Z62" s="17">
        <f>$I$10*$Z$10</f>
        <v>0</v>
      </c>
      <c r="AA62" s="17">
        <f>$I$10*$AA$10</f>
        <v>3174561.6581854713</v>
      </c>
      <c r="AB62" s="17">
        <f ca="1">$I$10*$AB$10</f>
        <v>-1158333.6269623933</v>
      </c>
      <c r="AC62" s="17">
        <f ca="1">$I$10*$AC$10</f>
        <v>0</v>
      </c>
      <c r="AD62" s="17">
        <f>$I$10*$AD$10</f>
        <v>0</v>
      </c>
      <c r="AE62" s="17">
        <f>$I$10*$AE$10</f>
        <v>0</v>
      </c>
      <c r="AF62" s="17">
        <f ca="1">$I$10*$AF$10</f>
        <v>0</v>
      </c>
      <c r="AG62" s="17">
        <f ca="1">$I$10*$AG$10</f>
        <v>0</v>
      </c>
      <c r="AI62" s="17">
        <f>$I$10*$AI$10</f>
        <v>0</v>
      </c>
      <c r="AJ62" s="17">
        <f>$I$10*$AJ$10</f>
        <v>0</v>
      </c>
      <c r="AK62" s="17">
        <f>$I$10*$AK$10</f>
        <v>0</v>
      </c>
      <c r="AL62" s="17">
        <f>$I$10*$AL$10</f>
        <v>0</v>
      </c>
      <c r="AM62" s="17">
        <f>$I$10*$AM$10</f>
        <v>0</v>
      </c>
      <c r="AN62" s="17">
        <f>$I$10*$AN$10</f>
        <v>0</v>
      </c>
      <c r="AO62" s="17">
        <f>$I$10*$AO$10</f>
        <v>0</v>
      </c>
      <c r="AP62" s="17">
        <f>$I$10*$AP$10</f>
        <v>0</v>
      </c>
      <c r="AQ62" s="17">
        <f>$I$10*$AQ$10</f>
        <v>1064379.025385034</v>
      </c>
      <c r="AR62" s="17">
        <f>$I$10*$AR$10</f>
        <v>770422.28427565563</v>
      </c>
      <c r="AS62" s="17">
        <f>$I$10*$AS$10</f>
        <v>58331.693435572764</v>
      </c>
      <c r="AT62" s="17">
        <f>$I$10*$AT$10</f>
        <v>0</v>
      </c>
      <c r="AU62" s="17">
        <f>$I$10*$AU$10</f>
        <v>0</v>
      </c>
      <c r="AV62" s="17">
        <f>$I$10*$AV$10</f>
        <v>0</v>
      </c>
      <c r="AW62" s="17">
        <f>$I$10*$AW$10</f>
        <v>0</v>
      </c>
      <c r="AX62" s="17">
        <f>$I$10*$AX$10</f>
        <v>2220426.8398177419</v>
      </c>
      <c r="AY62" s="17">
        <f>$I$10*$AY$10</f>
        <v>0</v>
      </c>
      <c r="AZ62" s="17">
        <f>$I$10*$AZ$10</f>
        <v>0</v>
      </c>
      <c r="BA62" s="17">
        <f>$I$10*$BA$10</f>
        <v>0</v>
      </c>
      <c r="BB62" s="17">
        <f>$I$10*$BB$10</f>
        <v>0</v>
      </c>
      <c r="BC62" s="17">
        <f>$I$10*$BC$10</f>
        <v>0</v>
      </c>
      <c r="BD62" s="17">
        <f>$I$10*$BD$10</f>
        <v>0</v>
      </c>
    </row>
    <row r="63" spans="1:56" ht="11.25" customHeight="1" x14ac:dyDescent="0.25">
      <c r="A63" s="9" t="s">
        <v>38</v>
      </c>
      <c r="B63" s="9" t="s">
        <v>769</v>
      </c>
      <c r="C63" s="9" t="s">
        <v>770</v>
      </c>
      <c r="D63" s="9" t="s">
        <v>771</v>
      </c>
      <c r="E63" s="9" t="s">
        <v>772</v>
      </c>
      <c r="F63" s="9" t="s">
        <v>773</v>
      </c>
      <c r="G63" s="9" t="s">
        <v>775</v>
      </c>
      <c r="L63" s="17">
        <f>$I$11*$L$11</f>
        <v>35865.018555320647</v>
      </c>
      <c r="M63" s="17">
        <f>$I$11*$M$11</f>
        <v>2310.7048415375361</v>
      </c>
      <c r="N63" s="17">
        <f ca="1">$I$11*$N$11</f>
        <v>29487.605775409884</v>
      </c>
      <c r="O63" s="17">
        <f>$I$11*$O$11</f>
        <v>0</v>
      </c>
      <c r="P63" s="17">
        <f>$I$11*$P$11</f>
        <v>0</v>
      </c>
      <c r="Q63" s="17">
        <f>$I$11*$Q$11</f>
        <v>517439.6333327996</v>
      </c>
      <c r="R63" s="17">
        <f>$I$11*$R$11</f>
        <v>103179.12042036845</v>
      </c>
      <c r="S63" s="17">
        <f>$I$11*$S$11</f>
        <v>0</v>
      </c>
      <c r="T63" s="17">
        <f>$I$11*$T$11</f>
        <v>1015414.3275418949</v>
      </c>
      <c r="U63" s="17">
        <f>$I$11*$U$11</f>
        <v>912480.79629388789</v>
      </c>
      <c r="V63" s="17">
        <f>$I$11*$V$11</f>
        <v>153828.66787665754</v>
      </c>
      <c r="W63" s="17">
        <f>$I$11*$W$11</f>
        <v>0</v>
      </c>
      <c r="X63" s="17">
        <f>$I$11*$X$11</f>
        <v>0</v>
      </c>
      <c r="Y63" s="17">
        <f>$I$11*$Y$11</f>
        <v>0</v>
      </c>
      <c r="Z63" s="17">
        <f>$I$11*$Z$11</f>
        <v>0</v>
      </c>
      <c r="AA63" s="17">
        <f>$I$11*$AA$11</f>
        <v>1864482.2188100973</v>
      </c>
      <c r="AB63" s="17">
        <f ca="1">$I$11*$AB$11</f>
        <v>-819368.41369555134</v>
      </c>
      <c r="AC63" s="17">
        <f ca="1">$I$11*$AC$11</f>
        <v>0</v>
      </c>
      <c r="AD63" s="17">
        <f>$I$11*$AD$11</f>
        <v>36744.693995711372</v>
      </c>
      <c r="AE63" s="17">
        <f>$I$11*$AE$11</f>
        <v>0</v>
      </c>
      <c r="AF63" s="17">
        <f ca="1">$I$11*$AF$11</f>
        <v>3430.8331177983046</v>
      </c>
      <c r="AG63" s="17">
        <f ca="1">$I$11*$AG$11</f>
        <v>1998.7248118178172</v>
      </c>
      <c r="AI63" s="17">
        <f>$I$11*$AI$11</f>
        <v>39500.636814777485</v>
      </c>
      <c r="AJ63" s="17">
        <f>$I$11*$AJ$11</f>
        <v>1945.9589173498582</v>
      </c>
      <c r="AK63" s="17">
        <f>$I$11*$AK$11</f>
        <v>38771.716955306067</v>
      </c>
      <c r="AL63" s="17">
        <f>$I$11*$AL$11</f>
        <v>0</v>
      </c>
      <c r="AM63" s="17">
        <f>$I$11*$AM$11</f>
        <v>0</v>
      </c>
      <c r="AN63" s="17">
        <f>$I$11*$AN$11</f>
        <v>308015.36133159138</v>
      </c>
      <c r="AO63" s="17">
        <f>$I$11*$AO$11</f>
        <v>56322.438874797037</v>
      </c>
      <c r="AP63" s="17">
        <f>$I$11*$AP$11</f>
        <v>0</v>
      </c>
      <c r="AQ63" s="17">
        <f>$I$11*$AQ$11</f>
        <v>778010.15144968429</v>
      </c>
      <c r="AR63" s="17">
        <f>$I$11*$AR$11</f>
        <v>569818.913085256</v>
      </c>
      <c r="AS63" s="17">
        <f>$I$11*$AS$11</f>
        <v>41539.060158724969</v>
      </c>
      <c r="AT63" s="17">
        <f>$I$11*$AT$11</f>
        <v>0</v>
      </c>
      <c r="AU63" s="17">
        <f>$I$11*$AU$11</f>
        <v>0</v>
      </c>
      <c r="AV63" s="17">
        <f>$I$11*$AV$11</f>
        <v>0</v>
      </c>
      <c r="AW63" s="17">
        <f>$I$11*$AW$11</f>
        <v>0</v>
      </c>
      <c r="AX63" s="17">
        <f>$I$11*$AX$11</f>
        <v>1812698.8355183159</v>
      </c>
      <c r="AY63" s="17">
        <f>$I$11*$AY$11</f>
        <v>0</v>
      </c>
      <c r="AZ63" s="17">
        <f>$I$11*$AZ$11</f>
        <v>0</v>
      </c>
      <c r="BA63" s="17">
        <f>$I$11*$BA$11</f>
        <v>35576.067977334678</v>
      </c>
      <c r="BB63" s="17">
        <f>$I$11*$BB$11</f>
        <v>0</v>
      </c>
      <c r="BC63" s="17">
        <f>$I$11*$BC$11</f>
        <v>3993.7113944162238</v>
      </c>
      <c r="BD63" s="17">
        <f>$I$11*$BD$11</f>
        <v>-7009.2059484975825</v>
      </c>
    </row>
    <row r="64" spans="1:56" ht="11.25" customHeight="1" x14ac:dyDescent="0.25">
      <c r="A64" s="9" t="s">
        <v>38</v>
      </c>
      <c r="B64" s="9" t="s">
        <v>769</v>
      </c>
      <c r="C64" s="9" t="s">
        <v>770</v>
      </c>
      <c r="D64" s="9" t="s">
        <v>771</v>
      </c>
      <c r="E64" s="9" t="s">
        <v>772</v>
      </c>
      <c r="F64" s="9" t="s">
        <v>773</v>
      </c>
      <c r="G64" s="9" t="s">
        <v>776</v>
      </c>
      <c r="L64" s="17">
        <f>$I$12*$L$12</f>
        <v>351931.12224576587</v>
      </c>
      <c r="M64" s="17">
        <f>$I$12*$M$12</f>
        <v>22674.153836186666</v>
      </c>
      <c r="N64" s="17">
        <f ca="1">$I$12*$N$12</f>
        <v>7773.5524531605597</v>
      </c>
      <c r="O64" s="17">
        <f>$I$12*$O$12</f>
        <v>0</v>
      </c>
      <c r="P64" s="17">
        <f>$I$12*$P$12</f>
        <v>0</v>
      </c>
      <c r="Q64" s="17">
        <f>$I$12*$Q$12</f>
        <v>5077457.5948528098</v>
      </c>
      <c r="R64" s="17">
        <f>$I$12*$R$12</f>
        <v>1012461.3092242313</v>
      </c>
      <c r="S64" s="17">
        <f>$I$12*$S$12</f>
        <v>0</v>
      </c>
      <c r="T64" s="17">
        <f>$I$12*$T$12</f>
        <v>0</v>
      </c>
      <c r="U64" s="17">
        <f>$I$12*$U$12</f>
        <v>0</v>
      </c>
      <c r="V64" s="17">
        <f>$I$12*$V$12</f>
        <v>0</v>
      </c>
      <c r="W64" s="17">
        <f>$I$12*$W$12</f>
        <v>0</v>
      </c>
      <c r="X64" s="17">
        <f>$I$12*$X$12</f>
        <v>0</v>
      </c>
      <c r="Y64" s="17">
        <f>$I$12*$Y$12</f>
        <v>0</v>
      </c>
      <c r="Z64" s="17">
        <f>$I$12*$Z$12</f>
        <v>0</v>
      </c>
      <c r="AA64" s="17">
        <f>$I$12*$AA$12</f>
        <v>0</v>
      </c>
      <c r="AB64" s="17">
        <f ca="1">$I$12*$AB$12</f>
        <v>-1089726.2708781452</v>
      </c>
      <c r="AC64" s="17">
        <f ca="1">$I$12*$AC$12</f>
        <v>0</v>
      </c>
      <c r="AD64" s="17">
        <f>$I$12*$AD$12</f>
        <v>360563.07553672045</v>
      </c>
      <c r="AE64" s="17">
        <f>$I$12*$AE$12</f>
        <v>0</v>
      </c>
      <c r="AF64" s="17">
        <f ca="1">$I$12*$AF$12</f>
        <v>33665.588309184765</v>
      </c>
      <c r="AG64" s="17">
        <f ca="1">$I$12*$AG$12</f>
        <v>19612.800840978482</v>
      </c>
      <c r="AI64" s="17">
        <f>$I$12*$AI$12</f>
        <v>387606.19689083472</v>
      </c>
      <c r="AJ64" s="17">
        <f>$I$12*$AJ$12</f>
        <v>19095.02722188034</v>
      </c>
      <c r="AK64" s="17">
        <f>$I$12*$AK$12</f>
        <v>9294.0832972864373</v>
      </c>
      <c r="AL64" s="17">
        <f>$I$12*$AL$12</f>
        <v>0</v>
      </c>
      <c r="AM64" s="17">
        <f>$I$12*$AM$12</f>
        <v>0</v>
      </c>
      <c r="AN64" s="17">
        <f>$I$12*$AN$12</f>
        <v>3022449.0645434409</v>
      </c>
      <c r="AO64" s="17">
        <f>$I$12*$AO$12</f>
        <v>552672.76915671071</v>
      </c>
      <c r="AP64" s="17">
        <f>$I$12*$AP$12</f>
        <v>0</v>
      </c>
      <c r="AQ64" s="17">
        <f>$I$12*$AQ$12</f>
        <v>0</v>
      </c>
      <c r="AR64" s="17">
        <f>$I$12*$AR$12</f>
        <v>0</v>
      </c>
      <c r="AS64" s="17">
        <f>$I$12*$AS$12</f>
        <v>0</v>
      </c>
      <c r="AT64" s="17">
        <f>$I$12*$AT$12</f>
        <v>0</v>
      </c>
      <c r="AU64" s="17">
        <f>$I$12*$AU$12</f>
        <v>0</v>
      </c>
      <c r="AV64" s="17">
        <f>$I$12*$AV$12</f>
        <v>0</v>
      </c>
      <c r="AW64" s="17">
        <f>$I$12*$AW$12</f>
        <v>0</v>
      </c>
      <c r="AX64" s="17">
        <f>$I$12*$AX$12</f>
        <v>0</v>
      </c>
      <c r="AY64" s="17">
        <f>$I$12*$AY$12</f>
        <v>0</v>
      </c>
      <c r="AZ64" s="17">
        <f>$I$12*$AZ$12</f>
        <v>0</v>
      </c>
      <c r="BA64" s="17">
        <f>$I$12*$BA$12</f>
        <v>349095.74935930525</v>
      </c>
      <c r="BB64" s="17">
        <f>$I$12*$BB$12</f>
        <v>0</v>
      </c>
      <c r="BC64" s="17">
        <f>$I$12*$BC$12</f>
        <v>39188.9197211664</v>
      </c>
      <c r="BD64" s="17">
        <f>$I$12*$BD$12</f>
        <v>-68778.933202043583</v>
      </c>
    </row>
    <row r="65" spans="1:56" ht="11.25" customHeight="1" x14ac:dyDescent="0.25">
      <c r="A65" s="9" t="s">
        <v>38</v>
      </c>
      <c r="B65" s="9" t="s">
        <v>769</v>
      </c>
      <c r="C65" s="9" t="s">
        <v>770</v>
      </c>
      <c r="D65" s="9" t="s">
        <v>771</v>
      </c>
      <c r="E65" s="9" t="s">
        <v>777</v>
      </c>
      <c r="F65" s="9" t="s">
        <v>778</v>
      </c>
      <c r="G65" s="9" t="s">
        <v>779</v>
      </c>
      <c r="L65" s="17">
        <f>$I$13*$L$13</f>
        <v>0</v>
      </c>
      <c r="M65" s="17">
        <f>$I$13*$M$13</f>
        <v>0</v>
      </c>
      <c r="N65" s="17">
        <f ca="1">$I$13*$N$13</f>
        <v>0</v>
      </c>
      <c r="O65" s="17">
        <f>$I$13*$O$13</f>
        <v>0</v>
      </c>
      <c r="P65" s="17">
        <f>$I$13*$P$13</f>
        <v>0</v>
      </c>
      <c r="Q65" s="17">
        <f>$I$13*$Q$13</f>
        <v>0</v>
      </c>
      <c r="R65" s="17">
        <f>$I$13*$R$13</f>
        <v>0</v>
      </c>
      <c r="S65" s="17">
        <f>$I$13*$S$13</f>
        <v>0</v>
      </c>
      <c r="T65" s="17">
        <f>$I$13*$T$13</f>
        <v>0</v>
      </c>
      <c r="U65" s="17">
        <f>$I$13*$U$13</f>
        <v>0</v>
      </c>
      <c r="V65" s="17">
        <f>$I$13*$V$13</f>
        <v>0</v>
      </c>
      <c r="W65" s="17">
        <f>$I$13*$W$13</f>
        <v>0</v>
      </c>
      <c r="X65" s="17">
        <f>$I$13*$X$13</f>
        <v>0</v>
      </c>
      <c r="Y65" s="17">
        <f>$I$13*$Y$13</f>
        <v>0</v>
      </c>
      <c r="Z65" s="17">
        <f>$I$13*$Z$13</f>
        <v>0</v>
      </c>
      <c r="AA65" s="17">
        <f>$I$13*$AA$13</f>
        <v>0</v>
      </c>
      <c r="AB65" s="17">
        <f ca="1">$I$13*$AB$13</f>
        <v>0</v>
      </c>
      <c r="AC65" s="17">
        <f ca="1">$I$13*$AC$13</f>
        <v>0</v>
      </c>
      <c r="AD65" s="17">
        <f>$I$13*$AD$13</f>
        <v>0</v>
      </c>
      <c r="AE65" s="17">
        <f>$I$13*$AE$13</f>
        <v>0</v>
      </c>
      <c r="AF65" s="17">
        <f ca="1">$I$13*$AF$13</f>
        <v>0</v>
      </c>
      <c r="AG65" s="17">
        <f ca="1">$I$13*$AG$13</f>
        <v>0</v>
      </c>
      <c r="AI65" s="17">
        <f>$I$13*$AI$13</f>
        <v>0</v>
      </c>
      <c r="AJ65" s="17">
        <f>$I$13*$AJ$13</f>
        <v>0</v>
      </c>
      <c r="AK65" s="17">
        <f>$I$13*$AK$13</f>
        <v>0</v>
      </c>
      <c r="AL65" s="17">
        <f>$I$13*$AL$13</f>
        <v>0</v>
      </c>
      <c r="AM65" s="17">
        <f>$I$13*$AM$13</f>
        <v>0</v>
      </c>
      <c r="AN65" s="17">
        <f>$I$13*$AN$13</f>
        <v>0</v>
      </c>
      <c r="AO65" s="17">
        <f>$I$13*$AO$13</f>
        <v>0</v>
      </c>
      <c r="AP65" s="17">
        <f>$I$13*$AP$13</f>
        <v>0</v>
      </c>
      <c r="AQ65" s="17">
        <f>$I$13*$AQ$13</f>
        <v>0</v>
      </c>
      <c r="AR65" s="17">
        <f>$I$13*$AR$13</f>
        <v>0</v>
      </c>
      <c r="AS65" s="17">
        <f>$I$13*$AS$13</f>
        <v>0</v>
      </c>
      <c r="AT65" s="17">
        <f>$I$13*$AT$13</f>
        <v>0</v>
      </c>
      <c r="AU65" s="17">
        <f>$I$13*$AU$13</f>
        <v>0</v>
      </c>
      <c r="AV65" s="17">
        <f>$I$13*$AV$13</f>
        <v>0</v>
      </c>
      <c r="AW65" s="17">
        <f>$I$13*$AW$13</f>
        <v>0</v>
      </c>
      <c r="AX65" s="17">
        <f>$I$13*$AX$13</f>
        <v>0</v>
      </c>
      <c r="AY65" s="17">
        <f>$I$13*$AY$13</f>
        <v>0</v>
      </c>
      <c r="AZ65" s="17">
        <f>$I$13*$AZ$13</f>
        <v>0</v>
      </c>
      <c r="BA65" s="17">
        <f>$I$13*$BA$13</f>
        <v>0</v>
      </c>
      <c r="BB65" s="17">
        <f>$I$13*$BB$13</f>
        <v>0</v>
      </c>
      <c r="BC65" s="17">
        <f>$I$13*$BC$13</f>
        <v>0</v>
      </c>
      <c r="BD65" s="17">
        <f>$I$13*$BD$13</f>
        <v>0</v>
      </c>
    </row>
    <row r="66" spans="1:56" ht="11.25" customHeight="1" x14ac:dyDescent="0.25">
      <c r="A66" s="9" t="s">
        <v>38</v>
      </c>
      <c r="B66" s="9" t="s">
        <v>769</v>
      </c>
      <c r="C66" s="9" t="s">
        <v>770</v>
      </c>
      <c r="D66" s="9" t="s">
        <v>771</v>
      </c>
      <c r="E66" s="9" t="s">
        <v>777</v>
      </c>
      <c r="F66" s="9" t="s">
        <v>778</v>
      </c>
      <c r="G66" s="9" t="s">
        <v>780</v>
      </c>
      <c r="L66" s="17">
        <f>$I$14*$L$14</f>
        <v>0</v>
      </c>
      <c r="M66" s="17">
        <f>$I$14*$M$14</f>
        <v>0</v>
      </c>
      <c r="N66" s="17">
        <f ca="1">$I$14*$N$14</f>
        <v>0</v>
      </c>
      <c r="O66" s="17">
        <f>$I$14*$O$14</f>
        <v>0</v>
      </c>
      <c r="P66" s="17">
        <f>$I$14*$P$14</f>
        <v>0</v>
      </c>
      <c r="Q66" s="17">
        <f>$I$14*$Q$14</f>
        <v>0</v>
      </c>
      <c r="R66" s="17">
        <f>$I$14*$R$14</f>
        <v>0</v>
      </c>
      <c r="S66" s="17">
        <f>$I$14*$S$14</f>
        <v>0</v>
      </c>
      <c r="T66" s="17">
        <f>$I$14*$T$14</f>
        <v>0</v>
      </c>
      <c r="U66" s="17">
        <f>$I$14*$U$14</f>
        <v>0</v>
      </c>
      <c r="V66" s="17">
        <f>$I$14*$V$14</f>
        <v>0</v>
      </c>
      <c r="W66" s="17">
        <f>$I$14*$W$14</f>
        <v>0</v>
      </c>
      <c r="X66" s="17">
        <f>$I$14*$X$14</f>
        <v>0</v>
      </c>
      <c r="Y66" s="17">
        <f>$I$14*$Y$14</f>
        <v>0</v>
      </c>
      <c r="Z66" s="17">
        <f>$I$14*$Z$14</f>
        <v>0</v>
      </c>
      <c r="AA66" s="17">
        <f>$I$14*$AA$14</f>
        <v>0</v>
      </c>
      <c r="AB66" s="17">
        <f ca="1">$I$14*$AB$14</f>
        <v>0</v>
      </c>
      <c r="AC66" s="17">
        <f ca="1">$I$14*$AC$14</f>
        <v>0</v>
      </c>
      <c r="AD66" s="17">
        <f>$I$14*$AD$14</f>
        <v>0</v>
      </c>
      <c r="AE66" s="17">
        <f>$I$14*$AE$14</f>
        <v>0</v>
      </c>
      <c r="AF66" s="17">
        <f ca="1">$I$14*$AF$14</f>
        <v>0</v>
      </c>
      <c r="AG66" s="17">
        <f ca="1">$I$14*$AG$14</f>
        <v>0</v>
      </c>
      <c r="AI66" s="17">
        <f>$I$14*$AI$14</f>
        <v>0</v>
      </c>
      <c r="AJ66" s="17">
        <f>$I$14*$AJ$14</f>
        <v>0</v>
      </c>
      <c r="AK66" s="17">
        <f>$I$14*$AK$14</f>
        <v>0</v>
      </c>
      <c r="AL66" s="17">
        <f>$I$14*$AL$14</f>
        <v>0</v>
      </c>
      <c r="AM66" s="17">
        <f>$I$14*$AM$14</f>
        <v>0</v>
      </c>
      <c r="AN66" s="17">
        <f>$I$14*$AN$14</f>
        <v>0</v>
      </c>
      <c r="AO66" s="17">
        <f>$I$14*$AO$14</f>
        <v>0</v>
      </c>
      <c r="AP66" s="17">
        <f>$I$14*$AP$14</f>
        <v>0</v>
      </c>
      <c r="AQ66" s="17">
        <f>$I$14*$AQ$14</f>
        <v>0</v>
      </c>
      <c r="AR66" s="17">
        <f>$I$14*$AR$14</f>
        <v>0</v>
      </c>
      <c r="AS66" s="17">
        <f>$I$14*$AS$14</f>
        <v>0</v>
      </c>
      <c r="AT66" s="17">
        <f>$I$14*$AT$14</f>
        <v>0</v>
      </c>
      <c r="AU66" s="17">
        <f>$I$14*$AU$14</f>
        <v>0</v>
      </c>
      <c r="AV66" s="17">
        <f>$I$14*$AV$14</f>
        <v>0</v>
      </c>
      <c r="AW66" s="17">
        <f>$I$14*$AW$14</f>
        <v>0</v>
      </c>
      <c r="AX66" s="17">
        <f>$I$14*$AX$14</f>
        <v>0</v>
      </c>
      <c r="AY66" s="17">
        <f>$I$14*$AY$14</f>
        <v>0</v>
      </c>
      <c r="AZ66" s="17">
        <f>$I$14*$AZ$14</f>
        <v>0</v>
      </c>
      <c r="BA66" s="17">
        <f>$I$14*$BA$14</f>
        <v>0</v>
      </c>
      <c r="BB66" s="17">
        <f>$I$14*$BB$14</f>
        <v>0</v>
      </c>
      <c r="BC66" s="17">
        <f>$I$14*$BC$14</f>
        <v>0</v>
      </c>
      <c r="BD66" s="17">
        <f>$I$14*$BD$14</f>
        <v>0</v>
      </c>
    </row>
    <row r="67" spans="1:56" ht="11.25" customHeight="1" x14ac:dyDescent="0.25">
      <c r="A67" s="9" t="s">
        <v>89</v>
      </c>
      <c r="B67" s="9" t="s">
        <v>781</v>
      </c>
      <c r="C67" s="9" t="s">
        <v>782</v>
      </c>
      <c r="D67" s="9" t="s">
        <v>783</v>
      </c>
      <c r="E67" s="9" t="s">
        <v>784</v>
      </c>
      <c r="F67" s="9" t="s">
        <v>785</v>
      </c>
      <c r="G67" s="9" t="s">
        <v>786</v>
      </c>
      <c r="L67" s="17">
        <f>$I$15*$L$15</f>
        <v>0</v>
      </c>
      <c r="M67" s="17">
        <f>$I$15*$M$15</f>
        <v>2.2072318121388043E-10</v>
      </c>
      <c r="N67" s="17">
        <f ca="1">$I$15*$N$15</f>
        <v>5.0895604316648751E-10</v>
      </c>
      <c r="O67" s="17">
        <f>$I$15*$O$15</f>
        <v>0</v>
      </c>
      <c r="P67" s="17">
        <f>$I$15*$P$15</f>
        <v>0</v>
      </c>
      <c r="Q67" s="17">
        <f>$I$15*$Q$15</f>
        <v>0</v>
      </c>
      <c r="R67" s="17">
        <f>$I$15*$R$15</f>
        <v>0</v>
      </c>
      <c r="S67" s="17">
        <f>$I$15*$S$15</f>
        <v>0</v>
      </c>
      <c r="T67" s="17">
        <f>$I$15*$T$15</f>
        <v>0</v>
      </c>
      <c r="U67" s="17">
        <f>$I$15*$U$15</f>
        <v>0</v>
      </c>
      <c r="V67" s="17">
        <f>$I$15*$V$15</f>
        <v>0</v>
      </c>
      <c r="W67" s="17">
        <f>$I$15*$W$15</f>
        <v>0</v>
      </c>
      <c r="X67" s="17">
        <f>$I$15*$X$15</f>
        <v>0</v>
      </c>
      <c r="Y67" s="17">
        <f>$I$15*$Y$15</f>
        <v>0</v>
      </c>
      <c r="Z67" s="17">
        <f>$I$15*$Z$15</f>
        <v>0</v>
      </c>
      <c r="AA67" s="17">
        <f>$I$15*$AA$15</f>
        <v>5.6878092650969461E-8</v>
      </c>
      <c r="AB67" s="17">
        <f ca="1">$I$15*$AB$15</f>
        <v>-1.0504858034219009E-8</v>
      </c>
      <c r="AC67" s="17">
        <f ca="1">$I$15*$AC$15</f>
        <v>0</v>
      </c>
      <c r="AD67" s="17">
        <f>$I$15*$AD$15</f>
        <v>0</v>
      </c>
      <c r="AE67" s="17">
        <f>$I$15*$AE$15</f>
        <v>0</v>
      </c>
      <c r="AF67" s="17">
        <f ca="1">$I$15*$AF$15</f>
        <v>0</v>
      </c>
      <c r="AG67" s="17">
        <f ca="1">$I$15*$AG$15</f>
        <v>0</v>
      </c>
      <c r="AI67" s="17">
        <f>$I$15*$AI$15</f>
        <v>0</v>
      </c>
      <c r="AJ67" s="17">
        <f>$I$15*$AJ$15</f>
        <v>3.6899458937832301E-10</v>
      </c>
      <c r="AK67" s="17">
        <f>$I$15*$AK$15</f>
        <v>1.19054276326225E-9</v>
      </c>
      <c r="AL67" s="17">
        <f>$I$15*$AL$15</f>
        <v>0</v>
      </c>
      <c r="AM67" s="17">
        <f>$I$15*$AM$15</f>
        <v>0</v>
      </c>
      <c r="AN67" s="17">
        <f>$I$15*$AN$15</f>
        <v>0</v>
      </c>
      <c r="AO67" s="17">
        <f>$I$15*$AO$15</f>
        <v>0</v>
      </c>
      <c r="AP67" s="17">
        <f>$I$15*$AP$15</f>
        <v>0</v>
      </c>
      <c r="AQ67" s="17">
        <f>$I$15*$AQ$15</f>
        <v>0</v>
      </c>
      <c r="AR67" s="17">
        <f>$I$15*$AR$15</f>
        <v>0</v>
      </c>
      <c r="AS67" s="17">
        <f>$I$15*$AS$15</f>
        <v>0</v>
      </c>
      <c r="AT67" s="17">
        <f>$I$15*$AT$15</f>
        <v>0</v>
      </c>
      <c r="AU67" s="17">
        <f>$I$15*$AU$15</f>
        <v>0</v>
      </c>
      <c r="AV67" s="17">
        <f>$I$15*$AV$15</f>
        <v>0</v>
      </c>
      <c r="AW67" s="17">
        <f>$I$15*$AW$15</f>
        <v>0</v>
      </c>
      <c r="AX67" s="17">
        <f>$I$15*$AX$15</f>
        <v>9.9097553992178592E-8</v>
      </c>
      <c r="AY67" s="17">
        <f>$I$15*$AY$15</f>
        <v>0</v>
      </c>
      <c r="AZ67" s="17">
        <f>$I$15*$AZ$15</f>
        <v>0</v>
      </c>
      <c r="BA67" s="17">
        <f>$I$15*$BA$15</f>
        <v>0</v>
      </c>
      <c r="BB67" s="17">
        <f>$I$15*$BB$15</f>
        <v>0</v>
      </c>
      <c r="BC67" s="17">
        <f>$I$15*$BC$15</f>
        <v>0</v>
      </c>
      <c r="BD67" s="17">
        <f>$I$15*$BD$15</f>
        <v>0</v>
      </c>
    </row>
    <row r="68" spans="1:56" ht="11.25" customHeight="1" x14ac:dyDescent="0.25">
      <c r="A68" s="9" t="s">
        <v>89</v>
      </c>
      <c r="B68" s="9" t="s">
        <v>781</v>
      </c>
      <c r="C68" s="9" t="s">
        <v>782</v>
      </c>
      <c r="D68" s="9" t="s">
        <v>783</v>
      </c>
      <c r="E68" s="9" t="s">
        <v>787</v>
      </c>
      <c r="F68" s="9" t="s">
        <v>788</v>
      </c>
      <c r="G68" s="9" t="s">
        <v>789</v>
      </c>
      <c r="L68" s="17">
        <f>$I$16*$L$16</f>
        <v>0</v>
      </c>
      <c r="M68" s="17">
        <f>$I$16*$M$16</f>
        <v>2.2072318121388043E-10</v>
      </c>
      <c r="N68" s="17">
        <f ca="1">$I$16*$N$16</f>
        <v>5.0895604316648751E-10</v>
      </c>
      <c r="O68" s="17">
        <f>$I$16*$O$16</f>
        <v>0</v>
      </c>
      <c r="P68" s="17">
        <f>$I$16*$P$16</f>
        <v>0</v>
      </c>
      <c r="Q68" s="17">
        <f>$I$16*$Q$16</f>
        <v>0</v>
      </c>
      <c r="R68" s="17">
        <f>$I$16*$R$16</f>
        <v>0</v>
      </c>
      <c r="S68" s="17">
        <f>$I$16*$S$16</f>
        <v>0</v>
      </c>
      <c r="T68" s="17">
        <f>$I$16*$T$16</f>
        <v>0</v>
      </c>
      <c r="U68" s="17">
        <f>$I$16*$U$16</f>
        <v>0</v>
      </c>
      <c r="V68" s="17">
        <f>$I$16*$V$16</f>
        <v>0</v>
      </c>
      <c r="W68" s="17">
        <f>$I$16*$W$16</f>
        <v>0</v>
      </c>
      <c r="X68" s="17">
        <f>$I$16*$X$16</f>
        <v>0</v>
      </c>
      <c r="Y68" s="17">
        <f>$I$16*$Y$16</f>
        <v>0</v>
      </c>
      <c r="Z68" s="17">
        <f>$I$16*$Z$16</f>
        <v>0</v>
      </c>
      <c r="AA68" s="17">
        <f>$I$16*$AA$16</f>
        <v>9.5104166064895385E-8</v>
      </c>
      <c r="AB68" s="17">
        <f ca="1">$I$16*$AB$16</f>
        <v>-1.7475731078938565E-8</v>
      </c>
      <c r="AC68" s="17">
        <f ca="1">$I$16*$AC$16</f>
        <v>0</v>
      </c>
      <c r="AD68" s="17">
        <f>$I$16*$AD$16</f>
        <v>0</v>
      </c>
      <c r="AE68" s="17">
        <f>$I$16*$AE$16</f>
        <v>0</v>
      </c>
      <c r="AF68" s="17">
        <f ca="1">$I$16*$AF$16</f>
        <v>0</v>
      </c>
      <c r="AG68" s="17">
        <f ca="1">$I$16*$AG$16</f>
        <v>0</v>
      </c>
      <c r="AI68" s="17">
        <f>$I$16*$AI$16</f>
        <v>0</v>
      </c>
      <c r="AJ68" s="17">
        <f>$I$16*$AJ$16</f>
        <v>3.6899458937832301E-10</v>
      </c>
      <c r="AK68" s="17">
        <f>$I$16*$AK$16</f>
        <v>1.19054276326225E-9</v>
      </c>
      <c r="AL68" s="17">
        <f>$I$16*$AL$16</f>
        <v>0</v>
      </c>
      <c r="AM68" s="17">
        <f>$I$16*$AM$16</f>
        <v>0</v>
      </c>
      <c r="AN68" s="17">
        <f>$I$16*$AN$16</f>
        <v>0</v>
      </c>
      <c r="AO68" s="17">
        <f>$I$16*$AO$16</f>
        <v>0</v>
      </c>
      <c r="AP68" s="17">
        <f>$I$16*$AP$16</f>
        <v>0</v>
      </c>
      <c r="AQ68" s="17">
        <f>$I$16*$AQ$16</f>
        <v>0</v>
      </c>
      <c r="AR68" s="17">
        <f>$I$16*$AR$16</f>
        <v>0</v>
      </c>
      <c r="AS68" s="17">
        <f>$I$16*$AS$16</f>
        <v>0</v>
      </c>
      <c r="AT68" s="17">
        <f>$I$16*$AT$16</f>
        <v>0</v>
      </c>
      <c r="AU68" s="17">
        <f>$I$16*$AU$16</f>
        <v>0</v>
      </c>
      <c r="AV68" s="17">
        <f>$I$16*$AV$16</f>
        <v>0</v>
      </c>
      <c r="AW68" s="17">
        <f>$I$16*$AW$16</f>
        <v>0</v>
      </c>
      <c r="AX68" s="17">
        <f>$I$16*$AX$16</f>
        <v>1.2906719227540801E-7</v>
      </c>
      <c r="AY68" s="17">
        <f>$I$16*$AY$16</f>
        <v>0</v>
      </c>
      <c r="AZ68" s="17">
        <f>$I$16*$AZ$16</f>
        <v>0</v>
      </c>
      <c r="BA68" s="17">
        <f>$I$16*$BA$16</f>
        <v>0</v>
      </c>
      <c r="BB68" s="17">
        <f>$I$16*$BB$16</f>
        <v>0</v>
      </c>
      <c r="BC68" s="17">
        <f>$I$16*$BC$16</f>
        <v>0</v>
      </c>
      <c r="BD68" s="17">
        <f>$I$16*$BD$16</f>
        <v>0</v>
      </c>
    </row>
    <row r="69" spans="1:56" ht="11.25" customHeight="1" x14ac:dyDescent="0.25">
      <c r="A69" s="9" t="s">
        <v>22</v>
      </c>
      <c r="B69" s="9" t="s">
        <v>790</v>
      </c>
      <c r="C69" s="9" t="s">
        <v>791</v>
      </c>
      <c r="D69" s="9" t="s">
        <v>792</v>
      </c>
      <c r="E69" s="9" t="s">
        <v>793</v>
      </c>
      <c r="F69" s="9" t="s">
        <v>794</v>
      </c>
      <c r="G69" s="9" t="s">
        <v>795</v>
      </c>
      <c r="L69" s="17">
        <f>$I$17*$L$17</f>
        <v>19.100681765411263</v>
      </c>
      <c r="M69" s="17">
        <f>$I$17*$M$17</f>
        <v>2.3267415328191734</v>
      </c>
      <c r="N69" s="17">
        <f ca="1">$I$17*$N$17</f>
        <v>18.013572937471277</v>
      </c>
      <c r="O69" s="17">
        <f>$I$17*$O$17</f>
        <v>0</v>
      </c>
      <c r="P69" s="17">
        <f>$I$17*$P$17</f>
        <v>0</v>
      </c>
      <c r="Q69" s="17">
        <f>$I$17*$Q$17</f>
        <v>275.57353006400899</v>
      </c>
      <c r="R69" s="17">
        <f>$I$17*$R$17</f>
        <v>46.15820550583242</v>
      </c>
      <c r="S69" s="17">
        <f>$I$17*$S$17</f>
        <v>0</v>
      </c>
      <c r="T69" s="17">
        <f>$I$17*$T$17</f>
        <v>280.23460978073643</v>
      </c>
      <c r="U69" s="17">
        <f>$I$17*$U$17</f>
        <v>236.10549982948561</v>
      </c>
      <c r="V69" s="17">
        <f>$I$17*$V$17</f>
        <v>41.573202435795885</v>
      </c>
      <c r="W69" s="17">
        <f>$I$17*$W$17</f>
        <v>0</v>
      </c>
      <c r="X69" s="17">
        <f>$I$17*$X$17</f>
        <v>0</v>
      </c>
      <c r="Y69" s="17">
        <f>$I$17*$Y$17</f>
        <v>0</v>
      </c>
      <c r="Z69" s="17">
        <f>$I$17*$Z$17</f>
        <v>0</v>
      </c>
      <c r="AA69" s="17">
        <f>$I$17*$AA$17</f>
        <v>1538.277247857043</v>
      </c>
      <c r="AB69" s="17">
        <f ca="1">$I$17*$AB$17</f>
        <v>-445.71570766486752</v>
      </c>
      <c r="AC69" s="17">
        <f ca="1">$I$17*$AC$17</f>
        <v>0</v>
      </c>
      <c r="AD69" s="17">
        <f>$I$17*$AD$17</f>
        <v>58.139524768758285</v>
      </c>
      <c r="AE69" s="17">
        <f>$I$17*$AE$17</f>
        <v>0</v>
      </c>
      <c r="AF69" s="17">
        <f ca="1">$I$17*$AF$17</f>
        <v>2.0921949761116538</v>
      </c>
      <c r="AG69" s="17">
        <f ca="1">$I$17*$AG$17</f>
        <v>1.2188648839318996</v>
      </c>
      <c r="AI69" s="17">
        <f>$I$17*$AI$17</f>
        <v>20.311497313719812</v>
      </c>
      <c r="AJ69" s="17">
        <f>$I$17*$AJ$17</f>
        <v>2.6510935254499475</v>
      </c>
      <c r="AK69" s="17">
        <f>$I$17*$AK$17</f>
        <v>26.527047808216</v>
      </c>
      <c r="AL69" s="17">
        <f>$I$17*$AL$17</f>
        <v>0</v>
      </c>
      <c r="AM69" s="17">
        <f>$I$17*$AM$17</f>
        <v>0</v>
      </c>
      <c r="AN69" s="17">
        <f>$I$17*$AN$17</f>
        <v>158.38360312030591</v>
      </c>
      <c r="AO69" s="17">
        <f>$I$17*$AO$17</f>
        <v>25.196403086019671</v>
      </c>
      <c r="AP69" s="17">
        <f>$I$17*$AP$17</f>
        <v>0</v>
      </c>
      <c r="AQ69" s="17">
        <f>$I$17*$AQ$17</f>
        <v>229.07719662664624</v>
      </c>
      <c r="AR69" s="17">
        <f>$I$17*$AR$17</f>
        <v>167.10093917714156</v>
      </c>
      <c r="AS69" s="17">
        <f>$I$17*$AS$17</f>
        <v>12.340092154669401</v>
      </c>
      <c r="AT69" s="17">
        <f>$I$17*$AT$17</f>
        <v>0</v>
      </c>
      <c r="AU69" s="17">
        <f>$I$17*$AU$17</f>
        <v>0</v>
      </c>
      <c r="AV69" s="17">
        <f>$I$17*$AV$17</f>
        <v>0</v>
      </c>
      <c r="AW69" s="17">
        <f>$I$17*$AW$17</f>
        <v>0</v>
      </c>
      <c r="AX69" s="17">
        <f>$I$17*$AX$17</f>
        <v>1716.3642337176343</v>
      </c>
      <c r="AY69" s="17">
        <f>$I$17*$AY$17</f>
        <v>0</v>
      </c>
      <c r="AZ69" s="17">
        <f>$I$17*$AZ$17</f>
        <v>0</v>
      </c>
      <c r="BA69" s="17">
        <f>$I$17*$BA$17</f>
        <v>56.290389640912366</v>
      </c>
      <c r="BB69" s="17">
        <f>$I$17*$BB$17</f>
        <v>0</v>
      </c>
      <c r="BC69" s="17">
        <f>$I$17*$BC$17</f>
        <v>3.0899676427780967</v>
      </c>
      <c r="BD69" s="17">
        <f>$I$17*$BD$17</f>
        <v>-5.4230807996557919</v>
      </c>
    </row>
    <row r="70" spans="1:56" ht="11.25" customHeight="1" x14ac:dyDescent="0.25">
      <c r="A70" s="9" t="s">
        <v>22</v>
      </c>
      <c r="B70" s="9" t="s">
        <v>790</v>
      </c>
      <c r="C70" s="9" t="s">
        <v>791</v>
      </c>
      <c r="D70" s="9" t="s">
        <v>792</v>
      </c>
      <c r="E70" s="9" t="s">
        <v>793</v>
      </c>
      <c r="F70" s="9" t="s">
        <v>794</v>
      </c>
      <c r="G70" s="9" t="s">
        <v>796</v>
      </c>
      <c r="L70" s="17">
        <f>$I$18*$L$18</f>
        <v>13.761078559779612</v>
      </c>
      <c r="M70" s="17">
        <f>$I$18*$M$18</f>
        <v>1.6763000093225877</v>
      </c>
      <c r="N70" s="17">
        <f ca="1">$I$18*$N$18</f>
        <v>6.8713011545575746</v>
      </c>
      <c r="O70" s="17">
        <f>$I$18*$O$18</f>
        <v>0</v>
      </c>
      <c r="P70" s="17">
        <f>$I$18*$P$18</f>
        <v>0</v>
      </c>
      <c r="Q70" s="17">
        <f>$I$18*$Q$18</f>
        <v>198.53683982494047</v>
      </c>
      <c r="R70" s="17">
        <f>$I$18*$R$18</f>
        <v>33.254660746950329</v>
      </c>
      <c r="S70" s="17">
        <f>$I$18*$S$18</f>
        <v>0</v>
      </c>
      <c r="T70" s="17">
        <f>$I$18*$T$18</f>
        <v>100.94760634729163</v>
      </c>
      <c r="U70" s="17">
        <f>$I$18*$U$18</f>
        <v>85.050886673686861</v>
      </c>
      <c r="V70" s="17">
        <f>$I$18*$V$18</f>
        <v>14.975797963477854</v>
      </c>
      <c r="W70" s="17">
        <f>$I$18*$W$18</f>
        <v>0</v>
      </c>
      <c r="X70" s="17">
        <f>$I$18*$X$18</f>
        <v>0</v>
      </c>
      <c r="Y70" s="17">
        <f>$I$18*$Y$18</f>
        <v>0</v>
      </c>
      <c r="Z70" s="17">
        <f>$I$18*$Z$18</f>
        <v>0</v>
      </c>
      <c r="AA70" s="17">
        <f>$I$18*$AA$18</f>
        <v>554.12561484625519</v>
      </c>
      <c r="AB70" s="17">
        <f ca="1">$I$18*$AB$18</f>
        <v>-183.90763487539959</v>
      </c>
      <c r="AC70" s="17">
        <f ca="1">$I$18*$AC$18</f>
        <v>0</v>
      </c>
      <c r="AD70" s="17">
        <f>$I$18*$AD$18</f>
        <v>41.886597431299016</v>
      </c>
      <c r="AE70" s="17">
        <f>$I$18*$AE$18</f>
        <v>0</v>
      </c>
      <c r="AF70" s="17">
        <f ca="1">$I$18*$AF$18</f>
        <v>1.5073210360891427</v>
      </c>
      <c r="AG70" s="17">
        <f ca="1">$I$18*$AG$18</f>
        <v>0.87813071949698485</v>
      </c>
      <c r="AI70" s="17">
        <f>$I$18*$AI$18</f>
        <v>14.633410138637149</v>
      </c>
      <c r="AJ70" s="17">
        <f>$I$18*$AJ$18</f>
        <v>1.9099792730489649</v>
      </c>
      <c r="AK70" s="17">
        <f>$I$18*$AK$18</f>
        <v>10.198673507858224</v>
      </c>
      <c r="AL70" s="17">
        <f>$I$18*$AL$18</f>
        <v>0</v>
      </c>
      <c r="AM70" s="17">
        <f>$I$18*$AM$18</f>
        <v>0</v>
      </c>
      <c r="AN70" s="17">
        <f>$I$18*$AN$18</f>
        <v>114.10740369834944</v>
      </c>
      <c r="AO70" s="17">
        <f>$I$18*$AO$18</f>
        <v>18.152738553996041</v>
      </c>
      <c r="AP70" s="17">
        <f>$I$18*$AP$18</f>
        <v>0</v>
      </c>
      <c r="AQ70" s="17">
        <f>$I$18*$AQ$18</f>
        <v>84.307729827161168</v>
      </c>
      <c r="AR70" s="17">
        <f>$I$18*$AR$18</f>
        <v>61.498481017782204</v>
      </c>
      <c r="AS70" s="17">
        <f>$I$18*$AS$18</f>
        <v>4.5415876387094301</v>
      </c>
      <c r="AT70" s="17">
        <f>$I$18*$AT$18</f>
        <v>0</v>
      </c>
      <c r="AU70" s="17">
        <f>$I$18*$AU$18</f>
        <v>0</v>
      </c>
      <c r="AV70" s="17">
        <f>$I$18*$AV$18</f>
        <v>0</v>
      </c>
      <c r="AW70" s="17">
        <f>$I$18*$AW$18</f>
        <v>0</v>
      </c>
      <c r="AX70" s="17">
        <f>$I$18*$AX$18</f>
        <v>631.67611388699345</v>
      </c>
      <c r="AY70" s="17">
        <f>$I$18*$AY$18</f>
        <v>0</v>
      </c>
      <c r="AZ70" s="17">
        <f>$I$18*$AZ$18</f>
        <v>0</v>
      </c>
      <c r="BA70" s="17">
        <f>$I$18*$BA$18</f>
        <v>40.554388765950996</v>
      </c>
      <c r="BB70" s="17">
        <f>$I$18*$BB$18</f>
        <v>0</v>
      </c>
      <c r="BC70" s="17">
        <f>$I$18*$BC$18</f>
        <v>2.2261659558375912</v>
      </c>
      <c r="BD70" s="17">
        <f>$I$18*$BD$18</f>
        <v>-3.9070563991718847</v>
      </c>
    </row>
    <row r="71" spans="1:56" ht="11.25" customHeight="1" x14ac:dyDescent="0.25">
      <c r="A71" s="9" t="s">
        <v>22</v>
      </c>
      <c r="B71" s="9" t="s">
        <v>790</v>
      </c>
      <c r="C71" s="9" t="s">
        <v>791</v>
      </c>
      <c r="D71" s="9" t="s">
        <v>792</v>
      </c>
      <c r="E71" s="9" t="s">
        <v>793</v>
      </c>
      <c r="F71" s="9" t="s">
        <v>794</v>
      </c>
      <c r="G71" s="9" t="s">
        <v>797</v>
      </c>
      <c r="L71" s="17">
        <f>$I$19*$L$19</f>
        <v>116.30777721838894</v>
      </c>
      <c r="M71" s="17">
        <f>$I$19*$M$19</f>
        <v>14.167983068225233</v>
      </c>
      <c r="N71" s="17">
        <f ca="1">$I$19*$N$19</f>
        <v>16.785921820779176</v>
      </c>
      <c r="O71" s="17">
        <f>$I$19*$O$19</f>
        <v>0</v>
      </c>
      <c r="P71" s="17">
        <f>$I$19*$P$19</f>
        <v>0</v>
      </c>
      <c r="Q71" s="17">
        <f>$I$19*$Q$19</f>
        <v>1678.0209803825114</v>
      </c>
      <c r="R71" s="17">
        <f>$I$19*$R$19</f>
        <v>281.06631735494909</v>
      </c>
      <c r="S71" s="17">
        <f>$I$19*$S$19</f>
        <v>0</v>
      </c>
      <c r="T71" s="17">
        <f>$I$19*$T$19</f>
        <v>170.64108068673778</v>
      </c>
      <c r="U71" s="17">
        <f>$I$19*$U$19</f>
        <v>143.76895730225436</v>
      </c>
      <c r="V71" s="17">
        <f>$I$19*$V$19</f>
        <v>25.314565891385222</v>
      </c>
      <c r="W71" s="17">
        <f>$I$19*$W$19</f>
        <v>0</v>
      </c>
      <c r="X71" s="17">
        <f>$I$19*$X$19</f>
        <v>0</v>
      </c>
      <c r="Y71" s="17">
        <f>$I$19*$Y$19</f>
        <v>0</v>
      </c>
      <c r="Z71" s="17">
        <f>$I$19*$Z$19</f>
        <v>0</v>
      </c>
      <c r="AA71" s="17">
        <f>$I$19*$AA$19</f>
        <v>936.68769283044878</v>
      </c>
      <c r="AB71" s="17">
        <f ca="1">$I$19*$AB$19</f>
        <v>-626.63657354007228</v>
      </c>
      <c r="AC71" s="17">
        <f ca="1">$I$19*$AC$19</f>
        <v>0</v>
      </c>
      <c r="AD71" s="17">
        <f>$I$19*$AD$19</f>
        <v>354.02290752955997</v>
      </c>
      <c r="AE71" s="17">
        <f>$I$19*$AE$19</f>
        <v>0</v>
      </c>
      <c r="AF71" s="17">
        <f ca="1">$I$19*$AF$19</f>
        <v>12.739783331696557</v>
      </c>
      <c r="AG71" s="17">
        <f ca="1">$I$19*$AG$19</f>
        <v>7.4219060408819137</v>
      </c>
      <c r="AI71" s="17">
        <f>$I$19*$AI$19</f>
        <v>123.6806692844853</v>
      </c>
      <c r="AJ71" s="17">
        <f>$I$19*$AJ$19</f>
        <v>16.143025622337351</v>
      </c>
      <c r="AK71" s="17">
        <f>$I$19*$AK$19</f>
        <v>19.450563024190068</v>
      </c>
      <c r="AL71" s="17">
        <f>$I$19*$AL$19</f>
        <v>0</v>
      </c>
      <c r="AM71" s="17">
        <f>$I$19*$AM$19</f>
        <v>0</v>
      </c>
      <c r="AN71" s="17">
        <f>$I$19*$AN$19</f>
        <v>964.42865511327659</v>
      </c>
      <c r="AO71" s="17">
        <f>$I$19*$AO$19</f>
        <v>153.42581342516834</v>
      </c>
      <c r="AP71" s="17">
        <f>$I$19*$AP$19</f>
        <v>0</v>
      </c>
      <c r="AQ71" s="17">
        <f>$I$19*$AQ$19</f>
        <v>107.96380161092151</v>
      </c>
      <c r="AR71" s="17">
        <f>$I$19*$AR$19</f>
        <v>78.754820590500131</v>
      </c>
      <c r="AS71" s="17">
        <f>$I$19*$AS$19</f>
        <v>5.8157939871644668</v>
      </c>
      <c r="AT71" s="17">
        <f>$I$19*$AT$19</f>
        <v>0</v>
      </c>
      <c r="AU71" s="17">
        <f>$I$19*$AU$19</f>
        <v>0</v>
      </c>
      <c r="AV71" s="17">
        <f>$I$19*$AV$19</f>
        <v>0</v>
      </c>
      <c r="AW71" s="17">
        <f>$I$19*$AW$19</f>
        <v>0</v>
      </c>
      <c r="AX71" s="17">
        <f>$I$19*$AX$19</f>
        <v>808.92163951260136</v>
      </c>
      <c r="AY71" s="17">
        <f>$I$19*$AY$19</f>
        <v>0</v>
      </c>
      <c r="AZ71" s="17">
        <f>$I$19*$AZ$19</f>
        <v>0</v>
      </c>
      <c r="BA71" s="17">
        <f>$I$19*$BA$19</f>
        <v>342.76316302736842</v>
      </c>
      <c r="BB71" s="17">
        <f>$I$19*$BB$19</f>
        <v>0</v>
      </c>
      <c r="BC71" s="17">
        <f>$I$19*$BC$19</f>
        <v>18.815415733435586</v>
      </c>
      <c r="BD71" s="17">
        <f>$I$19*$BD$19</f>
        <v>-33.022196863458795</v>
      </c>
    </row>
    <row r="72" spans="1:56" ht="11.25" customHeight="1" x14ac:dyDescent="0.25">
      <c r="A72" s="9" t="s">
        <v>22</v>
      </c>
      <c r="B72" s="9" t="s">
        <v>798</v>
      </c>
      <c r="C72" s="9" t="s">
        <v>799</v>
      </c>
      <c r="D72" s="9" t="s">
        <v>800</v>
      </c>
      <c r="E72" s="9" t="s">
        <v>801</v>
      </c>
      <c r="F72" s="9" t="s">
        <v>802</v>
      </c>
      <c r="G72" s="9" t="s">
        <v>803</v>
      </c>
      <c r="L72" s="17">
        <f>$I$20*$L$20</f>
        <v>263593.93075034494</v>
      </c>
      <c r="M72" s="17">
        <f>$I$20*$M$20</f>
        <v>32109.58404566054</v>
      </c>
      <c r="N72" s="17">
        <f ca="1">$I$20*$N$20</f>
        <v>85540.275588163568</v>
      </c>
      <c r="O72" s="17">
        <f>$I$20*$O$20</f>
        <v>0</v>
      </c>
      <c r="P72" s="17">
        <f>$I$20*$P$20</f>
        <v>0</v>
      </c>
      <c r="Q72" s="17">
        <f>$I$20*$Q$20</f>
        <v>3802979.9612629935</v>
      </c>
      <c r="R72" s="17">
        <f>$I$20*$R$20</f>
        <v>636994.16466366174</v>
      </c>
      <c r="S72" s="17">
        <f>$I$20*$S$20</f>
        <v>0</v>
      </c>
      <c r="T72" s="17">
        <f>$I$20*$T$20</f>
        <v>1171907.5076419238</v>
      </c>
      <c r="U72" s="17">
        <f>$I$20*$U$20</f>
        <v>987366.62014358828</v>
      </c>
      <c r="V72" s="17">
        <f>$I$20*$V$20</f>
        <v>173855.2489965971</v>
      </c>
      <c r="W72" s="17">
        <f>$I$20*$W$20</f>
        <v>0</v>
      </c>
      <c r="X72" s="17">
        <f>$I$20*$X$20</f>
        <v>0</v>
      </c>
      <c r="Y72" s="17">
        <f>$I$20*$Y$20</f>
        <v>0</v>
      </c>
      <c r="Z72" s="17">
        <f>$I$20*$Z$20</f>
        <v>0</v>
      </c>
      <c r="AA72" s="17">
        <f>$I$20*$AA$20</f>
        <v>6432907.2805250688</v>
      </c>
      <c r="AB72" s="17">
        <f ca="1">$I$20*$AB$20</f>
        <v>-2487394.9248193456</v>
      </c>
      <c r="AC72" s="17">
        <f ca="1">$I$20*$AC$20</f>
        <v>0</v>
      </c>
      <c r="AD72" s="17">
        <f>$I$20*$AD$20</f>
        <v>802339.20725834696</v>
      </c>
      <c r="AE72" s="17">
        <f>$I$20*$AE$20</f>
        <v>0</v>
      </c>
      <c r="AF72" s="17">
        <f ca="1">$I$20*$AF$20</f>
        <v>28872.78603050013</v>
      </c>
      <c r="AG72" s="17">
        <f ca="1">$I$20*$AG$20</f>
        <v>16820.62398374578</v>
      </c>
      <c r="AI72" s="17">
        <f>$I$20*$AI$20</f>
        <v>280303.4719966813</v>
      </c>
      <c r="AJ72" s="17">
        <f>$I$20*$AJ$20</f>
        <v>36585.718339415253</v>
      </c>
      <c r="AK72" s="17">
        <f>$I$20*$AK$20</f>
        <v>120965.58912040239</v>
      </c>
      <c r="AL72" s="17">
        <f>$I$20*$AL$20</f>
        <v>0</v>
      </c>
      <c r="AM72" s="17">
        <f>$I$20*$AM$20</f>
        <v>0</v>
      </c>
      <c r="AN72" s="17">
        <f>$I$20*$AN$20</f>
        <v>2185731.2228763327</v>
      </c>
      <c r="AO72" s="17">
        <f>$I$20*$AO$20</f>
        <v>347716.32823290717</v>
      </c>
      <c r="AP72" s="17">
        <f>$I$20*$AP$20</f>
        <v>0</v>
      </c>
      <c r="AQ72" s="17">
        <f>$I$20*$AQ$20</f>
        <v>941091.80160325475</v>
      </c>
      <c r="AR72" s="17">
        <f>$I$20*$AR$20</f>
        <v>686480.61440903333</v>
      </c>
      <c r="AS72" s="17">
        <f>$I$20*$AS$20</f>
        <v>50696.201666415596</v>
      </c>
      <c r="AT72" s="17">
        <f>$I$20*$AT$20</f>
        <v>0</v>
      </c>
      <c r="AU72" s="17">
        <f>$I$20*$AU$20</f>
        <v>0</v>
      </c>
      <c r="AV72" s="17">
        <f>$I$20*$AV$20</f>
        <v>0</v>
      </c>
      <c r="AW72" s="17">
        <f>$I$20*$AW$20</f>
        <v>0</v>
      </c>
      <c r="AX72" s="17">
        <f>$I$20*$AX$20</f>
        <v>7051153.3101795763</v>
      </c>
      <c r="AY72" s="17">
        <f>$I$20*$AY$20</f>
        <v>0</v>
      </c>
      <c r="AZ72" s="17">
        <f>$I$20*$AZ$20</f>
        <v>0</v>
      </c>
      <c r="BA72" s="17">
        <f>$I$20*$BA$20</f>
        <v>776820.70468216669</v>
      </c>
      <c r="BB72" s="17">
        <f>$I$20*$BB$20</f>
        <v>0</v>
      </c>
      <c r="BC72" s="17">
        <f>$I$20*$BC$20</f>
        <v>42642.285068913036</v>
      </c>
      <c r="BD72" s="17">
        <f>$I$20*$BD$20</f>
        <v>-74839.799035163669</v>
      </c>
    </row>
    <row r="73" spans="1:56" ht="11.25" customHeight="1" x14ac:dyDescent="0.25">
      <c r="A73" s="9" t="s">
        <v>22</v>
      </c>
      <c r="B73" s="9" t="s">
        <v>798</v>
      </c>
      <c r="C73" s="9" t="s">
        <v>799</v>
      </c>
      <c r="D73" s="9" t="s">
        <v>804</v>
      </c>
      <c r="E73" s="9" t="s">
        <v>805</v>
      </c>
      <c r="F73" s="9" t="s">
        <v>806</v>
      </c>
      <c r="G73" s="9" t="s">
        <v>807</v>
      </c>
      <c r="L73" s="17">
        <f>$I$21*$L$21</f>
        <v>0</v>
      </c>
      <c r="M73" s="17">
        <f>$I$21*$M$21</f>
        <v>78.226054257392207</v>
      </c>
      <c r="N73" s="17">
        <f ca="1">$I$21*$N$21</f>
        <v>207.57143283835646</v>
      </c>
      <c r="O73" s="17">
        <f>$I$21*$O$21</f>
        <v>0</v>
      </c>
      <c r="P73" s="17">
        <f>$I$21*$P$21</f>
        <v>0</v>
      </c>
      <c r="Q73" s="17">
        <f>$I$21*$Q$21</f>
        <v>0</v>
      </c>
      <c r="R73" s="17">
        <f>$I$21*$R$21</f>
        <v>0</v>
      </c>
      <c r="S73" s="17">
        <f>$I$21*$S$21</f>
        <v>0</v>
      </c>
      <c r="T73" s="17">
        <f>$I$21*$T$21</f>
        <v>2855.026092741668</v>
      </c>
      <c r="U73" s="17">
        <f>$I$21*$U$21</f>
        <v>2405.4436422924832</v>
      </c>
      <c r="V73" s="17">
        <f>$I$21*$V$21</f>
        <v>423.54986977099173</v>
      </c>
      <c r="W73" s="17">
        <f>$I$21*$W$21</f>
        <v>0</v>
      </c>
      <c r="X73" s="17">
        <f>$I$21*$X$21</f>
        <v>0</v>
      </c>
      <c r="Y73" s="17">
        <f>$I$21*$Y$21</f>
        <v>0</v>
      </c>
      <c r="Z73" s="17">
        <f>$I$21*$Z$21</f>
        <v>0</v>
      </c>
      <c r="AA73" s="17">
        <f>$I$21*$AA$21</f>
        <v>15671.986072555037</v>
      </c>
      <c r="AB73" s="17">
        <f ca="1">$I$21*$AB$21</f>
        <v>-4252.9234199467555</v>
      </c>
      <c r="AC73" s="17">
        <f ca="1">$I$21*$AC$21</f>
        <v>0</v>
      </c>
      <c r="AD73" s="17">
        <f>$I$21*$AD$21</f>
        <v>1954.6759083074057</v>
      </c>
      <c r="AE73" s="17">
        <f>$I$21*$AE$21</f>
        <v>0</v>
      </c>
      <c r="AF73" s="17">
        <f ca="1">$I$21*$AF$21</f>
        <v>70.340497820594422</v>
      </c>
      <c r="AG73" s="17">
        <f ca="1">$I$21*$AG$21</f>
        <v>40.978763303958644</v>
      </c>
      <c r="AI73" s="17">
        <f>$I$21*$AI$21</f>
        <v>0</v>
      </c>
      <c r="AJ73" s="17">
        <f>$I$21*$AJ$21</f>
        <v>89.130908198467992</v>
      </c>
      <c r="AK73" s="17">
        <f>$I$21*$AK$21</f>
        <v>293.52205069104633</v>
      </c>
      <c r="AL73" s="17">
        <f>$I$21*$AL$21</f>
        <v>0</v>
      </c>
      <c r="AM73" s="17">
        <f>$I$21*$AM$21</f>
        <v>0</v>
      </c>
      <c r="AN73" s="17">
        <f>$I$21*$AN$21</f>
        <v>0</v>
      </c>
      <c r="AO73" s="17">
        <f>$I$21*$AO$21</f>
        <v>0</v>
      </c>
      <c r="AP73" s="17">
        <f>$I$21*$AP$21</f>
        <v>0</v>
      </c>
      <c r="AQ73" s="17">
        <f>$I$21*$AQ$21</f>
        <v>2292.7079413024107</v>
      </c>
      <c r="AR73" s="17">
        <f>$I$21*$AR$21</f>
        <v>1672.4187305897617</v>
      </c>
      <c r="AS73" s="17">
        <f>$I$21*$AS$21</f>
        <v>123.50716896741247</v>
      </c>
      <c r="AT73" s="17">
        <f>$I$21*$AT$21</f>
        <v>0</v>
      </c>
      <c r="AU73" s="17">
        <f>$I$21*$AU$21</f>
        <v>0</v>
      </c>
      <c r="AV73" s="17">
        <f>$I$21*$AV$21</f>
        <v>0</v>
      </c>
      <c r="AW73" s="17">
        <f>$I$21*$AW$21</f>
        <v>0</v>
      </c>
      <c r="AX73" s="17">
        <f>$I$21*$AX$21</f>
        <v>17178.170250817755</v>
      </c>
      <c r="AY73" s="17">
        <f>$I$21*$AY$21</f>
        <v>0</v>
      </c>
      <c r="AZ73" s="17">
        <f>$I$21*$AZ$21</f>
        <v>0</v>
      </c>
      <c r="BA73" s="17">
        <f>$I$21*$BA$21</f>
        <v>1892.5071874590426</v>
      </c>
      <c r="BB73" s="17">
        <f>$I$21*$BB$21</f>
        <v>0</v>
      </c>
      <c r="BC73" s="17">
        <f>$I$21*$BC$21</f>
        <v>103.88604538496905</v>
      </c>
      <c r="BD73" s="17">
        <f>$I$21*$BD$21</f>
        <v>-182.32631639238707</v>
      </c>
    </row>
    <row r="74" spans="1:56" ht="11.25" customHeight="1" x14ac:dyDescent="0.25">
      <c r="A74" s="9" t="s">
        <v>22</v>
      </c>
      <c r="B74" s="9" t="s">
        <v>798</v>
      </c>
      <c r="C74" s="9" t="s">
        <v>799</v>
      </c>
      <c r="D74" s="9" t="s">
        <v>808</v>
      </c>
      <c r="E74" s="9" t="s">
        <v>809</v>
      </c>
      <c r="F74" s="9" t="s">
        <v>810</v>
      </c>
      <c r="G74" s="9" t="s">
        <v>811</v>
      </c>
      <c r="L74" s="17">
        <f>$I$22*$L$22</f>
        <v>0</v>
      </c>
      <c r="M74" s="17">
        <f>$I$22*$M$22</f>
        <v>276.87195007527839</v>
      </c>
      <c r="N74" s="17">
        <f ca="1">$I$22*$N$22</f>
        <v>734.67475683710029</v>
      </c>
      <c r="O74" s="17">
        <f>$I$22*$O$22</f>
        <v>0</v>
      </c>
      <c r="P74" s="17">
        <f>$I$22*$P$22</f>
        <v>0</v>
      </c>
      <c r="Q74" s="17">
        <f>$I$22*$Q$22</f>
        <v>0</v>
      </c>
      <c r="R74" s="17">
        <f>$I$22*$R$22</f>
        <v>0</v>
      </c>
      <c r="S74" s="17">
        <f>$I$22*$S$22</f>
        <v>0</v>
      </c>
      <c r="T74" s="17">
        <f>$I$22*$T$22</f>
        <v>10105.030214258695</v>
      </c>
      <c r="U74" s="17">
        <f>$I$22*$U$22</f>
        <v>8513.7858269869812</v>
      </c>
      <c r="V74" s="17">
        <f>$I$22*$V$22</f>
        <v>1499.1051192709622</v>
      </c>
      <c r="W74" s="17">
        <f>$I$22*$W$22</f>
        <v>0</v>
      </c>
      <c r="X74" s="17">
        <f>$I$22*$X$22</f>
        <v>0</v>
      </c>
      <c r="Y74" s="17">
        <f>$I$22*$Y$22</f>
        <v>0</v>
      </c>
      <c r="Z74" s="17">
        <f>$I$22*$Z$22</f>
        <v>0</v>
      </c>
      <c r="AA74" s="17">
        <f>$I$22*$AA$22</f>
        <v>55469.157771700819</v>
      </c>
      <c r="AB74" s="17">
        <f ca="1">$I$22*$AB$22</f>
        <v>-15052.723954694515</v>
      </c>
      <c r="AC74" s="17">
        <f ca="1">$I$22*$AC$22</f>
        <v>0</v>
      </c>
      <c r="AD74" s="17">
        <f>$I$22*$AD$22</f>
        <v>6918.3462675684641</v>
      </c>
      <c r="AE74" s="17">
        <f>$I$22*$AE$22</f>
        <v>0</v>
      </c>
      <c r="AF74" s="17">
        <f ca="1">$I$22*$AF$22</f>
        <v>248.96194734267161</v>
      </c>
      <c r="AG74" s="17">
        <f ca="1">$I$22*$AG$22</f>
        <v>145.03952954482713</v>
      </c>
      <c r="AI74" s="17">
        <f>$I$22*$AI$22</f>
        <v>0</v>
      </c>
      <c r="AJ74" s="17">
        <f>$I$22*$AJ$22</f>
        <v>315.46840242883007</v>
      </c>
      <c r="AK74" s="17">
        <f>$I$22*$AK$22</f>
        <v>1038.8868943526572</v>
      </c>
      <c r="AL74" s="17">
        <f>$I$22*$AL$22</f>
        <v>0</v>
      </c>
      <c r="AM74" s="17">
        <f>$I$22*$AM$22</f>
        <v>0</v>
      </c>
      <c r="AN74" s="17">
        <f>$I$22*$AN$22</f>
        <v>0</v>
      </c>
      <c r="AO74" s="17">
        <f>$I$22*$AO$22</f>
        <v>0</v>
      </c>
      <c r="AP74" s="17">
        <f>$I$22*$AP$22</f>
        <v>0</v>
      </c>
      <c r="AQ74" s="17">
        <f>$I$22*$AQ$22</f>
        <v>8114.7710272180739</v>
      </c>
      <c r="AR74" s="17">
        <f>$I$22*$AR$22</f>
        <v>5919.3300707360322</v>
      </c>
      <c r="AS74" s="17">
        <f>$I$22*$AS$22</f>
        <v>437.13914813814074</v>
      </c>
      <c r="AT74" s="17">
        <f>$I$22*$AT$22</f>
        <v>0</v>
      </c>
      <c r="AU74" s="17">
        <f>$I$22*$AU$22</f>
        <v>0</v>
      </c>
      <c r="AV74" s="17">
        <f>$I$22*$AV$22</f>
        <v>0</v>
      </c>
      <c r="AW74" s="17">
        <f>$I$22*$AW$22</f>
        <v>0</v>
      </c>
      <c r="AX74" s="17">
        <f>$I$22*$AX$22</f>
        <v>60800.120129024857</v>
      </c>
      <c r="AY74" s="17">
        <f>$I$22*$AY$22</f>
        <v>0</v>
      </c>
      <c r="AZ74" s="17">
        <f>$I$22*$AZ$22</f>
        <v>0</v>
      </c>
      <c r="BA74" s="17">
        <f>$I$22*$BA$22</f>
        <v>6698.3073669953001</v>
      </c>
      <c r="BB74" s="17">
        <f>$I$22*$BB$22</f>
        <v>0</v>
      </c>
      <c r="BC74" s="17">
        <f>$I$22*$BC$22</f>
        <v>367.69248103328994</v>
      </c>
      <c r="BD74" s="17">
        <f>$I$22*$BD$22</f>
        <v>-645.32262618668403</v>
      </c>
    </row>
    <row r="75" spans="1:56" ht="11.25" customHeight="1" x14ac:dyDescent="0.25">
      <c r="A75" s="9" t="s">
        <v>22</v>
      </c>
      <c r="B75" s="9" t="s">
        <v>798</v>
      </c>
      <c r="C75" s="9" t="s">
        <v>799</v>
      </c>
      <c r="D75" s="9" t="s">
        <v>812</v>
      </c>
      <c r="E75" s="9" t="s">
        <v>813</v>
      </c>
      <c r="F75" s="9" t="s">
        <v>814</v>
      </c>
      <c r="G75" s="9" t="s">
        <v>815</v>
      </c>
      <c r="L75" s="17">
        <f>$I$23*$L$23</f>
        <v>0</v>
      </c>
      <c r="M75" s="17">
        <f>$I$23*$M$23</f>
        <v>364.58867168540172</v>
      </c>
      <c r="N75" s="17">
        <f ca="1">$I$23*$N$23</f>
        <v>967.42950538401374</v>
      </c>
      <c r="O75" s="17">
        <f>$I$23*$O$23</f>
        <v>0</v>
      </c>
      <c r="P75" s="17">
        <f>$I$23*$P$23</f>
        <v>0</v>
      </c>
      <c r="Q75" s="17">
        <f>$I$23*$Q$23</f>
        <v>0</v>
      </c>
      <c r="R75" s="17">
        <f>$I$23*$R$23</f>
        <v>0</v>
      </c>
      <c r="S75" s="17">
        <f>$I$23*$S$23</f>
        <v>0</v>
      </c>
      <c r="T75" s="17">
        <f>$I$23*$T$23</f>
        <v>13306.438381192971</v>
      </c>
      <c r="U75" s="17">
        <f>$I$23*$U$23</f>
        <v>11211.066577279611</v>
      </c>
      <c r="V75" s="17">
        <f>$I$23*$V$23</f>
        <v>1974.0415885508921</v>
      </c>
      <c r="W75" s="17">
        <f>$I$23*$W$23</f>
        <v>0</v>
      </c>
      <c r="X75" s="17">
        <f>$I$23*$X$23</f>
        <v>0</v>
      </c>
      <c r="Y75" s="17">
        <f>$I$23*$Y$23</f>
        <v>0</v>
      </c>
      <c r="Z75" s="17">
        <f>$I$23*$Z$23</f>
        <v>0</v>
      </c>
      <c r="AA75" s="17">
        <f>$I$23*$AA$23</f>
        <v>73042.525781300181</v>
      </c>
      <c r="AB75" s="17">
        <f ca="1">$I$23*$AB$23</f>
        <v>-19821.627399947742</v>
      </c>
      <c r="AC75" s="17">
        <f ca="1">$I$23*$AC$23</f>
        <v>0</v>
      </c>
      <c r="AD75" s="17">
        <f>$I$23*$AD$23</f>
        <v>9110.1705148052879</v>
      </c>
      <c r="AE75" s="17">
        <f>$I$23*$AE$23</f>
        <v>0</v>
      </c>
      <c r="AF75" s="17">
        <f ca="1">$I$23*$AF$23</f>
        <v>327.83640833676571</v>
      </c>
      <c r="AG75" s="17">
        <f ca="1">$I$23*$AG$23</f>
        <v>190.98998437453378</v>
      </c>
      <c r="AI75" s="17">
        <f>$I$23*$AI$23</f>
        <v>0</v>
      </c>
      <c r="AJ75" s="17">
        <f>$I$23*$AJ$23</f>
        <v>415.4129942342347</v>
      </c>
      <c r="AK75" s="17">
        <f>$I$23*$AK$23</f>
        <v>1368.0201000513987</v>
      </c>
      <c r="AL75" s="17">
        <f>$I$23*$AL$23</f>
        <v>0</v>
      </c>
      <c r="AM75" s="17">
        <f>$I$23*$AM$23</f>
        <v>0</v>
      </c>
      <c r="AN75" s="17">
        <f>$I$23*$AN$23</f>
        <v>0</v>
      </c>
      <c r="AO75" s="17">
        <f>$I$23*$AO$23</f>
        <v>0</v>
      </c>
      <c r="AP75" s="17">
        <f>$I$23*$AP$23</f>
        <v>0</v>
      </c>
      <c r="AQ75" s="17">
        <f>$I$23*$AQ$23</f>
        <v>10685.638574222592</v>
      </c>
      <c r="AR75" s="17">
        <f>$I$23*$AR$23</f>
        <v>7794.6526803106253</v>
      </c>
      <c r="AS75" s="17">
        <f>$I$23*$AS$23</f>
        <v>575.63065279108514</v>
      </c>
      <c r="AT75" s="17">
        <f>$I$23*$AT$23</f>
        <v>0</v>
      </c>
      <c r="AU75" s="17">
        <f>$I$23*$AU$23</f>
        <v>0</v>
      </c>
      <c r="AV75" s="17">
        <f>$I$23*$AV$23</f>
        <v>0</v>
      </c>
      <c r="AW75" s="17">
        <f>$I$23*$AW$23</f>
        <v>0</v>
      </c>
      <c r="AX75" s="17">
        <f>$I$23*$AX$23</f>
        <v>80062.4080197617</v>
      </c>
      <c r="AY75" s="17">
        <f>$I$23*$AY$23</f>
        <v>0</v>
      </c>
      <c r="AZ75" s="17">
        <f>$I$23*$AZ$23</f>
        <v>0</v>
      </c>
      <c r="BA75" s="17">
        <f>$I$23*$BA$23</f>
        <v>8820.4203596983243</v>
      </c>
      <c r="BB75" s="17">
        <f>$I$23*$BB$23</f>
        <v>0</v>
      </c>
      <c r="BC75" s="17">
        <f>$I$23*$BC$23</f>
        <v>484.18235654492599</v>
      </c>
      <c r="BD75" s="17">
        <f>$I$23*$BD$23</f>
        <v>-849.76942960805366</v>
      </c>
    </row>
    <row r="76" spans="1:56" ht="11.25" customHeight="1" x14ac:dyDescent="0.25">
      <c r="A76" s="9" t="s">
        <v>22</v>
      </c>
      <c r="B76" s="9" t="s">
        <v>798</v>
      </c>
      <c r="C76" s="9" t="s">
        <v>799</v>
      </c>
      <c r="D76" s="9" t="s">
        <v>816</v>
      </c>
      <c r="E76" s="9" t="s">
        <v>817</v>
      </c>
      <c r="F76" s="9" t="s">
        <v>818</v>
      </c>
      <c r="G76" s="9" t="s">
        <v>819</v>
      </c>
      <c r="L76" s="17">
        <f>$I$24*$L$24</f>
        <v>0</v>
      </c>
      <c r="M76" s="17">
        <f>$I$24*$M$24</f>
        <v>123.09542559651135</v>
      </c>
      <c r="N76" s="17">
        <f ca="1">$I$24*$N$24</f>
        <v>326.63150544245468</v>
      </c>
      <c r="O76" s="17">
        <f>$I$24*$O$24</f>
        <v>0</v>
      </c>
      <c r="P76" s="17">
        <f>$I$24*$P$24</f>
        <v>0</v>
      </c>
      <c r="Q76" s="17">
        <f>$I$24*$Q$24</f>
        <v>0</v>
      </c>
      <c r="R76" s="17">
        <f>$I$24*$R$24</f>
        <v>0</v>
      </c>
      <c r="S76" s="17">
        <f>$I$24*$S$24</f>
        <v>0</v>
      </c>
      <c r="T76" s="17">
        <f>$I$24*$T$24</f>
        <v>4492.6291542049757</v>
      </c>
      <c r="U76" s="17">
        <f>$I$24*$U$24</f>
        <v>3785.1724940918243</v>
      </c>
      <c r="V76" s="17">
        <f>$I$24*$V$24</f>
        <v>666.49215502110462</v>
      </c>
      <c r="W76" s="17">
        <f>$I$24*$W$24</f>
        <v>0</v>
      </c>
      <c r="X76" s="17">
        <f>$I$24*$X$24</f>
        <v>0</v>
      </c>
      <c r="Y76" s="17">
        <f>$I$24*$Y$24</f>
        <v>0</v>
      </c>
      <c r="Z76" s="17">
        <f>$I$24*$Z$24</f>
        <v>0</v>
      </c>
      <c r="AA76" s="17">
        <f>$I$24*$AA$24</f>
        <v>24661.218232945193</v>
      </c>
      <c r="AB76" s="17">
        <f ca="1">$I$24*$AB$24</f>
        <v>-6692.3408495737249</v>
      </c>
      <c r="AC76" s="17">
        <f ca="1">$I$24*$AC$24</f>
        <v>0</v>
      </c>
      <c r="AD76" s="17">
        <f>$I$24*$AD$24</f>
        <v>3075.8506883735631</v>
      </c>
      <c r="AE76" s="17">
        <f>$I$24*$AE$24</f>
        <v>0</v>
      </c>
      <c r="AF76" s="17">
        <f ca="1">$I$24*$AF$24</f>
        <v>110.68682420573872</v>
      </c>
      <c r="AG76" s="17">
        <f ca="1">$I$24*$AG$24</f>
        <v>64.483609165840221</v>
      </c>
      <c r="AI76" s="17">
        <f>$I$24*$AI$24</f>
        <v>0</v>
      </c>
      <c r="AJ76" s="17">
        <f>$I$24*$AJ$24</f>
        <v>140.25515133862478</v>
      </c>
      <c r="AK76" s="17">
        <f>$I$24*$AK$24</f>
        <v>461.88219634458585</v>
      </c>
      <c r="AL76" s="17">
        <f>$I$24*$AL$24</f>
        <v>0</v>
      </c>
      <c r="AM76" s="17">
        <f>$I$24*$AM$24</f>
        <v>0</v>
      </c>
      <c r="AN76" s="17">
        <f>$I$24*$AN$24</f>
        <v>0</v>
      </c>
      <c r="AO76" s="17">
        <f>$I$24*$AO$24</f>
        <v>0</v>
      </c>
      <c r="AP76" s="17">
        <f>$I$24*$AP$24</f>
        <v>0</v>
      </c>
      <c r="AQ76" s="17">
        <f>$I$24*$AQ$24</f>
        <v>3607.7731707457624</v>
      </c>
      <c r="AR76" s="17">
        <f>$I$24*$AR$24</f>
        <v>2631.694738688298</v>
      </c>
      <c r="AS76" s="17">
        <f>$I$24*$AS$24</f>
        <v>194.3491548000095</v>
      </c>
      <c r="AT76" s="17">
        <f>$I$24*$AT$24</f>
        <v>0</v>
      </c>
      <c r="AU76" s="17">
        <f>$I$24*$AU$24</f>
        <v>0</v>
      </c>
      <c r="AV76" s="17">
        <f>$I$24*$AV$24</f>
        <v>0</v>
      </c>
      <c r="AW76" s="17">
        <f>$I$24*$AW$24</f>
        <v>0</v>
      </c>
      <c r="AX76" s="17">
        <f>$I$24*$AX$24</f>
        <v>27031.328603588878</v>
      </c>
      <c r="AY76" s="17">
        <f>$I$24*$AY$24</f>
        <v>0</v>
      </c>
      <c r="AZ76" s="17">
        <f>$I$24*$AZ$24</f>
        <v>0</v>
      </c>
      <c r="BA76" s="17">
        <f>$I$24*$BA$24</f>
        <v>2978.0228581925894</v>
      </c>
      <c r="BB76" s="17">
        <f>$I$24*$BB$24</f>
        <v>0</v>
      </c>
      <c r="BC76" s="17">
        <f>$I$24*$BC$24</f>
        <v>163.47362897947596</v>
      </c>
      <c r="BD76" s="17">
        <f>$I$24*$BD$24</f>
        <v>-286.90614305967222</v>
      </c>
    </row>
    <row r="77" spans="1:56" ht="11.25" customHeight="1" x14ac:dyDescent="0.25">
      <c r="A77" s="9" t="s">
        <v>22</v>
      </c>
      <c r="B77" s="9" t="s">
        <v>820</v>
      </c>
      <c r="C77" s="9" t="s">
        <v>821</v>
      </c>
      <c r="D77" s="9" t="s">
        <v>822</v>
      </c>
      <c r="E77" s="9" t="s">
        <v>823</v>
      </c>
      <c r="F77" s="9" t="s">
        <v>824</v>
      </c>
      <c r="G77" s="9" t="s">
        <v>825</v>
      </c>
      <c r="L77" s="17">
        <f>$I$25*$L$25</f>
        <v>0</v>
      </c>
      <c r="M77" s="17">
        <f>$I$25*$M$25</f>
        <v>0</v>
      </c>
      <c r="N77" s="17">
        <f ca="1">$I$25*$N$25</f>
        <v>0</v>
      </c>
      <c r="O77" s="17">
        <f>$I$25*$O$25</f>
        <v>0</v>
      </c>
      <c r="P77" s="17">
        <f>$I$25*$P$25</f>
        <v>0</v>
      </c>
      <c r="Q77" s="17">
        <f>$I$25*$Q$25</f>
        <v>0</v>
      </c>
      <c r="R77" s="17">
        <f>$I$25*$R$25</f>
        <v>0</v>
      </c>
      <c r="S77" s="17">
        <f>$I$25*$S$25</f>
        <v>0</v>
      </c>
      <c r="T77" s="17">
        <f>$I$25*$T$25</f>
        <v>0</v>
      </c>
      <c r="U77" s="17">
        <f>$I$25*$U$25</f>
        <v>0</v>
      </c>
      <c r="V77" s="17">
        <f>$I$25*$V$25</f>
        <v>0</v>
      </c>
      <c r="W77" s="17">
        <f>$I$25*$W$25</f>
        <v>0</v>
      </c>
      <c r="X77" s="17">
        <f>$I$25*$X$25</f>
        <v>0</v>
      </c>
      <c r="Y77" s="17">
        <f>$I$25*$Y$25</f>
        <v>0</v>
      </c>
      <c r="Z77" s="17">
        <f>$I$25*$Z$25</f>
        <v>0</v>
      </c>
      <c r="AA77" s="17">
        <f>$I$25*$AA$25</f>
        <v>0</v>
      </c>
      <c r="AB77" s="17">
        <f ca="1">$I$25*$AB$25</f>
        <v>0</v>
      </c>
      <c r="AC77" s="17">
        <f ca="1">$I$25*$AC$25</f>
        <v>0</v>
      </c>
      <c r="AD77" s="17">
        <f>$I$25*$AD$25</f>
        <v>0</v>
      </c>
      <c r="AE77" s="17">
        <f>$I$25*$AE$25</f>
        <v>0</v>
      </c>
      <c r="AF77" s="17">
        <f ca="1">$I$25*$AF$25</f>
        <v>0</v>
      </c>
      <c r="AG77" s="17">
        <f ca="1">$I$25*$AG$25</f>
        <v>0</v>
      </c>
      <c r="AI77" s="17">
        <f>$I$25*$AI$25</f>
        <v>0</v>
      </c>
      <c r="AJ77" s="17">
        <f>$I$25*$AJ$25</f>
        <v>0</v>
      </c>
      <c r="AK77" s="17">
        <f>$I$25*$AK$25</f>
        <v>0</v>
      </c>
      <c r="AL77" s="17">
        <f>$I$25*$AL$25</f>
        <v>0</v>
      </c>
      <c r="AM77" s="17">
        <f>$I$25*$AM$25</f>
        <v>0</v>
      </c>
      <c r="AN77" s="17">
        <f>$I$25*$AN$25</f>
        <v>0</v>
      </c>
      <c r="AO77" s="17">
        <f>$I$25*$AO$25</f>
        <v>0</v>
      </c>
      <c r="AP77" s="17">
        <f>$I$25*$AP$25</f>
        <v>0</v>
      </c>
      <c r="AQ77" s="17">
        <f>$I$25*$AQ$25</f>
        <v>0</v>
      </c>
      <c r="AR77" s="17">
        <f>$I$25*$AR$25</f>
        <v>0</v>
      </c>
      <c r="AS77" s="17">
        <f>$I$25*$AS$25</f>
        <v>0</v>
      </c>
      <c r="AT77" s="17">
        <f>$I$25*$AT$25</f>
        <v>0</v>
      </c>
      <c r="AU77" s="17">
        <f>$I$25*$AU$25</f>
        <v>0</v>
      </c>
      <c r="AV77" s="17">
        <f>$I$25*$AV$25</f>
        <v>0</v>
      </c>
      <c r="AW77" s="17">
        <f>$I$25*$AW$25</f>
        <v>0</v>
      </c>
      <c r="AX77" s="17">
        <f>$I$25*$AX$25</f>
        <v>0</v>
      </c>
      <c r="AY77" s="17">
        <f>$I$25*$AY$25</f>
        <v>0</v>
      </c>
      <c r="AZ77" s="17">
        <f>$I$25*$AZ$25</f>
        <v>0</v>
      </c>
      <c r="BA77" s="17">
        <f>$I$25*$BA$25</f>
        <v>0</v>
      </c>
      <c r="BB77" s="17">
        <f>$I$25*$BB$25</f>
        <v>0</v>
      </c>
      <c r="BC77" s="17">
        <f>$I$25*$BC$25</f>
        <v>0</v>
      </c>
      <c r="BD77" s="17">
        <f>$I$25*$BD$25</f>
        <v>0</v>
      </c>
    </row>
    <row r="78" spans="1:56" ht="11.25" customHeight="1" x14ac:dyDescent="0.25">
      <c r="A78" s="9" t="s">
        <v>22</v>
      </c>
      <c r="B78" s="9" t="s">
        <v>820</v>
      </c>
      <c r="C78" s="9" t="s">
        <v>821</v>
      </c>
      <c r="D78" s="9" t="s">
        <v>826</v>
      </c>
      <c r="E78" s="9" t="s">
        <v>827</v>
      </c>
      <c r="F78" s="9" t="s">
        <v>828</v>
      </c>
      <c r="G78" s="9" t="s">
        <v>829</v>
      </c>
      <c r="L78" s="17">
        <f>$I$26*$L$26</f>
        <v>0</v>
      </c>
      <c r="M78" s="17">
        <f>$I$26*$M$26</f>
        <v>0</v>
      </c>
      <c r="N78" s="17">
        <f ca="1">$I$26*$N$26</f>
        <v>0</v>
      </c>
      <c r="O78" s="17">
        <f>$I$26*$O$26</f>
        <v>0</v>
      </c>
      <c r="P78" s="17">
        <f>$I$26*$P$26</f>
        <v>0</v>
      </c>
      <c r="Q78" s="17">
        <f>$I$26*$Q$26</f>
        <v>0</v>
      </c>
      <c r="R78" s="17">
        <f>$I$26*$R$26</f>
        <v>0</v>
      </c>
      <c r="S78" s="17">
        <f>$I$26*$S$26</f>
        <v>0</v>
      </c>
      <c r="T78" s="17">
        <f>$I$26*$T$26</f>
        <v>0</v>
      </c>
      <c r="U78" s="17">
        <f>$I$26*$U$26</f>
        <v>0</v>
      </c>
      <c r="V78" s="17">
        <f>$I$26*$V$26</f>
        <v>0</v>
      </c>
      <c r="W78" s="17">
        <f>$I$26*$W$26</f>
        <v>0</v>
      </c>
      <c r="X78" s="17">
        <f>$I$26*$X$26</f>
        <v>0</v>
      </c>
      <c r="Y78" s="17">
        <f>$I$26*$Y$26</f>
        <v>0</v>
      </c>
      <c r="Z78" s="17">
        <f>$I$26*$Z$26</f>
        <v>0</v>
      </c>
      <c r="AA78" s="17">
        <f>$I$26*$AA$26</f>
        <v>0</v>
      </c>
      <c r="AB78" s="17">
        <f ca="1">$I$26*$AB$26</f>
        <v>0</v>
      </c>
      <c r="AC78" s="17">
        <f ca="1">$I$26*$AC$26</f>
        <v>0</v>
      </c>
      <c r="AD78" s="17">
        <f>$I$26*$AD$26</f>
        <v>0</v>
      </c>
      <c r="AE78" s="17">
        <f>$I$26*$AE$26</f>
        <v>0</v>
      </c>
      <c r="AF78" s="17">
        <f ca="1">$I$26*$AF$26</f>
        <v>0</v>
      </c>
      <c r="AG78" s="17">
        <f ca="1">$I$26*$AG$26</f>
        <v>0</v>
      </c>
      <c r="AI78" s="17">
        <f>$I$26*$AI$26</f>
        <v>0</v>
      </c>
      <c r="AJ78" s="17">
        <f>$I$26*$AJ$26</f>
        <v>0</v>
      </c>
      <c r="AK78" s="17">
        <f>$I$26*$AK$26</f>
        <v>0</v>
      </c>
      <c r="AL78" s="17">
        <f>$I$26*$AL$26</f>
        <v>0</v>
      </c>
      <c r="AM78" s="17">
        <f>$I$26*$AM$26</f>
        <v>0</v>
      </c>
      <c r="AN78" s="17">
        <f>$I$26*$AN$26</f>
        <v>0</v>
      </c>
      <c r="AO78" s="17">
        <f>$I$26*$AO$26</f>
        <v>0</v>
      </c>
      <c r="AP78" s="17">
        <f>$I$26*$AP$26</f>
        <v>0</v>
      </c>
      <c r="AQ78" s="17">
        <f>$I$26*$AQ$26</f>
        <v>0</v>
      </c>
      <c r="AR78" s="17">
        <f>$I$26*$AR$26</f>
        <v>0</v>
      </c>
      <c r="AS78" s="17">
        <f>$I$26*$AS$26</f>
        <v>0</v>
      </c>
      <c r="AT78" s="17">
        <f>$I$26*$AT$26</f>
        <v>0</v>
      </c>
      <c r="AU78" s="17">
        <f>$I$26*$AU$26</f>
        <v>0</v>
      </c>
      <c r="AV78" s="17">
        <f>$I$26*$AV$26</f>
        <v>0</v>
      </c>
      <c r="AW78" s="17">
        <f>$I$26*$AW$26</f>
        <v>0</v>
      </c>
      <c r="AX78" s="17">
        <f>$I$26*$AX$26</f>
        <v>0</v>
      </c>
      <c r="AY78" s="17">
        <f>$I$26*$AY$26</f>
        <v>0</v>
      </c>
      <c r="AZ78" s="17">
        <f>$I$26*$AZ$26</f>
        <v>0</v>
      </c>
      <c r="BA78" s="17">
        <f>$I$26*$BA$26</f>
        <v>0</v>
      </c>
      <c r="BB78" s="17">
        <f>$I$26*$BB$26</f>
        <v>0</v>
      </c>
      <c r="BC78" s="17">
        <f>$I$26*$BC$26</f>
        <v>0</v>
      </c>
      <c r="BD78" s="17">
        <f>$I$26*$BD$26</f>
        <v>0</v>
      </c>
    </row>
    <row r="79" spans="1:56" ht="11.25" customHeight="1" x14ac:dyDescent="0.25">
      <c r="A79" s="9" t="s">
        <v>22</v>
      </c>
      <c r="B79" s="9" t="s">
        <v>820</v>
      </c>
      <c r="C79" s="9" t="s">
        <v>821</v>
      </c>
      <c r="D79" s="9" t="s">
        <v>830</v>
      </c>
      <c r="E79" s="9" t="s">
        <v>831</v>
      </c>
      <c r="F79" s="9" t="s">
        <v>832</v>
      </c>
      <c r="G79" s="9" t="s">
        <v>833</v>
      </c>
      <c r="L79" s="17">
        <f>$I$27*$L$27</f>
        <v>0</v>
      </c>
      <c r="M79" s="17">
        <f>$I$27*$M$27</f>
        <v>0</v>
      </c>
      <c r="N79" s="17">
        <f ca="1">$I$27*$N$27</f>
        <v>0</v>
      </c>
      <c r="O79" s="17">
        <f>$I$27*$O$27</f>
        <v>0</v>
      </c>
      <c r="P79" s="17">
        <f>$I$27*$P$27</f>
        <v>0</v>
      </c>
      <c r="Q79" s="17">
        <f>$I$27*$Q$27</f>
        <v>0</v>
      </c>
      <c r="R79" s="17">
        <f>$I$27*$R$27</f>
        <v>0</v>
      </c>
      <c r="S79" s="17">
        <f>$I$27*$S$27</f>
        <v>0</v>
      </c>
      <c r="T79" s="17">
        <f>$I$27*$T$27</f>
        <v>0</v>
      </c>
      <c r="U79" s="17">
        <f>$I$27*$U$27</f>
        <v>0</v>
      </c>
      <c r="V79" s="17">
        <f>$I$27*$V$27</f>
        <v>0</v>
      </c>
      <c r="W79" s="17">
        <f>$I$27*$W$27</f>
        <v>0</v>
      </c>
      <c r="X79" s="17">
        <f>$I$27*$X$27</f>
        <v>0</v>
      </c>
      <c r="Y79" s="17">
        <f>$I$27*$Y$27</f>
        <v>0</v>
      </c>
      <c r="Z79" s="17">
        <f>$I$27*$Z$27</f>
        <v>0</v>
      </c>
      <c r="AA79" s="17">
        <f>$I$27*$AA$27</f>
        <v>0</v>
      </c>
      <c r="AB79" s="17">
        <f ca="1">$I$27*$AB$27</f>
        <v>0</v>
      </c>
      <c r="AC79" s="17">
        <f ca="1">$I$27*$AC$27</f>
        <v>0</v>
      </c>
      <c r="AD79" s="17">
        <f>$I$27*$AD$27</f>
        <v>0</v>
      </c>
      <c r="AE79" s="17">
        <f>$I$27*$AE$27</f>
        <v>0</v>
      </c>
      <c r="AF79" s="17">
        <f ca="1">$I$27*$AF$27</f>
        <v>0</v>
      </c>
      <c r="AG79" s="17">
        <f ca="1">$I$27*$AG$27</f>
        <v>0</v>
      </c>
      <c r="AI79" s="17">
        <f>$I$27*$AI$27</f>
        <v>0</v>
      </c>
      <c r="AJ79" s="17">
        <f>$I$27*$AJ$27</f>
        <v>0</v>
      </c>
      <c r="AK79" s="17">
        <f>$I$27*$AK$27</f>
        <v>0</v>
      </c>
      <c r="AL79" s="17">
        <f>$I$27*$AL$27</f>
        <v>0</v>
      </c>
      <c r="AM79" s="17">
        <f>$I$27*$AM$27</f>
        <v>0</v>
      </c>
      <c r="AN79" s="17">
        <f>$I$27*$AN$27</f>
        <v>0</v>
      </c>
      <c r="AO79" s="17">
        <f>$I$27*$AO$27</f>
        <v>0</v>
      </c>
      <c r="AP79" s="17">
        <f>$I$27*$AP$27</f>
        <v>0</v>
      </c>
      <c r="AQ79" s="17">
        <f>$I$27*$AQ$27</f>
        <v>0</v>
      </c>
      <c r="AR79" s="17">
        <f>$I$27*$AR$27</f>
        <v>0</v>
      </c>
      <c r="AS79" s="17">
        <f>$I$27*$AS$27</f>
        <v>0</v>
      </c>
      <c r="AT79" s="17">
        <f>$I$27*$AT$27</f>
        <v>0</v>
      </c>
      <c r="AU79" s="17">
        <f>$I$27*$AU$27</f>
        <v>0</v>
      </c>
      <c r="AV79" s="17">
        <f>$I$27*$AV$27</f>
        <v>0</v>
      </c>
      <c r="AW79" s="17">
        <f>$I$27*$AW$27</f>
        <v>0</v>
      </c>
      <c r="AX79" s="17">
        <f>$I$27*$AX$27</f>
        <v>0</v>
      </c>
      <c r="AY79" s="17">
        <f>$I$27*$AY$27</f>
        <v>0</v>
      </c>
      <c r="AZ79" s="17">
        <f>$I$27*$AZ$27</f>
        <v>0</v>
      </c>
      <c r="BA79" s="17">
        <f>$I$27*$BA$27</f>
        <v>0</v>
      </c>
      <c r="BB79" s="17">
        <f>$I$27*$BB$27</f>
        <v>0</v>
      </c>
      <c r="BC79" s="17">
        <f>$I$27*$BC$27</f>
        <v>0</v>
      </c>
      <c r="BD79" s="17">
        <f>$I$27*$BD$27</f>
        <v>0</v>
      </c>
    </row>
    <row r="80" spans="1:56" ht="11.25" customHeight="1" x14ac:dyDescent="0.25">
      <c r="A80" s="9" t="s">
        <v>22</v>
      </c>
      <c r="B80" s="9" t="s">
        <v>820</v>
      </c>
      <c r="C80" s="9" t="s">
        <v>821</v>
      </c>
      <c r="D80" s="9" t="s">
        <v>834</v>
      </c>
      <c r="E80" s="9" t="s">
        <v>835</v>
      </c>
      <c r="F80" s="9" t="s">
        <v>836</v>
      </c>
      <c r="G80" s="9" t="s">
        <v>837</v>
      </c>
      <c r="L80" s="17">
        <f>$I$28*$L$28</f>
        <v>0</v>
      </c>
      <c r="M80" s="17">
        <f>$I$28*$M$28</f>
        <v>0</v>
      </c>
      <c r="N80" s="17">
        <f ca="1">$I$28*$N$28</f>
        <v>0</v>
      </c>
      <c r="O80" s="17">
        <f>$I$28*$O$28</f>
        <v>0</v>
      </c>
      <c r="P80" s="17">
        <f>$I$28*$P$28</f>
        <v>0</v>
      </c>
      <c r="Q80" s="17">
        <f>$I$28*$Q$28</f>
        <v>0</v>
      </c>
      <c r="R80" s="17">
        <f>$I$28*$R$28</f>
        <v>0</v>
      </c>
      <c r="S80" s="17">
        <f>$I$28*$S$28</f>
        <v>0</v>
      </c>
      <c r="T80" s="17">
        <f>$I$28*$T$28</f>
        <v>0</v>
      </c>
      <c r="U80" s="17">
        <f>$I$28*$U$28</f>
        <v>0</v>
      </c>
      <c r="V80" s="17">
        <f>$I$28*$V$28</f>
        <v>0</v>
      </c>
      <c r="W80" s="17">
        <f>$I$28*$W$28</f>
        <v>0</v>
      </c>
      <c r="X80" s="17">
        <f>$I$28*$X$28</f>
        <v>0</v>
      </c>
      <c r="Y80" s="17">
        <f>$I$28*$Y$28</f>
        <v>0</v>
      </c>
      <c r="Z80" s="17">
        <f>$I$28*$Z$28</f>
        <v>0</v>
      </c>
      <c r="AA80" s="17">
        <f>$I$28*$AA$28</f>
        <v>0</v>
      </c>
      <c r="AB80" s="17">
        <f ca="1">$I$28*$AB$28</f>
        <v>0</v>
      </c>
      <c r="AC80" s="17">
        <f ca="1">$I$28*$AC$28</f>
        <v>0</v>
      </c>
      <c r="AD80" s="17">
        <f>$I$28*$AD$28</f>
        <v>0</v>
      </c>
      <c r="AE80" s="17">
        <f>$I$28*$AE$28</f>
        <v>0</v>
      </c>
      <c r="AF80" s="17">
        <f ca="1">$I$28*$AF$28</f>
        <v>0</v>
      </c>
      <c r="AG80" s="17">
        <f ca="1">$I$28*$AG$28</f>
        <v>0</v>
      </c>
      <c r="AI80" s="17">
        <f>$I$28*$AI$28</f>
        <v>0</v>
      </c>
      <c r="AJ80" s="17">
        <f>$I$28*$AJ$28</f>
        <v>0</v>
      </c>
      <c r="AK80" s="17">
        <f>$I$28*$AK$28</f>
        <v>0</v>
      </c>
      <c r="AL80" s="17">
        <f>$I$28*$AL$28</f>
        <v>0</v>
      </c>
      <c r="AM80" s="17">
        <f>$I$28*$AM$28</f>
        <v>0</v>
      </c>
      <c r="AN80" s="17">
        <f>$I$28*$AN$28</f>
        <v>0</v>
      </c>
      <c r="AO80" s="17">
        <f>$I$28*$AO$28</f>
        <v>0</v>
      </c>
      <c r="AP80" s="17">
        <f>$I$28*$AP$28</f>
        <v>0</v>
      </c>
      <c r="AQ80" s="17">
        <f>$I$28*$AQ$28</f>
        <v>0</v>
      </c>
      <c r="AR80" s="17">
        <f>$I$28*$AR$28</f>
        <v>0</v>
      </c>
      <c r="AS80" s="17">
        <f>$I$28*$AS$28</f>
        <v>0</v>
      </c>
      <c r="AT80" s="17">
        <f>$I$28*$AT$28</f>
        <v>0</v>
      </c>
      <c r="AU80" s="17">
        <f>$I$28*$AU$28</f>
        <v>0</v>
      </c>
      <c r="AV80" s="17">
        <f>$I$28*$AV$28</f>
        <v>0</v>
      </c>
      <c r="AW80" s="17">
        <f>$I$28*$AW$28</f>
        <v>0</v>
      </c>
      <c r="AX80" s="17">
        <f>$I$28*$AX$28</f>
        <v>0</v>
      </c>
      <c r="AY80" s="17">
        <f>$I$28*$AY$28</f>
        <v>0</v>
      </c>
      <c r="AZ80" s="17">
        <f>$I$28*$AZ$28</f>
        <v>0</v>
      </c>
      <c r="BA80" s="17">
        <f>$I$28*$BA$28</f>
        <v>0</v>
      </c>
      <c r="BB80" s="17">
        <f>$I$28*$BB$28</f>
        <v>0</v>
      </c>
      <c r="BC80" s="17">
        <f>$I$28*$BC$28</f>
        <v>0</v>
      </c>
      <c r="BD80" s="17">
        <f>$I$28*$BD$28</f>
        <v>0</v>
      </c>
    </row>
    <row r="81" spans="1:56" ht="11.25" customHeight="1" x14ac:dyDescent="0.25">
      <c r="A81" s="9" t="s">
        <v>22</v>
      </c>
      <c r="B81" s="9" t="s">
        <v>820</v>
      </c>
      <c r="C81" s="9" t="s">
        <v>821</v>
      </c>
      <c r="D81" s="9" t="s">
        <v>838</v>
      </c>
      <c r="E81" s="9" t="s">
        <v>839</v>
      </c>
      <c r="F81" s="9" t="s">
        <v>840</v>
      </c>
      <c r="G81" s="9" t="s">
        <v>841</v>
      </c>
      <c r="L81" s="17">
        <f>$I$29*$L$29</f>
        <v>0</v>
      </c>
      <c r="M81" s="17">
        <f>$I$29*$M$29</f>
        <v>0</v>
      </c>
      <c r="N81" s="17">
        <f ca="1">$I$29*$N$29</f>
        <v>0</v>
      </c>
      <c r="O81" s="17">
        <f>$I$29*$O$29</f>
        <v>0</v>
      </c>
      <c r="P81" s="17">
        <f>$I$29*$P$29</f>
        <v>0</v>
      </c>
      <c r="Q81" s="17">
        <f>$I$29*$Q$29</f>
        <v>0</v>
      </c>
      <c r="R81" s="17">
        <f>$I$29*$R$29</f>
        <v>0</v>
      </c>
      <c r="S81" s="17">
        <f>$I$29*$S$29</f>
        <v>0</v>
      </c>
      <c r="T81" s="17">
        <f>$I$29*$T$29</f>
        <v>0</v>
      </c>
      <c r="U81" s="17">
        <f>$I$29*$U$29</f>
        <v>0</v>
      </c>
      <c r="V81" s="17">
        <f>$I$29*$V$29</f>
        <v>0</v>
      </c>
      <c r="W81" s="17">
        <f>$I$29*$W$29</f>
        <v>0</v>
      </c>
      <c r="X81" s="17">
        <f>$I$29*$X$29</f>
        <v>0</v>
      </c>
      <c r="Y81" s="17">
        <f>$I$29*$Y$29</f>
        <v>0</v>
      </c>
      <c r="Z81" s="17">
        <f>$I$29*$Z$29</f>
        <v>0</v>
      </c>
      <c r="AA81" s="17">
        <f>$I$29*$AA$29</f>
        <v>0</v>
      </c>
      <c r="AB81" s="17">
        <f ca="1">$I$29*$AB$29</f>
        <v>0</v>
      </c>
      <c r="AC81" s="17">
        <f ca="1">$I$29*$AC$29</f>
        <v>0</v>
      </c>
      <c r="AD81" s="17">
        <f>$I$29*$AD$29</f>
        <v>0</v>
      </c>
      <c r="AE81" s="17">
        <f>$I$29*$AE$29</f>
        <v>0</v>
      </c>
      <c r="AF81" s="17">
        <f ca="1">$I$29*$AF$29</f>
        <v>0</v>
      </c>
      <c r="AG81" s="17">
        <f ca="1">$I$29*$AG$29</f>
        <v>0</v>
      </c>
      <c r="AI81" s="17">
        <f>$I$29*$AI$29</f>
        <v>0</v>
      </c>
      <c r="AJ81" s="17">
        <f>$I$29*$AJ$29</f>
        <v>0</v>
      </c>
      <c r="AK81" s="17">
        <f>$I$29*$AK$29</f>
        <v>0</v>
      </c>
      <c r="AL81" s="17">
        <f>$I$29*$AL$29</f>
        <v>0</v>
      </c>
      <c r="AM81" s="17">
        <f>$I$29*$AM$29</f>
        <v>0</v>
      </c>
      <c r="AN81" s="17">
        <f>$I$29*$AN$29</f>
        <v>0</v>
      </c>
      <c r="AO81" s="17">
        <f>$I$29*$AO$29</f>
        <v>0</v>
      </c>
      <c r="AP81" s="17">
        <f>$I$29*$AP$29</f>
        <v>0</v>
      </c>
      <c r="AQ81" s="17">
        <f>$I$29*$AQ$29</f>
        <v>0</v>
      </c>
      <c r="AR81" s="17">
        <f>$I$29*$AR$29</f>
        <v>0</v>
      </c>
      <c r="AS81" s="17">
        <f>$I$29*$AS$29</f>
        <v>0</v>
      </c>
      <c r="AT81" s="17">
        <f>$I$29*$AT$29</f>
        <v>0</v>
      </c>
      <c r="AU81" s="17">
        <f>$I$29*$AU$29</f>
        <v>0</v>
      </c>
      <c r="AV81" s="17">
        <f>$I$29*$AV$29</f>
        <v>0</v>
      </c>
      <c r="AW81" s="17">
        <f>$I$29*$AW$29</f>
        <v>0</v>
      </c>
      <c r="AX81" s="17">
        <f>$I$29*$AX$29</f>
        <v>0</v>
      </c>
      <c r="AY81" s="17">
        <f>$I$29*$AY$29</f>
        <v>0</v>
      </c>
      <c r="AZ81" s="17">
        <f>$I$29*$AZ$29</f>
        <v>0</v>
      </c>
      <c r="BA81" s="17">
        <f>$I$29*$BA$29</f>
        <v>0</v>
      </c>
      <c r="BB81" s="17">
        <f>$I$29*$BB$29</f>
        <v>0</v>
      </c>
      <c r="BC81" s="17">
        <f>$I$29*$BC$29</f>
        <v>0</v>
      </c>
      <c r="BD81" s="17">
        <f>$I$29*$BD$29</f>
        <v>0</v>
      </c>
    </row>
    <row r="82" spans="1:56" ht="11.25" customHeight="1" x14ac:dyDescent="0.25">
      <c r="A82" s="9" t="s">
        <v>42</v>
      </c>
      <c r="B82" s="9" t="s">
        <v>842</v>
      </c>
      <c r="C82" s="9" t="s">
        <v>843</v>
      </c>
      <c r="D82" s="9" t="s">
        <v>844</v>
      </c>
      <c r="E82" s="9" t="s">
        <v>845</v>
      </c>
      <c r="F82" s="9" t="s">
        <v>846</v>
      </c>
      <c r="G82" s="9" t="s">
        <v>847</v>
      </c>
      <c r="L82" s="17">
        <f>$I$30*$L$30</f>
        <v>0</v>
      </c>
      <c r="M82" s="17">
        <f>$I$30*$M$30</f>
        <v>0</v>
      </c>
      <c r="N82" s="17">
        <f ca="1">$I$30*$N$30</f>
        <v>0</v>
      </c>
      <c r="O82" s="17">
        <f>$I$30*$O$30</f>
        <v>0</v>
      </c>
      <c r="P82" s="17">
        <f>$I$30*$P$30</f>
        <v>0</v>
      </c>
      <c r="Q82" s="17">
        <f>$I$30*$Q$30</f>
        <v>0</v>
      </c>
      <c r="R82" s="17">
        <f>$I$30*$R$30</f>
        <v>0</v>
      </c>
      <c r="S82" s="17">
        <f>$I$30*$S$30</f>
        <v>0</v>
      </c>
      <c r="T82" s="17">
        <f>$I$30*$T$30</f>
        <v>0</v>
      </c>
      <c r="U82" s="17">
        <f>$I$30*$U$30</f>
        <v>0</v>
      </c>
      <c r="V82" s="17">
        <f>$I$30*$V$30</f>
        <v>0</v>
      </c>
      <c r="W82" s="17">
        <f>$I$30*$W$30</f>
        <v>0</v>
      </c>
      <c r="X82" s="17">
        <f>$I$30*$X$30</f>
        <v>0</v>
      </c>
      <c r="Y82" s="17">
        <f>$I$30*$Y$30</f>
        <v>0</v>
      </c>
      <c r="Z82" s="17">
        <f>$I$30*$Z$30</f>
        <v>0</v>
      </c>
      <c r="AA82" s="17">
        <f>$I$30*$AA$30</f>
        <v>0</v>
      </c>
      <c r="AB82" s="17">
        <f ca="1">$I$30*$AB$30</f>
        <v>0</v>
      </c>
      <c r="AC82" s="17">
        <f ca="1">$I$30*$AC$30</f>
        <v>0</v>
      </c>
      <c r="AD82" s="17">
        <f>$I$30*$AD$30</f>
        <v>0</v>
      </c>
      <c r="AE82" s="17">
        <f>$I$30*$AE$30</f>
        <v>0</v>
      </c>
      <c r="AF82" s="17">
        <f ca="1">$I$30*$AF$30</f>
        <v>0</v>
      </c>
      <c r="AG82" s="17">
        <f ca="1">$I$30*$AG$30</f>
        <v>0</v>
      </c>
      <c r="AI82" s="17">
        <f>$I$30*$AI$30</f>
        <v>0</v>
      </c>
      <c r="AJ82" s="17">
        <f>$I$30*$AJ$30</f>
        <v>0</v>
      </c>
      <c r="AK82" s="17">
        <f>$I$30*$AK$30</f>
        <v>0</v>
      </c>
      <c r="AL82" s="17">
        <f>$I$30*$AL$30</f>
        <v>0</v>
      </c>
      <c r="AM82" s="17">
        <f>$I$30*$AM$30</f>
        <v>0</v>
      </c>
      <c r="AN82" s="17">
        <f>$I$30*$AN$30</f>
        <v>0</v>
      </c>
      <c r="AO82" s="17">
        <f>$I$30*$AO$30</f>
        <v>0</v>
      </c>
      <c r="AP82" s="17">
        <f>$I$30*$AP$30</f>
        <v>0</v>
      </c>
      <c r="AQ82" s="17">
        <f>$I$30*$AQ$30</f>
        <v>0</v>
      </c>
      <c r="AR82" s="17">
        <f>$I$30*$AR$30</f>
        <v>0</v>
      </c>
      <c r="AS82" s="17">
        <f>$I$30*$AS$30</f>
        <v>0</v>
      </c>
      <c r="AT82" s="17">
        <f>$I$30*$AT$30</f>
        <v>0</v>
      </c>
      <c r="AU82" s="17">
        <f>$I$30*$AU$30</f>
        <v>0</v>
      </c>
      <c r="AV82" s="17">
        <f>$I$30*$AV$30</f>
        <v>0</v>
      </c>
      <c r="AW82" s="17">
        <f>$I$30*$AW$30</f>
        <v>0</v>
      </c>
      <c r="AX82" s="17">
        <f>$I$30*$AX$30</f>
        <v>0</v>
      </c>
      <c r="AY82" s="17">
        <f>$I$30*$AY$30</f>
        <v>0</v>
      </c>
      <c r="AZ82" s="17">
        <f>$I$30*$AZ$30</f>
        <v>0</v>
      </c>
      <c r="BA82" s="17">
        <f>$I$30*$BA$30</f>
        <v>0</v>
      </c>
      <c r="BB82" s="17">
        <f>$I$30*$BB$30</f>
        <v>0</v>
      </c>
      <c r="BC82" s="17">
        <f>$I$30*$BC$30</f>
        <v>0</v>
      </c>
      <c r="BD82" s="17">
        <f>$I$30*$BD$30</f>
        <v>0</v>
      </c>
    </row>
    <row r="83" spans="1:56" ht="11.25" customHeight="1" x14ac:dyDescent="0.25">
      <c r="A83" s="9" t="s">
        <v>42</v>
      </c>
      <c r="B83" s="9" t="s">
        <v>842</v>
      </c>
      <c r="C83" s="9" t="s">
        <v>843</v>
      </c>
      <c r="D83" s="9" t="s">
        <v>844</v>
      </c>
      <c r="E83" s="9" t="s">
        <v>845</v>
      </c>
      <c r="F83" s="9" t="s">
        <v>846</v>
      </c>
      <c r="G83" s="9" t="s">
        <v>848</v>
      </c>
      <c r="L83" s="17">
        <f>$I$31*$L$31</f>
        <v>0</v>
      </c>
      <c r="M83" s="17">
        <f>$I$31*$M$31</f>
        <v>0</v>
      </c>
      <c r="N83" s="17">
        <f ca="1">$I$31*$N$31</f>
        <v>0</v>
      </c>
      <c r="O83" s="17">
        <f>$I$31*$O$31</f>
        <v>0</v>
      </c>
      <c r="P83" s="17">
        <f>$I$31*$P$31</f>
        <v>0</v>
      </c>
      <c r="Q83" s="17">
        <f>$I$31*$Q$31</f>
        <v>0</v>
      </c>
      <c r="R83" s="17">
        <f>$I$31*$R$31</f>
        <v>0</v>
      </c>
      <c r="S83" s="17">
        <f>$I$31*$S$31</f>
        <v>0</v>
      </c>
      <c r="T83" s="17">
        <f>$I$31*$T$31</f>
        <v>0</v>
      </c>
      <c r="U83" s="17">
        <f>$I$31*$U$31</f>
        <v>0</v>
      </c>
      <c r="V83" s="17">
        <f>$I$31*$V$31</f>
        <v>0</v>
      </c>
      <c r="W83" s="17">
        <f>$I$31*$W$31</f>
        <v>0</v>
      </c>
      <c r="X83" s="17">
        <f>$I$31*$X$31</f>
        <v>0</v>
      </c>
      <c r="Y83" s="17">
        <f>$I$31*$Y$31</f>
        <v>0</v>
      </c>
      <c r="Z83" s="17">
        <f>$I$31*$Z$31</f>
        <v>0</v>
      </c>
      <c r="AA83" s="17">
        <f>$I$31*$AA$31</f>
        <v>0</v>
      </c>
      <c r="AB83" s="17">
        <f ca="1">$I$31*$AB$31</f>
        <v>0</v>
      </c>
      <c r="AC83" s="17">
        <f ca="1">$I$31*$AC$31</f>
        <v>0</v>
      </c>
      <c r="AD83" s="17">
        <f>$I$31*$AD$31</f>
        <v>0</v>
      </c>
      <c r="AE83" s="17">
        <f>$I$31*$AE$31</f>
        <v>0</v>
      </c>
      <c r="AF83" s="17">
        <f ca="1">$I$31*$AF$31</f>
        <v>0</v>
      </c>
      <c r="AG83" s="17">
        <f ca="1">$I$31*$AG$31</f>
        <v>0</v>
      </c>
      <c r="AI83" s="17">
        <f>$I$31*$AI$31</f>
        <v>0</v>
      </c>
      <c r="AJ83" s="17">
        <f>$I$31*$AJ$31</f>
        <v>0</v>
      </c>
      <c r="AK83" s="17">
        <f>$I$31*$AK$31</f>
        <v>0</v>
      </c>
      <c r="AL83" s="17">
        <f>$I$31*$AL$31</f>
        <v>0</v>
      </c>
      <c r="AM83" s="17">
        <f>$I$31*$AM$31</f>
        <v>0</v>
      </c>
      <c r="AN83" s="17">
        <f>$I$31*$AN$31</f>
        <v>0</v>
      </c>
      <c r="AO83" s="17">
        <f>$I$31*$AO$31</f>
        <v>0</v>
      </c>
      <c r="AP83" s="17">
        <f>$I$31*$AP$31</f>
        <v>0</v>
      </c>
      <c r="AQ83" s="17">
        <f>$I$31*$AQ$31</f>
        <v>0</v>
      </c>
      <c r="AR83" s="17">
        <f>$I$31*$AR$31</f>
        <v>0</v>
      </c>
      <c r="AS83" s="17">
        <f>$I$31*$AS$31</f>
        <v>0</v>
      </c>
      <c r="AT83" s="17">
        <f>$I$31*$AT$31</f>
        <v>0</v>
      </c>
      <c r="AU83" s="17">
        <f>$I$31*$AU$31</f>
        <v>0</v>
      </c>
      <c r="AV83" s="17">
        <f>$I$31*$AV$31</f>
        <v>0</v>
      </c>
      <c r="AW83" s="17">
        <f>$I$31*$AW$31</f>
        <v>0</v>
      </c>
      <c r="AX83" s="17">
        <f>$I$31*$AX$31</f>
        <v>0</v>
      </c>
      <c r="AY83" s="17">
        <f>$I$31*$AY$31</f>
        <v>0</v>
      </c>
      <c r="AZ83" s="17">
        <f>$I$31*$AZ$31</f>
        <v>0</v>
      </c>
      <c r="BA83" s="17">
        <f>$I$31*$BA$31</f>
        <v>0</v>
      </c>
      <c r="BB83" s="17">
        <f>$I$31*$BB$31</f>
        <v>0</v>
      </c>
      <c r="BC83" s="17">
        <f>$I$31*$BC$31</f>
        <v>0</v>
      </c>
      <c r="BD83" s="17">
        <f>$I$31*$BD$31</f>
        <v>0</v>
      </c>
    </row>
    <row r="84" spans="1:56" ht="11.25" customHeight="1" x14ac:dyDescent="0.25">
      <c r="A84" s="9" t="s">
        <v>42</v>
      </c>
      <c r="B84" s="9" t="s">
        <v>842</v>
      </c>
      <c r="C84" s="9" t="s">
        <v>843</v>
      </c>
      <c r="D84" s="9" t="s">
        <v>844</v>
      </c>
      <c r="E84" s="9" t="s">
        <v>845</v>
      </c>
      <c r="F84" s="9" t="s">
        <v>846</v>
      </c>
      <c r="G84" s="9" t="s">
        <v>849</v>
      </c>
      <c r="L84" s="17">
        <f>$I$32*$L$32</f>
        <v>0</v>
      </c>
      <c r="M84" s="17">
        <f>$I$32*$M$32</f>
        <v>0</v>
      </c>
      <c r="N84" s="17">
        <f ca="1">$I$32*$N$32</f>
        <v>0</v>
      </c>
      <c r="O84" s="17">
        <f>$I$32*$O$32</f>
        <v>0</v>
      </c>
      <c r="P84" s="17">
        <f>$I$32*$P$32</f>
        <v>0</v>
      </c>
      <c r="Q84" s="17">
        <f>$I$32*$Q$32</f>
        <v>0</v>
      </c>
      <c r="R84" s="17">
        <f>$I$32*$R$32</f>
        <v>0</v>
      </c>
      <c r="S84" s="17">
        <f>$I$32*$S$32</f>
        <v>0</v>
      </c>
      <c r="T84" s="17">
        <f>$I$32*$T$32</f>
        <v>0</v>
      </c>
      <c r="U84" s="17">
        <f>$I$32*$U$32</f>
        <v>0</v>
      </c>
      <c r="V84" s="17">
        <f>$I$32*$V$32</f>
        <v>0</v>
      </c>
      <c r="W84" s="17">
        <f>$I$32*$W$32</f>
        <v>0</v>
      </c>
      <c r="X84" s="17">
        <f>$I$32*$X$32</f>
        <v>0</v>
      </c>
      <c r="Y84" s="17">
        <f>$I$32*$Y$32</f>
        <v>0</v>
      </c>
      <c r="Z84" s="17">
        <f>$I$32*$Z$32</f>
        <v>0</v>
      </c>
      <c r="AA84" s="17">
        <f>$I$32*$AA$32</f>
        <v>0</v>
      </c>
      <c r="AB84" s="17">
        <f ca="1">$I$32*$AB$32</f>
        <v>0</v>
      </c>
      <c r="AC84" s="17">
        <f ca="1">$I$32*$AC$32</f>
        <v>0</v>
      </c>
      <c r="AD84" s="17">
        <f>$I$32*$AD$32</f>
        <v>0</v>
      </c>
      <c r="AE84" s="17">
        <f>$I$32*$AE$32</f>
        <v>0</v>
      </c>
      <c r="AF84" s="17">
        <f ca="1">$I$32*$AF$32</f>
        <v>0</v>
      </c>
      <c r="AG84" s="17">
        <f ca="1">$I$32*$AG$32</f>
        <v>0</v>
      </c>
      <c r="AI84" s="17">
        <f>$I$32*$AI$32</f>
        <v>0</v>
      </c>
      <c r="AJ84" s="17">
        <f>$I$32*$AJ$32</f>
        <v>0</v>
      </c>
      <c r="AK84" s="17">
        <f>$I$32*$AK$32</f>
        <v>0</v>
      </c>
      <c r="AL84" s="17">
        <f>$I$32*$AL$32</f>
        <v>0</v>
      </c>
      <c r="AM84" s="17">
        <f>$I$32*$AM$32</f>
        <v>0</v>
      </c>
      <c r="AN84" s="17">
        <f>$I$32*$AN$32</f>
        <v>0</v>
      </c>
      <c r="AO84" s="17">
        <f>$I$32*$AO$32</f>
        <v>0</v>
      </c>
      <c r="AP84" s="17">
        <f>$I$32*$AP$32</f>
        <v>0</v>
      </c>
      <c r="AQ84" s="17">
        <f>$I$32*$AQ$32</f>
        <v>0</v>
      </c>
      <c r="AR84" s="17">
        <f>$I$32*$AR$32</f>
        <v>0</v>
      </c>
      <c r="AS84" s="17">
        <f>$I$32*$AS$32</f>
        <v>0</v>
      </c>
      <c r="AT84" s="17">
        <f>$I$32*$AT$32</f>
        <v>0</v>
      </c>
      <c r="AU84" s="17">
        <f>$I$32*$AU$32</f>
        <v>0</v>
      </c>
      <c r="AV84" s="17">
        <f>$I$32*$AV$32</f>
        <v>0</v>
      </c>
      <c r="AW84" s="17">
        <f>$I$32*$AW$32</f>
        <v>0</v>
      </c>
      <c r="AX84" s="17">
        <f>$I$32*$AX$32</f>
        <v>0</v>
      </c>
      <c r="AY84" s="17">
        <f>$I$32*$AY$32</f>
        <v>0</v>
      </c>
      <c r="AZ84" s="17">
        <f>$I$32*$AZ$32</f>
        <v>0</v>
      </c>
      <c r="BA84" s="17">
        <f>$I$32*$BA$32</f>
        <v>0</v>
      </c>
      <c r="BB84" s="17">
        <f>$I$32*$BB$32</f>
        <v>0</v>
      </c>
      <c r="BC84" s="17">
        <f>$I$32*$BC$32</f>
        <v>0</v>
      </c>
      <c r="BD84" s="17">
        <f>$I$32*$BD$32</f>
        <v>0</v>
      </c>
    </row>
    <row r="85" spans="1:56" ht="11.25" customHeight="1" x14ac:dyDescent="0.25">
      <c r="A85" s="9" t="s">
        <v>42</v>
      </c>
      <c r="B85" s="9" t="s">
        <v>850</v>
      </c>
      <c r="C85" s="9" t="s">
        <v>851</v>
      </c>
      <c r="D85" s="9" t="s">
        <v>852</v>
      </c>
      <c r="E85" s="9" t="s">
        <v>853</v>
      </c>
      <c r="F85" s="9" t="s">
        <v>854</v>
      </c>
      <c r="G85" s="9" t="s">
        <v>855</v>
      </c>
      <c r="L85" s="17">
        <f>$I$33*$L$33</f>
        <v>11033.009627757308</v>
      </c>
      <c r="M85" s="17">
        <f>$I$33*$M$33</f>
        <v>1343.9814373214342</v>
      </c>
      <c r="N85" s="17">
        <f ca="1">$I$33*$N$33</f>
        <v>3580.3809345636346</v>
      </c>
      <c r="O85" s="17">
        <f>$I$33*$O$33</f>
        <v>0</v>
      </c>
      <c r="P85" s="17">
        <f>$I$33*$P$33</f>
        <v>0</v>
      </c>
      <c r="Q85" s="17">
        <f>$I$33*$Q$33</f>
        <v>159177.84756023946</v>
      </c>
      <c r="R85" s="17">
        <f>$I$33*$R$33</f>
        <v>26662.081071266119</v>
      </c>
      <c r="S85" s="17">
        <f>$I$33*$S$33</f>
        <v>0</v>
      </c>
      <c r="T85" s="17">
        <f>$I$33*$T$33</f>
        <v>49051.458726112935</v>
      </c>
      <c r="U85" s="17">
        <f>$I$33*$U$33</f>
        <v>41327.299893289171</v>
      </c>
      <c r="V85" s="17">
        <f>$I$33*$V$33</f>
        <v>7276.8998533290005</v>
      </c>
      <c r="W85" s="17">
        <f>$I$33*$W$33</f>
        <v>0</v>
      </c>
      <c r="X85" s="17">
        <f>$I$33*$X$33</f>
        <v>0</v>
      </c>
      <c r="Y85" s="17">
        <f>$I$33*$Y$33</f>
        <v>0</v>
      </c>
      <c r="Z85" s="17">
        <f>$I$33*$Z$33</f>
        <v>0</v>
      </c>
      <c r="AA85" s="17">
        <f>$I$33*$AA$33</f>
        <v>269256.30555479048</v>
      </c>
      <c r="AB85" s="17">
        <f ca="1">$I$33*$AB$33</f>
        <v>-104112.61016308733</v>
      </c>
      <c r="AC85" s="17">
        <f ca="1">$I$33*$AC$33</f>
        <v>0</v>
      </c>
      <c r="AD85" s="17">
        <f>$I$33*$AD$33</f>
        <v>33582.777013149891</v>
      </c>
      <c r="AE85" s="17">
        <f>$I$33*$AE$33</f>
        <v>0</v>
      </c>
      <c r="AF85" s="17">
        <f ca="1">$I$33*$AF$33</f>
        <v>1208.5017486855311</v>
      </c>
      <c r="AG85" s="17">
        <f ca="1">$I$33*$AG$33</f>
        <v>704.04544531535964</v>
      </c>
      <c r="AI85" s="17">
        <f>$I$33*$AI$33</f>
        <v>10983.528632502206</v>
      </c>
      <c r="AJ85" s="17">
        <f>$I$33*$AJ$33</f>
        <v>1433.5901088174392</v>
      </c>
      <c r="AK85" s="17">
        <f>$I$33*$AK$33</f>
        <v>4739.9663021910901</v>
      </c>
      <c r="AL85" s="17">
        <f>$I$33*$AL$33</f>
        <v>0</v>
      </c>
      <c r="AM85" s="17">
        <f>$I$33*$AM$33</f>
        <v>0</v>
      </c>
      <c r="AN85" s="17">
        <f>$I$33*$AN$33</f>
        <v>85646.607580017633</v>
      </c>
      <c r="AO85" s="17">
        <f>$I$33*$AO$33</f>
        <v>13625.062222489658</v>
      </c>
      <c r="AP85" s="17">
        <f>$I$33*$AP$33</f>
        <v>0</v>
      </c>
      <c r="AQ85" s="17">
        <f>$I$33*$AQ$33</f>
        <v>36876.135265441182</v>
      </c>
      <c r="AR85" s="17">
        <f>$I$33*$AR$33</f>
        <v>26899.343880080745</v>
      </c>
      <c r="AS85" s="17">
        <f>$I$33*$AS$33</f>
        <v>1986.5011967057478</v>
      </c>
      <c r="AT85" s="17">
        <f>$I$33*$AT$33</f>
        <v>0</v>
      </c>
      <c r="AU85" s="17">
        <f>$I$33*$AU$33</f>
        <v>0</v>
      </c>
      <c r="AV85" s="17">
        <f>$I$33*$AV$33</f>
        <v>0</v>
      </c>
      <c r="AW85" s="17">
        <f>$I$33*$AW$33</f>
        <v>0</v>
      </c>
      <c r="AX85" s="17">
        <f>$I$33*$AX$33</f>
        <v>276295.34419551131</v>
      </c>
      <c r="AY85" s="17">
        <f>$I$33*$AY$33</f>
        <v>0</v>
      </c>
      <c r="AZ85" s="17">
        <f>$I$33*$AZ$33</f>
        <v>0</v>
      </c>
      <c r="BA85" s="17">
        <f>$I$33*$BA$33</f>
        <v>30439.26781006169</v>
      </c>
      <c r="BB85" s="17">
        <f>$I$33*$BB$33</f>
        <v>0</v>
      </c>
      <c r="BC85" s="17">
        <f>$I$33*$BC$33</f>
        <v>1670.9131559214939</v>
      </c>
      <c r="BD85" s="17">
        <f>$I$33*$BD$33</f>
        <v>-2932.5540268839918</v>
      </c>
    </row>
    <row r="86" spans="1:56" ht="11.25" customHeight="1" x14ac:dyDescent="0.25">
      <c r="A86" s="9" t="s">
        <v>42</v>
      </c>
      <c r="B86" s="9" t="s">
        <v>842</v>
      </c>
      <c r="C86" s="9" t="s">
        <v>843</v>
      </c>
      <c r="D86" s="9" t="s">
        <v>856</v>
      </c>
      <c r="E86" s="9" t="s">
        <v>857</v>
      </c>
      <c r="F86" s="9" t="s">
        <v>858</v>
      </c>
      <c r="G86" s="9" t="s">
        <v>859</v>
      </c>
      <c r="L86" s="17">
        <f>$I$34*$L$34</f>
        <v>0</v>
      </c>
      <c r="M86" s="17">
        <f>$I$34*$M$34</f>
        <v>0</v>
      </c>
      <c r="N86" s="17">
        <f ca="1">$I$34*$N$34</f>
        <v>0</v>
      </c>
      <c r="O86" s="17">
        <f>$I$34*$O$34</f>
        <v>0</v>
      </c>
      <c r="P86" s="17">
        <f>$I$34*$P$34</f>
        <v>0</v>
      </c>
      <c r="Q86" s="17">
        <f>$I$34*$Q$34</f>
        <v>0</v>
      </c>
      <c r="R86" s="17">
        <f>$I$34*$R$34</f>
        <v>0</v>
      </c>
      <c r="S86" s="17">
        <f>$I$34*$S$34</f>
        <v>0</v>
      </c>
      <c r="T86" s="17">
        <f>$I$34*$T$34</f>
        <v>0</v>
      </c>
      <c r="U86" s="17">
        <f>$I$34*$U$34</f>
        <v>0</v>
      </c>
      <c r="V86" s="17">
        <f>$I$34*$V$34</f>
        <v>0</v>
      </c>
      <c r="W86" s="17">
        <f>$I$34*$W$34</f>
        <v>0</v>
      </c>
      <c r="X86" s="17">
        <f>$I$34*$X$34</f>
        <v>0</v>
      </c>
      <c r="Y86" s="17">
        <f>$I$34*$Y$34</f>
        <v>0</v>
      </c>
      <c r="Z86" s="17">
        <f>$I$34*$Z$34</f>
        <v>0</v>
      </c>
      <c r="AA86" s="17">
        <f>$I$34*$AA$34</f>
        <v>0</v>
      </c>
      <c r="AB86" s="17">
        <f ca="1">$I$34*$AB$34</f>
        <v>0</v>
      </c>
      <c r="AC86" s="17">
        <f ca="1">$I$34*$AC$34</f>
        <v>0</v>
      </c>
      <c r="AD86" s="17">
        <f>$I$34*$AD$34</f>
        <v>0</v>
      </c>
      <c r="AE86" s="17">
        <f>$I$34*$AE$34</f>
        <v>0</v>
      </c>
      <c r="AF86" s="17">
        <f ca="1">$I$34*$AF$34</f>
        <v>0</v>
      </c>
      <c r="AG86" s="17">
        <f ca="1">$I$34*$AG$34</f>
        <v>0</v>
      </c>
      <c r="AI86" s="17">
        <f>$I$34*$AI$34</f>
        <v>0</v>
      </c>
      <c r="AJ86" s="17">
        <f>$I$34*$AJ$34</f>
        <v>0</v>
      </c>
      <c r="AK86" s="17">
        <f>$I$34*$AK$34</f>
        <v>0</v>
      </c>
      <c r="AL86" s="17">
        <f>$I$34*$AL$34</f>
        <v>0</v>
      </c>
      <c r="AM86" s="17">
        <f>$I$34*$AM$34</f>
        <v>0</v>
      </c>
      <c r="AN86" s="17">
        <f>$I$34*$AN$34</f>
        <v>0</v>
      </c>
      <c r="AO86" s="17">
        <f>$I$34*$AO$34</f>
        <v>0</v>
      </c>
      <c r="AP86" s="17">
        <f>$I$34*$AP$34</f>
        <v>0</v>
      </c>
      <c r="AQ86" s="17">
        <f>$I$34*$AQ$34</f>
        <v>0</v>
      </c>
      <c r="AR86" s="17">
        <f>$I$34*$AR$34</f>
        <v>0</v>
      </c>
      <c r="AS86" s="17">
        <f>$I$34*$AS$34</f>
        <v>0</v>
      </c>
      <c r="AT86" s="17">
        <f>$I$34*$AT$34</f>
        <v>0</v>
      </c>
      <c r="AU86" s="17">
        <f>$I$34*$AU$34</f>
        <v>0</v>
      </c>
      <c r="AV86" s="17">
        <f>$I$34*$AV$34</f>
        <v>0</v>
      </c>
      <c r="AW86" s="17">
        <f>$I$34*$AW$34</f>
        <v>0</v>
      </c>
      <c r="AX86" s="17">
        <f>$I$34*$AX$34</f>
        <v>0</v>
      </c>
      <c r="AY86" s="17">
        <f>$I$34*$AY$34</f>
        <v>0</v>
      </c>
      <c r="AZ86" s="17">
        <f>$I$34*$AZ$34</f>
        <v>0</v>
      </c>
      <c r="BA86" s="17">
        <f>$I$34*$BA$34</f>
        <v>0</v>
      </c>
      <c r="BB86" s="17">
        <f>$I$34*$BB$34</f>
        <v>0</v>
      </c>
      <c r="BC86" s="17">
        <f>$I$34*$BC$34</f>
        <v>0</v>
      </c>
      <c r="BD86" s="17">
        <f>$I$34*$BD$34</f>
        <v>0</v>
      </c>
    </row>
    <row r="87" spans="1:56" ht="11.25" customHeight="1" x14ac:dyDescent="0.25">
      <c r="A87" s="9" t="s">
        <v>42</v>
      </c>
      <c r="B87" s="9" t="s">
        <v>842</v>
      </c>
      <c r="C87" s="9" t="s">
        <v>843</v>
      </c>
      <c r="D87" s="9" t="s">
        <v>856</v>
      </c>
      <c r="E87" s="9" t="s">
        <v>857</v>
      </c>
      <c r="F87" s="9" t="s">
        <v>858</v>
      </c>
      <c r="G87" s="9" t="s">
        <v>860</v>
      </c>
      <c r="L87" s="17">
        <f>$I$35*$L$35</f>
        <v>0</v>
      </c>
      <c r="M87" s="17">
        <f>$I$35*$M$35</f>
        <v>0</v>
      </c>
      <c r="N87" s="17">
        <f ca="1">$I$35*$N$35</f>
        <v>0</v>
      </c>
      <c r="O87" s="17">
        <f>$I$35*$O$35</f>
        <v>0</v>
      </c>
      <c r="P87" s="17">
        <f>$I$35*$P$35</f>
        <v>0</v>
      </c>
      <c r="Q87" s="17">
        <f>$I$35*$Q$35</f>
        <v>0</v>
      </c>
      <c r="R87" s="17">
        <f>$I$35*$R$35</f>
        <v>0</v>
      </c>
      <c r="S87" s="17">
        <f>$I$35*$S$35</f>
        <v>0</v>
      </c>
      <c r="T87" s="17">
        <f>$I$35*$T$35</f>
        <v>0</v>
      </c>
      <c r="U87" s="17">
        <f>$I$35*$U$35</f>
        <v>0</v>
      </c>
      <c r="V87" s="17">
        <f>$I$35*$V$35</f>
        <v>0</v>
      </c>
      <c r="W87" s="17">
        <f>$I$35*$W$35</f>
        <v>0</v>
      </c>
      <c r="X87" s="17">
        <f>$I$35*$X$35</f>
        <v>0</v>
      </c>
      <c r="Y87" s="17">
        <f>$I$35*$Y$35</f>
        <v>0</v>
      </c>
      <c r="Z87" s="17">
        <f>$I$35*$Z$35</f>
        <v>0</v>
      </c>
      <c r="AA87" s="17">
        <f>$I$35*$AA$35</f>
        <v>0</v>
      </c>
      <c r="AB87" s="17">
        <f ca="1">$I$35*$AB$35</f>
        <v>0</v>
      </c>
      <c r="AC87" s="17">
        <f ca="1">$I$35*$AC$35</f>
        <v>0</v>
      </c>
      <c r="AD87" s="17">
        <f>$I$35*$AD$35</f>
        <v>0</v>
      </c>
      <c r="AE87" s="17">
        <f>$I$35*$AE$35</f>
        <v>0</v>
      </c>
      <c r="AF87" s="17">
        <f ca="1">$I$35*$AF$35</f>
        <v>0</v>
      </c>
      <c r="AG87" s="17">
        <f ca="1">$I$35*$AG$35</f>
        <v>0</v>
      </c>
      <c r="AI87" s="17">
        <f>$I$35*$AI$35</f>
        <v>0</v>
      </c>
      <c r="AJ87" s="17">
        <f>$I$35*$AJ$35</f>
        <v>0</v>
      </c>
      <c r="AK87" s="17">
        <f>$I$35*$AK$35</f>
        <v>0</v>
      </c>
      <c r="AL87" s="17">
        <f>$I$35*$AL$35</f>
        <v>0</v>
      </c>
      <c r="AM87" s="17">
        <f>$I$35*$AM$35</f>
        <v>0</v>
      </c>
      <c r="AN87" s="17">
        <f>$I$35*$AN$35</f>
        <v>0</v>
      </c>
      <c r="AO87" s="17">
        <f>$I$35*$AO$35</f>
        <v>0</v>
      </c>
      <c r="AP87" s="17">
        <f>$I$35*$AP$35</f>
        <v>0</v>
      </c>
      <c r="AQ87" s="17">
        <f>$I$35*$AQ$35</f>
        <v>0</v>
      </c>
      <c r="AR87" s="17">
        <f>$I$35*$AR$35</f>
        <v>0</v>
      </c>
      <c r="AS87" s="17">
        <f>$I$35*$AS$35</f>
        <v>0</v>
      </c>
      <c r="AT87" s="17">
        <f>$I$35*$AT$35</f>
        <v>0</v>
      </c>
      <c r="AU87" s="17">
        <f>$I$35*$AU$35</f>
        <v>0</v>
      </c>
      <c r="AV87" s="17">
        <f>$I$35*$AV$35</f>
        <v>0</v>
      </c>
      <c r="AW87" s="17">
        <f>$I$35*$AW$35</f>
        <v>0</v>
      </c>
      <c r="AX87" s="17">
        <f>$I$35*$AX$35</f>
        <v>0</v>
      </c>
      <c r="AY87" s="17">
        <f>$I$35*$AY$35</f>
        <v>0</v>
      </c>
      <c r="AZ87" s="17">
        <f>$I$35*$AZ$35</f>
        <v>0</v>
      </c>
      <c r="BA87" s="17">
        <f>$I$35*$BA$35</f>
        <v>0</v>
      </c>
      <c r="BB87" s="17">
        <f>$I$35*$BB$35</f>
        <v>0</v>
      </c>
      <c r="BC87" s="17">
        <f>$I$35*$BC$35</f>
        <v>0</v>
      </c>
      <c r="BD87" s="17">
        <f>$I$35*$BD$35</f>
        <v>0</v>
      </c>
    </row>
    <row r="88" spans="1:56" ht="11.25" customHeight="1" x14ac:dyDescent="0.25">
      <c r="A88" s="9" t="s">
        <v>42</v>
      </c>
      <c r="B88" s="9" t="s">
        <v>842</v>
      </c>
      <c r="C88" s="9" t="s">
        <v>843</v>
      </c>
      <c r="D88" s="9" t="s">
        <v>856</v>
      </c>
      <c r="E88" s="9" t="s">
        <v>857</v>
      </c>
      <c r="F88" s="9" t="s">
        <v>858</v>
      </c>
      <c r="G88" s="9" t="s">
        <v>861</v>
      </c>
      <c r="L88" s="17">
        <f>$I$36*$L$36</f>
        <v>0</v>
      </c>
      <c r="M88" s="17">
        <f>$I$36*$M$36</f>
        <v>0</v>
      </c>
      <c r="N88" s="17">
        <f ca="1">$I$36*$N$36</f>
        <v>0</v>
      </c>
      <c r="O88" s="17">
        <f>$I$36*$O$36</f>
        <v>0</v>
      </c>
      <c r="P88" s="17">
        <f>$I$36*$P$36</f>
        <v>0</v>
      </c>
      <c r="Q88" s="17">
        <f>$I$36*$Q$36</f>
        <v>0</v>
      </c>
      <c r="R88" s="17">
        <f>$I$36*$R$36</f>
        <v>0</v>
      </c>
      <c r="S88" s="17">
        <f>$I$36*$S$36</f>
        <v>0</v>
      </c>
      <c r="T88" s="17">
        <f>$I$36*$T$36</f>
        <v>0</v>
      </c>
      <c r="U88" s="17">
        <f>$I$36*$U$36</f>
        <v>0</v>
      </c>
      <c r="V88" s="17">
        <f>$I$36*$V$36</f>
        <v>0</v>
      </c>
      <c r="W88" s="17">
        <f>$I$36*$W$36</f>
        <v>0</v>
      </c>
      <c r="X88" s="17">
        <f>$I$36*$X$36</f>
        <v>0</v>
      </c>
      <c r="Y88" s="17">
        <f>$I$36*$Y$36</f>
        <v>0</v>
      </c>
      <c r="Z88" s="17">
        <f>$I$36*$Z$36</f>
        <v>0</v>
      </c>
      <c r="AA88" s="17">
        <f>$I$36*$AA$36</f>
        <v>0</v>
      </c>
      <c r="AB88" s="17">
        <f ca="1">$I$36*$AB$36</f>
        <v>0</v>
      </c>
      <c r="AC88" s="17">
        <f ca="1">$I$36*$AC$36</f>
        <v>0</v>
      </c>
      <c r="AD88" s="17">
        <f>$I$36*$AD$36</f>
        <v>0</v>
      </c>
      <c r="AE88" s="17">
        <f>$I$36*$AE$36</f>
        <v>0</v>
      </c>
      <c r="AF88" s="17">
        <f ca="1">$I$36*$AF$36</f>
        <v>0</v>
      </c>
      <c r="AG88" s="17">
        <f ca="1">$I$36*$AG$36</f>
        <v>0</v>
      </c>
      <c r="AI88" s="17">
        <f>$I$36*$AI$36</f>
        <v>0</v>
      </c>
      <c r="AJ88" s="17">
        <f>$I$36*$AJ$36</f>
        <v>0</v>
      </c>
      <c r="AK88" s="17">
        <f>$I$36*$AK$36</f>
        <v>0</v>
      </c>
      <c r="AL88" s="17">
        <f>$I$36*$AL$36</f>
        <v>0</v>
      </c>
      <c r="AM88" s="17">
        <f>$I$36*$AM$36</f>
        <v>0</v>
      </c>
      <c r="AN88" s="17">
        <f>$I$36*$AN$36</f>
        <v>0</v>
      </c>
      <c r="AO88" s="17">
        <f>$I$36*$AO$36</f>
        <v>0</v>
      </c>
      <c r="AP88" s="17">
        <f>$I$36*$AP$36</f>
        <v>0</v>
      </c>
      <c r="AQ88" s="17">
        <f>$I$36*$AQ$36</f>
        <v>0</v>
      </c>
      <c r="AR88" s="17">
        <f>$I$36*$AR$36</f>
        <v>0</v>
      </c>
      <c r="AS88" s="17">
        <f>$I$36*$AS$36</f>
        <v>0</v>
      </c>
      <c r="AT88" s="17">
        <f>$I$36*$AT$36</f>
        <v>0</v>
      </c>
      <c r="AU88" s="17">
        <f>$I$36*$AU$36</f>
        <v>0</v>
      </c>
      <c r="AV88" s="17">
        <f>$I$36*$AV$36</f>
        <v>0</v>
      </c>
      <c r="AW88" s="17">
        <f>$I$36*$AW$36</f>
        <v>0</v>
      </c>
      <c r="AX88" s="17">
        <f>$I$36*$AX$36</f>
        <v>0</v>
      </c>
      <c r="AY88" s="17">
        <f>$I$36*$AY$36</f>
        <v>0</v>
      </c>
      <c r="AZ88" s="17">
        <f>$I$36*$AZ$36</f>
        <v>0</v>
      </c>
      <c r="BA88" s="17">
        <f>$I$36*$BA$36</f>
        <v>0</v>
      </c>
      <c r="BB88" s="17">
        <f>$I$36*$BB$36</f>
        <v>0</v>
      </c>
      <c r="BC88" s="17">
        <f>$I$36*$BC$36</f>
        <v>0</v>
      </c>
      <c r="BD88" s="17">
        <f>$I$36*$BD$36</f>
        <v>0</v>
      </c>
    </row>
    <row r="89" spans="1:56" ht="11.25" customHeight="1" x14ac:dyDescent="0.25">
      <c r="A89" s="9" t="s">
        <v>42</v>
      </c>
      <c r="B89" s="9" t="s">
        <v>850</v>
      </c>
      <c r="C89" s="9" t="s">
        <v>851</v>
      </c>
      <c r="D89" s="9" t="s">
        <v>862</v>
      </c>
      <c r="E89" s="9" t="s">
        <v>863</v>
      </c>
      <c r="F89" s="9" t="s">
        <v>864</v>
      </c>
      <c r="G89" s="9" t="s">
        <v>865</v>
      </c>
      <c r="L89" s="17">
        <f>$I$37*$L$37</f>
        <v>0</v>
      </c>
      <c r="M89" s="17">
        <f>$I$37*$M$37</f>
        <v>0</v>
      </c>
      <c r="N89" s="17">
        <f ca="1">$I$37*$N$37</f>
        <v>0</v>
      </c>
      <c r="O89" s="17">
        <f>$I$37*$O$37</f>
        <v>0</v>
      </c>
      <c r="P89" s="17">
        <f>$I$37*$P$37</f>
        <v>0</v>
      </c>
      <c r="Q89" s="17">
        <f>$I$37*$Q$37</f>
        <v>0</v>
      </c>
      <c r="R89" s="17">
        <f>$I$37*$R$37</f>
        <v>0</v>
      </c>
      <c r="S89" s="17">
        <f>$I$37*$S$37</f>
        <v>0</v>
      </c>
      <c r="T89" s="17">
        <f>$I$37*$T$37</f>
        <v>0</v>
      </c>
      <c r="U89" s="17">
        <f>$I$37*$U$37</f>
        <v>0</v>
      </c>
      <c r="V89" s="17">
        <f>$I$37*$V$37</f>
        <v>0</v>
      </c>
      <c r="W89" s="17">
        <f>$I$37*$W$37</f>
        <v>0</v>
      </c>
      <c r="X89" s="17">
        <f>$I$37*$X$37</f>
        <v>0</v>
      </c>
      <c r="Y89" s="17">
        <f>$I$37*$Y$37</f>
        <v>0</v>
      </c>
      <c r="Z89" s="17">
        <f>$I$37*$Z$37</f>
        <v>0</v>
      </c>
      <c r="AA89" s="17">
        <f>$I$37*$AA$37</f>
        <v>0</v>
      </c>
      <c r="AB89" s="17">
        <f ca="1">$I$37*$AB$37</f>
        <v>0</v>
      </c>
      <c r="AC89" s="17">
        <f ca="1">$I$37*$AC$37</f>
        <v>0</v>
      </c>
      <c r="AD89" s="17">
        <f>$I$37*$AD$37</f>
        <v>0</v>
      </c>
      <c r="AE89" s="17">
        <f>$I$37*$AE$37</f>
        <v>0</v>
      </c>
      <c r="AF89" s="17">
        <f ca="1">$I$37*$AF$37</f>
        <v>0</v>
      </c>
      <c r="AG89" s="17">
        <f ca="1">$I$37*$AG$37</f>
        <v>0</v>
      </c>
      <c r="AI89" s="17">
        <f>$I$37*$AI$37</f>
        <v>0</v>
      </c>
      <c r="AJ89" s="17">
        <f>$I$37*$AJ$37</f>
        <v>0</v>
      </c>
      <c r="AK89" s="17">
        <f>$I$37*$AK$37</f>
        <v>0</v>
      </c>
      <c r="AL89" s="17">
        <f>$I$37*$AL$37</f>
        <v>0</v>
      </c>
      <c r="AM89" s="17">
        <f>$I$37*$AM$37</f>
        <v>0</v>
      </c>
      <c r="AN89" s="17">
        <f>$I$37*$AN$37</f>
        <v>0</v>
      </c>
      <c r="AO89" s="17">
        <f>$I$37*$AO$37</f>
        <v>0</v>
      </c>
      <c r="AP89" s="17">
        <f>$I$37*$AP$37</f>
        <v>0</v>
      </c>
      <c r="AQ89" s="17">
        <f>$I$37*$AQ$37</f>
        <v>0</v>
      </c>
      <c r="AR89" s="17">
        <f>$I$37*$AR$37</f>
        <v>0</v>
      </c>
      <c r="AS89" s="17">
        <f>$I$37*$AS$37</f>
        <v>0</v>
      </c>
      <c r="AT89" s="17">
        <f>$I$37*$AT$37</f>
        <v>0</v>
      </c>
      <c r="AU89" s="17">
        <f>$I$37*$AU$37</f>
        <v>0</v>
      </c>
      <c r="AV89" s="17">
        <f>$I$37*$AV$37</f>
        <v>0</v>
      </c>
      <c r="AW89" s="17">
        <f>$I$37*$AW$37</f>
        <v>0</v>
      </c>
      <c r="AX89" s="17">
        <f>$I$37*$AX$37</f>
        <v>0</v>
      </c>
      <c r="AY89" s="17">
        <f>$I$37*$AY$37</f>
        <v>0</v>
      </c>
      <c r="AZ89" s="17">
        <f>$I$37*$AZ$37</f>
        <v>0</v>
      </c>
      <c r="BA89" s="17">
        <f>$I$37*$BA$37</f>
        <v>0</v>
      </c>
      <c r="BB89" s="17">
        <f>$I$37*$BB$37</f>
        <v>0</v>
      </c>
      <c r="BC89" s="17">
        <f>$I$37*$BC$37</f>
        <v>0</v>
      </c>
      <c r="BD89" s="17">
        <f>$I$37*$BD$37</f>
        <v>0</v>
      </c>
    </row>
    <row r="90" spans="1:56" ht="11.25" customHeight="1" x14ac:dyDescent="0.25">
      <c r="A90" s="9" t="s">
        <v>42</v>
      </c>
      <c r="B90" s="9" t="s">
        <v>842</v>
      </c>
      <c r="C90" s="9" t="s">
        <v>843</v>
      </c>
      <c r="D90" s="9" t="s">
        <v>866</v>
      </c>
      <c r="E90" s="9" t="s">
        <v>867</v>
      </c>
      <c r="F90" s="9" t="s">
        <v>868</v>
      </c>
      <c r="G90" s="9" t="s">
        <v>869</v>
      </c>
      <c r="L90" s="17">
        <f>$I$38*$L$38</f>
        <v>0</v>
      </c>
      <c r="M90" s="17">
        <f>$I$38*$M$38</f>
        <v>0</v>
      </c>
      <c r="N90" s="17">
        <f ca="1">$I$38*$N$38</f>
        <v>0</v>
      </c>
      <c r="O90" s="17">
        <f>$I$38*$O$38</f>
        <v>0</v>
      </c>
      <c r="P90" s="17">
        <f>$I$38*$P$38</f>
        <v>0</v>
      </c>
      <c r="Q90" s="17">
        <f>$I$38*$Q$38</f>
        <v>0</v>
      </c>
      <c r="R90" s="17">
        <f>$I$38*$R$38</f>
        <v>0</v>
      </c>
      <c r="S90" s="17">
        <f>$I$38*$S$38</f>
        <v>0</v>
      </c>
      <c r="T90" s="17">
        <f>$I$38*$T$38</f>
        <v>0</v>
      </c>
      <c r="U90" s="17">
        <f>$I$38*$U$38</f>
        <v>0</v>
      </c>
      <c r="V90" s="17">
        <f>$I$38*$V$38</f>
        <v>0</v>
      </c>
      <c r="W90" s="17">
        <f>$I$38*$W$38</f>
        <v>0</v>
      </c>
      <c r="X90" s="17">
        <f>$I$38*$X$38</f>
        <v>0</v>
      </c>
      <c r="Y90" s="17">
        <f>$I$38*$Y$38</f>
        <v>0</v>
      </c>
      <c r="Z90" s="17">
        <f>$I$38*$Z$38</f>
        <v>0</v>
      </c>
      <c r="AA90" s="17">
        <f>$I$38*$AA$38</f>
        <v>0</v>
      </c>
      <c r="AB90" s="17">
        <f ca="1">$I$38*$AB$38</f>
        <v>0</v>
      </c>
      <c r="AC90" s="17">
        <f ca="1">$I$38*$AC$38</f>
        <v>0</v>
      </c>
      <c r="AD90" s="17">
        <f>$I$38*$AD$38</f>
        <v>0</v>
      </c>
      <c r="AE90" s="17">
        <f>$I$38*$AE$38</f>
        <v>0</v>
      </c>
      <c r="AF90" s="17">
        <f ca="1">$I$38*$AF$38</f>
        <v>0</v>
      </c>
      <c r="AG90" s="17">
        <f ca="1">$I$38*$AG$38</f>
        <v>0</v>
      </c>
      <c r="AI90" s="17">
        <f>$I$38*$AI$38</f>
        <v>0</v>
      </c>
      <c r="AJ90" s="17">
        <f>$I$38*$AJ$38</f>
        <v>0</v>
      </c>
      <c r="AK90" s="17">
        <f>$I$38*$AK$38</f>
        <v>0</v>
      </c>
      <c r="AL90" s="17">
        <f>$I$38*$AL$38</f>
        <v>0</v>
      </c>
      <c r="AM90" s="17">
        <f>$I$38*$AM$38</f>
        <v>0</v>
      </c>
      <c r="AN90" s="17">
        <f>$I$38*$AN$38</f>
        <v>0</v>
      </c>
      <c r="AO90" s="17">
        <f>$I$38*$AO$38</f>
        <v>0</v>
      </c>
      <c r="AP90" s="17">
        <f>$I$38*$AP$38</f>
        <v>0</v>
      </c>
      <c r="AQ90" s="17">
        <f>$I$38*$AQ$38</f>
        <v>0</v>
      </c>
      <c r="AR90" s="17">
        <f>$I$38*$AR$38</f>
        <v>0</v>
      </c>
      <c r="AS90" s="17">
        <f>$I$38*$AS$38</f>
        <v>0</v>
      </c>
      <c r="AT90" s="17">
        <f>$I$38*$AT$38</f>
        <v>0</v>
      </c>
      <c r="AU90" s="17">
        <f>$I$38*$AU$38</f>
        <v>0</v>
      </c>
      <c r="AV90" s="17">
        <f>$I$38*$AV$38</f>
        <v>0</v>
      </c>
      <c r="AW90" s="17">
        <f>$I$38*$AW$38</f>
        <v>0</v>
      </c>
      <c r="AX90" s="17">
        <f>$I$38*$AX$38</f>
        <v>0</v>
      </c>
      <c r="AY90" s="17">
        <f>$I$38*$AY$38</f>
        <v>0</v>
      </c>
      <c r="AZ90" s="17">
        <f>$I$38*$AZ$38</f>
        <v>0</v>
      </c>
      <c r="BA90" s="17">
        <f>$I$38*$BA$38</f>
        <v>0</v>
      </c>
      <c r="BB90" s="17">
        <f>$I$38*$BB$38</f>
        <v>0</v>
      </c>
      <c r="BC90" s="17">
        <f>$I$38*$BC$38</f>
        <v>0</v>
      </c>
      <c r="BD90" s="17">
        <f>$I$38*$BD$38</f>
        <v>0</v>
      </c>
    </row>
    <row r="91" spans="1:56" ht="11.25" customHeight="1" x14ac:dyDescent="0.25">
      <c r="A91" s="9" t="s">
        <v>42</v>
      </c>
      <c r="B91" s="9" t="s">
        <v>842</v>
      </c>
      <c r="C91" s="9" t="s">
        <v>843</v>
      </c>
      <c r="D91" s="9" t="s">
        <v>866</v>
      </c>
      <c r="E91" s="9" t="s">
        <v>867</v>
      </c>
      <c r="F91" s="9" t="s">
        <v>868</v>
      </c>
      <c r="G91" s="9" t="s">
        <v>870</v>
      </c>
      <c r="L91" s="17">
        <f>$I$39*$L$39</f>
        <v>0</v>
      </c>
      <c r="M91" s="17">
        <f>$I$39*$M$39</f>
        <v>0</v>
      </c>
      <c r="N91" s="17">
        <f ca="1">$I$39*$N$39</f>
        <v>0</v>
      </c>
      <c r="O91" s="17">
        <f>$I$39*$O$39</f>
        <v>0</v>
      </c>
      <c r="P91" s="17">
        <f>$I$39*$P$39</f>
        <v>0</v>
      </c>
      <c r="Q91" s="17">
        <f>$I$39*$Q$39</f>
        <v>0</v>
      </c>
      <c r="R91" s="17">
        <f>$I$39*$R$39</f>
        <v>0</v>
      </c>
      <c r="S91" s="17">
        <f>$I$39*$S$39</f>
        <v>0</v>
      </c>
      <c r="T91" s="17">
        <f>$I$39*$T$39</f>
        <v>0</v>
      </c>
      <c r="U91" s="17">
        <f>$I$39*$U$39</f>
        <v>0</v>
      </c>
      <c r="V91" s="17">
        <f>$I$39*$V$39</f>
        <v>0</v>
      </c>
      <c r="W91" s="17">
        <f>$I$39*$W$39</f>
        <v>0</v>
      </c>
      <c r="X91" s="17">
        <f>$I$39*$X$39</f>
        <v>0</v>
      </c>
      <c r="Y91" s="17">
        <f>$I$39*$Y$39</f>
        <v>0</v>
      </c>
      <c r="Z91" s="17">
        <f>$I$39*$Z$39</f>
        <v>0</v>
      </c>
      <c r="AA91" s="17">
        <f>$I$39*$AA$39</f>
        <v>0</v>
      </c>
      <c r="AB91" s="17">
        <f ca="1">$I$39*$AB$39</f>
        <v>0</v>
      </c>
      <c r="AC91" s="17">
        <f ca="1">$I$39*$AC$39</f>
        <v>0</v>
      </c>
      <c r="AD91" s="17">
        <f>$I$39*$AD$39</f>
        <v>0</v>
      </c>
      <c r="AE91" s="17">
        <f>$I$39*$AE$39</f>
        <v>0</v>
      </c>
      <c r="AF91" s="17">
        <f ca="1">$I$39*$AF$39</f>
        <v>0</v>
      </c>
      <c r="AG91" s="17">
        <f ca="1">$I$39*$AG$39</f>
        <v>0</v>
      </c>
      <c r="AI91" s="17">
        <f>$I$39*$AI$39</f>
        <v>0</v>
      </c>
      <c r="AJ91" s="17">
        <f>$I$39*$AJ$39</f>
        <v>0</v>
      </c>
      <c r="AK91" s="17">
        <f>$I$39*$AK$39</f>
        <v>0</v>
      </c>
      <c r="AL91" s="17">
        <f>$I$39*$AL$39</f>
        <v>0</v>
      </c>
      <c r="AM91" s="17">
        <f>$I$39*$AM$39</f>
        <v>0</v>
      </c>
      <c r="AN91" s="17">
        <f>$I$39*$AN$39</f>
        <v>0</v>
      </c>
      <c r="AO91" s="17">
        <f>$I$39*$AO$39</f>
        <v>0</v>
      </c>
      <c r="AP91" s="17">
        <f>$I$39*$AP$39</f>
        <v>0</v>
      </c>
      <c r="AQ91" s="17">
        <f>$I$39*$AQ$39</f>
        <v>0</v>
      </c>
      <c r="AR91" s="17">
        <f>$I$39*$AR$39</f>
        <v>0</v>
      </c>
      <c r="AS91" s="17">
        <f>$I$39*$AS$39</f>
        <v>0</v>
      </c>
      <c r="AT91" s="17">
        <f>$I$39*$AT$39</f>
        <v>0</v>
      </c>
      <c r="AU91" s="17">
        <f>$I$39*$AU$39</f>
        <v>0</v>
      </c>
      <c r="AV91" s="17">
        <f>$I$39*$AV$39</f>
        <v>0</v>
      </c>
      <c r="AW91" s="17">
        <f>$I$39*$AW$39</f>
        <v>0</v>
      </c>
      <c r="AX91" s="17">
        <f>$I$39*$AX$39</f>
        <v>0</v>
      </c>
      <c r="AY91" s="17">
        <f>$I$39*$AY$39</f>
        <v>0</v>
      </c>
      <c r="AZ91" s="17">
        <f>$I$39*$AZ$39</f>
        <v>0</v>
      </c>
      <c r="BA91" s="17">
        <f>$I$39*$BA$39</f>
        <v>0</v>
      </c>
      <c r="BB91" s="17">
        <f>$I$39*$BB$39</f>
        <v>0</v>
      </c>
      <c r="BC91" s="17">
        <f>$I$39*$BC$39</f>
        <v>0</v>
      </c>
      <c r="BD91" s="17">
        <f>$I$39*$BD$39</f>
        <v>0</v>
      </c>
    </row>
    <row r="92" spans="1:56" ht="11.25" customHeight="1" x14ac:dyDescent="0.25">
      <c r="A92" s="9" t="s">
        <v>42</v>
      </c>
      <c r="B92" s="9" t="s">
        <v>842</v>
      </c>
      <c r="C92" s="9" t="s">
        <v>843</v>
      </c>
      <c r="D92" s="9" t="s">
        <v>866</v>
      </c>
      <c r="E92" s="9" t="s">
        <v>867</v>
      </c>
      <c r="F92" s="9" t="s">
        <v>868</v>
      </c>
      <c r="G92" s="9" t="s">
        <v>871</v>
      </c>
      <c r="L92" s="17">
        <f>$I$40*$L$40</f>
        <v>0</v>
      </c>
      <c r="M92" s="17">
        <f>$I$40*$M$40</f>
        <v>0</v>
      </c>
      <c r="N92" s="17">
        <f ca="1">$I$40*$N$40</f>
        <v>0</v>
      </c>
      <c r="O92" s="17">
        <f>$I$40*$O$40</f>
        <v>0</v>
      </c>
      <c r="P92" s="17">
        <f>$I$40*$P$40</f>
        <v>0</v>
      </c>
      <c r="Q92" s="17">
        <f>$I$40*$Q$40</f>
        <v>0</v>
      </c>
      <c r="R92" s="17">
        <f>$I$40*$R$40</f>
        <v>0</v>
      </c>
      <c r="S92" s="17">
        <f>$I$40*$S$40</f>
        <v>0</v>
      </c>
      <c r="T92" s="17">
        <f>$I$40*$T$40</f>
        <v>0</v>
      </c>
      <c r="U92" s="17">
        <f>$I$40*$U$40</f>
        <v>0</v>
      </c>
      <c r="V92" s="17">
        <f>$I$40*$V$40</f>
        <v>0</v>
      </c>
      <c r="W92" s="17">
        <f>$I$40*$W$40</f>
        <v>0</v>
      </c>
      <c r="X92" s="17">
        <f>$I$40*$X$40</f>
        <v>0</v>
      </c>
      <c r="Y92" s="17">
        <f>$I$40*$Y$40</f>
        <v>0</v>
      </c>
      <c r="Z92" s="17">
        <f>$I$40*$Z$40</f>
        <v>0</v>
      </c>
      <c r="AA92" s="17">
        <f>$I$40*$AA$40</f>
        <v>0</v>
      </c>
      <c r="AB92" s="17">
        <f ca="1">$I$40*$AB$40</f>
        <v>0</v>
      </c>
      <c r="AC92" s="17">
        <f ca="1">$I$40*$AC$40</f>
        <v>0</v>
      </c>
      <c r="AD92" s="17">
        <f>$I$40*$AD$40</f>
        <v>0</v>
      </c>
      <c r="AE92" s="17">
        <f>$I$40*$AE$40</f>
        <v>0</v>
      </c>
      <c r="AF92" s="17">
        <f ca="1">$I$40*$AF$40</f>
        <v>0</v>
      </c>
      <c r="AG92" s="17">
        <f ca="1">$I$40*$AG$40</f>
        <v>0</v>
      </c>
      <c r="AI92" s="17">
        <f>$I$40*$AI$40</f>
        <v>0</v>
      </c>
      <c r="AJ92" s="17">
        <f>$I$40*$AJ$40</f>
        <v>0</v>
      </c>
      <c r="AK92" s="17">
        <f>$I$40*$AK$40</f>
        <v>0</v>
      </c>
      <c r="AL92" s="17">
        <f>$I$40*$AL$40</f>
        <v>0</v>
      </c>
      <c r="AM92" s="17">
        <f>$I$40*$AM$40</f>
        <v>0</v>
      </c>
      <c r="AN92" s="17">
        <f>$I$40*$AN$40</f>
        <v>0</v>
      </c>
      <c r="AO92" s="17">
        <f>$I$40*$AO$40</f>
        <v>0</v>
      </c>
      <c r="AP92" s="17">
        <f>$I$40*$AP$40</f>
        <v>0</v>
      </c>
      <c r="AQ92" s="17">
        <f>$I$40*$AQ$40</f>
        <v>0</v>
      </c>
      <c r="AR92" s="17">
        <f>$I$40*$AR$40</f>
        <v>0</v>
      </c>
      <c r="AS92" s="17">
        <f>$I$40*$AS$40</f>
        <v>0</v>
      </c>
      <c r="AT92" s="17">
        <f>$I$40*$AT$40</f>
        <v>0</v>
      </c>
      <c r="AU92" s="17">
        <f>$I$40*$AU$40</f>
        <v>0</v>
      </c>
      <c r="AV92" s="17">
        <f>$I$40*$AV$40</f>
        <v>0</v>
      </c>
      <c r="AW92" s="17">
        <f>$I$40*$AW$40</f>
        <v>0</v>
      </c>
      <c r="AX92" s="17">
        <f>$I$40*$AX$40</f>
        <v>0</v>
      </c>
      <c r="AY92" s="17">
        <f>$I$40*$AY$40</f>
        <v>0</v>
      </c>
      <c r="AZ92" s="17">
        <f>$I$40*$AZ$40</f>
        <v>0</v>
      </c>
      <c r="BA92" s="17">
        <f>$I$40*$BA$40</f>
        <v>0</v>
      </c>
      <c r="BB92" s="17">
        <f>$I$40*$BB$40</f>
        <v>0</v>
      </c>
      <c r="BC92" s="17">
        <f>$I$40*$BC$40</f>
        <v>0</v>
      </c>
      <c r="BD92" s="17">
        <f>$I$40*$BD$40</f>
        <v>0</v>
      </c>
    </row>
    <row r="93" spans="1:56" ht="11.25" customHeight="1" x14ac:dyDescent="0.25">
      <c r="A93" s="9" t="s">
        <v>42</v>
      </c>
      <c r="B93" s="9" t="s">
        <v>850</v>
      </c>
      <c r="C93" s="9" t="s">
        <v>851</v>
      </c>
      <c r="D93" s="9" t="s">
        <v>872</v>
      </c>
      <c r="E93" s="9" t="s">
        <v>873</v>
      </c>
      <c r="F93" s="9" t="s">
        <v>874</v>
      </c>
      <c r="G93" s="9" t="s">
        <v>875</v>
      </c>
      <c r="L93" s="17">
        <f>$I$41*$L$41</f>
        <v>0</v>
      </c>
      <c r="M93" s="17">
        <f>$I$41*$M$41</f>
        <v>0</v>
      </c>
      <c r="N93" s="17">
        <f ca="1">$I$41*$N$41</f>
        <v>0</v>
      </c>
      <c r="O93" s="17">
        <f>$I$41*$O$41</f>
        <v>0</v>
      </c>
      <c r="P93" s="17">
        <f>$I$41*$P$41</f>
        <v>0</v>
      </c>
      <c r="Q93" s="17">
        <f>$I$41*$Q$41</f>
        <v>0</v>
      </c>
      <c r="R93" s="17">
        <f>$I$41*$R$41</f>
        <v>0</v>
      </c>
      <c r="S93" s="17">
        <f>$I$41*$S$41</f>
        <v>0</v>
      </c>
      <c r="T93" s="17">
        <f>$I$41*$T$41</f>
        <v>0</v>
      </c>
      <c r="U93" s="17">
        <f>$I$41*$U$41</f>
        <v>0</v>
      </c>
      <c r="V93" s="17">
        <f>$I$41*$V$41</f>
        <v>0</v>
      </c>
      <c r="W93" s="17">
        <f>$I$41*$W$41</f>
        <v>0</v>
      </c>
      <c r="X93" s="17">
        <f>$I$41*$X$41</f>
        <v>0</v>
      </c>
      <c r="Y93" s="17">
        <f>$I$41*$Y$41</f>
        <v>0</v>
      </c>
      <c r="Z93" s="17">
        <f>$I$41*$Z$41</f>
        <v>0</v>
      </c>
      <c r="AA93" s="17">
        <f>$I$41*$AA$41</f>
        <v>0</v>
      </c>
      <c r="AB93" s="17">
        <f ca="1">$I$41*$AB$41</f>
        <v>0</v>
      </c>
      <c r="AC93" s="17">
        <f ca="1">$I$41*$AC$41</f>
        <v>0</v>
      </c>
      <c r="AD93" s="17">
        <f>$I$41*$AD$41</f>
        <v>0</v>
      </c>
      <c r="AE93" s="17">
        <f>$I$41*$AE$41</f>
        <v>0</v>
      </c>
      <c r="AF93" s="17">
        <f ca="1">$I$41*$AF$41</f>
        <v>0</v>
      </c>
      <c r="AG93" s="17">
        <f ca="1">$I$41*$AG$41</f>
        <v>0</v>
      </c>
      <c r="AI93" s="17">
        <f>$I$41*$AI$41</f>
        <v>0</v>
      </c>
      <c r="AJ93" s="17">
        <f>$I$41*$AJ$41</f>
        <v>0</v>
      </c>
      <c r="AK93" s="17">
        <f>$I$41*$AK$41</f>
        <v>0</v>
      </c>
      <c r="AL93" s="17">
        <f>$I$41*$AL$41</f>
        <v>0</v>
      </c>
      <c r="AM93" s="17">
        <f>$I$41*$AM$41</f>
        <v>0</v>
      </c>
      <c r="AN93" s="17">
        <f>$I$41*$AN$41</f>
        <v>0</v>
      </c>
      <c r="AO93" s="17">
        <f>$I$41*$AO$41</f>
        <v>0</v>
      </c>
      <c r="AP93" s="17">
        <f>$I$41*$AP$41</f>
        <v>0</v>
      </c>
      <c r="AQ93" s="17">
        <f>$I$41*$AQ$41</f>
        <v>0</v>
      </c>
      <c r="AR93" s="17">
        <f>$I$41*$AR$41</f>
        <v>0</v>
      </c>
      <c r="AS93" s="17">
        <f>$I$41*$AS$41</f>
        <v>0</v>
      </c>
      <c r="AT93" s="17">
        <f>$I$41*$AT$41</f>
        <v>0</v>
      </c>
      <c r="AU93" s="17">
        <f>$I$41*$AU$41</f>
        <v>0</v>
      </c>
      <c r="AV93" s="17">
        <f>$I$41*$AV$41</f>
        <v>0</v>
      </c>
      <c r="AW93" s="17">
        <f>$I$41*$AW$41</f>
        <v>0</v>
      </c>
      <c r="AX93" s="17">
        <f>$I$41*$AX$41</f>
        <v>0</v>
      </c>
      <c r="AY93" s="17">
        <f>$I$41*$AY$41</f>
        <v>0</v>
      </c>
      <c r="AZ93" s="17">
        <f>$I$41*$AZ$41</f>
        <v>0</v>
      </c>
      <c r="BA93" s="17">
        <f>$I$41*$BA$41</f>
        <v>0</v>
      </c>
      <c r="BB93" s="17">
        <f>$I$41*$BB$41</f>
        <v>0</v>
      </c>
      <c r="BC93" s="17">
        <f>$I$41*$BC$41</f>
        <v>0</v>
      </c>
      <c r="BD93" s="17">
        <f>$I$41*$BD$41</f>
        <v>0</v>
      </c>
    </row>
    <row r="94" spans="1:56" ht="11.25" customHeight="1" x14ac:dyDescent="0.25">
      <c r="A94" s="9" t="s">
        <v>42</v>
      </c>
      <c r="B94" s="9" t="s">
        <v>876</v>
      </c>
      <c r="C94" s="9" t="s">
        <v>877</v>
      </c>
      <c r="D94" s="9" t="s">
        <v>878</v>
      </c>
      <c r="E94" s="9" t="s">
        <v>879</v>
      </c>
      <c r="F94" s="9" t="s">
        <v>880</v>
      </c>
      <c r="G94" s="9" t="s">
        <v>881</v>
      </c>
      <c r="L94" s="17">
        <f>$I$42*$L$42</f>
        <v>0</v>
      </c>
      <c r="M94" s="17">
        <f>$I$42*$M$42</f>
        <v>0</v>
      </c>
      <c r="N94" s="17">
        <f ca="1">$I$42*$N$42</f>
        <v>0</v>
      </c>
      <c r="O94" s="17">
        <f>$I$42*$O$42</f>
        <v>0</v>
      </c>
      <c r="P94" s="17">
        <f>$I$42*$P$42</f>
        <v>0</v>
      </c>
      <c r="Q94" s="17">
        <f>$I$42*$Q$42</f>
        <v>0</v>
      </c>
      <c r="R94" s="17">
        <f>$I$42*$R$42</f>
        <v>0</v>
      </c>
      <c r="S94" s="17">
        <f>$I$42*$S$42</f>
        <v>0</v>
      </c>
      <c r="T94" s="17">
        <f>$I$42*$T$42</f>
        <v>0</v>
      </c>
      <c r="U94" s="17">
        <f>$I$42*$U$42</f>
        <v>0</v>
      </c>
      <c r="V94" s="17">
        <f>$I$42*$V$42</f>
        <v>0</v>
      </c>
      <c r="W94" s="17">
        <f>$I$42*$W$42</f>
        <v>0</v>
      </c>
      <c r="X94" s="17">
        <f>$I$42*$X$42</f>
        <v>0</v>
      </c>
      <c r="Y94" s="17">
        <f>$I$42*$Y$42</f>
        <v>0</v>
      </c>
      <c r="Z94" s="17">
        <f>$I$42*$Z$42</f>
        <v>0</v>
      </c>
      <c r="AA94" s="17">
        <f>$I$42*$AA$42</f>
        <v>0</v>
      </c>
      <c r="AB94" s="17">
        <f ca="1">$I$42*$AB$42</f>
        <v>0</v>
      </c>
      <c r="AC94" s="17">
        <f ca="1">$I$42*$AC$42</f>
        <v>0</v>
      </c>
      <c r="AD94" s="17">
        <f>$I$42*$AD$42</f>
        <v>0</v>
      </c>
      <c r="AE94" s="17">
        <f>$I$42*$AE$42</f>
        <v>0</v>
      </c>
      <c r="AF94" s="17">
        <f ca="1">$I$42*$AF$42</f>
        <v>0</v>
      </c>
      <c r="AG94" s="17">
        <f ca="1">$I$42*$AG$42</f>
        <v>0</v>
      </c>
      <c r="AI94" s="17">
        <f>$I$42*$AI$42</f>
        <v>0</v>
      </c>
      <c r="AJ94" s="17">
        <f>$I$42*$AJ$42</f>
        <v>0</v>
      </c>
      <c r="AK94" s="17">
        <f>$I$42*$AK$42</f>
        <v>0</v>
      </c>
      <c r="AL94" s="17">
        <f>$I$42*$AL$42</f>
        <v>0</v>
      </c>
      <c r="AM94" s="17">
        <f>$I$42*$AM$42</f>
        <v>0</v>
      </c>
      <c r="AN94" s="17">
        <f>$I$42*$AN$42</f>
        <v>0</v>
      </c>
      <c r="AO94" s="17">
        <f>$I$42*$AO$42</f>
        <v>0</v>
      </c>
      <c r="AP94" s="17">
        <f>$I$42*$AP$42</f>
        <v>0</v>
      </c>
      <c r="AQ94" s="17">
        <f>$I$42*$AQ$42</f>
        <v>0</v>
      </c>
      <c r="AR94" s="17">
        <f>$I$42*$AR$42</f>
        <v>0</v>
      </c>
      <c r="AS94" s="17">
        <f>$I$42*$AS$42</f>
        <v>0</v>
      </c>
      <c r="AT94" s="17">
        <f>$I$42*$AT$42</f>
        <v>0</v>
      </c>
      <c r="AU94" s="17">
        <f>$I$42*$AU$42</f>
        <v>0</v>
      </c>
      <c r="AV94" s="17">
        <f>$I$42*$AV$42</f>
        <v>0</v>
      </c>
      <c r="AW94" s="17">
        <f>$I$42*$AW$42</f>
        <v>0</v>
      </c>
      <c r="AX94" s="17">
        <f>$I$42*$AX$42</f>
        <v>0</v>
      </c>
      <c r="AY94" s="17">
        <f>$I$42*$AY$42</f>
        <v>0</v>
      </c>
      <c r="AZ94" s="17">
        <f>$I$42*$AZ$42</f>
        <v>0</v>
      </c>
      <c r="BA94" s="17">
        <f>$I$42*$BA$42</f>
        <v>0</v>
      </c>
      <c r="BB94" s="17">
        <f>$I$42*$BB$42</f>
        <v>0</v>
      </c>
      <c r="BC94" s="17">
        <f>$I$42*$BC$42</f>
        <v>0</v>
      </c>
      <c r="BD94" s="17">
        <f>$I$42*$BD$42</f>
        <v>0</v>
      </c>
    </row>
    <row r="95" spans="1:56" ht="11.25" customHeight="1" x14ac:dyDescent="0.25">
      <c r="A95" s="9" t="s">
        <v>42</v>
      </c>
      <c r="B95" s="9" t="s">
        <v>876</v>
      </c>
      <c r="C95" s="9" t="s">
        <v>877</v>
      </c>
      <c r="D95" s="9" t="s">
        <v>882</v>
      </c>
      <c r="E95" s="9" t="s">
        <v>883</v>
      </c>
      <c r="F95" s="9" t="s">
        <v>884</v>
      </c>
      <c r="G95" s="9" t="s">
        <v>885</v>
      </c>
      <c r="L95" s="17">
        <f>$I$43*$L$43</f>
        <v>0</v>
      </c>
      <c r="M95" s="17">
        <f>$I$43*$M$43</f>
        <v>0</v>
      </c>
      <c r="N95" s="17">
        <f ca="1">$I$43*$N$43</f>
        <v>0</v>
      </c>
      <c r="O95" s="17">
        <f>$I$43*$O$43</f>
        <v>0</v>
      </c>
      <c r="P95" s="17">
        <f>$I$43*$P$43</f>
        <v>0</v>
      </c>
      <c r="Q95" s="17">
        <f>$I$43*$Q$43</f>
        <v>0</v>
      </c>
      <c r="R95" s="17">
        <f>$I$43*$R$43</f>
        <v>0</v>
      </c>
      <c r="S95" s="17">
        <f>$I$43*$S$43</f>
        <v>0</v>
      </c>
      <c r="T95" s="17">
        <f>$I$43*$T$43</f>
        <v>0</v>
      </c>
      <c r="U95" s="17">
        <f>$I$43*$U$43</f>
        <v>0</v>
      </c>
      <c r="V95" s="17">
        <f>$I$43*$V$43</f>
        <v>0</v>
      </c>
      <c r="W95" s="17">
        <f>$I$43*$W$43</f>
        <v>0</v>
      </c>
      <c r="X95" s="17">
        <f>$I$43*$X$43</f>
        <v>0</v>
      </c>
      <c r="Y95" s="17">
        <f>$I$43*$Y$43</f>
        <v>0</v>
      </c>
      <c r="Z95" s="17">
        <f>$I$43*$Z$43</f>
        <v>0</v>
      </c>
      <c r="AA95" s="17">
        <f>$I$43*$AA$43</f>
        <v>0</v>
      </c>
      <c r="AB95" s="17">
        <f ca="1">$I$43*$AB$43</f>
        <v>0</v>
      </c>
      <c r="AC95" s="17">
        <f ca="1">$I$43*$AC$43</f>
        <v>0</v>
      </c>
      <c r="AD95" s="17">
        <f>$I$43*$AD$43</f>
        <v>0</v>
      </c>
      <c r="AE95" s="17">
        <f>$I$43*$AE$43</f>
        <v>0</v>
      </c>
      <c r="AF95" s="17">
        <f ca="1">$I$43*$AF$43</f>
        <v>0</v>
      </c>
      <c r="AG95" s="17">
        <f ca="1">$I$43*$AG$43</f>
        <v>0</v>
      </c>
      <c r="AI95" s="17">
        <f>$I$43*$AI$43</f>
        <v>0</v>
      </c>
      <c r="AJ95" s="17">
        <f>$I$43*$AJ$43</f>
        <v>0</v>
      </c>
      <c r="AK95" s="17">
        <f>$I$43*$AK$43</f>
        <v>0</v>
      </c>
      <c r="AL95" s="17">
        <f>$I$43*$AL$43</f>
        <v>0</v>
      </c>
      <c r="AM95" s="17">
        <f>$I$43*$AM$43</f>
        <v>0</v>
      </c>
      <c r="AN95" s="17">
        <f>$I$43*$AN$43</f>
        <v>0</v>
      </c>
      <c r="AO95" s="17">
        <f>$I$43*$AO$43</f>
        <v>0</v>
      </c>
      <c r="AP95" s="17">
        <f>$I$43*$AP$43</f>
        <v>0</v>
      </c>
      <c r="AQ95" s="17">
        <f>$I$43*$AQ$43</f>
        <v>0</v>
      </c>
      <c r="AR95" s="17">
        <f>$I$43*$AR$43</f>
        <v>0</v>
      </c>
      <c r="AS95" s="17">
        <f>$I$43*$AS$43</f>
        <v>0</v>
      </c>
      <c r="AT95" s="17">
        <f>$I$43*$AT$43</f>
        <v>0</v>
      </c>
      <c r="AU95" s="17">
        <f>$I$43*$AU$43</f>
        <v>0</v>
      </c>
      <c r="AV95" s="17">
        <f>$I$43*$AV$43</f>
        <v>0</v>
      </c>
      <c r="AW95" s="17">
        <f>$I$43*$AW$43</f>
        <v>0</v>
      </c>
      <c r="AX95" s="17">
        <f>$I$43*$AX$43</f>
        <v>0</v>
      </c>
      <c r="AY95" s="17">
        <f>$I$43*$AY$43</f>
        <v>0</v>
      </c>
      <c r="AZ95" s="17">
        <f>$I$43*$AZ$43</f>
        <v>0</v>
      </c>
      <c r="BA95" s="17">
        <f>$I$43*$BA$43</f>
        <v>0</v>
      </c>
      <c r="BB95" s="17">
        <f>$I$43*$BB$43</f>
        <v>0</v>
      </c>
      <c r="BC95" s="17">
        <f>$I$43*$BC$43</f>
        <v>0</v>
      </c>
      <c r="BD95" s="17">
        <f>$I$43*$BD$43</f>
        <v>0</v>
      </c>
    </row>
    <row r="96" spans="1:56" ht="11.25" customHeight="1" x14ac:dyDescent="0.25">
      <c r="A96" s="9" t="s">
        <v>42</v>
      </c>
      <c r="B96" s="9" t="s">
        <v>876</v>
      </c>
      <c r="C96" s="9" t="s">
        <v>877</v>
      </c>
      <c r="D96" s="9" t="s">
        <v>886</v>
      </c>
      <c r="E96" s="9" t="s">
        <v>887</v>
      </c>
      <c r="F96" s="9" t="s">
        <v>888</v>
      </c>
      <c r="G96" s="9" t="s">
        <v>889</v>
      </c>
      <c r="L96" s="17">
        <f>$I$44*$L$44</f>
        <v>0</v>
      </c>
      <c r="M96" s="17">
        <f>$I$44*$M$44</f>
        <v>0</v>
      </c>
      <c r="N96" s="17">
        <f ca="1">$I$44*$N$44</f>
        <v>0</v>
      </c>
      <c r="O96" s="17">
        <f>$I$44*$O$44</f>
        <v>0</v>
      </c>
      <c r="P96" s="17">
        <f>$I$44*$P$44</f>
        <v>0</v>
      </c>
      <c r="Q96" s="17">
        <f>$I$44*$Q$44</f>
        <v>0</v>
      </c>
      <c r="R96" s="17">
        <f>$I$44*$R$44</f>
        <v>0</v>
      </c>
      <c r="S96" s="17">
        <f>$I$44*$S$44</f>
        <v>0</v>
      </c>
      <c r="T96" s="17">
        <f>$I$44*$T$44</f>
        <v>0</v>
      </c>
      <c r="U96" s="17">
        <f>$I$44*$U$44</f>
        <v>0</v>
      </c>
      <c r="V96" s="17">
        <f>$I$44*$V$44</f>
        <v>0</v>
      </c>
      <c r="W96" s="17">
        <f>$I$44*$W$44</f>
        <v>0</v>
      </c>
      <c r="X96" s="17">
        <f>$I$44*$X$44</f>
        <v>0</v>
      </c>
      <c r="Y96" s="17">
        <f>$I$44*$Y$44</f>
        <v>0</v>
      </c>
      <c r="Z96" s="17">
        <f>$I$44*$Z$44</f>
        <v>0</v>
      </c>
      <c r="AA96" s="17">
        <f>$I$44*$AA$44</f>
        <v>0</v>
      </c>
      <c r="AB96" s="17">
        <f ca="1">$I$44*$AB$44</f>
        <v>0</v>
      </c>
      <c r="AC96" s="17">
        <f ca="1">$I$44*$AC$44</f>
        <v>0</v>
      </c>
      <c r="AD96" s="17">
        <f>$I$44*$AD$44</f>
        <v>0</v>
      </c>
      <c r="AE96" s="17">
        <f>$I$44*$AE$44</f>
        <v>0</v>
      </c>
      <c r="AF96" s="17">
        <f ca="1">$I$44*$AF$44</f>
        <v>0</v>
      </c>
      <c r="AG96" s="17">
        <f ca="1">$I$44*$AG$44</f>
        <v>0</v>
      </c>
      <c r="AI96" s="17">
        <f>$I$44*$AI$44</f>
        <v>0</v>
      </c>
      <c r="AJ96" s="17">
        <f>$I$44*$AJ$44</f>
        <v>0</v>
      </c>
      <c r="AK96" s="17">
        <f>$I$44*$AK$44</f>
        <v>0</v>
      </c>
      <c r="AL96" s="17">
        <f>$I$44*$AL$44</f>
        <v>0</v>
      </c>
      <c r="AM96" s="17">
        <f>$I$44*$AM$44</f>
        <v>0</v>
      </c>
      <c r="AN96" s="17">
        <f>$I$44*$AN$44</f>
        <v>0</v>
      </c>
      <c r="AO96" s="17">
        <f>$I$44*$AO$44</f>
        <v>0</v>
      </c>
      <c r="AP96" s="17">
        <f>$I$44*$AP$44</f>
        <v>0</v>
      </c>
      <c r="AQ96" s="17">
        <f>$I$44*$AQ$44</f>
        <v>0</v>
      </c>
      <c r="AR96" s="17">
        <f>$I$44*$AR$44</f>
        <v>0</v>
      </c>
      <c r="AS96" s="17">
        <f>$I$44*$AS$44</f>
        <v>0</v>
      </c>
      <c r="AT96" s="17">
        <f>$I$44*$AT$44</f>
        <v>0</v>
      </c>
      <c r="AU96" s="17">
        <f>$I$44*$AU$44</f>
        <v>0</v>
      </c>
      <c r="AV96" s="17">
        <f>$I$44*$AV$44</f>
        <v>0</v>
      </c>
      <c r="AW96" s="17">
        <f>$I$44*$AW$44</f>
        <v>0</v>
      </c>
      <c r="AX96" s="17">
        <f>$I$44*$AX$44</f>
        <v>0</v>
      </c>
      <c r="AY96" s="17">
        <f>$I$44*$AY$44</f>
        <v>0</v>
      </c>
      <c r="AZ96" s="17">
        <f>$I$44*$AZ$44</f>
        <v>0</v>
      </c>
      <c r="BA96" s="17">
        <f>$I$44*$BA$44</f>
        <v>0</v>
      </c>
      <c r="BB96" s="17">
        <f>$I$44*$BB$44</f>
        <v>0</v>
      </c>
      <c r="BC96" s="17">
        <f>$I$44*$BC$44</f>
        <v>0</v>
      </c>
      <c r="BD96" s="17">
        <f>$I$44*$BD$44</f>
        <v>0</v>
      </c>
    </row>
    <row r="97" spans="1:56" ht="11.25" customHeight="1" x14ac:dyDescent="0.25">
      <c r="A97" s="9" t="s">
        <v>36</v>
      </c>
      <c r="B97" s="9" t="s">
        <v>890</v>
      </c>
      <c r="C97" s="9" t="s">
        <v>891</v>
      </c>
      <c r="D97" s="9" t="s">
        <v>892</v>
      </c>
      <c r="E97" s="9" t="s">
        <v>893</v>
      </c>
      <c r="F97" s="9" t="s">
        <v>894</v>
      </c>
      <c r="G97" s="9" t="s">
        <v>895</v>
      </c>
      <c r="L97" s="17">
        <f>$I$45*$L$45</f>
        <v>7.7150687043756871</v>
      </c>
      <c r="M97" s="17">
        <f>$I$45*$M$45</f>
        <v>0.93980785625836072</v>
      </c>
      <c r="N97" s="17">
        <f ca="1">$I$45*$N$45</f>
        <v>8.1059344947964753</v>
      </c>
      <c r="O97" s="17">
        <f>$I$45*$O$45</f>
        <v>0</v>
      </c>
      <c r="P97" s="17">
        <f>$I$45*$P$45</f>
        <v>0</v>
      </c>
      <c r="Q97" s="17">
        <f>$I$45*$Q$45</f>
        <v>111.30852519626758</v>
      </c>
      <c r="R97" s="17">
        <f>$I$45*$R$45</f>
        <v>18.644032245648049</v>
      </c>
      <c r="S97" s="17">
        <f>$I$45*$S$45</f>
        <v>0</v>
      </c>
      <c r="T97" s="17">
        <f>$I$45*$T$45</f>
        <v>126.91128967655428</v>
      </c>
      <c r="U97" s="17">
        <f>$I$45*$U$45</f>
        <v>106.92624713788476</v>
      </c>
      <c r="V97" s="17">
        <f>$I$45*$V$45</f>
        <v>18.827510325266569</v>
      </c>
      <c r="W97" s="17">
        <f>$I$45*$W$45</f>
        <v>0</v>
      </c>
      <c r="X97" s="17">
        <f>$I$45*$X$45</f>
        <v>0</v>
      </c>
      <c r="Y97" s="17">
        <f>$I$45*$Y$45</f>
        <v>0</v>
      </c>
      <c r="Z97" s="17">
        <f>$I$45*$Z$45</f>
        <v>0</v>
      </c>
      <c r="AA97" s="17">
        <f>$I$45*$AA$45</f>
        <v>696.64790941170577</v>
      </c>
      <c r="AB97" s="17">
        <f ca="1">$I$45*$AB$45</f>
        <v>-198.68009221393851</v>
      </c>
      <c r="AC97" s="17">
        <f ca="1">$I$45*$AC$45</f>
        <v>0</v>
      </c>
      <c r="AD97" s="17">
        <f>$I$45*$AD$45</f>
        <v>23.483477372152546</v>
      </c>
      <c r="AE97" s="17">
        <f>$I$45*$AE$45</f>
        <v>0</v>
      </c>
      <c r="AF97" s="17">
        <f ca="1">$I$45*$AF$45</f>
        <v>0.84507077715314793</v>
      </c>
      <c r="AG97" s="17">
        <f ca="1">$I$45*$AG$45</f>
        <v>0.4923188835025874</v>
      </c>
      <c r="AI97" s="17">
        <f>$I$45*$AI$45</f>
        <v>8.2041363333879147</v>
      </c>
      <c r="AJ97" s="17">
        <f>$I$45*$AJ$45</f>
        <v>1.0708187771396813</v>
      </c>
      <c r="AK97" s="17">
        <f>$I$45*$AK$45</f>
        <v>6.3746687721422868</v>
      </c>
      <c r="AL97" s="17">
        <f>$I$45*$AL$45</f>
        <v>0</v>
      </c>
      <c r="AM97" s="17">
        <f>$I$45*$AM$45</f>
        <v>0</v>
      </c>
      <c r="AN97" s="17">
        <f>$I$45*$AN$45</f>
        <v>63.973652601892951</v>
      </c>
      <c r="AO97" s="17">
        <f>$I$45*$AO$45</f>
        <v>10.177227352366176</v>
      </c>
      <c r="AP97" s="17">
        <f>$I$45*$AP$45</f>
        <v>0</v>
      </c>
      <c r="AQ97" s="17">
        <f>$I$45*$AQ$45</f>
        <v>53.216278756591286</v>
      </c>
      <c r="AR97" s="17">
        <f>$I$45*$AR$45</f>
        <v>38.818709329027172</v>
      </c>
      <c r="AS97" s="17">
        <f>$I$45*$AS$45</f>
        <v>2.8666742961019085</v>
      </c>
      <c r="AT97" s="17">
        <f>$I$45*$AT$45</f>
        <v>0</v>
      </c>
      <c r="AU97" s="17">
        <f>$I$45*$AU$45</f>
        <v>0</v>
      </c>
      <c r="AV97" s="17">
        <f>$I$45*$AV$45</f>
        <v>0</v>
      </c>
      <c r="AW97" s="17">
        <f>$I$45*$AW$45</f>
        <v>0</v>
      </c>
      <c r="AX97" s="17">
        <f>$I$45*$AX$45</f>
        <v>398.72332256739236</v>
      </c>
      <c r="AY97" s="17">
        <f>$I$45*$AY$45</f>
        <v>0</v>
      </c>
      <c r="AZ97" s="17">
        <f>$I$45*$AZ$45</f>
        <v>0</v>
      </c>
      <c r="BA97" s="17">
        <f>$I$45*$BA$45</f>
        <v>22.736582327765181</v>
      </c>
      <c r="BB97" s="17">
        <f>$I$45*$BB$45</f>
        <v>0</v>
      </c>
      <c r="BC97" s="17">
        <f>$I$45*$BC$45</f>
        <v>1.248087002920522</v>
      </c>
      <c r="BD97" s="17">
        <f>$I$45*$BD$45</f>
        <v>-2.190468459324348</v>
      </c>
    </row>
    <row r="98" spans="1:56" ht="11.25" customHeight="1" x14ac:dyDescent="0.25">
      <c r="A98" s="9" t="s">
        <v>36</v>
      </c>
      <c r="B98" s="9" t="s">
        <v>890</v>
      </c>
      <c r="C98" s="9" t="s">
        <v>891</v>
      </c>
      <c r="D98" s="9" t="s">
        <v>892</v>
      </c>
      <c r="E98" s="9" t="s">
        <v>893</v>
      </c>
      <c r="F98" s="9" t="s">
        <v>894</v>
      </c>
      <c r="G98" s="9" t="s">
        <v>896</v>
      </c>
      <c r="L98" s="17">
        <f>$I$46*$L$46</f>
        <v>3.3588943641132922</v>
      </c>
      <c r="M98" s="17">
        <f>$I$46*$M$46</f>
        <v>0.40916230725790387</v>
      </c>
      <c r="N98" s="17">
        <f ca="1">$I$46*$N$46</f>
        <v>0.85514035747704742</v>
      </c>
      <c r="O98" s="17">
        <f>$I$46*$O$46</f>
        <v>0</v>
      </c>
      <c r="P98" s="17">
        <f>$I$46*$P$46</f>
        <v>0</v>
      </c>
      <c r="Q98" s="17">
        <f>$I$46*$Q$46</f>
        <v>48.460174793707154</v>
      </c>
      <c r="R98" s="17">
        <f>$I$46*$R$46</f>
        <v>8.1170158340568239</v>
      </c>
      <c r="S98" s="17">
        <f>$I$46*$S$46</f>
        <v>0</v>
      </c>
      <c r="T98" s="17">
        <f>$I$46*$T$46</f>
        <v>11.050594691025372</v>
      </c>
      <c r="U98" s="17">
        <f>$I$46*$U$46</f>
        <v>9.3104210144208022</v>
      </c>
      <c r="V98" s="17">
        <f>$I$46*$V$46</f>
        <v>1.6393598542603982</v>
      </c>
      <c r="W98" s="17">
        <f>$I$46*$W$46</f>
        <v>0</v>
      </c>
      <c r="X98" s="17">
        <f>$I$46*$X$46</f>
        <v>0</v>
      </c>
      <c r="Y98" s="17">
        <f>$I$46*$Y$46</f>
        <v>0</v>
      </c>
      <c r="Z98" s="17">
        <f>$I$46*$Z$46</f>
        <v>0</v>
      </c>
      <c r="AA98" s="17">
        <f>$I$46*$AA$46</f>
        <v>60.659628070566249</v>
      </c>
      <c r="AB98" s="17">
        <f ca="1">$I$46*$AB$46</f>
        <v>-26.418757970062565</v>
      </c>
      <c r="AC98" s="17">
        <f ca="1">$I$46*$AC$46</f>
        <v>0</v>
      </c>
      <c r="AD98" s="17">
        <f>$I$46*$AD$46</f>
        <v>10.223955588414707</v>
      </c>
      <c r="AE98" s="17">
        <f>$I$46*$AE$46</f>
        <v>0</v>
      </c>
      <c r="AF98" s="17">
        <f ca="1">$I$46*$AF$46</f>
        <v>0.36791681051999703</v>
      </c>
      <c r="AG98" s="17">
        <f ca="1">$I$46*$AG$46</f>
        <v>0.21433990888577634</v>
      </c>
      <c r="AI98" s="17">
        <f>$I$46*$AI$46</f>
        <v>3.5718187806940196</v>
      </c>
      <c r="AJ98" s="17">
        <f>$I$46*$AJ$46</f>
        <v>0.46620027550515747</v>
      </c>
      <c r="AK98" s="17">
        <f>$I$46*$AK$46</f>
        <v>2.4416973291368298</v>
      </c>
      <c r="AL98" s="17">
        <f>$I$46*$AL$46</f>
        <v>0</v>
      </c>
      <c r="AM98" s="17">
        <f>$I$46*$AM$46</f>
        <v>0</v>
      </c>
      <c r="AN98" s="17">
        <f>$I$46*$AN$46</f>
        <v>27.852083942475833</v>
      </c>
      <c r="AO98" s="17">
        <f>$I$46*$AO$46</f>
        <v>4.4308395564610361</v>
      </c>
      <c r="AP98" s="17">
        <f>$I$46*$AP$46</f>
        <v>0</v>
      </c>
      <c r="AQ98" s="17">
        <f>$I$46*$AQ$46</f>
        <v>20.146646829022096</v>
      </c>
      <c r="AR98" s="17">
        <f>$I$46*$AR$46</f>
        <v>14.696040727689706</v>
      </c>
      <c r="AS98" s="17">
        <f>$I$46*$AS$46</f>
        <v>1.0852828457875836</v>
      </c>
      <c r="AT98" s="17">
        <f>$I$46*$AT$46</f>
        <v>0</v>
      </c>
      <c r="AU98" s="17">
        <f>$I$46*$AU$46</f>
        <v>0</v>
      </c>
      <c r="AV98" s="17">
        <f>$I$46*$AV$46</f>
        <v>0</v>
      </c>
      <c r="AW98" s="17">
        <f>$I$46*$AW$46</f>
        <v>0</v>
      </c>
      <c r="AX98" s="17">
        <f>$I$46*$AX$46</f>
        <v>150.9490192258279</v>
      </c>
      <c r="AY98" s="17">
        <f>$I$46*$AY$46</f>
        <v>0</v>
      </c>
      <c r="AZ98" s="17">
        <f>$I$46*$AZ$46</f>
        <v>0</v>
      </c>
      <c r="BA98" s="17">
        <f>$I$46*$BA$46</f>
        <v>9.8987813545476762</v>
      </c>
      <c r="BB98" s="17">
        <f>$I$46*$BB$46</f>
        <v>0</v>
      </c>
      <c r="BC98" s="17">
        <f>$I$46*$BC$46</f>
        <v>0.54337719606503865</v>
      </c>
      <c r="BD98" s="17">
        <f>$I$46*$BD$46</f>
        <v>-0.95365996658196472</v>
      </c>
    </row>
    <row r="99" spans="1:56" ht="11.25" customHeight="1" x14ac:dyDescent="0.25">
      <c r="A99" s="9" t="s">
        <v>36</v>
      </c>
      <c r="B99" s="9" t="s">
        <v>890</v>
      </c>
      <c r="C99" s="9" t="s">
        <v>891</v>
      </c>
      <c r="D99" s="9" t="s">
        <v>892</v>
      </c>
      <c r="E99" s="9" t="s">
        <v>893</v>
      </c>
      <c r="F99" s="9" t="s">
        <v>894</v>
      </c>
      <c r="G99" s="9" t="s">
        <v>897</v>
      </c>
      <c r="L99" s="17">
        <f>$I$47*$L$47</f>
        <v>43.40245562865568</v>
      </c>
      <c r="M99" s="17">
        <f>$I$47*$M$47</f>
        <v>5.2870519166706877</v>
      </c>
      <c r="N99" s="17">
        <f ca="1">$I$47*$N$47</f>
        <v>11.049823959399291</v>
      </c>
      <c r="O99" s="17">
        <f>$I$47*$O$47</f>
        <v>0</v>
      </c>
      <c r="P99" s="17">
        <f>$I$47*$P$47</f>
        <v>0</v>
      </c>
      <c r="Q99" s="17">
        <f>$I$47*$Q$47</f>
        <v>626.1853926436346</v>
      </c>
      <c r="R99" s="17">
        <f>$I$47*$R$47</f>
        <v>104.88523346811159</v>
      </c>
      <c r="S99" s="17">
        <f>$I$47*$S$47</f>
        <v>0</v>
      </c>
      <c r="T99" s="17">
        <f>$I$47*$T$47</f>
        <v>142.79191119310516</v>
      </c>
      <c r="U99" s="17">
        <f>$I$47*$U$47</f>
        <v>120.30599690180449</v>
      </c>
      <c r="V99" s="17">
        <f>$I$47*$V$47</f>
        <v>21.183233415773024</v>
      </c>
      <c r="W99" s="17">
        <f>$I$47*$W$47</f>
        <v>0</v>
      </c>
      <c r="X99" s="17">
        <f>$I$47*$X$47</f>
        <v>0</v>
      </c>
      <c r="Y99" s="17">
        <f>$I$47*$Y$47</f>
        <v>0</v>
      </c>
      <c r="Z99" s="17">
        <f>$I$47*$Z$47</f>
        <v>0</v>
      </c>
      <c r="AA99" s="17">
        <f>$I$47*$AA$47</f>
        <v>783.82245179018287</v>
      </c>
      <c r="AB99" s="17">
        <f ca="1">$I$47*$AB$47</f>
        <v>-341.37393030594251</v>
      </c>
      <c r="AC99" s="17">
        <f ca="1">$I$47*$AC$47</f>
        <v>0</v>
      </c>
      <c r="AD99" s="17">
        <f>$I$47*$AD$47</f>
        <v>132.1103704589587</v>
      </c>
      <c r="AE99" s="17">
        <f>$I$47*$AE$47</f>
        <v>0</v>
      </c>
      <c r="AF99" s="17">
        <f ca="1">$I$47*$AF$47</f>
        <v>4.75409206500788</v>
      </c>
      <c r="AG99" s="17">
        <f ca="1">$I$47*$AG$47</f>
        <v>2.7696251731694033</v>
      </c>
      <c r="AI99" s="17">
        <f>$I$47*$AI$47</f>
        <v>46.153790306411182</v>
      </c>
      <c r="AJ99" s="17">
        <f>$I$47*$AJ$47</f>
        <v>6.0240765496717978</v>
      </c>
      <c r="AK99" s="17">
        <f>$I$47*$AK$47</f>
        <v>17.180601861914059</v>
      </c>
      <c r="AL99" s="17">
        <f>$I$47*$AL$47</f>
        <v>0</v>
      </c>
      <c r="AM99" s="17">
        <f>$I$47*$AM$47</f>
        <v>0</v>
      </c>
      <c r="AN99" s="17">
        <f>$I$47*$AN$47</f>
        <v>359.89486611854858</v>
      </c>
      <c r="AO99" s="17">
        <f>$I$47*$AO$47</f>
        <v>57.253755670806839</v>
      </c>
      <c r="AP99" s="17">
        <f>$I$47*$AP$47</f>
        <v>0</v>
      </c>
      <c r="AQ99" s="17">
        <f>$I$47*$AQ$47</f>
        <v>130.16395430668163</v>
      </c>
      <c r="AR99" s="17">
        <f>$I$47*$AR$47</f>
        <v>94.94854354683649</v>
      </c>
      <c r="AS99" s="17">
        <f>$I$47*$AS$47</f>
        <v>7.0118222624235242</v>
      </c>
      <c r="AT99" s="17">
        <f>$I$47*$AT$47</f>
        <v>0</v>
      </c>
      <c r="AU99" s="17">
        <f>$I$47*$AU$47</f>
        <v>0</v>
      </c>
      <c r="AV99" s="17">
        <f>$I$47*$AV$47</f>
        <v>0</v>
      </c>
      <c r="AW99" s="17">
        <f>$I$47*$AW$47</f>
        <v>0</v>
      </c>
      <c r="AX99" s="17">
        <f>$I$47*$AX$47</f>
        <v>975.25515823532317</v>
      </c>
      <c r="AY99" s="17">
        <f>$I$47*$AY$47</f>
        <v>0</v>
      </c>
      <c r="AZ99" s="17">
        <f>$I$47*$AZ$47</f>
        <v>0</v>
      </c>
      <c r="BA99" s="17">
        <f>$I$47*$BA$47</f>
        <v>127.90858298752637</v>
      </c>
      <c r="BB99" s="17">
        <f>$I$47*$BB$47</f>
        <v>0</v>
      </c>
      <c r="BC99" s="17">
        <f>$I$47*$BC$47</f>
        <v>7.0213296654424688</v>
      </c>
      <c r="BD99" s="17">
        <f>$I$47*$BD$47</f>
        <v>-12.322859815606543</v>
      </c>
    </row>
    <row r="100" spans="1:56" ht="11.25" customHeight="1" x14ac:dyDescent="0.25">
      <c r="A100" s="9" t="s">
        <v>36</v>
      </c>
      <c r="B100" s="9" t="s">
        <v>898</v>
      </c>
      <c r="C100" s="9" t="s">
        <v>899</v>
      </c>
      <c r="D100" s="9" t="s">
        <v>900</v>
      </c>
      <c r="E100" s="9" t="s">
        <v>901</v>
      </c>
      <c r="F100" s="9" t="s">
        <v>902</v>
      </c>
      <c r="G100" s="9" t="s">
        <v>903</v>
      </c>
      <c r="L100" s="17">
        <f>$I$48*$L$48</f>
        <v>94506.835257556973</v>
      </c>
      <c r="M100" s="17">
        <f>$I$48*$M$48</f>
        <v>11512.310472982881</v>
      </c>
      <c r="N100" s="17">
        <f ca="1">$I$48*$N$48</f>
        <v>30668.918324046113</v>
      </c>
      <c r="O100" s="17">
        <f>$I$48*$O$48</f>
        <v>0</v>
      </c>
      <c r="P100" s="17">
        <f>$I$48*$P$48</f>
        <v>0</v>
      </c>
      <c r="Q100" s="17">
        <f>$I$48*$Q$48</f>
        <v>1363489.6663355811</v>
      </c>
      <c r="R100" s="17">
        <f>$I$48*$R$48</f>
        <v>228382.73403537011</v>
      </c>
      <c r="S100" s="17">
        <f>$I$48*$S$48</f>
        <v>0</v>
      </c>
      <c r="T100" s="17">
        <f>$I$48*$T$48</f>
        <v>420166.23617448198</v>
      </c>
      <c r="U100" s="17">
        <f>$I$48*$U$48</f>
        <v>354002.4394457679</v>
      </c>
      <c r="V100" s="17">
        <f>$I$48*$V$48</f>
        <v>62332.654355174098</v>
      </c>
      <c r="W100" s="17">
        <f>$I$48*$W$48</f>
        <v>0</v>
      </c>
      <c r="X100" s="17">
        <f>$I$48*$X$48</f>
        <v>0</v>
      </c>
      <c r="Y100" s="17">
        <f>$I$48*$Y$48</f>
        <v>0</v>
      </c>
      <c r="Z100" s="17">
        <f>$I$48*$Z$48</f>
        <v>0</v>
      </c>
      <c r="AA100" s="17">
        <f>$I$48*$AA$48</f>
        <v>2306402.5292886072</v>
      </c>
      <c r="AB100" s="17">
        <f ca="1">$I$48*$AB$48</f>
        <v>-891810.45144408185</v>
      </c>
      <c r="AC100" s="17">
        <f ca="1">$I$48*$AC$48</f>
        <v>0</v>
      </c>
      <c r="AD100" s="17">
        <f>$I$48*$AD$48</f>
        <v>287664.20784118993</v>
      </c>
      <c r="AE100" s="17">
        <f>$I$48*$AE$48</f>
        <v>0</v>
      </c>
      <c r="AF100" s="17">
        <f ca="1">$I$48*$AF$48</f>
        <v>10351.815100764026</v>
      </c>
      <c r="AG100" s="17">
        <f ca="1">$I$48*$AG$48</f>
        <v>6030.7304316000218</v>
      </c>
      <c r="AI100" s="17">
        <f>$I$48*$AI$48</f>
        <v>100497.73898322934</v>
      </c>
      <c r="AJ100" s="17">
        <f>$I$48*$AJ$48</f>
        <v>13117.147447363877</v>
      </c>
      <c r="AK100" s="17">
        <f>$I$48*$AK$48</f>
        <v>43370.023620394888</v>
      </c>
      <c r="AL100" s="17">
        <f>$I$48*$AL$48</f>
        <v>0</v>
      </c>
      <c r="AM100" s="17">
        <f>$I$48*$AM$48</f>
        <v>0</v>
      </c>
      <c r="AN100" s="17">
        <f>$I$48*$AN$48</f>
        <v>783654.38843626261</v>
      </c>
      <c r="AO100" s="17">
        <f>$I$48*$AO$48</f>
        <v>124667.39903732385</v>
      </c>
      <c r="AP100" s="17">
        <f>$I$48*$AP$48</f>
        <v>0</v>
      </c>
      <c r="AQ100" s="17">
        <f>$I$48*$AQ$48</f>
        <v>337411.44040449383</v>
      </c>
      <c r="AR100" s="17">
        <f>$I$48*$AR$48</f>
        <v>246125.20534438026</v>
      </c>
      <c r="AS100" s="17">
        <f>$I$48*$AS$48</f>
        <v>18176.205974975979</v>
      </c>
      <c r="AT100" s="17">
        <f>$I$48*$AT$48</f>
        <v>0</v>
      </c>
      <c r="AU100" s="17">
        <f>$I$48*$AU$48</f>
        <v>0</v>
      </c>
      <c r="AV100" s="17">
        <f>$I$48*$AV$48</f>
        <v>0</v>
      </c>
      <c r="AW100" s="17">
        <f>$I$48*$AW$48</f>
        <v>0</v>
      </c>
      <c r="AX100" s="17">
        <f>$I$48*$AX$48</f>
        <v>2528063.4586843448</v>
      </c>
      <c r="AY100" s="17">
        <f>$I$48*$AY$48</f>
        <v>0</v>
      </c>
      <c r="AZ100" s="17">
        <f>$I$48*$AZ$48</f>
        <v>0</v>
      </c>
      <c r="BA100" s="17">
        <f>$I$48*$BA$48</f>
        <v>278515.0103914552</v>
      </c>
      <c r="BB100" s="17">
        <f>$I$48*$BB$48</f>
        <v>0</v>
      </c>
      <c r="BC100" s="17">
        <f>$I$48*$BC$48</f>
        <v>15288.619880366014</v>
      </c>
      <c r="BD100" s="17">
        <f>$I$48*$BD$48</f>
        <v>-26832.456035657902</v>
      </c>
    </row>
    <row r="101" spans="1:56" ht="11.25" customHeight="1" x14ac:dyDescent="0.25">
      <c r="A101" s="9" t="s">
        <v>36</v>
      </c>
      <c r="B101" s="9" t="s">
        <v>904</v>
      </c>
      <c r="C101" s="9" t="s">
        <v>905</v>
      </c>
      <c r="D101" s="9" t="s">
        <v>906</v>
      </c>
      <c r="E101" s="9" t="s">
        <v>907</v>
      </c>
      <c r="F101" s="9" t="s">
        <v>908</v>
      </c>
      <c r="G101" s="9" t="s">
        <v>909</v>
      </c>
      <c r="L101" s="17">
        <f>$I$49*$L$49</f>
        <v>0</v>
      </c>
      <c r="M101" s="17">
        <f>$I$49*$M$49</f>
        <v>0</v>
      </c>
      <c r="N101" s="17">
        <f ca="1">$I$49*$N$49</f>
        <v>0</v>
      </c>
      <c r="O101" s="17">
        <f>$I$49*$O$49</f>
        <v>0</v>
      </c>
      <c r="P101" s="17">
        <f>$I$49*$P$49</f>
        <v>0</v>
      </c>
      <c r="Q101" s="17">
        <f>$I$49*$Q$49</f>
        <v>0</v>
      </c>
      <c r="R101" s="17">
        <f>$I$49*$R$49</f>
        <v>0</v>
      </c>
      <c r="S101" s="17">
        <f>$I$49*$S$49</f>
        <v>0</v>
      </c>
      <c r="T101" s="17">
        <f>$I$49*$T$49</f>
        <v>0</v>
      </c>
      <c r="U101" s="17">
        <f>$I$49*$U$49</f>
        <v>0</v>
      </c>
      <c r="V101" s="17">
        <f>$I$49*$V$49</f>
        <v>0</v>
      </c>
      <c r="W101" s="17">
        <f>$I$49*$W$49</f>
        <v>0</v>
      </c>
      <c r="X101" s="17">
        <f>$I$49*$X$49</f>
        <v>0</v>
      </c>
      <c r="Y101" s="17">
        <f>$I$49*$Y$49</f>
        <v>0</v>
      </c>
      <c r="Z101" s="17">
        <f>$I$49*$Z$49</f>
        <v>0</v>
      </c>
      <c r="AA101" s="17">
        <f>$I$49*$AA$49</f>
        <v>0</v>
      </c>
      <c r="AB101" s="17">
        <f ca="1">$I$49*$AB$49</f>
        <v>0</v>
      </c>
      <c r="AC101" s="17">
        <f ca="1">$I$49*$AC$49</f>
        <v>0</v>
      </c>
      <c r="AD101" s="17">
        <f>$I$49*$AD$49</f>
        <v>0</v>
      </c>
      <c r="AE101" s="17">
        <f>$I$49*$AE$49</f>
        <v>0</v>
      </c>
      <c r="AF101" s="17">
        <f ca="1">$I$49*$AF$49</f>
        <v>0</v>
      </c>
      <c r="AG101" s="17">
        <f ca="1">$I$49*$AG$49</f>
        <v>0</v>
      </c>
      <c r="AI101" s="17">
        <f>$I$49*$AI$49</f>
        <v>0</v>
      </c>
      <c r="AJ101" s="17">
        <f>$I$49*$AJ$49</f>
        <v>0</v>
      </c>
      <c r="AK101" s="17">
        <f>$I$49*$AK$49</f>
        <v>0</v>
      </c>
      <c r="AL101" s="17">
        <f>$I$49*$AL$49</f>
        <v>0</v>
      </c>
      <c r="AM101" s="17">
        <f>$I$49*$AM$49</f>
        <v>0</v>
      </c>
      <c r="AN101" s="17">
        <f>$I$49*$AN$49</f>
        <v>0</v>
      </c>
      <c r="AO101" s="17">
        <f>$I$49*$AO$49</f>
        <v>0</v>
      </c>
      <c r="AP101" s="17">
        <f>$I$49*$AP$49</f>
        <v>0</v>
      </c>
      <c r="AQ101" s="17">
        <f>$I$49*$AQ$49</f>
        <v>0</v>
      </c>
      <c r="AR101" s="17">
        <f>$I$49*$AR$49</f>
        <v>0</v>
      </c>
      <c r="AS101" s="17">
        <f>$I$49*$AS$49</f>
        <v>0</v>
      </c>
      <c r="AT101" s="17">
        <f>$I$49*$AT$49</f>
        <v>0</v>
      </c>
      <c r="AU101" s="17">
        <f>$I$49*$AU$49</f>
        <v>0</v>
      </c>
      <c r="AV101" s="17">
        <f>$I$49*$AV$49</f>
        <v>0</v>
      </c>
      <c r="AW101" s="17">
        <f>$I$49*$AW$49</f>
        <v>0</v>
      </c>
      <c r="AX101" s="17">
        <f>$I$49*$AX$49</f>
        <v>0</v>
      </c>
      <c r="AY101" s="17">
        <f>$I$49*$AY$49</f>
        <v>0</v>
      </c>
      <c r="AZ101" s="17">
        <f>$I$49*$AZ$49</f>
        <v>0</v>
      </c>
      <c r="BA101" s="17">
        <f>$I$49*$BA$49</f>
        <v>0</v>
      </c>
      <c r="BB101" s="17">
        <f>$I$49*$BB$49</f>
        <v>0</v>
      </c>
      <c r="BC101" s="17">
        <f>$I$49*$BC$49</f>
        <v>0</v>
      </c>
      <c r="BD101" s="17">
        <f>$I$49*$BD$49</f>
        <v>0</v>
      </c>
    </row>
    <row r="102" spans="1:56" ht="11.25" customHeight="1" x14ac:dyDescent="0.25">
      <c r="A102" s="9" t="s">
        <v>45</v>
      </c>
      <c r="B102" s="9" t="s">
        <v>910</v>
      </c>
      <c r="C102" s="9" t="s">
        <v>911</v>
      </c>
      <c r="D102" s="9" t="s">
        <v>912</v>
      </c>
      <c r="E102" s="9" t="s">
        <v>913</v>
      </c>
      <c r="F102" s="9" t="s">
        <v>914</v>
      </c>
      <c r="G102" s="9" t="s">
        <v>915</v>
      </c>
      <c r="L102" s="17">
        <f>$I$50*$L$50</f>
        <v>18718.064221673034</v>
      </c>
      <c r="M102" s="17">
        <f>$I$50*$M$50</f>
        <v>2280.133137310846</v>
      </c>
      <c r="N102" s="17">
        <f ca="1">$I$50*$N$50</f>
        <v>6074.2990835981554</v>
      </c>
      <c r="O102" s="17">
        <f>$I$50*$O$50</f>
        <v>0</v>
      </c>
      <c r="P102" s="17">
        <f>$I$50*$P$50</f>
        <v>0</v>
      </c>
      <c r="Q102" s="17">
        <f>$I$50*$Q$50</f>
        <v>270053.34662305459</v>
      </c>
      <c r="R102" s="17">
        <f>$I$50*$R$50</f>
        <v>45233.582006477161</v>
      </c>
      <c r="S102" s="17">
        <f>$I$50*$S$50</f>
        <v>0</v>
      </c>
      <c r="T102" s="17">
        <f>$I$50*$T$50</f>
        <v>83218.304486221983</v>
      </c>
      <c r="U102" s="17">
        <f>$I$50*$U$50</f>
        <v>70113.874600884534</v>
      </c>
      <c r="V102" s="17">
        <f>$I$50*$V$50</f>
        <v>12345.632187849615</v>
      </c>
      <c r="W102" s="17">
        <f>$I$50*$W$50</f>
        <v>0</v>
      </c>
      <c r="X102" s="17">
        <f>$I$50*$X$50</f>
        <v>0</v>
      </c>
      <c r="Y102" s="17">
        <f>$I$50*$Y$50</f>
        <v>0</v>
      </c>
      <c r="Z102" s="17">
        <f>$I$50*$Z$50</f>
        <v>0</v>
      </c>
      <c r="AA102" s="17">
        <f>$I$50*$AA$50</f>
        <v>456807.07164301316</v>
      </c>
      <c r="AB102" s="17">
        <f ca="1">$I$50*$AB$50</f>
        <v>-176632.35953459505</v>
      </c>
      <c r="AC102" s="17">
        <f ca="1">$I$50*$AC$50</f>
        <v>0</v>
      </c>
      <c r="AD102" s="17">
        <f>$I$50*$AD$50</f>
        <v>56974.896069409275</v>
      </c>
      <c r="AE102" s="17">
        <f>$I$50*$AE$50</f>
        <v>0</v>
      </c>
      <c r="AF102" s="17">
        <f ca="1">$I$50*$AF$50</f>
        <v>2050.2849274226633</v>
      </c>
      <c r="AG102" s="17">
        <f ca="1">$I$50*$AG$50</f>
        <v>1194.4490492634577</v>
      </c>
      <c r="AI102" s="17">
        <f>$I$50*$AI$50</f>
        <v>19904.62517652235</v>
      </c>
      <c r="AJ102" s="17">
        <f>$I$50*$AJ$50</f>
        <v>2597.9878350151248</v>
      </c>
      <c r="AK102" s="17">
        <f>$I$50*$AK$50</f>
        <v>8589.8854321980089</v>
      </c>
      <c r="AL102" s="17">
        <f>$I$50*$AL$50</f>
        <v>0</v>
      </c>
      <c r="AM102" s="17">
        <f>$I$50*$AM$50</f>
        <v>0</v>
      </c>
      <c r="AN102" s="17">
        <f>$I$50*$AN$50</f>
        <v>155210.92342548782</v>
      </c>
      <c r="AO102" s="17">
        <f>$I$50*$AO$50</f>
        <v>24691.678386754262</v>
      </c>
      <c r="AP102" s="17">
        <f>$I$50*$AP$50</f>
        <v>0</v>
      </c>
      <c r="AQ102" s="17">
        <f>$I$50*$AQ$50</f>
        <v>66827.854233045815</v>
      </c>
      <c r="AR102" s="17">
        <f>$I$50*$AR$50</f>
        <v>48747.66346426971</v>
      </c>
      <c r="AS102" s="17">
        <f>$I$50*$AS$50</f>
        <v>3599.9871312879741</v>
      </c>
      <c r="AT102" s="17">
        <f>$I$50*$AT$50</f>
        <v>0</v>
      </c>
      <c r="AU102" s="17">
        <f>$I$50*$AU$50</f>
        <v>0</v>
      </c>
      <c r="AV102" s="17">
        <f>$I$50*$AV$50</f>
        <v>0</v>
      </c>
      <c r="AW102" s="17">
        <f>$I$50*$AW$50</f>
        <v>0</v>
      </c>
      <c r="AX102" s="17">
        <f>$I$50*$AX$50</f>
        <v>500709.33014693699</v>
      </c>
      <c r="AY102" s="17">
        <f>$I$50*$AY$50</f>
        <v>0</v>
      </c>
      <c r="AZ102" s="17">
        <f>$I$50*$AZ$50</f>
        <v>0</v>
      </c>
      <c r="BA102" s="17">
        <f>$I$50*$BA$50</f>
        <v>55162.802108436168</v>
      </c>
      <c r="BB102" s="17">
        <f>$I$50*$BB$50</f>
        <v>0</v>
      </c>
      <c r="BC102" s="17">
        <f>$I$50*$BC$50</f>
        <v>3028.0705940637736</v>
      </c>
      <c r="BD102" s="17">
        <f>$I$50*$BD$50</f>
        <v>-5314.4477214996004</v>
      </c>
    </row>
    <row r="103" spans="1:56" ht="11.25" customHeight="1" x14ac:dyDescent="0.25">
      <c r="A103" s="9" t="s">
        <v>45</v>
      </c>
      <c r="B103" s="9" t="s">
        <v>910</v>
      </c>
      <c r="C103" s="9" t="s">
        <v>911</v>
      </c>
      <c r="D103" s="9" t="s">
        <v>916</v>
      </c>
      <c r="E103" s="9" t="s">
        <v>917</v>
      </c>
      <c r="F103" s="9" t="s">
        <v>918</v>
      </c>
      <c r="G103" s="9" t="s">
        <v>919</v>
      </c>
      <c r="L103" s="17">
        <f>$I$51*$L$51</f>
        <v>0</v>
      </c>
      <c r="M103" s="17">
        <f>$I$51*$M$51</f>
        <v>0</v>
      </c>
      <c r="N103" s="17">
        <f ca="1">$I$51*$N$51</f>
        <v>0</v>
      </c>
      <c r="O103" s="17">
        <f>$I$51*$O$51</f>
        <v>0</v>
      </c>
      <c r="P103" s="17">
        <f>$I$51*$P$51</f>
        <v>0</v>
      </c>
      <c r="Q103" s="17">
        <f>$I$51*$Q$51</f>
        <v>0</v>
      </c>
      <c r="R103" s="17">
        <f>$I$51*$R$51</f>
        <v>0</v>
      </c>
      <c r="S103" s="17">
        <f>$I$51*$S$51</f>
        <v>0</v>
      </c>
      <c r="T103" s="17">
        <f>$I$51*$T$51</f>
        <v>0</v>
      </c>
      <c r="U103" s="17">
        <f>$I$51*$U$51</f>
        <v>0</v>
      </c>
      <c r="V103" s="17">
        <f>$I$51*$V$51</f>
        <v>0</v>
      </c>
      <c r="W103" s="17">
        <f>$I$51*$W$51</f>
        <v>0</v>
      </c>
      <c r="X103" s="17">
        <f>$I$51*$X$51</f>
        <v>0</v>
      </c>
      <c r="Y103" s="17">
        <f>$I$51*$Y$51</f>
        <v>0</v>
      </c>
      <c r="Z103" s="17">
        <f>$I$51*$Z$51</f>
        <v>0</v>
      </c>
      <c r="AA103" s="17">
        <f>$I$51*$AA$51</f>
        <v>0</v>
      </c>
      <c r="AB103" s="17">
        <f ca="1">$I$51*$AB$51</f>
        <v>0</v>
      </c>
      <c r="AC103" s="17">
        <f ca="1">$I$51*$AC$51</f>
        <v>0</v>
      </c>
      <c r="AD103" s="17">
        <f>$I$51*$AD$51</f>
        <v>0</v>
      </c>
      <c r="AE103" s="17">
        <f>$I$51*$AE$51</f>
        <v>0</v>
      </c>
      <c r="AF103" s="17">
        <f ca="1">$I$51*$AF$51</f>
        <v>0</v>
      </c>
      <c r="AG103" s="17">
        <f ca="1">$I$51*$AG$51</f>
        <v>0</v>
      </c>
      <c r="AI103" s="17">
        <f>$I$51*$AI$51</f>
        <v>0</v>
      </c>
      <c r="AJ103" s="17">
        <f>$I$51*$AJ$51</f>
        <v>0</v>
      </c>
      <c r="AK103" s="17">
        <f>$I$51*$AK$51</f>
        <v>0</v>
      </c>
      <c r="AL103" s="17">
        <f>$I$51*$AL$51</f>
        <v>0</v>
      </c>
      <c r="AM103" s="17">
        <f>$I$51*$AM$51</f>
        <v>0</v>
      </c>
      <c r="AN103" s="17">
        <f>$I$51*$AN$51</f>
        <v>0</v>
      </c>
      <c r="AO103" s="17">
        <f>$I$51*$AO$51</f>
        <v>0</v>
      </c>
      <c r="AP103" s="17">
        <f>$I$51*$AP$51</f>
        <v>0</v>
      </c>
      <c r="AQ103" s="17">
        <f>$I$51*$AQ$51</f>
        <v>0</v>
      </c>
      <c r="AR103" s="17">
        <f>$I$51*$AR$51</f>
        <v>0</v>
      </c>
      <c r="AS103" s="17">
        <f>$I$51*$AS$51</f>
        <v>0</v>
      </c>
      <c r="AT103" s="17">
        <f>$I$51*$AT$51</f>
        <v>0</v>
      </c>
      <c r="AU103" s="17">
        <f>$I$51*$AU$51</f>
        <v>0</v>
      </c>
      <c r="AV103" s="17">
        <f>$I$51*$AV$51</f>
        <v>0</v>
      </c>
      <c r="AW103" s="17">
        <f>$I$51*$AW$51</f>
        <v>0</v>
      </c>
      <c r="AX103" s="17">
        <f>$I$51*$AX$51</f>
        <v>0</v>
      </c>
      <c r="AY103" s="17">
        <f>$I$51*$AY$51</f>
        <v>0</v>
      </c>
      <c r="AZ103" s="17">
        <f>$I$51*$AZ$51</f>
        <v>0</v>
      </c>
      <c r="BA103" s="17">
        <f>$I$51*$BA$51</f>
        <v>0</v>
      </c>
      <c r="BB103" s="17">
        <f>$I$51*$BB$51</f>
        <v>0</v>
      </c>
      <c r="BC103" s="17">
        <f>$I$51*$BC$51</f>
        <v>0</v>
      </c>
      <c r="BD103" s="17">
        <f>$I$51*$BD$51</f>
        <v>0</v>
      </c>
    </row>
  </sheetData>
  <mergeCells count="88">
    <mergeCell ref="A1:A4"/>
    <mergeCell ref="B1:B4"/>
    <mergeCell ref="C1:C4"/>
    <mergeCell ref="D1:D4"/>
    <mergeCell ref="E1:E4"/>
    <mergeCell ref="J1:J4"/>
    <mergeCell ref="L1:AG1"/>
    <mergeCell ref="L2:AG2"/>
    <mergeCell ref="L3:S3"/>
    <mergeCell ref="T3:Z3"/>
    <mergeCell ref="F5:F7"/>
    <mergeCell ref="B10:B14"/>
    <mergeCell ref="G1:G4"/>
    <mergeCell ref="H1:H4"/>
    <mergeCell ref="I1:I4"/>
    <mergeCell ref="F1:F4"/>
    <mergeCell ref="F10:F12"/>
    <mergeCell ref="F13:F14"/>
    <mergeCell ref="A5:A14"/>
    <mergeCell ref="B5:B8"/>
    <mergeCell ref="C5:C8"/>
    <mergeCell ref="D5:D8"/>
    <mergeCell ref="E5:E7"/>
    <mergeCell ref="C10:C14"/>
    <mergeCell ref="D10:D14"/>
    <mergeCell ref="E10:E12"/>
    <mergeCell ref="E13:E1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AI1:BD1"/>
    <mergeCell ref="AI2:BD2"/>
    <mergeCell ref="AI3:AP3"/>
    <mergeCell ref="AQ3:AW3"/>
    <mergeCell ref="AY3:AZ3"/>
    <mergeCell ref="E45:E47"/>
    <mergeCell ref="F45:F47"/>
    <mergeCell ref="A50:A51"/>
    <mergeCell ref="B50:B51"/>
    <mergeCell ref="C50:C51"/>
    <mergeCell ref="D45:D47"/>
    <mergeCell ref="AQ55:AW55"/>
    <mergeCell ref="AY55:AZ55"/>
    <mergeCell ref="BA55:BD55"/>
    <mergeCell ref="BA3:BD3"/>
    <mergeCell ref="L53:AG53"/>
    <mergeCell ref="AI53:BD53"/>
    <mergeCell ref="L54:AG54"/>
    <mergeCell ref="AI54:BD54"/>
    <mergeCell ref="L55:S55"/>
    <mergeCell ref="T55:Z55"/>
    <mergeCell ref="AB55:AC55"/>
    <mergeCell ref="AD55:AG55"/>
    <mergeCell ref="AI55:AP55"/>
    <mergeCell ref="AB3:AC3"/>
    <mergeCell ref="AD3:AG3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766BD-8646-47EB-B09B-BC1F50D44EEF}">
  <dimension ref="A1:AH87"/>
  <sheetViews>
    <sheetView showGridLines="0" topLeftCell="L28" workbookViewId="0">
      <selection activeCell="V44" sqref="V44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7.140625" style="9" bestFit="1" customWidth="1"/>
    <col min="14" max="14" width="6" style="9" bestFit="1" customWidth="1"/>
    <col min="15" max="15" width="11.140625" style="9" bestFit="1" customWidth="1"/>
    <col min="16" max="16" width="8.140625" style="9" bestFit="1" customWidth="1"/>
    <col min="17" max="17" width="15" style="9" bestFit="1" customWidth="1"/>
    <col min="18" max="18" width="6" style="9" bestFit="1" customWidth="1"/>
    <col min="19" max="19" width="10.42578125" style="9" bestFit="1" customWidth="1"/>
    <col min="20" max="20" width="7" style="9" bestFit="1" customWidth="1"/>
    <col min="21" max="21" width="11.140625" style="9" bestFit="1" customWidth="1"/>
    <col min="22" max="22" width="11" style="9" bestFit="1" customWidth="1"/>
    <col min="23" max="23" width="9.140625" style="9"/>
    <col min="24" max="24" width="8.7109375" style="9" bestFit="1" customWidth="1"/>
    <col min="25" max="25" width="7.140625" style="9" bestFit="1" customWidth="1"/>
    <col min="26" max="26" width="6" style="9" bestFit="1" customWidth="1"/>
    <col min="27" max="27" width="11.140625" style="9" bestFit="1" customWidth="1"/>
    <col min="28" max="28" width="8.140625" style="9" bestFit="1" customWidth="1"/>
    <col min="29" max="29" width="15" style="9" bestFit="1" customWidth="1"/>
    <col min="30" max="30" width="6" style="9" bestFit="1" customWidth="1"/>
    <col min="31" max="31" width="10.42578125" style="9" bestFit="1" customWidth="1"/>
    <col min="32" max="32" width="7" style="9" bestFit="1" customWidth="1"/>
    <col min="33" max="33" width="11.140625" style="9" bestFit="1" customWidth="1"/>
    <col min="34" max="34" width="11" style="9" bestFit="1" customWidth="1"/>
    <col min="35" max="16384" width="9.140625" style="9"/>
  </cols>
  <sheetData>
    <row r="1" spans="1:34" ht="11.25" customHeight="1" x14ac:dyDescent="0.25">
      <c r="A1" s="176" t="s">
        <v>68</v>
      </c>
      <c r="B1" s="176" t="s">
        <v>69</v>
      </c>
      <c r="C1" s="176" t="s">
        <v>70</v>
      </c>
      <c r="D1" s="176" t="s">
        <v>71</v>
      </c>
      <c r="E1" s="176" t="s">
        <v>72</v>
      </c>
      <c r="F1" s="176" t="s">
        <v>15</v>
      </c>
      <c r="G1" s="176" t="s">
        <v>74</v>
      </c>
      <c r="H1" s="176" t="s">
        <v>75</v>
      </c>
      <c r="I1" s="176" t="s">
        <v>573</v>
      </c>
      <c r="J1" s="155"/>
      <c r="L1" s="174" t="s">
        <v>920</v>
      </c>
      <c r="M1" s="174"/>
      <c r="N1" s="174"/>
      <c r="O1" s="174"/>
      <c r="P1" s="174"/>
      <c r="Q1" s="174"/>
      <c r="R1" s="174"/>
      <c r="S1" s="174"/>
      <c r="T1" s="174"/>
      <c r="U1" s="174"/>
      <c r="V1" s="174"/>
      <c r="X1" s="174" t="s">
        <v>921</v>
      </c>
      <c r="Y1" s="174"/>
      <c r="Z1" s="174"/>
      <c r="AA1" s="174"/>
      <c r="AB1" s="174"/>
      <c r="AC1" s="174"/>
      <c r="AD1" s="174"/>
      <c r="AE1" s="174"/>
      <c r="AF1" s="174"/>
      <c r="AG1" s="174"/>
      <c r="AH1" s="174"/>
    </row>
    <row r="2" spans="1:34" ht="11.25" customHeight="1" x14ac:dyDescent="0.25">
      <c r="A2" s="176"/>
      <c r="B2" s="176"/>
      <c r="C2" s="176"/>
      <c r="D2" s="176"/>
      <c r="E2" s="176"/>
      <c r="F2" s="176"/>
      <c r="G2" s="176"/>
      <c r="H2" s="176"/>
      <c r="I2" s="176"/>
      <c r="J2" s="155"/>
      <c r="L2" s="174" t="s">
        <v>511</v>
      </c>
      <c r="M2" s="174"/>
      <c r="N2" s="174"/>
      <c r="O2" s="174"/>
      <c r="P2" s="174"/>
      <c r="Q2" s="174"/>
      <c r="R2" s="174"/>
      <c r="S2" s="174"/>
      <c r="T2" s="174"/>
      <c r="U2" s="174"/>
      <c r="V2" s="174"/>
      <c r="X2" s="174" t="s">
        <v>511</v>
      </c>
      <c r="Y2" s="174"/>
      <c r="Z2" s="174"/>
      <c r="AA2" s="174"/>
      <c r="AB2" s="174"/>
      <c r="AC2" s="174"/>
      <c r="AD2" s="174"/>
      <c r="AE2" s="174"/>
      <c r="AF2" s="174"/>
      <c r="AG2" s="174"/>
      <c r="AH2" s="174"/>
    </row>
    <row r="3" spans="1:34" ht="11.25" customHeight="1" x14ac:dyDescent="0.25">
      <c r="A3" s="176"/>
      <c r="B3" s="176"/>
      <c r="C3" s="176"/>
      <c r="D3" s="176"/>
      <c r="E3" s="176"/>
      <c r="F3" s="176"/>
      <c r="G3" s="176"/>
      <c r="H3" s="176"/>
      <c r="I3" s="176"/>
      <c r="J3" s="155"/>
      <c r="L3" s="174" t="s">
        <v>484</v>
      </c>
      <c r="M3" s="174"/>
      <c r="N3" s="174"/>
      <c r="O3" s="174"/>
      <c r="P3" s="174"/>
      <c r="Q3" s="117" t="s">
        <v>515</v>
      </c>
      <c r="R3" s="174" t="s">
        <v>493</v>
      </c>
      <c r="S3" s="174"/>
      <c r="T3" s="174"/>
      <c r="U3" s="117" t="s">
        <v>503</v>
      </c>
      <c r="V3" s="117" t="s">
        <v>506</v>
      </c>
      <c r="X3" s="174" t="s">
        <v>484</v>
      </c>
      <c r="Y3" s="174"/>
      <c r="Z3" s="174"/>
      <c r="AA3" s="174"/>
      <c r="AB3" s="174"/>
      <c r="AC3" s="117" t="s">
        <v>515</v>
      </c>
      <c r="AD3" s="174" t="s">
        <v>493</v>
      </c>
      <c r="AE3" s="174"/>
      <c r="AF3" s="174"/>
      <c r="AG3" s="117" t="s">
        <v>503</v>
      </c>
      <c r="AH3" s="117" t="s">
        <v>506</v>
      </c>
    </row>
    <row r="4" spans="1:34" ht="11.25" customHeight="1" x14ac:dyDescent="0.25">
      <c r="A4" s="176"/>
      <c r="B4" s="176"/>
      <c r="C4" s="176"/>
      <c r="D4" s="176"/>
      <c r="E4" s="176"/>
      <c r="F4" s="176"/>
      <c r="G4" s="176"/>
      <c r="H4" s="176"/>
      <c r="I4" s="176"/>
      <c r="J4" s="155"/>
      <c r="L4" s="117" t="s">
        <v>486</v>
      </c>
      <c r="M4" s="117" t="s">
        <v>512</v>
      </c>
      <c r="N4" s="117" t="s">
        <v>513</v>
      </c>
      <c r="O4" s="117" t="s">
        <v>572</v>
      </c>
      <c r="P4" s="117" t="s">
        <v>514</v>
      </c>
      <c r="Q4" s="117" t="s">
        <v>516</v>
      </c>
      <c r="R4" s="117" t="s">
        <v>517</v>
      </c>
      <c r="S4" s="117" t="s">
        <v>518</v>
      </c>
      <c r="T4" s="117" t="s">
        <v>519</v>
      </c>
      <c r="U4" s="117" t="s">
        <v>504</v>
      </c>
      <c r="V4" s="117" t="s">
        <v>520</v>
      </c>
      <c r="X4" s="117" t="s">
        <v>486</v>
      </c>
      <c r="Y4" s="117" t="s">
        <v>512</v>
      </c>
      <c r="Z4" s="117" t="s">
        <v>513</v>
      </c>
      <c r="AA4" s="117" t="s">
        <v>572</v>
      </c>
      <c r="AB4" s="117" t="s">
        <v>514</v>
      </c>
      <c r="AC4" s="117" t="s">
        <v>516</v>
      </c>
      <c r="AD4" s="117" t="s">
        <v>517</v>
      </c>
      <c r="AE4" s="117" t="s">
        <v>518</v>
      </c>
      <c r="AF4" s="117" t="s">
        <v>519</v>
      </c>
      <c r="AG4" s="117" t="s">
        <v>504</v>
      </c>
      <c r="AH4" s="117" t="s">
        <v>520</v>
      </c>
    </row>
    <row r="5" spans="1:34" ht="11.25" customHeight="1" x14ac:dyDescent="0.25">
      <c r="A5" s="177" t="s">
        <v>38</v>
      </c>
      <c r="B5" s="177" t="s">
        <v>77</v>
      </c>
      <c r="C5" s="177" t="s">
        <v>25</v>
      </c>
      <c r="D5" s="177" t="s">
        <v>25</v>
      </c>
      <c r="E5" s="177" t="s">
        <v>25</v>
      </c>
      <c r="F5" s="177" t="s">
        <v>25</v>
      </c>
      <c r="G5" s="66" t="s">
        <v>79</v>
      </c>
      <c r="H5" s="66" t="s">
        <v>78</v>
      </c>
      <c r="I5" s="66">
        <f>'MERCADO TE'!$U$2</f>
        <v>1223.6420000000003</v>
      </c>
      <c r="J5" s="16"/>
      <c r="L5" s="64">
        <f>('TE BE'!$L$5+'TE BF'!$L$5+'TE CVA'!$L$5)*1</f>
        <v>2.9404386364919461</v>
      </c>
      <c r="M5" s="64">
        <f>('TE BE'!$M$5+'TE BF'!$M$5+'TE CVA'!$M$5)*1</f>
        <v>0</v>
      </c>
      <c r="N5" s="64">
        <f>('TE BE'!$N$5+'TE BF'!$N$5+'TE CVA'!$N$5)*1</f>
        <v>0</v>
      </c>
      <c r="O5" s="64">
        <f>('TE BE'!$O$5+'TE BF'!$O$5+'TE CVA'!$O$5)*1</f>
        <v>8.5357591581914836</v>
      </c>
      <c r="P5" s="64">
        <f>('TE BE'!$P$5+'TE BF'!$P$5+'TE CVA'!$P$5)*1</f>
        <v>0</v>
      </c>
      <c r="Q5" s="64">
        <f>('TE BE'!$R$5+'TE BF'!$R$5+'TE CVA'!$R$5)*1</f>
        <v>468.8127210098254</v>
      </c>
      <c r="R5" s="64">
        <f>('TE BE'!$T$5+'TE BF'!$T$5+'TE CVA'!$T$5)*1</f>
        <v>0</v>
      </c>
      <c r="S5" s="64">
        <f>('TE BE'!$U$5+'TE BF'!$U$5+'TE CVA'!$U$5)*1</f>
        <v>0</v>
      </c>
      <c r="T5" s="64">
        <f>('TE BE'!$V$5+'TE BF'!$V$5+'TE CVA'!$V$5)*1</f>
        <v>0</v>
      </c>
      <c r="U5" s="64">
        <f>('TE BE'!$X$5+'TE BF'!$X$5+'TE CVA'!$X$5)*1</f>
        <v>-82.272278343634838</v>
      </c>
      <c r="V5" s="64">
        <f>('TE BE'!$Z$5+'TE BF'!$Z$5+'TE CVA'!$Z$5)*1</f>
        <v>0</v>
      </c>
      <c r="X5" s="64">
        <v>3.06902849460434</v>
      </c>
      <c r="Y5" s="64">
        <v>0</v>
      </c>
      <c r="Z5" s="64">
        <v>0</v>
      </c>
      <c r="AA5" s="64">
        <v>0</v>
      </c>
      <c r="AB5" s="64">
        <v>0</v>
      </c>
      <c r="AC5" s="64">
        <v>493.33711625944102</v>
      </c>
      <c r="AD5" s="64">
        <v>0</v>
      </c>
      <c r="AE5" s="64">
        <v>0</v>
      </c>
      <c r="AF5" s="64">
        <v>0</v>
      </c>
      <c r="AG5" s="64">
        <v>0</v>
      </c>
      <c r="AH5" s="64">
        <v>0</v>
      </c>
    </row>
    <row r="6" spans="1:34" ht="11.25" customHeight="1" x14ac:dyDescent="0.25">
      <c r="A6" s="177"/>
      <c r="B6" s="177"/>
      <c r="C6" s="177"/>
      <c r="D6" s="177"/>
      <c r="E6" s="177"/>
      <c r="F6" s="177"/>
      <c r="G6" s="66" t="s">
        <v>80</v>
      </c>
      <c r="H6" s="66" t="s">
        <v>78</v>
      </c>
      <c r="I6" s="66">
        <f>'MERCADO TE'!$U$3</f>
        <v>15134.961000000001</v>
      </c>
      <c r="J6" s="16"/>
      <c r="L6" s="64">
        <f>('TE BE'!$L$6+'TE BF'!$L$6+'TE CVA'!$L$6)*1</f>
        <v>2.9404386364919461</v>
      </c>
      <c r="M6" s="64">
        <f>('TE BE'!$M$6+'TE BF'!$M$6+'TE CVA'!$M$6)*1</f>
        <v>0</v>
      </c>
      <c r="N6" s="64">
        <f>('TE BE'!$N$6+'TE BF'!$N$6+'TE CVA'!$N$6)*1</f>
        <v>0</v>
      </c>
      <c r="O6" s="64">
        <f>('TE BE'!$O$6+'TE BF'!$O$6+'TE CVA'!$O$6)*1</f>
        <v>8.5357591581914836</v>
      </c>
      <c r="P6" s="64">
        <f>('TE BE'!$P$6+'TE BF'!$P$6+'TE CVA'!$P$6)*1</f>
        <v>0</v>
      </c>
      <c r="Q6" s="64">
        <f>('TE BE'!$R$6+'TE BF'!$R$6+'TE CVA'!$R$6)*1</f>
        <v>272.56553547082871</v>
      </c>
      <c r="R6" s="64">
        <f>('TE BE'!$T$6+'TE BF'!$T$6+'TE CVA'!$T$6)*1</f>
        <v>0</v>
      </c>
      <c r="S6" s="64">
        <f>('TE BE'!$U$6+'TE BF'!$U$6+'TE CVA'!$U$6)*1</f>
        <v>0</v>
      </c>
      <c r="T6" s="64">
        <f>('TE BE'!$V$6+'TE BF'!$V$6+'TE CVA'!$V$6)*1</f>
        <v>0</v>
      </c>
      <c r="U6" s="64">
        <f>('TE BE'!$X$6+'TE BF'!$X$6+'TE CVA'!$X$6)*1</f>
        <v>-48.70184209063234</v>
      </c>
      <c r="V6" s="64">
        <f>('TE BE'!$Z$6+'TE BF'!$Z$6+'TE CVA'!$Z$6)*1</f>
        <v>0</v>
      </c>
      <c r="X6" s="64">
        <v>3.06902849460434</v>
      </c>
      <c r="Y6" s="64">
        <v>0</v>
      </c>
      <c r="Z6" s="64">
        <v>0</v>
      </c>
      <c r="AA6" s="64">
        <v>0</v>
      </c>
      <c r="AB6" s="64">
        <v>0</v>
      </c>
      <c r="AC6" s="64">
        <v>286.82390480200098</v>
      </c>
      <c r="AD6" s="64">
        <v>0</v>
      </c>
      <c r="AE6" s="64">
        <v>0</v>
      </c>
      <c r="AF6" s="64">
        <v>0</v>
      </c>
      <c r="AG6" s="64">
        <v>0</v>
      </c>
      <c r="AH6" s="64">
        <v>0</v>
      </c>
    </row>
    <row r="7" spans="1:34" ht="11.25" customHeight="1" x14ac:dyDescent="0.25">
      <c r="A7" s="177"/>
      <c r="B7" s="118" t="s">
        <v>81</v>
      </c>
      <c r="C7" s="118" t="s">
        <v>25</v>
      </c>
      <c r="D7" s="118" t="s">
        <v>25</v>
      </c>
      <c r="E7" s="118" t="s">
        <v>25</v>
      </c>
      <c r="F7" s="118" t="s">
        <v>25</v>
      </c>
      <c r="G7" s="66" t="s">
        <v>82</v>
      </c>
      <c r="H7" s="66" t="s">
        <v>78</v>
      </c>
      <c r="I7" s="66">
        <f>'MERCADO TE'!$U$4</f>
        <v>0</v>
      </c>
      <c r="J7" s="16"/>
      <c r="L7" s="64">
        <f>('TE BE'!$L$7+'TE BF'!$L$7+'TE CVA'!$L$7)*1</f>
        <v>2.9404386364919461</v>
      </c>
      <c r="M7" s="64">
        <f>('TE BE'!$M$7+'TE BF'!$M$7+'TE CVA'!$M$7)*1</f>
        <v>0</v>
      </c>
      <c r="N7" s="64">
        <f>('TE BE'!$N$7+'TE BF'!$N$7+'TE CVA'!$N$7)*1</f>
        <v>0</v>
      </c>
      <c r="O7" s="64">
        <f>('TE BE'!$O$7+'TE BF'!$O$7+'TE CVA'!$O$7)*1</f>
        <v>8.5357591581914836</v>
      </c>
      <c r="P7" s="64">
        <f>('TE BE'!$P$7+'TE BF'!$P$7+'TE CVA'!$P$7)*1</f>
        <v>0</v>
      </c>
      <c r="Q7" s="64">
        <f>('TE BE'!$R$7+'TE BF'!$R$7+'TE CVA'!$R$7)*1</f>
        <v>288.91946759907842</v>
      </c>
      <c r="R7" s="64">
        <f>('TE BE'!$T$7+'TE BF'!$T$7+'TE CVA'!$T$7)*1</f>
        <v>0</v>
      </c>
      <c r="S7" s="64">
        <f>('TE BE'!$U$7+'TE BF'!$U$7+'TE CVA'!$U$7)*1</f>
        <v>0</v>
      </c>
      <c r="T7" s="64">
        <f>('TE BE'!$V$7+'TE BF'!$V$7+'TE CVA'!$V$7)*1</f>
        <v>0</v>
      </c>
      <c r="U7" s="64">
        <f>('TE BE'!$X$7+'TE BF'!$X$7+'TE CVA'!$X$7)*1</f>
        <v>-51.499378445049217</v>
      </c>
      <c r="V7" s="64">
        <f>('TE BE'!$Z$7+'TE BF'!$Z$7+'TE CVA'!$Z$7)*1</f>
        <v>0</v>
      </c>
      <c r="X7" s="64">
        <v>3.06902849460434</v>
      </c>
      <c r="Y7" s="64">
        <v>0</v>
      </c>
      <c r="Z7" s="64">
        <v>0</v>
      </c>
      <c r="AA7" s="64">
        <v>0</v>
      </c>
      <c r="AB7" s="64">
        <v>0</v>
      </c>
      <c r="AC7" s="64">
        <v>304.03333909012099</v>
      </c>
      <c r="AD7" s="64">
        <v>0</v>
      </c>
      <c r="AE7" s="64">
        <v>0</v>
      </c>
      <c r="AF7" s="64">
        <v>0</v>
      </c>
      <c r="AG7" s="64">
        <v>0</v>
      </c>
      <c r="AH7" s="64">
        <v>0</v>
      </c>
    </row>
    <row r="8" spans="1:34" ht="11.25" customHeight="1" x14ac:dyDescent="0.25">
      <c r="A8" s="177"/>
      <c r="B8" s="118" t="s">
        <v>87</v>
      </c>
      <c r="C8" s="118" t="s">
        <v>25</v>
      </c>
      <c r="D8" s="118" t="s">
        <v>25</v>
      </c>
      <c r="E8" s="118" t="s">
        <v>88</v>
      </c>
      <c r="F8" s="118" t="s">
        <v>25</v>
      </c>
      <c r="G8" s="66" t="s">
        <v>82</v>
      </c>
      <c r="H8" s="66" t="s">
        <v>78</v>
      </c>
      <c r="I8" s="66">
        <f>'MERCADO TE'!$U$5</f>
        <v>0</v>
      </c>
      <c r="J8" s="16"/>
      <c r="L8" s="64">
        <f>('TE BE'!$L$8+'TE BF'!$L$8+'TE CVA'!$L$8)*1</f>
        <v>2.9404386364919461</v>
      </c>
      <c r="M8" s="64">
        <f>('TE BE'!$M$8+'TE BF'!$M$8+'TE CVA'!$M$8)*1</f>
        <v>0</v>
      </c>
      <c r="N8" s="64">
        <f>('TE BE'!$N$8+'TE BF'!$N$8+'TE CVA'!$N$8)*1</f>
        <v>0</v>
      </c>
      <c r="O8" s="64">
        <f>('TE BE'!$O$8+'TE BF'!$O$8+'TE CVA'!$O$8)*1</f>
        <v>8.5357591581914836</v>
      </c>
      <c r="P8" s="64">
        <f>('TE BE'!$P$8+'TE BF'!$P$8+'TE CVA'!$P$8)*1</f>
        <v>0</v>
      </c>
      <c r="Q8" s="64">
        <f>('TE BE'!$R$8+'TE BF'!$R$8+'TE CVA'!$R$8)*1</f>
        <v>286.58833870343136</v>
      </c>
      <c r="R8" s="64">
        <f>('TE BE'!$T$8+'TE BF'!$T$8+'TE CVA'!$T$8)*1</f>
        <v>0</v>
      </c>
      <c r="S8" s="64">
        <f>('TE BE'!$U$8+'TE BF'!$U$8+'TE CVA'!$U$8)*1</f>
        <v>0</v>
      </c>
      <c r="T8" s="64">
        <f>('TE BE'!$V$8+'TE BF'!$V$8+'TE CVA'!$V$8)*1</f>
        <v>0</v>
      </c>
      <c r="U8" s="64">
        <f>('TE BE'!$X$8+'TE BF'!$X$8+'TE CVA'!$X$8)*1</f>
        <v>0</v>
      </c>
      <c r="V8" s="64">
        <f>('TE BE'!$Z$8+'TE BF'!$Z$8+'TE CVA'!$Z$8)*1</f>
        <v>0</v>
      </c>
      <c r="X8" s="64">
        <v>0</v>
      </c>
      <c r="Y8" s="64">
        <v>0</v>
      </c>
      <c r="Z8" s="64">
        <v>0</v>
      </c>
      <c r="AA8" s="64">
        <v>0</v>
      </c>
      <c r="AB8" s="64">
        <v>0</v>
      </c>
      <c r="AC8" s="64">
        <v>0</v>
      </c>
      <c r="AD8" s="64">
        <v>0</v>
      </c>
      <c r="AE8" s="64">
        <v>0</v>
      </c>
      <c r="AF8" s="64">
        <v>0</v>
      </c>
      <c r="AG8" s="64">
        <v>0</v>
      </c>
      <c r="AH8" s="64">
        <v>0</v>
      </c>
    </row>
    <row r="9" spans="1:34" ht="11.25" customHeight="1" x14ac:dyDescent="0.25">
      <c r="A9" s="177" t="s">
        <v>22</v>
      </c>
      <c r="B9" s="177" t="s">
        <v>77</v>
      </c>
      <c r="C9" s="177" t="s">
        <v>24</v>
      </c>
      <c r="D9" s="177" t="s">
        <v>24</v>
      </c>
      <c r="E9" s="177" t="s">
        <v>25</v>
      </c>
      <c r="F9" s="177" t="s">
        <v>25</v>
      </c>
      <c r="G9" s="66" t="s">
        <v>79</v>
      </c>
      <c r="H9" s="66" t="s">
        <v>78</v>
      </c>
      <c r="I9" s="66">
        <f>'MERCADO TE'!$U$6</f>
        <v>2.7580000000000005</v>
      </c>
      <c r="J9" s="16"/>
      <c r="L9" s="64">
        <f>('TE BE'!$L$9+'TE BF'!$L$9+'TE CVA'!$L$9)*1</f>
        <v>2.9404386364919461</v>
      </c>
      <c r="M9" s="64">
        <f>('TE BE'!$M$9+'TE BF'!$M$9+'TE CVA'!$M$9)*1</f>
        <v>0</v>
      </c>
      <c r="N9" s="64">
        <f>('TE BE'!$N$9+'TE BF'!$N$9+'TE CVA'!$N$9)*1</f>
        <v>0</v>
      </c>
      <c r="O9" s="64">
        <f>('TE BE'!$O$9+'TE BF'!$O$9+'TE CVA'!$O$9)*1</f>
        <v>8.5357591581914836</v>
      </c>
      <c r="P9" s="64">
        <f>('TE BE'!$P$9+'TE BF'!$P$9+'TE CVA'!$P$9)*1</f>
        <v>0</v>
      </c>
      <c r="Q9" s="64">
        <f>('TE BE'!$R$9+'TE BF'!$R$9+'TE CVA'!$R$9)*1</f>
        <v>468.8127210098254</v>
      </c>
      <c r="R9" s="64">
        <f>('TE BE'!$T$9+'TE BF'!$T$9+'TE CVA'!$T$9)*1</f>
        <v>0</v>
      </c>
      <c r="S9" s="64">
        <f>('TE BE'!$U$9+'TE BF'!$U$9+'TE CVA'!$U$9)*1</f>
        <v>0</v>
      </c>
      <c r="T9" s="64">
        <f>('TE BE'!$V$9+'TE BF'!$V$9+'TE CVA'!$V$9)*1</f>
        <v>0</v>
      </c>
      <c r="U9" s="64">
        <f>('TE BE'!$X$9+'TE BF'!$X$9+'TE CVA'!$X$9)*1</f>
        <v>-82.272278343634838</v>
      </c>
      <c r="V9" s="64">
        <f>('TE BE'!$Z$9+'TE BF'!$Z$9+'TE CVA'!$Z$9)*1</f>
        <v>0</v>
      </c>
      <c r="X9" s="64">
        <v>3.06902849460434</v>
      </c>
      <c r="Y9" s="64">
        <v>0</v>
      </c>
      <c r="Z9" s="64">
        <v>0</v>
      </c>
      <c r="AA9" s="64">
        <v>0</v>
      </c>
      <c r="AB9" s="64">
        <v>0</v>
      </c>
      <c r="AC9" s="64">
        <v>493.33711625944102</v>
      </c>
      <c r="AD9" s="64">
        <v>0</v>
      </c>
      <c r="AE9" s="64">
        <v>0</v>
      </c>
      <c r="AF9" s="64">
        <v>0</v>
      </c>
      <c r="AG9" s="64">
        <v>0</v>
      </c>
      <c r="AH9" s="64">
        <v>0</v>
      </c>
    </row>
    <row r="10" spans="1:34" ht="11.25" customHeight="1" x14ac:dyDescent="0.25">
      <c r="A10" s="177"/>
      <c r="B10" s="177"/>
      <c r="C10" s="177"/>
      <c r="D10" s="177"/>
      <c r="E10" s="177"/>
      <c r="F10" s="177"/>
      <c r="G10" s="66" t="s">
        <v>92</v>
      </c>
      <c r="H10" s="66" t="s">
        <v>78</v>
      </c>
      <c r="I10" s="66">
        <f>'MERCADO TE'!$U$7</f>
        <v>1.9870000000000001</v>
      </c>
      <c r="J10" s="16"/>
      <c r="L10" s="64">
        <f>('TE BE'!$L$10+'TE BF'!$L$10+'TE CVA'!$L$10)*1</f>
        <v>2.9404386364919461</v>
      </c>
      <c r="M10" s="64">
        <f>('TE BE'!$M$10+'TE BF'!$M$10+'TE CVA'!$M$10)*1</f>
        <v>0</v>
      </c>
      <c r="N10" s="64">
        <f>('TE BE'!$N$10+'TE BF'!$N$10+'TE CVA'!$N$10)*1</f>
        <v>0</v>
      </c>
      <c r="O10" s="64">
        <f>('TE BE'!$O$10+'TE BF'!$O$10+'TE CVA'!$O$10)*1</f>
        <v>8.5357591581914836</v>
      </c>
      <c r="P10" s="64">
        <f>('TE BE'!$P$10+'TE BF'!$P$10+'TE CVA'!$P$10)*1</f>
        <v>0</v>
      </c>
      <c r="Q10" s="64">
        <f>('TE BE'!$R$10+'TE BF'!$R$10+'TE CVA'!$R$10)*1</f>
        <v>272.56553547082871</v>
      </c>
      <c r="R10" s="64">
        <f>('TE BE'!$T$10+'TE BF'!$T$10+'TE CVA'!$T$10)*1</f>
        <v>0</v>
      </c>
      <c r="S10" s="64">
        <f>('TE BE'!$U$10+'TE BF'!$U$10+'TE CVA'!$U$10)*1</f>
        <v>0</v>
      </c>
      <c r="T10" s="64">
        <f>('TE BE'!$V$10+'TE BF'!$V$10+'TE CVA'!$V$10)*1</f>
        <v>0</v>
      </c>
      <c r="U10" s="64">
        <f>('TE BE'!$X$10+'TE BF'!$X$10+'TE CVA'!$X$10)*1</f>
        <v>-48.70184209063234</v>
      </c>
      <c r="V10" s="64">
        <f>('TE BE'!$Z$10+'TE BF'!$Z$10+'TE CVA'!$Z$10)*1</f>
        <v>0</v>
      </c>
      <c r="X10" s="64">
        <v>3.06902849460434</v>
      </c>
      <c r="Y10" s="64">
        <v>0</v>
      </c>
      <c r="Z10" s="64">
        <v>0</v>
      </c>
      <c r="AA10" s="64">
        <v>0</v>
      </c>
      <c r="AB10" s="64">
        <v>0</v>
      </c>
      <c r="AC10" s="64">
        <v>286.82390480200098</v>
      </c>
      <c r="AD10" s="64">
        <v>0</v>
      </c>
      <c r="AE10" s="64">
        <v>0</v>
      </c>
      <c r="AF10" s="64">
        <v>0</v>
      </c>
      <c r="AG10" s="64">
        <v>0</v>
      </c>
      <c r="AH10" s="64">
        <v>0</v>
      </c>
    </row>
    <row r="11" spans="1:34" ht="11.25" customHeight="1" x14ac:dyDescent="0.25">
      <c r="A11" s="177"/>
      <c r="B11" s="177"/>
      <c r="C11" s="177"/>
      <c r="D11" s="177"/>
      <c r="E11" s="177"/>
      <c r="F11" s="177"/>
      <c r="G11" s="66" t="s">
        <v>80</v>
      </c>
      <c r="H11" s="66" t="s">
        <v>78</v>
      </c>
      <c r="I11" s="66">
        <f>'MERCADO TE'!$U$8</f>
        <v>16.794</v>
      </c>
      <c r="J11" s="16"/>
      <c r="L11" s="64">
        <f>('TE BE'!$L$11+'TE BF'!$L$11+'TE CVA'!$L$11)*1</f>
        <v>2.9404386364919461</v>
      </c>
      <c r="M11" s="64">
        <f>('TE BE'!$M$11+'TE BF'!$M$11+'TE CVA'!$M$11)*1</f>
        <v>0</v>
      </c>
      <c r="N11" s="64">
        <f>('TE BE'!$N$11+'TE BF'!$N$11+'TE CVA'!$N$11)*1</f>
        <v>0</v>
      </c>
      <c r="O11" s="64">
        <f>('TE BE'!$O$11+'TE BF'!$O$11+'TE CVA'!$O$11)*1</f>
        <v>8.5357591581914836</v>
      </c>
      <c r="P11" s="64">
        <f>('TE BE'!$P$11+'TE BF'!$P$11+'TE CVA'!$P$11)*1</f>
        <v>0</v>
      </c>
      <c r="Q11" s="64">
        <f>('TE BE'!$R$11+'TE BF'!$R$11+'TE CVA'!$R$11)*1</f>
        <v>272.56553547082871</v>
      </c>
      <c r="R11" s="64">
        <f>('TE BE'!$T$11+'TE BF'!$T$11+'TE CVA'!$T$11)*1</f>
        <v>0</v>
      </c>
      <c r="S11" s="64">
        <f>('TE BE'!$U$11+'TE BF'!$U$11+'TE CVA'!$U$11)*1</f>
        <v>0</v>
      </c>
      <c r="T11" s="64">
        <f>('TE BE'!$V$11+'TE BF'!$V$11+'TE CVA'!$V$11)*1</f>
        <v>0</v>
      </c>
      <c r="U11" s="64">
        <f>('TE BE'!$X$11+'TE BF'!$X$11+'TE CVA'!$X$11)*1</f>
        <v>-48.70184209063234</v>
      </c>
      <c r="V11" s="64">
        <f>('TE BE'!$Z$11+'TE BF'!$Z$11+'TE CVA'!$Z$11)*1</f>
        <v>0</v>
      </c>
      <c r="X11" s="64">
        <v>3.06902849460434</v>
      </c>
      <c r="Y11" s="64">
        <v>0</v>
      </c>
      <c r="Z11" s="64">
        <v>0</v>
      </c>
      <c r="AA11" s="64">
        <v>0</v>
      </c>
      <c r="AB11" s="64">
        <v>0</v>
      </c>
      <c r="AC11" s="64">
        <v>286.82390480200098</v>
      </c>
      <c r="AD11" s="64">
        <v>0</v>
      </c>
      <c r="AE11" s="64">
        <v>0</v>
      </c>
      <c r="AF11" s="64">
        <v>0</v>
      </c>
      <c r="AG11" s="64">
        <v>0</v>
      </c>
      <c r="AH11" s="64">
        <v>0</v>
      </c>
    </row>
    <row r="12" spans="1:34" ht="11.25" customHeight="1" x14ac:dyDescent="0.25">
      <c r="A12" s="177"/>
      <c r="B12" s="177" t="s">
        <v>81</v>
      </c>
      <c r="C12" s="177" t="s">
        <v>24</v>
      </c>
      <c r="D12" s="118" t="s">
        <v>24</v>
      </c>
      <c r="E12" s="118" t="s">
        <v>25</v>
      </c>
      <c r="F12" s="118" t="s">
        <v>25</v>
      </c>
      <c r="G12" s="66" t="s">
        <v>82</v>
      </c>
      <c r="H12" s="66" t="s">
        <v>78</v>
      </c>
      <c r="I12" s="66">
        <f>'MERCADO TE'!$U$9</f>
        <v>38061.052999999993</v>
      </c>
      <c r="J12" s="16"/>
      <c r="L12" s="64">
        <f>('TE BE'!$L$12+'TE BF'!$L$12+'TE CVA'!$L$12)*1</f>
        <v>2.9404386364919461</v>
      </c>
      <c r="M12" s="64">
        <f>('TE BE'!$M$12+'TE BF'!$M$12+'TE CVA'!$M$12)*1</f>
        <v>0</v>
      </c>
      <c r="N12" s="64">
        <f>('TE BE'!$N$12+'TE BF'!$N$12+'TE CVA'!$N$12)*1</f>
        <v>0</v>
      </c>
      <c r="O12" s="64">
        <f>('TE BE'!$O$12+'TE BF'!$O$12+'TE CVA'!$O$12)*1</f>
        <v>8.5357591581914836</v>
      </c>
      <c r="P12" s="64">
        <f>('TE BE'!$P$12+'TE BF'!$P$12+'TE CVA'!$P$12)*1</f>
        <v>0</v>
      </c>
      <c r="Q12" s="64">
        <f>('TE BE'!$R$12+'TE BF'!$R$12+'TE CVA'!$R$12)*1</f>
        <v>288.91946759907842</v>
      </c>
      <c r="R12" s="64">
        <f>('TE BE'!$T$12+'TE BF'!$T$12+'TE CVA'!$T$12)*1</f>
        <v>0</v>
      </c>
      <c r="S12" s="64">
        <f>('TE BE'!$U$12+'TE BF'!$U$12+'TE CVA'!$U$12)*1</f>
        <v>0</v>
      </c>
      <c r="T12" s="64">
        <f>('TE BE'!$V$12+'TE BF'!$V$12+'TE CVA'!$V$12)*1</f>
        <v>0</v>
      </c>
      <c r="U12" s="64">
        <f>('TE BE'!$X$12+'TE BF'!$X$12+'TE CVA'!$X$12)*1</f>
        <v>-51.499378445049217</v>
      </c>
      <c r="V12" s="64">
        <f>('TE BE'!$Z$12+'TE BF'!$Z$12+'TE CVA'!$Z$12)*1</f>
        <v>0</v>
      </c>
      <c r="X12" s="64">
        <v>3.06902849460434</v>
      </c>
      <c r="Y12" s="64">
        <v>0</v>
      </c>
      <c r="Z12" s="64">
        <v>0</v>
      </c>
      <c r="AA12" s="64">
        <v>0</v>
      </c>
      <c r="AB12" s="64">
        <v>0</v>
      </c>
      <c r="AC12" s="64">
        <v>304.03333909012099</v>
      </c>
      <c r="AD12" s="64">
        <v>0</v>
      </c>
      <c r="AE12" s="64">
        <v>0</v>
      </c>
      <c r="AF12" s="64">
        <v>0</v>
      </c>
      <c r="AG12" s="64">
        <v>0</v>
      </c>
      <c r="AH12" s="64">
        <v>0</v>
      </c>
    </row>
    <row r="13" spans="1:34" ht="11.25" customHeight="1" x14ac:dyDescent="0.25">
      <c r="A13" s="177"/>
      <c r="B13" s="177"/>
      <c r="C13" s="177"/>
      <c r="D13" s="118" t="s">
        <v>28</v>
      </c>
      <c r="E13" s="118" t="s">
        <v>25</v>
      </c>
      <c r="F13" s="118" t="s">
        <v>25</v>
      </c>
      <c r="G13" s="66" t="s">
        <v>82</v>
      </c>
      <c r="H13" s="66" t="s">
        <v>78</v>
      </c>
      <c r="I13" s="66">
        <f>'MERCADO TE'!$U$10</f>
        <v>264.92899999999997</v>
      </c>
      <c r="J13" s="16"/>
      <c r="L13" s="64">
        <f>('TE BE'!$L$13+'TE BF'!$L$13+'TE CVA'!$L$13)*(1 - 0.65)</f>
        <v>1.0291535227721811</v>
      </c>
      <c r="M13" s="64">
        <f>('TE BE'!$M$13+'TE BF'!$M$13+'TE CVA'!$M$13)*(1 - 0.65)</f>
        <v>0</v>
      </c>
      <c r="N13" s="64">
        <f>('TE BE'!$N$13+'TE BF'!$N$13+'TE CVA'!$N$13)*(1 - 0.65)</f>
        <v>0</v>
      </c>
      <c r="O13" s="64">
        <f>('TE BE'!$O$13+'TE BF'!$O$13+'TE CVA'!$O$13)*(1 - 0.65)</f>
        <v>2.9875157053670192</v>
      </c>
      <c r="P13" s="64">
        <f>('TE BE'!$P$13+'TE BF'!$P$13+'TE CVA'!$P$13)*(1 - 0.65)</f>
        <v>0</v>
      </c>
      <c r="Q13" s="64">
        <f>('TE BE'!$R$13+'TE BF'!$R$13+'TE CVA'!$R$13)*(1 - 0.65)</f>
        <v>101.12181365967744</v>
      </c>
      <c r="R13" s="64">
        <f>('TE BE'!$T$13+'TE BF'!$T$13+'TE CVA'!$T$13)*(1 - 0.65)</f>
        <v>0</v>
      </c>
      <c r="S13" s="64">
        <f>('TE BE'!$U$13+'TE BF'!$U$13+'TE CVA'!$U$13)*(1 - 0.65)</f>
        <v>0</v>
      </c>
      <c r="T13" s="64">
        <f>('TE BE'!$V$13+'TE BF'!$V$13+'TE CVA'!$V$13)*(1 - 0.65)</f>
        <v>0</v>
      </c>
      <c r="U13" s="64">
        <f>('TE BE'!$X$13+'TE BF'!$X$13+'TE CVA'!$X$13)*(1 - 0.65)</f>
        <v>-18.024782455767223</v>
      </c>
      <c r="V13" s="64">
        <f>('TE BE'!$Z$13+'TE BF'!$Z$13+'TE CVA'!$Z$13)*(1 - 0.65)</f>
        <v>0</v>
      </c>
      <c r="X13" s="64">
        <v>1.0741599731115199</v>
      </c>
      <c r="Y13" s="64">
        <v>0</v>
      </c>
      <c r="Z13" s="64">
        <v>0</v>
      </c>
      <c r="AA13" s="64">
        <v>0</v>
      </c>
      <c r="AB13" s="64">
        <v>0</v>
      </c>
      <c r="AC13" s="64">
        <v>106.411668681542</v>
      </c>
      <c r="AD13" s="64">
        <v>0</v>
      </c>
      <c r="AE13" s="64">
        <v>0</v>
      </c>
      <c r="AF13" s="64">
        <v>0</v>
      </c>
      <c r="AG13" s="64">
        <v>0</v>
      </c>
      <c r="AH13" s="64">
        <v>0</v>
      </c>
    </row>
    <row r="14" spans="1:34" ht="11.25" customHeight="1" x14ac:dyDescent="0.25">
      <c r="A14" s="177"/>
      <c r="B14" s="177"/>
      <c r="C14" s="177"/>
      <c r="D14" s="118" t="s">
        <v>29</v>
      </c>
      <c r="E14" s="118" t="s">
        <v>25</v>
      </c>
      <c r="F14" s="118" t="s">
        <v>25</v>
      </c>
      <c r="G14" s="66" t="s">
        <v>82</v>
      </c>
      <c r="H14" s="66" t="s">
        <v>78</v>
      </c>
      <c r="I14" s="66">
        <f>'MERCADO TE'!$U$11</f>
        <v>546.98300000000006</v>
      </c>
      <c r="J14" s="16"/>
      <c r="L14" s="64">
        <f>('TE BE'!$L$14+'TE BF'!$L$14+'TE CVA'!$L$14)*(1 - 0.4)</f>
        <v>1.7642631818951677</v>
      </c>
      <c r="M14" s="64">
        <f>('TE BE'!$M$14+'TE BF'!$M$14+'TE CVA'!$M$14)*(1 - 0.4)</f>
        <v>0</v>
      </c>
      <c r="N14" s="64">
        <f>('TE BE'!$N$14+'TE BF'!$N$14+'TE CVA'!$N$14)*(1 - 0.4)</f>
        <v>0</v>
      </c>
      <c r="O14" s="64">
        <f>('TE BE'!$O$14+'TE BF'!$O$14+'TE CVA'!$O$14)*(1 - 0.4)</f>
        <v>5.1214554949148896</v>
      </c>
      <c r="P14" s="64">
        <f>('TE BE'!$P$14+'TE BF'!$P$14+'TE CVA'!$P$14)*(1 - 0.4)</f>
        <v>0</v>
      </c>
      <c r="Q14" s="64">
        <f>('TE BE'!$R$14+'TE BF'!$R$14+'TE CVA'!$R$14)*(1 - 0.4)</f>
        <v>173.35168055944703</v>
      </c>
      <c r="R14" s="64">
        <f>('TE BE'!$T$14+'TE BF'!$T$14+'TE CVA'!$T$14)*(1 - 0.4)</f>
        <v>0</v>
      </c>
      <c r="S14" s="64">
        <f>('TE BE'!$U$14+'TE BF'!$U$14+'TE CVA'!$U$14)*(1 - 0.4)</f>
        <v>0</v>
      </c>
      <c r="T14" s="64">
        <f>('TE BE'!$V$14+'TE BF'!$V$14+'TE CVA'!$V$14)*(1 - 0.4)</f>
        <v>0</v>
      </c>
      <c r="U14" s="64">
        <f>('TE BE'!$X$14+'TE BF'!$X$14+'TE CVA'!$X$14)*(1 - 0.4)</f>
        <v>-30.899627067029527</v>
      </c>
      <c r="V14" s="64">
        <f>('TE BE'!$Z$14+'TE BF'!$Z$14+'TE CVA'!$Z$14)*(1 - 0.4)</f>
        <v>0</v>
      </c>
      <c r="X14" s="64">
        <v>1.84141709676261</v>
      </c>
      <c r="Y14" s="64">
        <v>0</v>
      </c>
      <c r="Z14" s="64">
        <v>0</v>
      </c>
      <c r="AA14" s="64">
        <v>0</v>
      </c>
      <c r="AB14" s="64">
        <v>0</v>
      </c>
      <c r="AC14" s="64">
        <v>182.420003454073</v>
      </c>
      <c r="AD14" s="64">
        <v>0</v>
      </c>
      <c r="AE14" s="64">
        <v>0</v>
      </c>
      <c r="AF14" s="64">
        <v>0</v>
      </c>
      <c r="AG14" s="64">
        <v>0</v>
      </c>
      <c r="AH14" s="64">
        <v>0</v>
      </c>
    </row>
    <row r="15" spans="1:34" ht="11.25" customHeight="1" x14ac:dyDescent="0.25">
      <c r="A15" s="177"/>
      <c r="B15" s="177"/>
      <c r="C15" s="177"/>
      <c r="D15" s="118" t="s">
        <v>30</v>
      </c>
      <c r="E15" s="118" t="s">
        <v>25</v>
      </c>
      <c r="F15" s="118" t="s">
        <v>25</v>
      </c>
      <c r="G15" s="66" t="s">
        <v>82</v>
      </c>
      <c r="H15" s="66" t="s">
        <v>78</v>
      </c>
      <c r="I15" s="66">
        <f>'MERCADO TE'!$U$12</f>
        <v>480.18299999999999</v>
      </c>
      <c r="J15" s="16"/>
      <c r="L15" s="64">
        <f>('TE BE'!$L$15+'TE BF'!$L$15+'TE CVA'!$L$15)*(1 - 0.1)</f>
        <v>2.6463947728427515</v>
      </c>
      <c r="M15" s="64">
        <f>('TE BE'!$M$15+'TE BF'!$M$15+'TE CVA'!$M$15)*(1 - 0.1)</f>
        <v>0</v>
      </c>
      <c r="N15" s="64">
        <f>('TE BE'!$N$15+'TE BF'!$N$15+'TE CVA'!$N$15)*(1 - 0.1)</f>
        <v>0</v>
      </c>
      <c r="O15" s="64">
        <f>('TE BE'!$O$15+'TE BF'!$O$15+'TE CVA'!$O$15)*(1 - 0.1)</f>
        <v>7.6821832423723357</v>
      </c>
      <c r="P15" s="64">
        <f>('TE BE'!$P$15+'TE BF'!$P$15+'TE CVA'!$P$15)*(1 - 0.1)</f>
        <v>0</v>
      </c>
      <c r="Q15" s="64">
        <f>('TE BE'!$R$15+'TE BF'!$R$15+'TE CVA'!$R$15)*(1 - 0.1)</f>
        <v>260.02752083917056</v>
      </c>
      <c r="R15" s="64">
        <f>('TE BE'!$T$15+'TE BF'!$T$15+'TE CVA'!$T$15)*(1 - 0.1)</f>
        <v>0</v>
      </c>
      <c r="S15" s="64">
        <f>('TE BE'!$U$15+'TE BF'!$U$15+'TE CVA'!$U$15)*(1 - 0.1)</f>
        <v>0</v>
      </c>
      <c r="T15" s="64">
        <f>('TE BE'!$V$15+'TE BF'!$V$15+'TE CVA'!$V$15)*(1 - 0.1)</f>
        <v>0</v>
      </c>
      <c r="U15" s="64">
        <f>('TE BE'!$X$15+'TE BF'!$X$15+'TE CVA'!$X$15)*(1 - 0.1)</f>
        <v>-46.349440600544298</v>
      </c>
      <c r="V15" s="64">
        <f>('TE BE'!$Z$15+'TE BF'!$Z$15+'TE CVA'!$Z$15)*(1 - 0.1)</f>
        <v>0</v>
      </c>
      <c r="X15" s="64">
        <v>2.76212564514391</v>
      </c>
      <c r="Y15" s="64">
        <v>0</v>
      </c>
      <c r="Z15" s="64">
        <v>0</v>
      </c>
      <c r="AA15" s="64">
        <v>0</v>
      </c>
      <c r="AB15" s="64">
        <v>0</v>
      </c>
      <c r="AC15" s="64">
        <v>273.63000518110903</v>
      </c>
      <c r="AD15" s="64">
        <v>0</v>
      </c>
      <c r="AE15" s="64">
        <v>0</v>
      </c>
      <c r="AF15" s="64">
        <v>0</v>
      </c>
      <c r="AG15" s="64">
        <v>0</v>
      </c>
      <c r="AH15" s="64">
        <v>0</v>
      </c>
    </row>
    <row r="16" spans="1:34" ht="11.25" customHeight="1" x14ac:dyDescent="0.25">
      <c r="A16" s="177"/>
      <c r="B16" s="177"/>
      <c r="C16" s="177"/>
      <c r="D16" s="118" t="s">
        <v>31</v>
      </c>
      <c r="E16" s="118" t="s">
        <v>25</v>
      </c>
      <c r="F16" s="118" t="s">
        <v>25</v>
      </c>
      <c r="G16" s="66" t="s">
        <v>82</v>
      </c>
      <c r="H16" s="66" t="s">
        <v>78</v>
      </c>
      <c r="I16" s="66">
        <f>'MERCADO TE'!$U$13</f>
        <v>145.91099999999997</v>
      </c>
      <c r="J16" s="16"/>
      <c r="L16" s="64">
        <f>('TE BE'!$L$16+'TE BF'!$L$16+'TE CVA'!$L$16)*1</f>
        <v>2.9404386364919461</v>
      </c>
      <c r="M16" s="64">
        <f>('TE BE'!$M$16+'TE BF'!$M$16+'TE CVA'!$M$16)*1</f>
        <v>0</v>
      </c>
      <c r="N16" s="64">
        <f>('TE BE'!$N$16+'TE BF'!$N$16+'TE CVA'!$N$16)*1</f>
        <v>0</v>
      </c>
      <c r="O16" s="64">
        <f>('TE BE'!$O$16+'TE BF'!$O$16+'TE CVA'!$O$16)*1</f>
        <v>8.5357591581914836</v>
      </c>
      <c r="P16" s="64">
        <f>('TE BE'!$P$16+'TE BF'!$P$16+'TE CVA'!$P$16)*1</f>
        <v>0</v>
      </c>
      <c r="Q16" s="64">
        <f>('TE BE'!$R$16+'TE BF'!$R$16+'TE CVA'!$R$16)*1</f>
        <v>288.91946759907842</v>
      </c>
      <c r="R16" s="64">
        <f>('TE BE'!$T$16+'TE BF'!$T$16+'TE CVA'!$T$16)*1</f>
        <v>0</v>
      </c>
      <c r="S16" s="64">
        <f>('TE BE'!$U$16+'TE BF'!$U$16+'TE CVA'!$U$16)*1</f>
        <v>0</v>
      </c>
      <c r="T16" s="64">
        <f>('TE BE'!$V$16+'TE BF'!$V$16+'TE CVA'!$V$16)*1</f>
        <v>0</v>
      </c>
      <c r="U16" s="64">
        <f>('TE BE'!$X$16+'TE BF'!$X$16+'TE CVA'!$X$16)*1</f>
        <v>-51.499378445049217</v>
      </c>
      <c r="V16" s="64">
        <f>('TE BE'!$Z$16+'TE BF'!$Z$16+'TE CVA'!$Z$16)*1</f>
        <v>0</v>
      </c>
      <c r="X16" s="64">
        <v>3.06902849460434</v>
      </c>
      <c r="Y16" s="64">
        <v>0</v>
      </c>
      <c r="Z16" s="64">
        <v>0</v>
      </c>
      <c r="AA16" s="64">
        <v>0</v>
      </c>
      <c r="AB16" s="64">
        <v>0</v>
      </c>
      <c r="AC16" s="64">
        <v>304.03333909012099</v>
      </c>
      <c r="AD16" s="64">
        <v>0</v>
      </c>
      <c r="AE16" s="64">
        <v>0</v>
      </c>
      <c r="AF16" s="64">
        <v>0</v>
      </c>
      <c r="AG16" s="64">
        <v>0</v>
      </c>
      <c r="AH16" s="64">
        <v>0</v>
      </c>
    </row>
    <row r="17" spans="1:34" ht="11.25" customHeight="1" x14ac:dyDescent="0.25">
      <c r="A17" s="177"/>
      <c r="B17" s="177" t="s">
        <v>93</v>
      </c>
      <c r="C17" s="177" t="s">
        <v>24</v>
      </c>
      <c r="D17" s="118" t="s">
        <v>24</v>
      </c>
      <c r="E17" s="118" t="s">
        <v>25</v>
      </c>
      <c r="F17" s="118" t="s">
        <v>25</v>
      </c>
      <c r="G17" s="66" t="s">
        <v>82</v>
      </c>
      <c r="H17" s="66" t="s">
        <v>78</v>
      </c>
      <c r="I17" s="66">
        <f>'MERCADO TE'!$U$14</f>
        <v>0</v>
      </c>
      <c r="J17" s="16"/>
      <c r="L17" s="64">
        <f>('TE BE'!$L$17+'TE BF'!$L$17+'TE CVA'!$L$17)*1</f>
        <v>2.9404386364919461</v>
      </c>
      <c r="M17" s="64">
        <f>('TE BE'!$M$17+'TE BF'!$M$17+'TE CVA'!$M$17)*1</f>
        <v>0</v>
      </c>
      <c r="N17" s="64">
        <f>('TE BE'!$N$17+'TE BF'!$N$17+'TE CVA'!$N$17)*1</f>
        <v>0</v>
      </c>
      <c r="O17" s="64">
        <f>('TE BE'!$O$17+'TE BF'!$O$17+'TE CVA'!$O$17)*1</f>
        <v>8.5357591581914836</v>
      </c>
      <c r="P17" s="64">
        <f>('TE BE'!$P$17+'TE BF'!$P$17+'TE CVA'!$P$17)*1</f>
        <v>0</v>
      </c>
      <c r="Q17" s="64">
        <f>('TE BE'!$R$17+'TE BF'!$R$17+'TE CVA'!$R$17)*1</f>
        <v>288.91946759907842</v>
      </c>
      <c r="R17" s="64">
        <f>('TE BE'!$T$17+'TE BF'!$T$17+'TE CVA'!$T$17)*1</f>
        <v>0</v>
      </c>
      <c r="S17" s="64">
        <f>('TE BE'!$U$17+'TE BF'!$U$17+'TE CVA'!$U$17)*1</f>
        <v>0</v>
      </c>
      <c r="T17" s="64">
        <f>('TE BE'!$V$17+'TE BF'!$V$17+'TE CVA'!$V$17)*1</f>
        <v>0</v>
      </c>
      <c r="U17" s="64">
        <f>('TE BE'!$X$17+'TE BF'!$X$17+'TE CVA'!$X$17)*1</f>
        <v>-51.499378445049217</v>
      </c>
      <c r="V17" s="64">
        <f>('TE BE'!$Z$17+'TE BF'!$Z$17+'TE CVA'!$Z$17)*1</f>
        <v>0</v>
      </c>
      <c r="X17" s="64">
        <v>3.06902849460434</v>
      </c>
      <c r="Y17" s="64">
        <v>0</v>
      </c>
      <c r="Z17" s="64">
        <v>0</v>
      </c>
      <c r="AA17" s="64">
        <v>0</v>
      </c>
      <c r="AB17" s="64">
        <v>0</v>
      </c>
      <c r="AC17" s="64">
        <v>304.03333909012099</v>
      </c>
      <c r="AD17" s="64">
        <v>0</v>
      </c>
      <c r="AE17" s="64">
        <v>0</v>
      </c>
      <c r="AF17" s="64">
        <v>0</v>
      </c>
      <c r="AG17" s="64">
        <v>0</v>
      </c>
      <c r="AH17" s="64">
        <v>0</v>
      </c>
    </row>
    <row r="18" spans="1:34" ht="11.25" customHeight="1" x14ac:dyDescent="0.25">
      <c r="A18" s="177"/>
      <c r="B18" s="177"/>
      <c r="C18" s="177"/>
      <c r="D18" s="118" t="s">
        <v>28</v>
      </c>
      <c r="E18" s="118" t="s">
        <v>25</v>
      </c>
      <c r="F18" s="118" t="s">
        <v>25</v>
      </c>
      <c r="G18" s="66" t="s">
        <v>82</v>
      </c>
      <c r="H18" s="66" t="s">
        <v>78</v>
      </c>
      <c r="I18" s="66">
        <f>'MERCADO TE'!$U$15</f>
        <v>0</v>
      </c>
      <c r="J18" s="16"/>
      <c r="L18" s="64">
        <f>('TE BE'!$L$18+'TE BF'!$L$18+'TE CVA'!$L$18)*(1 - 0.65)</f>
        <v>1.0291535227721811</v>
      </c>
      <c r="M18" s="64">
        <f>('TE BE'!$M$18+'TE BF'!$M$18+'TE CVA'!$M$18)*(1 - 0.65)</f>
        <v>0</v>
      </c>
      <c r="N18" s="64">
        <f>('TE BE'!$N$18+'TE BF'!$N$18+'TE CVA'!$N$18)*(1 - 0.65)</f>
        <v>0</v>
      </c>
      <c r="O18" s="64">
        <f>('TE BE'!$O$18+'TE BF'!$O$18+'TE CVA'!$O$18)*(1 - 0.65)</f>
        <v>2.9875157053670192</v>
      </c>
      <c r="P18" s="64">
        <f>('TE BE'!$P$18+'TE BF'!$P$18+'TE CVA'!$P$18)*(1 - 0.65)</f>
        <v>0</v>
      </c>
      <c r="Q18" s="64">
        <f>('TE BE'!$R$18+'TE BF'!$R$18+'TE CVA'!$R$18)*(1 - 0.65)</f>
        <v>101.12181365967744</v>
      </c>
      <c r="R18" s="64">
        <f>('TE BE'!$T$18+'TE BF'!$T$18+'TE CVA'!$T$18)*(1 - 0.65)</f>
        <v>0</v>
      </c>
      <c r="S18" s="64">
        <f>('TE BE'!$U$18+'TE BF'!$U$18+'TE CVA'!$U$18)*(1 - 0.65)</f>
        <v>0</v>
      </c>
      <c r="T18" s="64">
        <f>('TE BE'!$V$18+'TE BF'!$V$18+'TE CVA'!$V$18)*(1 - 0.65)</f>
        <v>0</v>
      </c>
      <c r="U18" s="64">
        <f>('TE BE'!$X$18+'TE BF'!$X$18+'TE CVA'!$X$18)*(1 - 0.65)</f>
        <v>-18.024782455767223</v>
      </c>
      <c r="V18" s="64">
        <f>('TE BE'!$Z$18+'TE BF'!$Z$18+'TE CVA'!$Z$18)*(1 - 0.65)</f>
        <v>0</v>
      </c>
      <c r="X18" s="64">
        <v>1.0741599731115199</v>
      </c>
      <c r="Y18" s="64">
        <v>0</v>
      </c>
      <c r="Z18" s="64">
        <v>0</v>
      </c>
      <c r="AA18" s="64">
        <v>0</v>
      </c>
      <c r="AB18" s="64">
        <v>0</v>
      </c>
      <c r="AC18" s="64">
        <v>106.411668681542</v>
      </c>
      <c r="AD18" s="64">
        <v>0</v>
      </c>
      <c r="AE18" s="64">
        <v>0</v>
      </c>
      <c r="AF18" s="64">
        <v>0</v>
      </c>
      <c r="AG18" s="64">
        <v>0</v>
      </c>
      <c r="AH18" s="64">
        <v>0</v>
      </c>
    </row>
    <row r="19" spans="1:34" ht="11.25" customHeight="1" x14ac:dyDescent="0.25">
      <c r="A19" s="177"/>
      <c r="B19" s="177"/>
      <c r="C19" s="177"/>
      <c r="D19" s="118" t="s">
        <v>29</v>
      </c>
      <c r="E19" s="118" t="s">
        <v>25</v>
      </c>
      <c r="F19" s="118" t="s">
        <v>25</v>
      </c>
      <c r="G19" s="66" t="s">
        <v>82</v>
      </c>
      <c r="H19" s="66" t="s">
        <v>78</v>
      </c>
      <c r="I19" s="66">
        <f>'MERCADO TE'!$U$16</f>
        <v>0</v>
      </c>
      <c r="J19" s="16"/>
      <c r="L19" s="64">
        <f>('TE BE'!$L$19+'TE BF'!$L$19+'TE CVA'!$L$19)*(1 - 0.4)</f>
        <v>1.7642631818951677</v>
      </c>
      <c r="M19" s="64">
        <f>('TE BE'!$M$19+'TE BF'!$M$19+'TE CVA'!$M$19)*(1 - 0.4)</f>
        <v>0</v>
      </c>
      <c r="N19" s="64">
        <f>('TE BE'!$N$19+'TE BF'!$N$19+'TE CVA'!$N$19)*(1 - 0.4)</f>
        <v>0</v>
      </c>
      <c r="O19" s="64">
        <f>('TE BE'!$O$19+'TE BF'!$O$19+'TE CVA'!$O$19)*(1 - 0.4)</f>
        <v>5.1214554949148896</v>
      </c>
      <c r="P19" s="64">
        <f>('TE BE'!$P$19+'TE BF'!$P$19+'TE CVA'!$P$19)*(1 - 0.4)</f>
        <v>0</v>
      </c>
      <c r="Q19" s="64">
        <f>('TE BE'!$R$19+'TE BF'!$R$19+'TE CVA'!$R$19)*(1 - 0.4)</f>
        <v>173.35168055944703</v>
      </c>
      <c r="R19" s="64">
        <f>('TE BE'!$T$19+'TE BF'!$T$19+'TE CVA'!$T$19)*(1 - 0.4)</f>
        <v>0</v>
      </c>
      <c r="S19" s="64">
        <f>('TE BE'!$U$19+'TE BF'!$U$19+'TE CVA'!$U$19)*(1 - 0.4)</f>
        <v>0</v>
      </c>
      <c r="T19" s="64">
        <f>('TE BE'!$V$19+'TE BF'!$V$19+'TE CVA'!$V$19)*(1 - 0.4)</f>
        <v>0</v>
      </c>
      <c r="U19" s="64">
        <f>('TE BE'!$X$19+'TE BF'!$X$19+'TE CVA'!$X$19)*(1 - 0.4)</f>
        <v>-30.899627067029527</v>
      </c>
      <c r="V19" s="64">
        <f>('TE BE'!$Z$19+'TE BF'!$Z$19+'TE CVA'!$Z$19)*(1 - 0.4)</f>
        <v>0</v>
      </c>
      <c r="X19" s="64">
        <v>1.84141709676261</v>
      </c>
      <c r="Y19" s="64">
        <v>0</v>
      </c>
      <c r="Z19" s="64">
        <v>0</v>
      </c>
      <c r="AA19" s="64">
        <v>0</v>
      </c>
      <c r="AB19" s="64">
        <v>0</v>
      </c>
      <c r="AC19" s="64">
        <v>182.420003454073</v>
      </c>
      <c r="AD19" s="64">
        <v>0</v>
      </c>
      <c r="AE19" s="64">
        <v>0</v>
      </c>
      <c r="AF19" s="64">
        <v>0</v>
      </c>
      <c r="AG19" s="64">
        <v>0</v>
      </c>
      <c r="AH19" s="64">
        <v>0</v>
      </c>
    </row>
    <row r="20" spans="1:34" ht="11.25" customHeight="1" x14ac:dyDescent="0.25">
      <c r="A20" s="177"/>
      <c r="B20" s="177"/>
      <c r="C20" s="177"/>
      <c r="D20" s="118" t="s">
        <v>30</v>
      </c>
      <c r="E20" s="118" t="s">
        <v>25</v>
      </c>
      <c r="F20" s="118" t="s">
        <v>25</v>
      </c>
      <c r="G20" s="66" t="s">
        <v>82</v>
      </c>
      <c r="H20" s="66" t="s">
        <v>78</v>
      </c>
      <c r="I20" s="66">
        <f>'MERCADO TE'!$U$17</f>
        <v>0</v>
      </c>
      <c r="J20" s="16"/>
      <c r="L20" s="64">
        <f>('TE BE'!$L$20+'TE BF'!$L$20+'TE CVA'!$L$20)*(1 - 0.1)</f>
        <v>2.6463947728427515</v>
      </c>
      <c r="M20" s="64">
        <f>('TE BE'!$M$20+'TE BF'!$M$20+'TE CVA'!$M$20)*(1 - 0.1)</f>
        <v>0</v>
      </c>
      <c r="N20" s="64">
        <f>('TE BE'!$N$20+'TE BF'!$N$20+'TE CVA'!$N$20)*(1 - 0.1)</f>
        <v>0</v>
      </c>
      <c r="O20" s="64">
        <f>('TE BE'!$O$20+'TE BF'!$O$20+'TE CVA'!$O$20)*(1 - 0.1)</f>
        <v>7.6821832423723357</v>
      </c>
      <c r="P20" s="64">
        <f>('TE BE'!$P$20+'TE BF'!$P$20+'TE CVA'!$P$20)*(1 - 0.1)</f>
        <v>0</v>
      </c>
      <c r="Q20" s="64">
        <f>('TE BE'!$R$20+'TE BF'!$R$20+'TE CVA'!$R$20)*(1 - 0.1)</f>
        <v>260.02752083917056</v>
      </c>
      <c r="R20" s="64">
        <f>('TE BE'!$T$20+'TE BF'!$T$20+'TE CVA'!$T$20)*(1 - 0.1)</f>
        <v>0</v>
      </c>
      <c r="S20" s="64">
        <f>('TE BE'!$U$20+'TE BF'!$U$20+'TE CVA'!$U$20)*(1 - 0.1)</f>
        <v>0</v>
      </c>
      <c r="T20" s="64">
        <f>('TE BE'!$V$20+'TE BF'!$V$20+'TE CVA'!$V$20)*(1 - 0.1)</f>
        <v>0</v>
      </c>
      <c r="U20" s="64">
        <f>('TE BE'!$X$20+'TE BF'!$X$20+'TE CVA'!$X$20)*(1 - 0.1)</f>
        <v>-46.349440600544298</v>
      </c>
      <c r="V20" s="64">
        <f>('TE BE'!$Z$20+'TE BF'!$Z$20+'TE CVA'!$Z$20)*(1 - 0.1)</f>
        <v>0</v>
      </c>
      <c r="X20" s="64">
        <v>2.76212564514391</v>
      </c>
      <c r="Y20" s="64">
        <v>0</v>
      </c>
      <c r="Z20" s="64">
        <v>0</v>
      </c>
      <c r="AA20" s="64">
        <v>0</v>
      </c>
      <c r="AB20" s="64">
        <v>0</v>
      </c>
      <c r="AC20" s="64">
        <v>273.63000518110903</v>
      </c>
      <c r="AD20" s="64">
        <v>0</v>
      </c>
      <c r="AE20" s="64">
        <v>0</v>
      </c>
      <c r="AF20" s="64">
        <v>0</v>
      </c>
      <c r="AG20" s="64">
        <v>0</v>
      </c>
      <c r="AH20" s="64">
        <v>0</v>
      </c>
    </row>
    <row r="21" spans="1:34" ht="11.25" customHeight="1" x14ac:dyDescent="0.25">
      <c r="A21" s="177"/>
      <c r="B21" s="177"/>
      <c r="C21" s="177"/>
      <c r="D21" s="118" t="s">
        <v>31</v>
      </c>
      <c r="E21" s="118" t="s">
        <v>25</v>
      </c>
      <c r="F21" s="118" t="s">
        <v>25</v>
      </c>
      <c r="G21" s="66" t="s">
        <v>82</v>
      </c>
      <c r="H21" s="66" t="s">
        <v>78</v>
      </c>
      <c r="I21" s="66">
        <f>'MERCADO TE'!$U$18</f>
        <v>0</v>
      </c>
      <c r="J21" s="16"/>
      <c r="L21" s="64">
        <f>('TE BE'!$L$21+'TE BF'!$L$21+'TE CVA'!$L$21)*1</f>
        <v>2.9404386364919461</v>
      </c>
      <c r="M21" s="64">
        <f>('TE BE'!$M$21+'TE BF'!$M$21+'TE CVA'!$M$21)*1</f>
        <v>0</v>
      </c>
      <c r="N21" s="64">
        <f>('TE BE'!$N$21+'TE BF'!$N$21+'TE CVA'!$N$21)*1</f>
        <v>0</v>
      </c>
      <c r="O21" s="64">
        <f>('TE BE'!$O$21+'TE BF'!$O$21+'TE CVA'!$O$21)*1</f>
        <v>8.5357591581914836</v>
      </c>
      <c r="P21" s="64">
        <f>('TE BE'!$P$21+'TE BF'!$P$21+'TE CVA'!$P$21)*1</f>
        <v>0</v>
      </c>
      <c r="Q21" s="64">
        <f>('TE BE'!$R$21+'TE BF'!$R$21+'TE CVA'!$R$21)*1</f>
        <v>288.91946759907842</v>
      </c>
      <c r="R21" s="64">
        <f>('TE BE'!$T$21+'TE BF'!$T$21+'TE CVA'!$T$21)*1</f>
        <v>0</v>
      </c>
      <c r="S21" s="64">
        <f>('TE BE'!$U$21+'TE BF'!$U$21+'TE CVA'!$U$21)*1</f>
        <v>0</v>
      </c>
      <c r="T21" s="64">
        <f>('TE BE'!$V$21+'TE BF'!$V$21+'TE CVA'!$V$21)*1</f>
        <v>0</v>
      </c>
      <c r="U21" s="64">
        <f>('TE BE'!$X$21+'TE BF'!$X$21+'TE CVA'!$X$21)*1</f>
        <v>-51.499378445049217</v>
      </c>
      <c r="V21" s="64">
        <f>('TE BE'!$Z$21+'TE BF'!$Z$21+'TE CVA'!$Z$21)*1</f>
        <v>0</v>
      </c>
      <c r="X21" s="64">
        <v>3.06902849460434</v>
      </c>
      <c r="Y21" s="64">
        <v>0</v>
      </c>
      <c r="Z21" s="64">
        <v>0</v>
      </c>
      <c r="AA21" s="64">
        <v>0</v>
      </c>
      <c r="AB21" s="64">
        <v>0</v>
      </c>
      <c r="AC21" s="64">
        <v>304.03333909012099</v>
      </c>
      <c r="AD21" s="64">
        <v>0</v>
      </c>
      <c r="AE21" s="64">
        <v>0</v>
      </c>
      <c r="AF21" s="64">
        <v>0</v>
      </c>
      <c r="AG21" s="64">
        <v>0</v>
      </c>
      <c r="AH21" s="64">
        <v>0</v>
      </c>
    </row>
    <row r="22" spans="1:34" ht="11.25" customHeight="1" x14ac:dyDescent="0.25">
      <c r="A22" s="177" t="s">
        <v>42</v>
      </c>
      <c r="B22" s="177" t="s">
        <v>77</v>
      </c>
      <c r="C22" s="177" t="s">
        <v>43</v>
      </c>
      <c r="D22" s="177" t="s">
        <v>25</v>
      </c>
      <c r="E22" s="177" t="s">
        <v>25</v>
      </c>
      <c r="F22" s="177" t="s">
        <v>25</v>
      </c>
      <c r="G22" s="66" t="s">
        <v>79</v>
      </c>
      <c r="H22" s="66" t="s">
        <v>78</v>
      </c>
      <c r="I22" s="66">
        <f>'MERCADO TE'!$U$19</f>
        <v>0</v>
      </c>
      <c r="J22" s="16"/>
      <c r="L22" s="64">
        <f>('TE BE'!$L$22+'TE BF'!$L$22+'TE CVA'!$L$22)*(1 - CUSTOS!$M$38)</f>
        <v>2.7640123183024294</v>
      </c>
      <c r="M22" s="64">
        <f>('TE BE'!$M$22+'TE BF'!$M$22+'TE CVA'!$M$22)*(1 - CUSTOS!$M$38)</f>
        <v>0</v>
      </c>
      <c r="N22" s="64">
        <f>('TE BE'!$N$22+'TE BF'!$N$22+'TE CVA'!$N$22)*(1 - CUSTOS!$M$38)</f>
        <v>0</v>
      </c>
      <c r="O22" s="64">
        <f>('TE BE'!$O$22+'TE BF'!$O$22+'TE CVA'!$O$22)*(1 - CUSTOS!$M$38)</f>
        <v>8.0236136086999945</v>
      </c>
      <c r="P22" s="64">
        <f>('TE BE'!$P$22+'TE BF'!$P$22+'TE CVA'!$P$22)*(1 - CUSTOS!$M$38)</f>
        <v>0</v>
      </c>
      <c r="Q22" s="64">
        <f>('TE BE'!$R$22+'TE BF'!$R$22+'TE CVA'!$R$22)*(1 - CUSTOS!$M$38)</f>
        <v>440.68395774923584</v>
      </c>
      <c r="R22" s="64">
        <f>('TE BE'!$T$22+'TE BF'!$T$22+'TE CVA'!$T$22)*(1 - CUSTOS!$M$38)</f>
        <v>0</v>
      </c>
      <c r="S22" s="64">
        <f>('TE BE'!$U$22+'TE BF'!$U$22+'TE CVA'!$U$22)*(1 - CUSTOS!$M$38)</f>
        <v>0</v>
      </c>
      <c r="T22" s="64">
        <f>('TE BE'!$V$22+'TE BF'!$V$22+'TE CVA'!$V$22)*(1 - CUSTOS!$M$38)</f>
        <v>0</v>
      </c>
      <c r="U22" s="64">
        <f>('TE BE'!$X$22+'TE BF'!$X$22+'TE CVA'!$X$22)*(1 - CUSTOS!$M$38)</f>
        <v>-77.335941643016739</v>
      </c>
      <c r="V22" s="64">
        <f>('TE BE'!$Z$22+'TE BF'!$Z$22+'TE CVA'!$Z$22)*(1 - CUSTOS!$M$38)</f>
        <v>0</v>
      </c>
      <c r="X22" s="64">
        <v>2.7007450752518198</v>
      </c>
      <c r="Y22" s="64">
        <v>0</v>
      </c>
      <c r="Z22" s="64">
        <v>0</v>
      </c>
      <c r="AA22" s="64">
        <v>0</v>
      </c>
      <c r="AB22" s="64">
        <v>0</v>
      </c>
      <c r="AC22" s="64">
        <v>434.13666230830802</v>
      </c>
      <c r="AD22" s="64">
        <v>0</v>
      </c>
      <c r="AE22" s="64">
        <v>0</v>
      </c>
      <c r="AF22" s="64">
        <v>0</v>
      </c>
      <c r="AG22" s="64">
        <v>0</v>
      </c>
      <c r="AH22" s="64">
        <v>0</v>
      </c>
    </row>
    <row r="23" spans="1:34" ht="11.25" customHeight="1" x14ac:dyDescent="0.25">
      <c r="A23" s="177"/>
      <c r="B23" s="177"/>
      <c r="C23" s="177"/>
      <c r="D23" s="177"/>
      <c r="E23" s="177"/>
      <c r="F23" s="177"/>
      <c r="G23" s="66" t="s">
        <v>92</v>
      </c>
      <c r="H23" s="66" t="s">
        <v>78</v>
      </c>
      <c r="I23" s="66">
        <f>'MERCADO TE'!$U$20</f>
        <v>0</v>
      </c>
      <c r="J23" s="16"/>
      <c r="L23" s="64">
        <f>('TE BE'!$L$23+'TE BF'!$L$23+'TE CVA'!$L$23)*(1 - CUSTOS!$M$38)</f>
        <v>2.7640123183024294</v>
      </c>
      <c r="M23" s="64">
        <f>('TE BE'!$M$23+'TE BF'!$M$23+'TE CVA'!$M$23)*(1 - CUSTOS!$M$38)</f>
        <v>0</v>
      </c>
      <c r="N23" s="64">
        <f>('TE BE'!$N$23+'TE BF'!$N$23+'TE CVA'!$N$23)*(1 - CUSTOS!$M$38)</f>
        <v>0</v>
      </c>
      <c r="O23" s="64">
        <f>('TE BE'!$O$23+'TE BF'!$O$23+'TE CVA'!$O$23)*(1 - CUSTOS!$M$38)</f>
        <v>8.0236136086999945</v>
      </c>
      <c r="P23" s="64">
        <f>('TE BE'!$P$23+'TE BF'!$P$23+'TE CVA'!$P$23)*(1 - CUSTOS!$M$38)</f>
        <v>0</v>
      </c>
      <c r="Q23" s="64">
        <f>('TE BE'!$R$23+'TE BF'!$R$23+'TE CVA'!$R$23)*(1 - CUSTOS!$M$38)</f>
        <v>256.211603342579</v>
      </c>
      <c r="R23" s="64">
        <f>('TE BE'!$T$23+'TE BF'!$T$23+'TE CVA'!$T$23)*(1 - CUSTOS!$M$38)</f>
        <v>0</v>
      </c>
      <c r="S23" s="64">
        <f>('TE BE'!$U$23+'TE BF'!$U$23+'TE CVA'!$U$23)*(1 - CUSTOS!$M$38)</f>
        <v>0</v>
      </c>
      <c r="T23" s="64">
        <f>('TE BE'!$V$23+'TE BF'!$V$23+'TE CVA'!$V$23)*(1 - CUSTOS!$M$38)</f>
        <v>0</v>
      </c>
      <c r="U23" s="64">
        <f>('TE BE'!$X$23+'TE BF'!$X$23+'TE CVA'!$X$23)*(1 - CUSTOS!$M$38)</f>
        <v>-45.779731565194396</v>
      </c>
      <c r="V23" s="64">
        <f>('TE BE'!$Z$23+'TE BF'!$Z$23+'TE CVA'!$Z$23)*(1 - CUSTOS!$M$38)</f>
        <v>0</v>
      </c>
      <c r="X23" s="64">
        <v>2.7007450752518198</v>
      </c>
      <c r="Y23" s="64">
        <v>0</v>
      </c>
      <c r="Z23" s="64">
        <v>0</v>
      </c>
      <c r="AA23" s="64">
        <v>0</v>
      </c>
      <c r="AB23" s="64">
        <v>0</v>
      </c>
      <c r="AC23" s="64">
        <v>252.40503622576099</v>
      </c>
      <c r="AD23" s="64">
        <v>0</v>
      </c>
      <c r="AE23" s="64">
        <v>0</v>
      </c>
      <c r="AF23" s="64">
        <v>0</v>
      </c>
      <c r="AG23" s="64">
        <v>0</v>
      </c>
      <c r="AH23" s="64">
        <v>0</v>
      </c>
    </row>
    <row r="24" spans="1:34" ht="11.25" customHeight="1" x14ac:dyDescent="0.25">
      <c r="A24" s="177"/>
      <c r="B24" s="177"/>
      <c r="C24" s="177"/>
      <c r="D24" s="177"/>
      <c r="E24" s="177"/>
      <c r="F24" s="177"/>
      <c r="G24" s="66" t="s">
        <v>80</v>
      </c>
      <c r="H24" s="66" t="s">
        <v>78</v>
      </c>
      <c r="I24" s="66">
        <f>'MERCADO TE'!$U$21</f>
        <v>0</v>
      </c>
      <c r="J24" s="16"/>
      <c r="L24" s="64">
        <f>('TE BE'!$L$24+'TE BF'!$L$24+'TE CVA'!$L$24)*(1 - CUSTOS!$M$38)</f>
        <v>2.7640123183024294</v>
      </c>
      <c r="M24" s="64">
        <f>('TE BE'!$M$24+'TE BF'!$M$24+'TE CVA'!$M$24)*(1 - CUSTOS!$M$38)</f>
        <v>0</v>
      </c>
      <c r="N24" s="64">
        <f>('TE BE'!$N$24+'TE BF'!$N$24+'TE CVA'!$N$24)*(1 - CUSTOS!$M$38)</f>
        <v>0</v>
      </c>
      <c r="O24" s="64">
        <f>('TE BE'!$O$24+'TE BF'!$O$24+'TE CVA'!$O$24)*(1 - CUSTOS!$M$38)</f>
        <v>8.0236136086999945</v>
      </c>
      <c r="P24" s="64">
        <f>('TE BE'!$P$24+'TE BF'!$P$24+'TE CVA'!$P$24)*(1 - CUSTOS!$M$38)</f>
        <v>0</v>
      </c>
      <c r="Q24" s="64">
        <f>('TE BE'!$R$24+'TE BF'!$R$24+'TE CVA'!$R$24)*(1 - CUSTOS!$M$38)</f>
        <v>256.211603342579</v>
      </c>
      <c r="R24" s="64">
        <f>('TE BE'!$T$24+'TE BF'!$T$24+'TE CVA'!$T$24)*(1 - CUSTOS!$M$38)</f>
        <v>0</v>
      </c>
      <c r="S24" s="64">
        <f>('TE BE'!$U$24+'TE BF'!$U$24+'TE CVA'!$U$24)*(1 - CUSTOS!$M$38)</f>
        <v>0</v>
      </c>
      <c r="T24" s="64">
        <f>('TE BE'!$V$24+'TE BF'!$V$24+'TE CVA'!$V$24)*(1 - CUSTOS!$M$38)</f>
        <v>0</v>
      </c>
      <c r="U24" s="64">
        <f>('TE BE'!$X$24+'TE BF'!$X$24+'TE CVA'!$X$24)*(1 - CUSTOS!$M$38)</f>
        <v>-45.779731565194396</v>
      </c>
      <c r="V24" s="64">
        <f>('TE BE'!$Z$24+'TE BF'!$Z$24+'TE CVA'!$Z$24)*(1 - CUSTOS!$M$38)</f>
        <v>0</v>
      </c>
      <c r="X24" s="64">
        <v>2.7007450752518198</v>
      </c>
      <c r="Y24" s="64">
        <v>0</v>
      </c>
      <c r="Z24" s="64">
        <v>0</v>
      </c>
      <c r="AA24" s="64">
        <v>0</v>
      </c>
      <c r="AB24" s="64">
        <v>0</v>
      </c>
      <c r="AC24" s="64">
        <v>252.40503622576099</v>
      </c>
      <c r="AD24" s="64">
        <v>0</v>
      </c>
      <c r="AE24" s="64">
        <v>0</v>
      </c>
      <c r="AF24" s="64">
        <v>0</v>
      </c>
      <c r="AG24" s="64">
        <v>0</v>
      </c>
      <c r="AH24" s="64">
        <v>0</v>
      </c>
    </row>
    <row r="25" spans="1:34" ht="11.25" customHeight="1" x14ac:dyDescent="0.25">
      <c r="A25" s="177"/>
      <c r="B25" s="118" t="s">
        <v>81</v>
      </c>
      <c r="C25" s="118" t="s">
        <v>43</v>
      </c>
      <c r="D25" s="118" t="s">
        <v>25</v>
      </c>
      <c r="E25" s="118" t="s">
        <v>25</v>
      </c>
      <c r="F25" s="118" t="s">
        <v>25</v>
      </c>
      <c r="G25" s="66" t="s">
        <v>82</v>
      </c>
      <c r="H25" s="66" t="s">
        <v>78</v>
      </c>
      <c r="I25" s="66">
        <f>'MERCADO TE'!$U$22</f>
        <v>1694.7730000000001</v>
      </c>
      <c r="J25" s="16"/>
      <c r="L25" s="64">
        <f>('TE BE'!$L$25+'TE BF'!$L$25+'TE CVA'!$L$25)*(1 - CUSTOS!$M$38)</f>
        <v>2.7640123183024294</v>
      </c>
      <c r="M25" s="64">
        <f>('TE BE'!$M$25+'TE BF'!$M$25+'TE CVA'!$M$25)*(1 - CUSTOS!$M$38)</f>
        <v>0</v>
      </c>
      <c r="N25" s="64">
        <f>('TE BE'!$N$25+'TE BF'!$N$25+'TE CVA'!$N$25)*(1 - CUSTOS!$M$38)</f>
        <v>0</v>
      </c>
      <c r="O25" s="64">
        <f>('TE BE'!$O$25+'TE BF'!$O$25+'TE CVA'!$O$25)*(1 - CUSTOS!$M$38)</f>
        <v>8.0236136086999945</v>
      </c>
      <c r="P25" s="64">
        <f>('TE BE'!$P$25+'TE BF'!$P$25+'TE CVA'!$P$25)*(1 - CUSTOS!$M$38)</f>
        <v>0</v>
      </c>
      <c r="Q25" s="64">
        <f>('TE BE'!$R$25+'TE BF'!$R$25+'TE CVA'!$R$25)*(1 - CUSTOS!$M$38)</f>
        <v>271.58429954313368</v>
      </c>
      <c r="R25" s="64">
        <f>('TE BE'!$T$25+'TE BF'!$T$25+'TE CVA'!$T$25)*(1 - CUSTOS!$M$38)</f>
        <v>0</v>
      </c>
      <c r="S25" s="64">
        <f>('TE BE'!$U$25+'TE BF'!$U$25+'TE CVA'!$U$25)*(1 - CUSTOS!$M$38)</f>
        <v>0</v>
      </c>
      <c r="T25" s="64">
        <f>('TE BE'!$V$25+'TE BF'!$V$25+'TE CVA'!$V$25)*(1 - CUSTOS!$M$38)</f>
        <v>0</v>
      </c>
      <c r="U25" s="64">
        <f>('TE BE'!$X$25+'TE BF'!$X$25+'TE CVA'!$X$25)*(1 - CUSTOS!$M$38)</f>
        <v>-48.409415738346262</v>
      </c>
      <c r="V25" s="64">
        <f>('TE BE'!$Z$25+'TE BF'!$Z$25+'TE CVA'!$Z$25)*(1 - CUSTOS!$M$38)</f>
        <v>0</v>
      </c>
      <c r="X25" s="64">
        <v>2.7007450752518198</v>
      </c>
      <c r="Y25" s="64">
        <v>0</v>
      </c>
      <c r="Z25" s="64">
        <v>0</v>
      </c>
      <c r="AA25" s="64">
        <v>0</v>
      </c>
      <c r="AB25" s="64">
        <v>0</v>
      </c>
      <c r="AC25" s="64">
        <v>267.54933839930601</v>
      </c>
      <c r="AD25" s="64">
        <v>0</v>
      </c>
      <c r="AE25" s="64">
        <v>0</v>
      </c>
      <c r="AF25" s="64">
        <v>0</v>
      </c>
      <c r="AG25" s="64">
        <v>0</v>
      </c>
      <c r="AH25" s="64">
        <v>0</v>
      </c>
    </row>
    <row r="26" spans="1:34" ht="11.25" customHeight="1" x14ac:dyDescent="0.25">
      <c r="A26" s="177"/>
      <c r="B26" s="177" t="s">
        <v>77</v>
      </c>
      <c r="C26" s="177" t="s">
        <v>43</v>
      </c>
      <c r="D26" s="177" t="s">
        <v>95</v>
      </c>
      <c r="E26" s="177" t="s">
        <v>25</v>
      </c>
      <c r="F26" s="177" t="s">
        <v>25</v>
      </c>
      <c r="G26" s="66" t="s">
        <v>79</v>
      </c>
      <c r="H26" s="66" t="s">
        <v>78</v>
      </c>
      <c r="I26" s="66">
        <f>'MERCADO TE'!$U$23</f>
        <v>0</v>
      </c>
      <c r="J26" s="16"/>
      <c r="L26" s="64">
        <f>('TE BE'!$L$26+'TE BF'!$L$26+'TE CVA'!$L$26)*(1 - CUSTOS!$M$39)</f>
        <v>2.7640123183024294</v>
      </c>
      <c r="M26" s="64">
        <f>('TE BE'!$M$26+'TE BF'!$M$26+'TE CVA'!$M$26)*(1 - CUSTOS!$M$39)</f>
        <v>0</v>
      </c>
      <c r="N26" s="64">
        <f>('TE BE'!$N$26+'TE BF'!$N$26+'TE CVA'!$N$26)*(1 - CUSTOS!$M$39)</f>
        <v>0</v>
      </c>
      <c r="O26" s="64">
        <f>('TE BE'!$O$26+'TE BF'!$O$26+'TE CVA'!$O$26)*(1 - CUSTOS!$M$39)</f>
        <v>8.0236136086999945</v>
      </c>
      <c r="P26" s="64">
        <f>('TE BE'!$P$26+'TE BF'!$P$26+'TE CVA'!$P$26)*(1 - CUSTOS!$M$39)</f>
        <v>0</v>
      </c>
      <c r="Q26" s="64">
        <f>('TE BE'!$R$26+'TE BF'!$R$26+'TE CVA'!$R$26)*(1 - CUSTOS!$M$39)</f>
        <v>440.68395774923584</v>
      </c>
      <c r="R26" s="64">
        <f>('TE BE'!$T$26+'TE BF'!$T$26+'TE CVA'!$T$26)*(1 - CUSTOS!$M$39)</f>
        <v>0</v>
      </c>
      <c r="S26" s="64">
        <f>('TE BE'!$U$26+'TE BF'!$U$26+'TE CVA'!$U$26)*(1 - CUSTOS!$M$39)</f>
        <v>0</v>
      </c>
      <c r="T26" s="64">
        <f>('TE BE'!$V$26+'TE BF'!$V$26+'TE CVA'!$V$26)*(1 - CUSTOS!$M$39)</f>
        <v>0</v>
      </c>
      <c r="U26" s="64">
        <f>('TE BE'!$X$26+'TE BF'!$X$26+'TE CVA'!$X$26)*(1 - CUSTOS!$M$39)</f>
        <v>-77.335941643016739</v>
      </c>
      <c r="V26" s="64">
        <f>('TE BE'!$Z$26+'TE BF'!$Z$26+'TE CVA'!$Z$26)*(1 - CUSTOS!$M$39)</f>
        <v>0</v>
      </c>
      <c r="X26" s="64">
        <v>2.7007450752518198</v>
      </c>
      <c r="Y26" s="64">
        <v>0</v>
      </c>
      <c r="Z26" s="64">
        <v>0</v>
      </c>
      <c r="AA26" s="64">
        <v>0</v>
      </c>
      <c r="AB26" s="64">
        <v>0</v>
      </c>
      <c r="AC26" s="64">
        <v>434.13666230830802</v>
      </c>
      <c r="AD26" s="64">
        <v>0</v>
      </c>
      <c r="AE26" s="64">
        <v>0</v>
      </c>
      <c r="AF26" s="64">
        <v>0</v>
      </c>
      <c r="AG26" s="64">
        <v>0</v>
      </c>
      <c r="AH26" s="64">
        <v>0</v>
      </c>
    </row>
    <row r="27" spans="1:34" ht="11.25" customHeight="1" x14ac:dyDescent="0.25">
      <c r="A27" s="177"/>
      <c r="B27" s="177"/>
      <c r="C27" s="177"/>
      <c r="D27" s="177"/>
      <c r="E27" s="177"/>
      <c r="F27" s="177"/>
      <c r="G27" s="66" t="s">
        <v>92</v>
      </c>
      <c r="H27" s="66" t="s">
        <v>78</v>
      </c>
      <c r="I27" s="66">
        <f>'MERCADO TE'!$U$24</f>
        <v>0</v>
      </c>
      <c r="J27" s="16"/>
      <c r="L27" s="64">
        <f>('TE BE'!$L$27+'TE BF'!$L$27+'TE CVA'!$L$27)*(1 - CUSTOS!$M$39)</f>
        <v>2.7640123183024294</v>
      </c>
      <c r="M27" s="64">
        <f>('TE BE'!$M$27+'TE BF'!$M$27+'TE CVA'!$M$27)*(1 - CUSTOS!$M$39)</f>
        <v>0</v>
      </c>
      <c r="N27" s="64">
        <f>('TE BE'!$N$27+'TE BF'!$N$27+'TE CVA'!$N$27)*(1 - CUSTOS!$M$39)</f>
        <v>0</v>
      </c>
      <c r="O27" s="64">
        <f>('TE BE'!$O$27+'TE BF'!$O$27+'TE CVA'!$O$27)*(1 - CUSTOS!$M$39)</f>
        <v>8.0236136086999945</v>
      </c>
      <c r="P27" s="64">
        <f>('TE BE'!$P$27+'TE BF'!$P$27+'TE CVA'!$P$27)*(1 - CUSTOS!$M$39)</f>
        <v>0</v>
      </c>
      <c r="Q27" s="64">
        <f>('TE BE'!$R$27+'TE BF'!$R$27+'TE CVA'!$R$27)*(1 - CUSTOS!$M$39)</f>
        <v>256.211603342579</v>
      </c>
      <c r="R27" s="64">
        <f>('TE BE'!$T$27+'TE BF'!$T$27+'TE CVA'!$T$27)*(1 - CUSTOS!$M$39)</f>
        <v>0</v>
      </c>
      <c r="S27" s="64">
        <f>('TE BE'!$U$27+'TE BF'!$U$27+'TE CVA'!$U$27)*(1 - CUSTOS!$M$39)</f>
        <v>0</v>
      </c>
      <c r="T27" s="64">
        <f>('TE BE'!$V$27+'TE BF'!$V$27+'TE CVA'!$V$27)*(1 - CUSTOS!$M$39)</f>
        <v>0</v>
      </c>
      <c r="U27" s="64">
        <f>('TE BE'!$X$27+'TE BF'!$X$27+'TE CVA'!$X$27)*(1 - CUSTOS!$M$39)</f>
        <v>-45.779731565194396</v>
      </c>
      <c r="V27" s="64">
        <f>('TE BE'!$Z$27+'TE BF'!$Z$27+'TE CVA'!$Z$27)*(1 - CUSTOS!$M$39)</f>
        <v>0</v>
      </c>
      <c r="X27" s="64">
        <v>2.7007450752518198</v>
      </c>
      <c r="Y27" s="64">
        <v>0</v>
      </c>
      <c r="Z27" s="64">
        <v>0</v>
      </c>
      <c r="AA27" s="64">
        <v>0</v>
      </c>
      <c r="AB27" s="64">
        <v>0</v>
      </c>
      <c r="AC27" s="64">
        <v>252.40503622576099</v>
      </c>
      <c r="AD27" s="64">
        <v>0</v>
      </c>
      <c r="AE27" s="64">
        <v>0</v>
      </c>
      <c r="AF27" s="64">
        <v>0</v>
      </c>
      <c r="AG27" s="64">
        <v>0</v>
      </c>
      <c r="AH27" s="64">
        <v>0</v>
      </c>
    </row>
    <row r="28" spans="1:34" ht="11.25" customHeight="1" x14ac:dyDescent="0.25">
      <c r="A28" s="177"/>
      <c r="B28" s="177"/>
      <c r="C28" s="177"/>
      <c r="D28" s="177"/>
      <c r="E28" s="177"/>
      <c r="F28" s="177"/>
      <c r="G28" s="66" t="s">
        <v>80</v>
      </c>
      <c r="H28" s="66" t="s">
        <v>78</v>
      </c>
      <c r="I28" s="66">
        <f>'MERCADO TE'!$U$25</f>
        <v>0</v>
      </c>
      <c r="J28" s="16"/>
      <c r="L28" s="64">
        <f>('TE BE'!$L$28+'TE BF'!$L$28+'TE CVA'!$L$28)*(1 - CUSTOS!$M$39)</f>
        <v>2.7640123183024294</v>
      </c>
      <c r="M28" s="64">
        <f>('TE BE'!$M$28+'TE BF'!$M$28+'TE CVA'!$M$28)*(1 - CUSTOS!$M$39)</f>
        <v>0</v>
      </c>
      <c r="N28" s="64">
        <f>('TE BE'!$N$28+'TE BF'!$N$28+'TE CVA'!$N$28)*(1 - CUSTOS!$M$39)</f>
        <v>0</v>
      </c>
      <c r="O28" s="64">
        <f>('TE BE'!$O$28+'TE BF'!$O$28+'TE CVA'!$O$28)*(1 - CUSTOS!$M$39)</f>
        <v>8.0236136086999945</v>
      </c>
      <c r="P28" s="64">
        <f>('TE BE'!$P$28+'TE BF'!$P$28+'TE CVA'!$P$28)*(1 - CUSTOS!$M$39)</f>
        <v>0</v>
      </c>
      <c r="Q28" s="64">
        <f>('TE BE'!$R$28+'TE BF'!$R$28+'TE CVA'!$R$28)*(1 - CUSTOS!$M$39)</f>
        <v>256.211603342579</v>
      </c>
      <c r="R28" s="64">
        <f>('TE BE'!$T$28+'TE BF'!$T$28+'TE CVA'!$T$28)*(1 - CUSTOS!$M$39)</f>
        <v>0</v>
      </c>
      <c r="S28" s="64">
        <f>('TE BE'!$U$28+'TE BF'!$U$28+'TE CVA'!$U$28)*(1 - CUSTOS!$M$39)</f>
        <v>0</v>
      </c>
      <c r="T28" s="64">
        <f>('TE BE'!$V$28+'TE BF'!$V$28+'TE CVA'!$V$28)*(1 - CUSTOS!$M$39)</f>
        <v>0</v>
      </c>
      <c r="U28" s="64">
        <f>('TE BE'!$X$28+'TE BF'!$X$28+'TE CVA'!$X$28)*(1 - CUSTOS!$M$39)</f>
        <v>-45.779731565194396</v>
      </c>
      <c r="V28" s="64">
        <f>('TE BE'!$Z$28+'TE BF'!$Z$28+'TE CVA'!$Z$28)*(1 - CUSTOS!$M$39)</f>
        <v>0</v>
      </c>
      <c r="X28" s="64">
        <v>2.7007450752518198</v>
      </c>
      <c r="Y28" s="64">
        <v>0</v>
      </c>
      <c r="Z28" s="64">
        <v>0</v>
      </c>
      <c r="AA28" s="64">
        <v>0</v>
      </c>
      <c r="AB28" s="64">
        <v>0</v>
      </c>
      <c r="AC28" s="64">
        <v>252.40503622576099</v>
      </c>
      <c r="AD28" s="64">
        <v>0</v>
      </c>
      <c r="AE28" s="64">
        <v>0</v>
      </c>
      <c r="AF28" s="64">
        <v>0</v>
      </c>
      <c r="AG28" s="64">
        <v>0</v>
      </c>
      <c r="AH28" s="64">
        <v>0</v>
      </c>
    </row>
    <row r="29" spans="1:34" ht="11.25" customHeight="1" x14ac:dyDescent="0.25">
      <c r="A29" s="177"/>
      <c r="B29" s="118" t="s">
        <v>81</v>
      </c>
      <c r="C29" s="118" t="s">
        <v>43</v>
      </c>
      <c r="D29" s="118" t="s">
        <v>95</v>
      </c>
      <c r="E29" s="118" t="s">
        <v>25</v>
      </c>
      <c r="F29" s="118" t="s">
        <v>25</v>
      </c>
      <c r="G29" s="66" t="s">
        <v>82</v>
      </c>
      <c r="H29" s="66" t="s">
        <v>78</v>
      </c>
      <c r="I29" s="66">
        <f>'MERCADO TE'!$U$26</f>
        <v>0</v>
      </c>
      <c r="J29" s="16"/>
      <c r="L29" s="64">
        <f>('TE BE'!$L$29+'TE BF'!$L$29+'TE CVA'!$L$29)*(1 - CUSTOS!$M$39)</f>
        <v>2.7640123183024294</v>
      </c>
      <c r="M29" s="64">
        <f>('TE BE'!$M$29+'TE BF'!$M$29+'TE CVA'!$M$29)*(1 - CUSTOS!$M$39)</f>
        <v>0</v>
      </c>
      <c r="N29" s="64">
        <f>('TE BE'!$N$29+'TE BF'!$N$29+'TE CVA'!$N$29)*(1 - CUSTOS!$M$39)</f>
        <v>0</v>
      </c>
      <c r="O29" s="64">
        <f>('TE BE'!$O$29+'TE BF'!$O$29+'TE CVA'!$O$29)*(1 - CUSTOS!$M$39)</f>
        <v>8.0236136086999945</v>
      </c>
      <c r="P29" s="64">
        <f>('TE BE'!$P$29+'TE BF'!$P$29+'TE CVA'!$P$29)*(1 - CUSTOS!$M$39)</f>
        <v>0</v>
      </c>
      <c r="Q29" s="64">
        <f>('TE BE'!$R$29+'TE BF'!$R$29+'TE CVA'!$R$29)*(1 - CUSTOS!$M$39)</f>
        <v>271.58429954313368</v>
      </c>
      <c r="R29" s="64">
        <f>('TE BE'!$T$29+'TE BF'!$T$29+'TE CVA'!$T$29)*(1 - CUSTOS!$M$39)</f>
        <v>0</v>
      </c>
      <c r="S29" s="64">
        <f>('TE BE'!$U$29+'TE BF'!$U$29+'TE CVA'!$U$29)*(1 - CUSTOS!$M$39)</f>
        <v>0</v>
      </c>
      <c r="T29" s="64">
        <f>('TE BE'!$V$29+'TE BF'!$V$29+'TE CVA'!$V$29)*(1 - CUSTOS!$M$39)</f>
        <v>0</v>
      </c>
      <c r="U29" s="64">
        <f>('TE BE'!$X$29+'TE BF'!$X$29+'TE CVA'!$X$29)*(1 - CUSTOS!$M$39)</f>
        <v>-48.409415738346262</v>
      </c>
      <c r="V29" s="64">
        <f>('TE BE'!$Z$29+'TE BF'!$Z$29+'TE CVA'!$Z$29)*(1 - CUSTOS!$M$39)</f>
        <v>0</v>
      </c>
      <c r="X29" s="64">
        <v>2.7007450752518198</v>
      </c>
      <c r="Y29" s="64">
        <v>0</v>
      </c>
      <c r="Z29" s="64">
        <v>0</v>
      </c>
      <c r="AA29" s="64">
        <v>0</v>
      </c>
      <c r="AB29" s="64">
        <v>0</v>
      </c>
      <c r="AC29" s="64">
        <v>267.54933839930601</v>
      </c>
      <c r="AD29" s="64">
        <v>0</v>
      </c>
      <c r="AE29" s="64">
        <v>0</v>
      </c>
      <c r="AF29" s="64">
        <v>0</v>
      </c>
      <c r="AG29" s="64">
        <v>0</v>
      </c>
      <c r="AH29" s="64">
        <v>0</v>
      </c>
    </row>
    <row r="30" spans="1:34" ht="11.25" customHeight="1" x14ac:dyDescent="0.25">
      <c r="A30" s="177"/>
      <c r="B30" s="177" t="s">
        <v>77</v>
      </c>
      <c r="C30" s="177" t="s">
        <v>43</v>
      </c>
      <c r="D30" s="177" t="s">
        <v>96</v>
      </c>
      <c r="E30" s="177" t="s">
        <v>25</v>
      </c>
      <c r="F30" s="177" t="s">
        <v>25</v>
      </c>
      <c r="G30" s="66" t="s">
        <v>79</v>
      </c>
      <c r="H30" s="66" t="s">
        <v>78</v>
      </c>
      <c r="I30" s="66">
        <f>'MERCADO TE'!$U$27</f>
        <v>0</v>
      </c>
      <c r="J30" s="16"/>
      <c r="L30" s="64">
        <f>('TE BE'!$L$30+'TE BF'!$L$30+'TE CVA'!$L$30)*(1 - CUSTOS!$M$40)</f>
        <v>2.7052035455725907</v>
      </c>
      <c r="M30" s="64">
        <f>('TE BE'!$M$30+'TE BF'!$M$30+'TE CVA'!$M$30)*(1 - CUSTOS!$M$40)</f>
        <v>0</v>
      </c>
      <c r="N30" s="64">
        <f>('TE BE'!$N$30+'TE BF'!$N$30+'TE CVA'!$N$30)*(1 - CUSTOS!$M$40)</f>
        <v>0</v>
      </c>
      <c r="O30" s="64">
        <f>('TE BE'!$O$30+'TE BF'!$O$30+'TE CVA'!$O$30)*(1 - CUSTOS!$M$40)</f>
        <v>7.8528984255361651</v>
      </c>
      <c r="P30" s="64">
        <f>('TE BE'!$P$30+'TE BF'!$P$30+'TE CVA'!$P$30)*(1 - CUSTOS!$M$40)</f>
        <v>0</v>
      </c>
      <c r="Q30" s="64">
        <f>('TE BE'!$R$30+'TE BF'!$R$30+'TE CVA'!$R$30)*(1 - CUSTOS!$M$40)</f>
        <v>431.30770332903938</v>
      </c>
      <c r="R30" s="64">
        <f>('TE BE'!$T$30+'TE BF'!$T$30+'TE CVA'!$T$30)*(1 - CUSTOS!$M$40)</f>
        <v>0</v>
      </c>
      <c r="S30" s="64">
        <f>('TE BE'!$U$30+'TE BF'!$U$30+'TE CVA'!$U$30)*(1 - CUSTOS!$M$40)</f>
        <v>0</v>
      </c>
      <c r="T30" s="64">
        <f>('TE BE'!$V$30+'TE BF'!$V$30+'TE CVA'!$V$30)*(1 - CUSTOS!$M$40)</f>
        <v>0</v>
      </c>
      <c r="U30" s="64">
        <f>('TE BE'!$X$30+'TE BF'!$X$30+'TE CVA'!$X$30)*(1 - CUSTOS!$M$40)</f>
        <v>-75.690496076144058</v>
      </c>
      <c r="V30" s="64">
        <f>('TE BE'!$Z$30+'TE BF'!$Z$30+'TE CVA'!$Z$30)*(1 - CUSTOS!$M$40)</f>
        <v>0</v>
      </c>
      <c r="X30" s="64">
        <v>2.5779839354676501</v>
      </c>
      <c r="Y30" s="64">
        <v>0</v>
      </c>
      <c r="Z30" s="64">
        <v>0</v>
      </c>
      <c r="AA30" s="64">
        <v>0</v>
      </c>
      <c r="AB30" s="64">
        <v>0</v>
      </c>
      <c r="AC30" s="64">
        <v>414.403177657931</v>
      </c>
      <c r="AD30" s="64">
        <v>0</v>
      </c>
      <c r="AE30" s="64">
        <v>0</v>
      </c>
      <c r="AF30" s="64">
        <v>0</v>
      </c>
      <c r="AG30" s="64">
        <v>0</v>
      </c>
      <c r="AH30" s="64">
        <v>0</v>
      </c>
    </row>
    <row r="31" spans="1:34" ht="11.25" customHeight="1" x14ac:dyDescent="0.25">
      <c r="A31" s="177"/>
      <c r="B31" s="177"/>
      <c r="C31" s="177"/>
      <c r="D31" s="177"/>
      <c r="E31" s="177"/>
      <c r="F31" s="177"/>
      <c r="G31" s="66" t="s">
        <v>92</v>
      </c>
      <c r="H31" s="66" t="s">
        <v>78</v>
      </c>
      <c r="I31" s="66">
        <f>'MERCADO TE'!$U$28</f>
        <v>0</v>
      </c>
      <c r="J31" s="16"/>
      <c r="L31" s="64">
        <f>('TE BE'!$L$31+'TE BF'!$L$31+'TE CVA'!$L$31)*(1 - CUSTOS!$M$40)</f>
        <v>2.7052035455725907</v>
      </c>
      <c r="M31" s="64">
        <f>('TE BE'!$M$31+'TE BF'!$M$31+'TE CVA'!$M$31)*(1 - CUSTOS!$M$40)</f>
        <v>0</v>
      </c>
      <c r="N31" s="64">
        <f>('TE BE'!$N$31+'TE BF'!$N$31+'TE CVA'!$N$31)*(1 - CUSTOS!$M$40)</f>
        <v>0</v>
      </c>
      <c r="O31" s="64">
        <f>('TE BE'!$O$31+'TE BF'!$O$31+'TE CVA'!$O$31)*(1 - CUSTOS!$M$40)</f>
        <v>7.8528984255361651</v>
      </c>
      <c r="P31" s="64">
        <f>('TE BE'!$P$31+'TE BF'!$P$31+'TE CVA'!$P$31)*(1 - CUSTOS!$M$40)</f>
        <v>0</v>
      </c>
      <c r="Q31" s="64">
        <f>('TE BE'!$R$31+'TE BF'!$R$31+'TE CVA'!$R$31)*(1 - CUSTOS!$M$40)</f>
        <v>250.76029263316241</v>
      </c>
      <c r="R31" s="64">
        <f>('TE BE'!$T$31+'TE BF'!$T$31+'TE CVA'!$T$31)*(1 - CUSTOS!$M$40)</f>
        <v>0</v>
      </c>
      <c r="S31" s="64">
        <f>('TE BE'!$U$31+'TE BF'!$U$31+'TE CVA'!$U$31)*(1 - CUSTOS!$M$40)</f>
        <v>0</v>
      </c>
      <c r="T31" s="64">
        <f>('TE BE'!$V$31+'TE BF'!$V$31+'TE CVA'!$V$31)*(1 - CUSTOS!$M$40)</f>
        <v>0</v>
      </c>
      <c r="U31" s="64">
        <f>('TE BE'!$X$31+'TE BF'!$X$31+'TE CVA'!$X$31)*(1 - CUSTOS!$M$40)</f>
        <v>-44.805694723381755</v>
      </c>
      <c r="V31" s="64">
        <f>('TE BE'!$Z$31+'TE BF'!$Z$31+'TE CVA'!$Z$31)*(1 - CUSTOS!$M$40)</f>
        <v>0</v>
      </c>
      <c r="X31" s="64">
        <v>2.5779839354676501</v>
      </c>
      <c r="Y31" s="64">
        <v>0</v>
      </c>
      <c r="Z31" s="64">
        <v>0</v>
      </c>
      <c r="AA31" s="64">
        <v>0</v>
      </c>
      <c r="AB31" s="64">
        <v>0</v>
      </c>
      <c r="AC31" s="64">
        <v>240.93208003368099</v>
      </c>
      <c r="AD31" s="64">
        <v>0</v>
      </c>
      <c r="AE31" s="64">
        <v>0</v>
      </c>
      <c r="AF31" s="64">
        <v>0</v>
      </c>
      <c r="AG31" s="64">
        <v>0</v>
      </c>
      <c r="AH31" s="64">
        <v>0</v>
      </c>
    </row>
    <row r="32" spans="1:34" ht="11.25" customHeight="1" x14ac:dyDescent="0.25">
      <c r="A32" s="177"/>
      <c r="B32" s="177"/>
      <c r="C32" s="177"/>
      <c r="D32" s="177"/>
      <c r="E32" s="177"/>
      <c r="F32" s="177"/>
      <c r="G32" s="66" t="s">
        <v>80</v>
      </c>
      <c r="H32" s="66" t="s">
        <v>78</v>
      </c>
      <c r="I32" s="66">
        <f>'MERCADO TE'!$U$29</f>
        <v>0</v>
      </c>
      <c r="J32" s="16"/>
      <c r="L32" s="64">
        <f>('TE BE'!$L$32+'TE BF'!$L$32+'TE CVA'!$L$32)*(1 - CUSTOS!$M$40)</f>
        <v>2.7052035455725907</v>
      </c>
      <c r="M32" s="64">
        <f>('TE BE'!$M$32+'TE BF'!$M$32+'TE CVA'!$M$32)*(1 - CUSTOS!$M$40)</f>
        <v>0</v>
      </c>
      <c r="N32" s="64">
        <f>('TE BE'!$N$32+'TE BF'!$N$32+'TE CVA'!$N$32)*(1 - CUSTOS!$M$40)</f>
        <v>0</v>
      </c>
      <c r="O32" s="64">
        <f>('TE BE'!$O$32+'TE BF'!$O$32+'TE CVA'!$O$32)*(1 - CUSTOS!$M$40)</f>
        <v>7.8528984255361651</v>
      </c>
      <c r="P32" s="64">
        <f>('TE BE'!$P$32+'TE BF'!$P$32+'TE CVA'!$P$32)*(1 - CUSTOS!$M$40)</f>
        <v>0</v>
      </c>
      <c r="Q32" s="64">
        <f>('TE BE'!$R$32+'TE BF'!$R$32+'TE CVA'!$R$32)*(1 - CUSTOS!$M$40)</f>
        <v>250.76029263316241</v>
      </c>
      <c r="R32" s="64">
        <f>('TE BE'!$T$32+'TE BF'!$T$32+'TE CVA'!$T$32)*(1 - CUSTOS!$M$40)</f>
        <v>0</v>
      </c>
      <c r="S32" s="64">
        <f>('TE BE'!$U$32+'TE BF'!$U$32+'TE CVA'!$U$32)*(1 - CUSTOS!$M$40)</f>
        <v>0</v>
      </c>
      <c r="T32" s="64">
        <f>('TE BE'!$V$32+'TE BF'!$V$32+'TE CVA'!$V$32)*(1 - CUSTOS!$M$40)</f>
        <v>0</v>
      </c>
      <c r="U32" s="64">
        <f>('TE BE'!$X$32+'TE BF'!$X$32+'TE CVA'!$X$32)*(1 - CUSTOS!$M$40)</f>
        <v>-44.805694723381755</v>
      </c>
      <c r="V32" s="64">
        <f>('TE BE'!$Z$32+'TE BF'!$Z$32+'TE CVA'!$Z$32)*(1 - CUSTOS!$M$40)</f>
        <v>0</v>
      </c>
      <c r="X32" s="64">
        <v>2.5779839354676501</v>
      </c>
      <c r="Y32" s="64">
        <v>0</v>
      </c>
      <c r="Z32" s="64">
        <v>0</v>
      </c>
      <c r="AA32" s="64">
        <v>0</v>
      </c>
      <c r="AB32" s="64">
        <v>0</v>
      </c>
      <c r="AC32" s="64">
        <v>240.93208003368099</v>
      </c>
      <c r="AD32" s="64">
        <v>0</v>
      </c>
      <c r="AE32" s="64">
        <v>0</v>
      </c>
      <c r="AF32" s="64">
        <v>0</v>
      </c>
      <c r="AG32" s="64">
        <v>0</v>
      </c>
      <c r="AH32" s="64">
        <v>0</v>
      </c>
    </row>
    <row r="33" spans="1:34" ht="11.25" customHeight="1" x14ac:dyDescent="0.25">
      <c r="A33" s="177"/>
      <c r="B33" s="118" t="s">
        <v>81</v>
      </c>
      <c r="C33" s="118" t="s">
        <v>43</v>
      </c>
      <c r="D33" s="118" t="s">
        <v>96</v>
      </c>
      <c r="E33" s="118" t="s">
        <v>25</v>
      </c>
      <c r="F33" s="118" t="s">
        <v>25</v>
      </c>
      <c r="G33" s="66" t="s">
        <v>82</v>
      </c>
      <c r="H33" s="66" t="s">
        <v>78</v>
      </c>
      <c r="I33" s="66">
        <f>'MERCADO TE'!$U$30</f>
        <v>0</v>
      </c>
      <c r="J33" s="16"/>
      <c r="L33" s="64">
        <f>('TE BE'!$L$33+'TE BF'!$L$33+'TE CVA'!$L$33)*(1 - CUSTOS!$M$40)</f>
        <v>2.7052035455725907</v>
      </c>
      <c r="M33" s="64">
        <f>('TE BE'!$M$33+'TE BF'!$M$33+'TE CVA'!$M$33)*(1 - CUSTOS!$M$40)</f>
        <v>0</v>
      </c>
      <c r="N33" s="64">
        <f>('TE BE'!$N$33+'TE BF'!$N$33+'TE CVA'!$N$33)*(1 - CUSTOS!$M$40)</f>
        <v>0</v>
      </c>
      <c r="O33" s="64">
        <f>('TE BE'!$O$33+'TE BF'!$O$33+'TE CVA'!$O$33)*(1 - CUSTOS!$M$40)</f>
        <v>7.8528984255361651</v>
      </c>
      <c r="P33" s="64">
        <f>('TE BE'!$P$33+'TE BF'!$P$33+'TE CVA'!$P$33)*(1 - CUSTOS!$M$40)</f>
        <v>0</v>
      </c>
      <c r="Q33" s="64">
        <f>('TE BE'!$R$33+'TE BF'!$R$33+'TE CVA'!$R$33)*(1 - CUSTOS!$M$40)</f>
        <v>265.80591019115218</v>
      </c>
      <c r="R33" s="64">
        <f>('TE BE'!$T$33+'TE BF'!$T$33+'TE CVA'!$T$33)*(1 - CUSTOS!$M$40)</f>
        <v>0</v>
      </c>
      <c r="S33" s="64">
        <f>('TE BE'!$U$33+'TE BF'!$U$33+'TE CVA'!$U$33)*(1 - CUSTOS!$M$40)</f>
        <v>0</v>
      </c>
      <c r="T33" s="64">
        <f>('TE BE'!$V$33+'TE BF'!$V$33+'TE CVA'!$V$33)*(1 - CUSTOS!$M$40)</f>
        <v>0</v>
      </c>
      <c r="U33" s="64">
        <f>('TE BE'!$X$33+'TE BF'!$X$33+'TE CVA'!$X$33)*(1 - CUSTOS!$M$40)</f>
        <v>-47.379428169445283</v>
      </c>
      <c r="V33" s="64">
        <f>('TE BE'!$Z$33+'TE BF'!$Z$33+'TE CVA'!$Z$33)*(1 - CUSTOS!$M$40)</f>
        <v>0</v>
      </c>
      <c r="X33" s="64">
        <v>2.5779839354676501</v>
      </c>
      <c r="Y33" s="64">
        <v>0</v>
      </c>
      <c r="Z33" s="64">
        <v>0</v>
      </c>
      <c r="AA33" s="64">
        <v>0</v>
      </c>
      <c r="AB33" s="64">
        <v>0</v>
      </c>
      <c r="AC33" s="64">
        <v>255.38800483570199</v>
      </c>
      <c r="AD33" s="64">
        <v>0</v>
      </c>
      <c r="AE33" s="64">
        <v>0</v>
      </c>
      <c r="AF33" s="64">
        <v>0</v>
      </c>
      <c r="AG33" s="64">
        <v>0</v>
      </c>
      <c r="AH33" s="64">
        <v>0</v>
      </c>
    </row>
    <row r="34" spans="1:34" ht="11.25" customHeight="1" x14ac:dyDescent="0.25">
      <c r="A34" s="177"/>
      <c r="B34" s="177" t="s">
        <v>93</v>
      </c>
      <c r="C34" s="177" t="s">
        <v>43</v>
      </c>
      <c r="D34" s="118" t="s">
        <v>25</v>
      </c>
      <c r="E34" s="118" t="s">
        <v>25</v>
      </c>
      <c r="F34" s="118" t="s">
        <v>25</v>
      </c>
      <c r="G34" s="66" t="s">
        <v>82</v>
      </c>
      <c r="H34" s="66" t="s">
        <v>78</v>
      </c>
      <c r="I34" s="66">
        <f>'MERCADO TE'!$U$31</f>
        <v>0</v>
      </c>
      <c r="J34" s="16"/>
      <c r="L34" s="64">
        <f>('TE BE'!$L$34+'TE BF'!$L$34+'TE CVA'!$L$34)*(1 - CUSTOS!$M$38)</f>
        <v>2.7640123183024294</v>
      </c>
      <c r="M34" s="64">
        <f>('TE BE'!$M$34+'TE BF'!$M$34+'TE CVA'!$M$34)*(1 - CUSTOS!$M$38)</f>
        <v>0</v>
      </c>
      <c r="N34" s="64">
        <f>('TE BE'!$N$34+'TE BF'!$N$34+'TE CVA'!$N$34)*(1 - CUSTOS!$M$38)</f>
        <v>0</v>
      </c>
      <c r="O34" s="64">
        <f>('TE BE'!$O$34+'TE BF'!$O$34+'TE CVA'!$O$34)*(1 - CUSTOS!$M$38)</f>
        <v>8.0236136086999945</v>
      </c>
      <c r="P34" s="64">
        <f>('TE BE'!$P$34+'TE BF'!$P$34+'TE CVA'!$P$34)*(1 - CUSTOS!$M$38)</f>
        <v>0</v>
      </c>
      <c r="Q34" s="64">
        <f>('TE BE'!$R$34+'TE BF'!$R$34+'TE CVA'!$R$34)*(1 - CUSTOS!$M$38)</f>
        <v>271.58429954313368</v>
      </c>
      <c r="R34" s="64">
        <f>('TE BE'!$T$34+'TE BF'!$T$34+'TE CVA'!$T$34)*(1 - CUSTOS!$M$38)</f>
        <v>0</v>
      </c>
      <c r="S34" s="64">
        <f>('TE BE'!$U$34+'TE BF'!$U$34+'TE CVA'!$U$34)*(1 - CUSTOS!$M$38)</f>
        <v>0</v>
      </c>
      <c r="T34" s="64">
        <f>('TE BE'!$V$34+'TE BF'!$V$34+'TE CVA'!$V$34)*(1 - CUSTOS!$M$38)</f>
        <v>0</v>
      </c>
      <c r="U34" s="64">
        <f>('TE BE'!$X$34+'TE BF'!$X$34+'TE CVA'!$X$34)*(1 - CUSTOS!$M$38)</f>
        <v>-48.409415738346262</v>
      </c>
      <c r="V34" s="64">
        <f>('TE BE'!$Z$34+'TE BF'!$Z$34+'TE CVA'!$Z$34)*(1 - CUSTOS!$M$38)</f>
        <v>0</v>
      </c>
      <c r="X34" s="64">
        <v>2.7007450752518198</v>
      </c>
      <c r="Y34" s="64">
        <v>0</v>
      </c>
      <c r="Z34" s="64">
        <v>0</v>
      </c>
      <c r="AA34" s="64">
        <v>0</v>
      </c>
      <c r="AB34" s="64">
        <v>0</v>
      </c>
      <c r="AC34" s="64">
        <v>267.54933839930601</v>
      </c>
      <c r="AD34" s="64">
        <v>0</v>
      </c>
      <c r="AE34" s="64">
        <v>0</v>
      </c>
      <c r="AF34" s="64">
        <v>0</v>
      </c>
      <c r="AG34" s="64">
        <v>0</v>
      </c>
      <c r="AH34" s="64">
        <v>0</v>
      </c>
    </row>
    <row r="35" spans="1:34" ht="11.25" customHeight="1" x14ac:dyDescent="0.25">
      <c r="A35" s="177"/>
      <c r="B35" s="177"/>
      <c r="C35" s="177"/>
      <c r="D35" s="118" t="s">
        <v>95</v>
      </c>
      <c r="E35" s="118" t="s">
        <v>25</v>
      </c>
      <c r="F35" s="118" t="s">
        <v>25</v>
      </c>
      <c r="G35" s="66" t="s">
        <v>82</v>
      </c>
      <c r="H35" s="66" t="s">
        <v>78</v>
      </c>
      <c r="I35" s="66">
        <f>'MERCADO TE'!$U$32</f>
        <v>0</v>
      </c>
      <c r="J35" s="16"/>
      <c r="L35" s="64">
        <f>('TE BE'!$L$35+'TE BF'!$L$35+'TE CVA'!$L$35)*(1 - CUSTOS!$M$39)</f>
        <v>2.7640123183024294</v>
      </c>
      <c r="M35" s="64">
        <f>('TE BE'!$M$35+'TE BF'!$M$35+'TE CVA'!$M$35)*(1 - CUSTOS!$M$39)</f>
        <v>0</v>
      </c>
      <c r="N35" s="64">
        <f>('TE BE'!$N$35+'TE BF'!$N$35+'TE CVA'!$N$35)*(1 - CUSTOS!$M$39)</f>
        <v>0</v>
      </c>
      <c r="O35" s="64">
        <f>('TE BE'!$O$35+'TE BF'!$O$35+'TE CVA'!$O$35)*(1 - CUSTOS!$M$39)</f>
        <v>8.0236136086999945</v>
      </c>
      <c r="P35" s="64">
        <f>('TE BE'!$P$35+'TE BF'!$P$35+'TE CVA'!$P$35)*(1 - CUSTOS!$M$39)</f>
        <v>0</v>
      </c>
      <c r="Q35" s="64">
        <f>('TE BE'!$R$35+'TE BF'!$R$35+'TE CVA'!$R$35)*(1 - CUSTOS!$M$39)</f>
        <v>271.58429954313368</v>
      </c>
      <c r="R35" s="64">
        <f>('TE BE'!$T$35+'TE BF'!$T$35+'TE CVA'!$T$35)*(1 - CUSTOS!$M$39)</f>
        <v>0</v>
      </c>
      <c r="S35" s="64">
        <f>('TE BE'!$U$35+'TE BF'!$U$35+'TE CVA'!$U$35)*(1 - CUSTOS!$M$39)</f>
        <v>0</v>
      </c>
      <c r="T35" s="64">
        <f>('TE BE'!$V$35+'TE BF'!$V$35+'TE CVA'!$V$35)*(1 - CUSTOS!$M$39)</f>
        <v>0</v>
      </c>
      <c r="U35" s="64">
        <f>('TE BE'!$X$35+'TE BF'!$X$35+'TE CVA'!$X$35)*(1 - CUSTOS!$M$39)</f>
        <v>-48.409415738346262</v>
      </c>
      <c r="V35" s="64">
        <f>('TE BE'!$Z$35+'TE BF'!$Z$35+'TE CVA'!$Z$35)*(1 - CUSTOS!$M$39)</f>
        <v>0</v>
      </c>
      <c r="X35" s="64">
        <v>2.7007450752518198</v>
      </c>
      <c r="Y35" s="64">
        <v>0</v>
      </c>
      <c r="Z35" s="64">
        <v>0</v>
      </c>
      <c r="AA35" s="64">
        <v>0</v>
      </c>
      <c r="AB35" s="64">
        <v>0</v>
      </c>
      <c r="AC35" s="64">
        <v>267.54933839930601</v>
      </c>
      <c r="AD35" s="64">
        <v>0</v>
      </c>
      <c r="AE35" s="64">
        <v>0</v>
      </c>
      <c r="AF35" s="64">
        <v>0</v>
      </c>
      <c r="AG35" s="64">
        <v>0</v>
      </c>
      <c r="AH35" s="64">
        <v>0</v>
      </c>
    </row>
    <row r="36" spans="1:34" ht="11.25" customHeight="1" x14ac:dyDescent="0.25">
      <c r="A36" s="177"/>
      <c r="B36" s="177"/>
      <c r="C36" s="177"/>
      <c r="D36" s="118" t="s">
        <v>96</v>
      </c>
      <c r="E36" s="118" t="s">
        <v>25</v>
      </c>
      <c r="F36" s="118" t="s">
        <v>25</v>
      </c>
      <c r="G36" s="66" t="s">
        <v>82</v>
      </c>
      <c r="H36" s="66" t="s">
        <v>78</v>
      </c>
      <c r="I36" s="66">
        <f>'MERCADO TE'!$U$33</f>
        <v>0</v>
      </c>
      <c r="J36" s="16"/>
      <c r="L36" s="64">
        <f>('TE BE'!$L$36+'TE BF'!$L$36+'TE CVA'!$L$36)*(1 - CUSTOS!$M$40)</f>
        <v>2.7052035455725907</v>
      </c>
      <c r="M36" s="64">
        <f>('TE BE'!$M$36+'TE BF'!$M$36+'TE CVA'!$M$36)*(1 - CUSTOS!$M$40)</f>
        <v>0</v>
      </c>
      <c r="N36" s="64">
        <f>('TE BE'!$N$36+'TE BF'!$N$36+'TE CVA'!$N$36)*(1 - CUSTOS!$M$40)</f>
        <v>0</v>
      </c>
      <c r="O36" s="64">
        <f>('TE BE'!$O$36+'TE BF'!$O$36+'TE CVA'!$O$36)*(1 - CUSTOS!$M$40)</f>
        <v>7.8528984255361651</v>
      </c>
      <c r="P36" s="64">
        <f>('TE BE'!$P$36+'TE BF'!$P$36+'TE CVA'!$P$36)*(1 - CUSTOS!$M$40)</f>
        <v>0</v>
      </c>
      <c r="Q36" s="64">
        <f>('TE BE'!$R$36+'TE BF'!$R$36+'TE CVA'!$R$36)*(1 - CUSTOS!$M$40)</f>
        <v>265.80591019115218</v>
      </c>
      <c r="R36" s="64">
        <f>('TE BE'!$T$36+'TE BF'!$T$36+'TE CVA'!$T$36)*(1 - CUSTOS!$M$40)</f>
        <v>0</v>
      </c>
      <c r="S36" s="64">
        <f>('TE BE'!$U$36+'TE BF'!$U$36+'TE CVA'!$U$36)*(1 - CUSTOS!$M$40)</f>
        <v>0</v>
      </c>
      <c r="T36" s="64">
        <f>('TE BE'!$V$36+'TE BF'!$V$36+'TE CVA'!$V$36)*(1 - CUSTOS!$M$40)</f>
        <v>0</v>
      </c>
      <c r="U36" s="64">
        <f>('TE BE'!$X$36+'TE BF'!$X$36+'TE CVA'!$X$36)*(1 - CUSTOS!$M$40)</f>
        <v>-47.379428169445283</v>
      </c>
      <c r="V36" s="64">
        <f>('TE BE'!$Z$36+'TE BF'!$Z$36+'TE CVA'!$Z$36)*(1 - CUSTOS!$M$40)</f>
        <v>0</v>
      </c>
      <c r="X36" s="64">
        <v>2.5779839354676501</v>
      </c>
      <c r="Y36" s="64">
        <v>0</v>
      </c>
      <c r="Z36" s="64">
        <v>0</v>
      </c>
      <c r="AA36" s="64">
        <v>0</v>
      </c>
      <c r="AB36" s="64">
        <v>0</v>
      </c>
      <c r="AC36" s="64">
        <v>255.38800483570199</v>
      </c>
      <c r="AD36" s="64">
        <v>0</v>
      </c>
      <c r="AE36" s="64">
        <v>0</v>
      </c>
      <c r="AF36" s="64">
        <v>0</v>
      </c>
      <c r="AG36" s="64">
        <v>0</v>
      </c>
      <c r="AH36" s="64">
        <v>0</v>
      </c>
    </row>
    <row r="37" spans="1:34" ht="11.25" customHeight="1" x14ac:dyDescent="0.25">
      <c r="A37" s="177" t="s">
        <v>36</v>
      </c>
      <c r="B37" s="177" t="s">
        <v>77</v>
      </c>
      <c r="C37" s="177" t="s">
        <v>25</v>
      </c>
      <c r="D37" s="177" t="s">
        <v>25</v>
      </c>
      <c r="E37" s="177" t="s">
        <v>25</v>
      </c>
      <c r="F37" s="177" t="s">
        <v>25</v>
      </c>
      <c r="G37" s="66" t="s">
        <v>79</v>
      </c>
      <c r="H37" s="66" t="s">
        <v>78</v>
      </c>
      <c r="I37" s="66">
        <f>'MERCADO TE'!$U$34</f>
        <v>1.1140000000000001</v>
      </c>
      <c r="J37" s="16"/>
      <c r="L37" s="64">
        <f>('TE BE'!$L$37+'TE BF'!$L$37+'TE CVA'!$L$37)*1</f>
        <v>2.9404386364919461</v>
      </c>
      <c r="M37" s="64">
        <f>('TE BE'!$M$37+'TE BF'!$M$37+'TE CVA'!$M$37)*1</f>
        <v>0</v>
      </c>
      <c r="N37" s="64">
        <f>('TE BE'!$N$37+'TE BF'!$N$37+'TE CVA'!$N$37)*1</f>
        <v>0</v>
      </c>
      <c r="O37" s="64">
        <f>('TE BE'!$O$37+'TE BF'!$O$37+'TE CVA'!$O$37)*1</f>
        <v>8.5357591581914836</v>
      </c>
      <c r="P37" s="64">
        <f>('TE BE'!$P$37+'TE BF'!$P$37+'TE CVA'!$P$37)*1</f>
        <v>0</v>
      </c>
      <c r="Q37" s="64">
        <f>('TE BE'!$R$37+'TE BF'!$R$37+'TE CVA'!$R$37)*1</f>
        <v>468.8127210098254</v>
      </c>
      <c r="R37" s="64">
        <f>('TE BE'!$T$37+'TE BF'!$T$37+'TE CVA'!$T$37)*1</f>
        <v>0</v>
      </c>
      <c r="S37" s="64">
        <f>('TE BE'!$U$37+'TE BF'!$U$37+'TE CVA'!$U$37)*1</f>
        <v>0</v>
      </c>
      <c r="T37" s="64">
        <f>('TE BE'!$V$37+'TE BF'!$V$37+'TE CVA'!$V$37)*1</f>
        <v>0</v>
      </c>
      <c r="U37" s="64">
        <f>('TE BE'!$X$37+'TE BF'!$X$37+'TE CVA'!$X$37)*1</f>
        <v>-82.272278343634838</v>
      </c>
      <c r="V37" s="64">
        <f>('TE BE'!$Z$37+'TE BF'!$Z$37+'TE CVA'!$Z$37)*1</f>
        <v>0</v>
      </c>
      <c r="X37" s="64">
        <v>3.06902849460434</v>
      </c>
      <c r="Y37" s="64">
        <v>0</v>
      </c>
      <c r="Z37" s="64">
        <v>0</v>
      </c>
      <c r="AA37" s="64">
        <v>0</v>
      </c>
      <c r="AB37" s="64">
        <v>0</v>
      </c>
      <c r="AC37" s="64">
        <v>493.33711625944102</v>
      </c>
      <c r="AD37" s="64">
        <v>0</v>
      </c>
      <c r="AE37" s="64">
        <v>0</v>
      </c>
      <c r="AF37" s="64">
        <v>0</v>
      </c>
      <c r="AG37" s="64">
        <v>0</v>
      </c>
      <c r="AH37" s="64">
        <v>0</v>
      </c>
    </row>
    <row r="38" spans="1:34" ht="11.25" customHeight="1" x14ac:dyDescent="0.25">
      <c r="A38" s="177"/>
      <c r="B38" s="177"/>
      <c r="C38" s="177"/>
      <c r="D38" s="177"/>
      <c r="E38" s="177"/>
      <c r="F38" s="177"/>
      <c r="G38" s="66" t="s">
        <v>92</v>
      </c>
      <c r="H38" s="66" t="s">
        <v>78</v>
      </c>
      <c r="I38" s="66">
        <f>'MERCADO TE'!$U$35</f>
        <v>0.48499999999999999</v>
      </c>
      <c r="J38" s="16"/>
      <c r="L38" s="64">
        <f>('TE BE'!$L$38+'TE BF'!$L$38+'TE CVA'!$L$38)*1</f>
        <v>2.9404386364919461</v>
      </c>
      <c r="M38" s="64">
        <f>('TE BE'!$M$38+'TE BF'!$M$38+'TE CVA'!$M$38)*1</f>
        <v>0</v>
      </c>
      <c r="N38" s="64">
        <f>('TE BE'!$N$38+'TE BF'!$N$38+'TE CVA'!$N$38)*1</f>
        <v>0</v>
      </c>
      <c r="O38" s="64">
        <f>('TE BE'!$O$38+'TE BF'!$O$38+'TE CVA'!$O$38)*1</f>
        <v>8.5357591581914836</v>
      </c>
      <c r="P38" s="64">
        <f>('TE BE'!$P$38+'TE BF'!$P$38+'TE CVA'!$P$38)*1</f>
        <v>0</v>
      </c>
      <c r="Q38" s="64">
        <f>('TE BE'!$R$38+'TE BF'!$R$38+'TE CVA'!$R$38)*1</f>
        <v>272.56553547082871</v>
      </c>
      <c r="R38" s="64">
        <f>('TE BE'!$T$38+'TE BF'!$T$38+'TE CVA'!$T$38)*1</f>
        <v>0</v>
      </c>
      <c r="S38" s="64">
        <f>('TE BE'!$U$38+'TE BF'!$U$38+'TE CVA'!$U$38)*1</f>
        <v>0</v>
      </c>
      <c r="T38" s="64">
        <f>('TE BE'!$V$38+'TE BF'!$V$38+'TE CVA'!$V$38)*1</f>
        <v>0</v>
      </c>
      <c r="U38" s="64">
        <f>('TE BE'!$X$38+'TE BF'!$X$38+'TE CVA'!$X$38)*1</f>
        <v>-48.70184209063234</v>
      </c>
      <c r="V38" s="64">
        <f>('TE BE'!$Z$38+'TE BF'!$Z$38+'TE CVA'!$Z$38)*1</f>
        <v>0</v>
      </c>
      <c r="X38" s="64">
        <v>3.06902849460434</v>
      </c>
      <c r="Y38" s="64">
        <v>0</v>
      </c>
      <c r="Z38" s="64">
        <v>0</v>
      </c>
      <c r="AA38" s="64">
        <v>0</v>
      </c>
      <c r="AB38" s="64">
        <v>0</v>
      </c>
      <c r="AC38" s="64">
        <v>286.82390480200098</v>
      </c>
      <c r="AD38" s="64">
        <v>0</v>
      </c>
      <c r="AE38" s="64">
        <v>0</v>
      </c>
      <c r="AF38" s="64">
        <v>0</v>
      </c>
      <c r="AG38" s="64">
        <v>0</v>
      </c>
      <c r="AH38" s="64">
        <v>0</v>
      </c>
    </row>
    <row r="39" spans="1:34" ht="11.25" customHeight="1" x14ac:dyDescent="0.25">
      <c r="A39" s="177"/>
      <c r="B39" s="177"/>
      <c r="C39" s="177"/>
      <c r="D39" s="177"/>
      <c r="E39" s="177"/>
      <c r="F39" s="177"/>
      <c r="G39" s="66" t="s">
        <v>80</v>
      </c>
      <c r="H39" s="66" t="s">
        <v>78</v>
      </c>
      <c r="I39" s="66">
        <f>'MERCADO TE'!$U$36</f>
        <v>6.2670000000000003</v>
      </c>
      <c r="J39" s="16"/>
      <c r="L39" s="64">
        <f>('TE BE'!$L$39+'TE BF'!$L$39+'TE CVA'!$L$39)*1</f>
        <v>2.9404386364919461</v>
      </c>
      <c r="M39" s="64">
        <f>('TE BE'!$M$39+'TE BF'!$M$39+'TE CVA'!$M$39)*1</f>
        <v>0</v>
      </c>
      <c r="N39" s="64">
        <f>('TE BE'!$N$39+'TE BF'!$N$39+'TE CVA'!$N$39)*1</f>
        <v>0</v>
      </c>
      <c r="O39" s="64">
        <f>('TE BE'!$O$39+'TE BF'!$O$39+'TE CVA'!$O$39)*1</f>
        <v>8.5357591581914836</v>
      </c>
      <c r="P39" s="64">
        <f>('TE BE'!$P$39+'TE BF'!$P$39+'TE CVA'!$P$39)*1</f>
        <v>0</v>
      </c>
      <c r="Q39" s="64">
        <f>('TE BE'!$R$39+'TE BF'!$R$39+'TE CVA'!$R$39)*1</f>
        <v>272.56553547082871</v>
      </c>
      <c r="R39" s="64">
        <f>('TE BE'!$T$39+'TE BF'!$T$39+'TE CVA'!$T$39)*1</f>
        <v>0</v>
      </c>
      <c r="S39" s="64">
        <f>('TE BE'!$U$39+'TE BF'!$U$39+'TE CVA'!$U$39)*1</f>
        <v>0</v>
      </c>
      <c r="T39" s="64">
        <f>('TE BE'!$V$39+'TE BF'!$V$39+'TE CVA'!$V$39)*1</f>
        <v>0</v>
      </c>
      <c r="U39" s="64">
        <f>('TE BE'!$X$39+'TE BF'!$X$39+'TE CVA'!$X$39)*1</f>
        <v>-48.70184209063234</v>
      </c>
      <c r="V39" s="64">
        <f>('TE BE'!$Z$39+'TE BF'!$Z$39+'TE CVA'!$Z$39)*1</f>
        <v>0</v>
      </c>
      <c r="X39" s="64">
        <v>3.06902849460434</v>
      </c>
      <c r="Y39" s="64">
        <v>0</v>
      </c>
      <c r="Z39" s="64">
        <v>0</v>
      </c>
      <c r="AA39" s="64">
        <v>0</v>
      </c>
      <c r="AB39" s="64">
        <v>0</v>
      </c>
      <c r="AC39" s="64">
        <v>286.82390480200098</v>
      </c>
      <c r="AD39" s="64">
        <v>0</v>
      </c>
      <c r="AE39" s="64">
        <v>0</v>
      </c>
      <c r="AF39" s="64">
        <v>0</v>
      </c>
      <c r="AG39" s="64">
        <v>0</v>
      </c>
      <c r="AH39" s="64">
        <v>0</v>
      </c>
    </row>
    <row r="40" spans="1:34" ht="11.25" customHeight="1" x14ac:dyDescent="0.25">
      <c r="A40" s="177"/>
      <c r="B40" s="118" t="s">
        <v>81</v>
      </c>
      <c r="C40" s="118" t="s">
        <v>25</v>
      </c>
      <c r="D40" s="118" t="s">
        <v>25</v>
      </c>
      <c r="E40" s="118" t="s">
        <v>25</v>
      </c>
      <c r="F40" s="118" t="s">
        <v>25</v>
      </c>
      <c r="G40" s="66" t="s">
        <v>82</v>
      </c>
      <c r="H40" s="66" t="s">
        <v>78</v>
      </c>
      <c r="I40" s="66">
        <f>'MERCADO TE'!$U$37</f>
        <v>13646.102000000001</v>
      </c>
      <c r="J40" s="16"/>
      <c r="L40" s="64">
        <f>('TE BE'!$L$40+'TE BF'!$L$40+'TE CVA'!$L$40)*1</f>
        <v>2.9404386364919461</v>
      </c>
      <c r="M40" s="64">
        <f>('TE BE'!$M$40+'TE BF'!$M$40+'TE CVA'!$M$40)*1</f>
        <v>0</v>
      </c>
      <c r="N40" s="64">
        <f>('TE BE'!$N$40+'TE BF'!$N$40+'TE CVA'!$N$40)*1</f>
        <v>0</v>
      </c>
      <c r="O40" s="64">
        <f>('TE BE'!$O$40+'TE BF'!$O$40+'TE CVA'!$O$40)*1</f>
        <v>8.5357591581914836</v>
      </c>
      <c r="P40" s="64">
        <f>('TE BE'!$P$40+'TE BF'!$P$40+'TE CVA'!$P$40)*1</f>
        <v>0</v>
      </c>
      <c r="Q40" s="64">
        <f>('TE BE'!$R$40+'TE BF'!$R$40+'TE CVA'!$R$40)*1</f>
        <v>288.91946759907842</v>
      </c>
      <c r="R40" s="64">
        <f>('TE BE'!$T$40+'TE BF'!$T$40+'TE CVA'!$T$40)*1</f>
        <v>0</v>
      </c>
      <c r="S40" s="64">
        <f>('TE BE'!$U$40+'TE BF'!$U$40+'TE CVA'!$U$40)*1</f>
        <v>0</v>
      </c>
      <c r="T40" s="64">
        <f>('TE BE'!$V$40+'TE BF'!$V$40+'TE CVA'!$V$40)*1</f>
        <v>0</v>
      </c>
      <c r="U40" s="64">
        <f>('TE BE'!$X$40+'TE BF'!$X$40+'TE CVA'!$X$40)*1</f>
        <v>-51.499378445049217</v>
      </c>
      <c r="V40" s="64">
        <f>('TE BE'!$Z$40+'TE BF'!$Z$40+'TE CVA'!$Z$40)*1</f>
        <v>0</v>
      </c>
      <c r="X40" s="64">
        <v>3.06902849460434</v>
      </c>
      <c r="Y40" s="64">
        <v>0</v>
      </c>
      <c r="Z40" s="64">
        <v>0</v>
      </c>
      <c r="AA40" s="64">
        <v>0</v>
      </c>
      <c r="AB40" s="64">
        <v>0</v>
      </c>
      <c r="AC40" s="64">
        <v>304.03333909012099</v>
      </c>
      <c r="AD40" s="64">
        <v>0</v>
      </c>
      <c r="AE40" s="64">
        <v>0</v>
      </c>
      <c r="AF40" s="64">
        <v>0</v>
      </c>
      <c r="AG40" s="64">
        <v>0</v>
      </c>
      <c r="AH40" s="64">
        <v>0</v>
      </c>
    </row>
    <row r="41" spans="1:34" ht="11.25" customHeight="1" x14ac:dyDescent="0.25">
      <c r="A41" s="177"/>
      <c r="B41" s="118" t="s">
        <v>93</v>
      </c>
      <c r="C41" s="118" t="s">
        <v>25</v>
      </c>
      <c r="D41" s="118" t="s">
        <v>25</v>
      </c>
      <c r="E41" s="118" t="s">
        <v>25</v>
      </c>
      <c r="F41" s="118" t="s">
        <v>25</v>
      </c>
      <c r="G41" s="66" t="s">
        <v>82</v>
      </c>
      <c r="H41" s="66" t="s">
        <v>78</v>
      </c>
      <c r="I41" s="66">
        <f>'MERCADO TE'!$U$38</f>
        <v>0</v>
      </c>
      <c r="J41" s="16"/>
      <c r="L41" s="64">
        <f>('TE BE'!$L$41+'TE BF'!$L$41+'TE CVA'!$L$41)*1</f>
        <v>2.9404386364919461</v>
      </c>
      <c r="M41" s="64">
        <f>('TE BE'!$M$41+'TE BF'!$M$41+'TE CVA'!$M$41)*1</f>
        <v>0</v>
      </c>
      <c r="N41" s="64">
        <f>('TE BE'!$N$41+'TE BF'!$N$41+'TE CVA'!$N$41)*1</f>
        <v>0</v>
      </c>
      <c r="O41" s="64">
        <f>('TE BE'!$O$41+'TE BF'!$O$41+'TE CVA'!$O$41)*1</f>
        <v>8.5357591581914836</v>
      </c>
      <c r="P41" s="64">
        <f>('TE BE'!$P$41+'TE BF'!$P$41+'TE CVA'!$P$41)*1</f>
        <v>0</v>
      </c>
      <c r="Q41" s="64">
        <f>('TE BE'!$R$41+'TE BF'!$R$41+'TE CVA'!$R$41)*1</f>
        <v>288.91946759907842</v>
      </c>
      <c r="R41" s="64">
        <f>('TE BE'!$T$41+'TE BF'!$T$41+'TE CVA'!$T$41)*1</f>
        <v>0</v>
      </c>
      <c r="S41" s="64">
        <f>('TE BE'!$U$41+'TE BF'!$U$41+'TE CVA'!$U$41)*1</f>
        <v>0</v>
      </c>
      <c r="T41" s="64">
        <f>('TE BE'!$V$41+'TE BF'!$V$41+'TE CVA'!$V$41)*1</f>
        <v>0</v>
      </c>
      <c r="U41" s="64">
        <f>('TE BE'!$X$41+'TE BF'!$X$41+'TE CVA'!$X$41)*1</f>
        <v>-51.499378445049217</v>
      </c>
      <c r="V41" s="64">
        <f>('TE BE'!$Z$41+'TE BF'!$Z$41+'TE CVA'!$Z$41)*1</f>
        <v>0</v>
      </c>
      <c r="X41" s="64">
        <v>3.06902849460434</v>
      </c>
      <c r="Y41" s="64">
        <v>0</v>
      </c>
      <c r="Z41" s="64">
        <v>0</v>
      </c>
      <c r="AA41" s="64">
        <v>0</v>
      </c>
      <c r="AB41" s="64">
        <v>0</v>
      </c>
      <c r="AC41" s="64">
        <v>304.03333909012099</v>
      </c>
      <c r="AD41" s="64">
        <v>0</v>
      </c>
      <c r="AE41" s="64">
        <v>0</v>
      </c>
      <c r="AF41" s="64">
        <v>0</v>
      </c>
      <c r="AG41" s="64">
        <v>0</v>
      </c>
      <c r="AH41" s="64">
        <v>0</v>
      </c>
    </row>
    <row r="42" spans="1:34" ht="11.25" customHeight="1" x14ac:dyDescent="0.25">
      <c r="A42" s="177" t="s">
        <v>45</v>
      </c>
      <c r="B42" s="177" t="s">
        <v>81</v>
      </c>
      <c r="C42" s="177" t="s">
        <v>46</v>
      </c>
      <c r="D42" s="118" t="s">
        <v>47</v>
      </c>
      <c r="E42" s="118" t="s">
        <v>25</v>
      </c>
      <c r="F42" s="118" t="s">
        <v>25</v>
      </c>
      <c r="G42" s="66" t="s">
        <v>82</v>
      </c>
      <c r="H42" s="66" t="s">
        <v>78</v>
      </c>
      <c r="I42" s="66">
        <f>'MERCADO TE'!$U$39</f>
        <v>4914.0960000000005</v>
      </c>
      <c r="J42" s="16"/>
      <c r="L42" s="64">
        <f>('TE BE'!$L$42+'TE BF'!$L$42+'TE CVA'!$L$42)*1</f>
        <v>1.6172412500705704</v>
      </c>
      <c r="M42" s="64">
        <f>('TE BE'!$M$42+'TE BF'!$M$42+'TE CVA'!$M$42)*1</f>
        <v>0</v>
      </c>
      <c r="N42" s="64">
        <f>('TE BE'!$N$42+'TE BF'!$N$42+'TE CVA'!$N$42)*1</f>
        <v>0</v>
      </c>
      <c r="O42" s="64">
        <f>('TE BE'!$O$42+'TE BF'!$O$42+'TE CVA'!$O$42)*1</f>
        <v>4.6946675370053166</v>
      </c>
      <c r="P42" s="64">
        <f>('TE BE'!$P$42+'TE BF'!$P$42+'TE CVA'!$P$42)*1</f>
        <v>0</v>
      </c>
      <c r="Q42" s="64">
        <f>('TE BE'!$R$42+'TE BF'!$R$42+'TE CVA'!$R$42)*1</f>
        <v>158.90570717949316</v>
      </c>
      <c r="R42" s="64">
        <f>('TE BE'!$T$42+'TE BF'!$T$42+'TE CVA'!$T$42)*1</f>
        <v>0</v>
      </c>
      <c r="S42" s="64">
        <f>('TE BE'!$U$42+'TE BF'!$U$42+'TE CVA'!$U$42)*1</f>
        <v>0</v>
      </c>
      <c r="T42" s="64">
        <f>('TE BE'!$V$42+'TE BF'!$V$42+'TE CVA'!$V$42)*1</f>
        <v>0</v>
      </c>
      <c r="U42" s="64">
        <f>('TE BE'!$X$42+'TE BF'!$X$42+'TE CVA'!$X$42)*1</f>
        <v>-28.324658144777072</v>
      </c>
      <c r="V42" s="64">
        <f>('TE BE'!$Z$42+'TE BF'!$Z$42+'TE CVA'!$Z$42)*1</f>
        <v>0</v>
      </c>
      <c r="X42" s="64">
        <v>1.6879656720323899</v>
      </c>
      <c r="Y42" s="64">
        <v>0</v>
      </c>
      <c r="Z42" s="64">
        <v>0</v>
      </c>
      <c r="AA42" s="64">
        <v>0</v>
      </c>
      <c r="AB42" s="64">
        <v>0</v>
      </c>
      <c r="AC42" s="64">
        <v>167.21833649956699</v>
      </c>
      <c r="AD42" s="64">
        <v>0</v>
      </c>
      <c r="AE42" s="64">
        <v>0</v>
      </c>
      <c r="AF42" s="64">
        <v>0</v>
      </c>
      <c r="AG42" s="64">
        <v>0</v>
      </c>
      <c r="AH42" s="64">
        <v>0</v>
      </c>
    </row>
    <row r="43" spans="1:34" ht="11.25" customHeight="1" x14ac:dyDescent="0.25">
      <c r="A43" s="177"/>
      <c r="B43" s="177"/>
      <c r="C43" s="177"/>
      <c r="D43" s="66" t="s">
        <v>97</v>
      </c>
      <c r="E43" s="66" t="s">
        <v>25</v>
      </c>
      <c r="F43" s="66" t="s">
        <v>25</v>
      </c>
      <c r="G43" s="66" t="s">
        <v>82</v>
      </c>
      <c r="H43" s="66" t="s">
        <v>78</v>
      </c>
      <c r="I43" s="66">
        <f>'MERCADO TE'!$U$40</f>
        <v>0</v>
      </c>
      <c r="J43" s="16"/>
      <c r="L43" s="64">
        <f>('TE BE'!$L$43+'TE BF'!$L$43+'TE CVA'!$L$43)*1</f>
        <v>1.7642631818951677</v>
      </c>
      <c r="M43" s="64">
        <f>('TE BE'!$M$43+'TE BF'!$M$43+'TE CVA'!$M$43)*1</f>
        <v>0</v>
      </c>
      <c r="N43" s="64">
        <f>('TE BE'!$N$43+'TE BF'!$N$43+'TE CVA'!$N$43)*1</f>
        <v>0</v>
      </c>
      <c r="O43" s="64">
        <f>('TE BE'!$O$43+'TE BF'!$O$43+'TE CVA'!$O$43)*1</f>
        <v>5.1214554949148896</v>
      </c>
      <c r="P43" s="64">
        <f>('TE BE'!$P$43+'TE BF'!$P$43+'TE CVA'!$P$43)*1</f>
        <v>0</v>
      </c>
      <c r="Q43" s="64">
        <f>('TE BE'!$R$43+'TE BF'!$R$43+'TE CVA'!$R$43)*1</f>
        <v>173.35168055944706</v>
      </c>
      <c r="R43" s="64">
        <f>('TE BE'!$T$43+'TE BF'!$T$43+'TE CVA'!$T$43)*1</f>
        <v>0</v>
      </c>
      <c r="S43" s="64">
        <f>('TE BE'!$U$43+'TE BF'!$U$43+'TE CVA'!$U$43)*1</f>
        <v>0</v>
      </c>
      <c r="T43" s="64">
        <f>('TE BE'!$V$43+'TE BF'!$V$43+'TE CVA'!$V$43)*1</f>
        <v>0</v>
      </c>
      <c r="U43" s="64">
        <f>('TE BE'!$X$43+'TE BF'!$X$43+'TE CVA'!$X$43)*1</f>
        <v>-30.899627067029527</v>
      </c>
      <c r="V43" s="64">
        <f>('TE BE'!$Z$43+'TE BF'!$Z$43+'TE CVA'!$Z$43)*1</f>
        <v>0</v>
      </c>
      <c r="X43" s="64">
        <v>1.84141709676261</v>
      </c>
      <c r="Y43" s="64">
        <v>0</v>
      </c>
      <c r="Z43" s="64">
        <v>0</v>
      </c>
      <c r="AA43" s="64">
        <v>0</v>
      </c>
      <c r="AB43" s="64">
        <v>0</v>
      </c>
      <c r="AC43" s="64">
        <v>182.420003454073</v>
      </c>
      <c r="AD43" s="64">
        <v>0</v>
      </c>
      <c r="AE43" s="64">
        <v>0</v>
      </c>
      <c r="AF43" s="64">
        <v>0</v>
      </c>
      <c r="AG43" s="64">
        <v>0</v>
      </c>
      <c r="AH43" s="64">
        <v>0</v>
      </c>
    </row>
    <row r="45" spans="1:34" ht="11.25" customHeight="1" x14ac:dyDescent="0.25">
      <c r="L45" s="174" t="s">
        <v>920</v>
      </c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X45" s="174" t="s">
        <v>921</v>
      </c>
      <c r="Y45" s="174"/>
      <c r="Z45" s="174"/>
      <c r="AA45" s="174"/>
      <c r="AB45" s="174"/>
      <c r="AC45" s="174"/>
      <c r="AD45" s="174"/>
      <c r="AE45" s="174"/>
      <c r="AF45" s="174"/>
      <c r="AG45" s="174"/>
      <c r="AH45" s="174"/>
    </row>
    <row r="46" spans="1:34" ht="11.25" customHeight="1" x14ac:dyDescent="0.25">
      <c r="L46" s="174" t="s">
        <v>511</v>
      </c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X46" s="174" t="s">
        <v>511</v>
      </c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</row>
    <row r="47" spans="1:34" ht="11.25" customHeight="1" x14ac:dyDescent="0.25">
      <c r="L47" s="174" t="s">
        <v>484</v>
      </c>
      <c r="M47" s="174"/>
      <c r="N47" s="174"/>
      <c r="O47" s="174"/>
      <c r="P47" s="174"/>
      <c r="Q47" s="117" t="s">
        <v>515</v>
      </c>
      <c r="R47" s="174" t="s">
        <v>493</v>
      </c>
      <c r="S47" s="174"/>
      <c r="T47" s="174"/>
      <c r="U47" s="117" t="s">
        <v>503</v>
      </c>
      <c r="V47" s="117" t="s">
        <v>506</v>
      </c>
      <c r="X47" s="174" t="s">
        <v>484</v>
      </c>
      <c r="Y47" s="174"/>
      <c r="Z47" s="174"/>
      <c r="AA47" s="174"/>
      <c r="AB47" s="174"/>
      <c r="AC47" s="117" t="s">
        <v>515</v>
      </c>
      <c r="AD47" s="174" t="s">
        <v>493</v>
      </c>
      <c r="AE47" s="174"/>
      <c r="AF47" s="174"/>
      <c r="AG47" s="117" t="s">
        <v>503</v>
      </c>
      <c r="AH47" s="117" t="s">
        <v>506</v>
      </c>
    </row>
    <row r="48" spans="1:34" ht="11.25" customHeight="1" x14ac:dyDescent="0.25">
      <c r="L48" s="117" t="s">
        <v>486</v>
      </c>
      <c r="M48" s="117" t="s">
        <v>512</v>
      </c>
      <c r="N48" s="117" t="s">
        <v>513</v>
      </c>
      <c r="O48" s="117" t="s">
        <v>572</v>
      </c>
      <c r="P48" s="117" t="s">
        <v>514</v>
      </c>
      <c r="Q48" s="117" t="s">
        <v>516</v>
      </c>
      <c r="R48" s="117" t="s">
        <v>517</v>
      </c>
      <c r="S48" s="117" t="s">
        <v>518</v>
      </c>
      <c r="T48" s="117" t="s">
        <v>519</v>
      </c>
      <c r="U48" s="117" t="s">
        <v>504</v>
      </c>
      <c r="V48" s="117" t="s">
        <v>520</v>
      </c>
      <c r="X48" s="117" t="s">
        <v>486</v>
      </c>
      <c r="Y48" s="117" t="s">
        <v>512</v>
      </c>
      <c r="Z48" s="117" t="s">
        <v>513</v>
      </c>
      <c r="AA48" s="117" t="s">
        <v>572</v>
      </c>
      <c r="AB48" s="117" t="s">
        <v>514</v>
      </c>
      <c r="AC48" s="117" t="s">
        <v>516</v>
      </c>
      <c r="AD48" s="117" t="s">
        <v>517</v>
      </c>
      <c r="AE48" s="117" t="s">
        <v>518</v>
      </c>
      <c r="AF48" s="117" t="s">
        <v>519</v>
      </c>
      <c r="AG48" s="117" t="s">
        <v>504</v>
      </c>
      <c r="AH48" s="117" t="s">
        <v>520</v>
      </c>
    </row>
    <row r="49" spans="1:34" ht="11.25" customHeight="1" x14ac:dyDescent="0.25">
      <c r="A49" s="9" t="s">
        <v>38</v>
      </c>
      <c r="B49" s="9" t="s">
        <v>922</v>
      </c>
      <c r="C49" s="9" t="s">
        <v>923</v>
      </c>
      <c r="D49" s="9" t="s">
        <v>924</v>
      </c>
      <c r="E49" s="9" t="s">
        <v>925</v>
      </c>
      <c r="F49" s="9" t="s">
        <v>926</v>
      </c>
      <c r="G49" s="9" t="s">
        <v>927</v>
      </c>
      <c r="L49" s="64">
        <f>$I$5*$L$5</f>
        <v>3598.0442140342789</v>
      </c>
      <c r="M49" s="64">
        <f>$I$5*$M$5</f>
        <v>0</v>
      </c>
      <c r="N49" s="64">
        <f>$I$5*$N$5</f>
        <v>0</v>
      </c>
      <c r="O49" s="64">
        <f>$I$5*$O$5</f>
        <v>10444.713407847747</v>
      </c>
      <c r="P49" s="64">
        <f>$I$5*$P$5</f>
        <v>0</v>
      </c>
      <c r="Q49" s="64">
        <f>$I$5*$Q$5</f>
        <v>573658.93556190492</v>
      </c>
      <c r="R49" s="64">
        <f>$I$5*$R$5</f>
        <v>0</v>
      </c>
      <c r="S49" s="64">
        <f>$I$5*$S$5</f>
        <v>0</v>
      </c>
      <c r="T49" s="64">
        <f>$I$5*$T$5</f>
        <v>0</v>
      </c>
      <c r="U49" s="64">
        <f>$I$5*$U$5</f>
        <v>-100671.81521696204</v>
      </c>
      <c r="V49" s="64">
        <f>$I$5*$V$5</f>
        <v>0</v>
      </c>
      <c r="X49" s="64">
        <f>$I$5*$X$5</f>
        <v>3755.3921651946448</v>
      </c>
      <c r="Y49" s="64">
        <f>$I$5*$Y$5</f>
        <v>0</v>
      </c>
      <c r="Z49" s="64">
        <f>$I$5*$Z$5</f>
        <v>0</v>
      </c>
      <c r="AA49" s="64">
        <f>$I$5*$AA$5</f>
        <v>0</v>
      </c>
      <c r="AB49" s="64">
        <f>$I$5*$AB$5</f>
        <v>0</v>
      </c>
      <c r="AC49" s="64">
        <f>$I$5*$AC$5</f>
        <v>603668.01561393507</v>
      </c>
      <c r="AD49" s="64">
        <f>$I$5*$AD$5</f>
        <v>0</v>
      </c>
      <c r="AE49" s="64">
        <f>$I$5*$AE$5</f>
        <v>0</v>
      </c>
      <c r="AF49" s="64">
        <f>$I$5*$AF$5</f>
        <v>0</v>
      </c>
      <c r="AG49" s="64">
        <f>$I$5*$AG$5</f>
        <v>0</v>
      </c>
      <c r="AH49" s="64">
        <f>$I$5*$AH$5</f>
        <v>0</v>
      </c>
    </row>
    <row r="50" spans="1:34" ht="11.25" customHeight="1" x14ac:dyDescent="0.25">
      <c r="A50" s="9" t="s">
        <v>38</v>
      </c>
      <c r="B50" s="9" t="s">
        <v>922</v>
      </c>
      <c r="C50" s="9" t="s">
        <v>923</v>
      </c>
      <c r="D50" s="9" t="s">
        <v>924</v>
      </c>
      <c r="E50" s="9" t="s">
        <v>925</v>
      </c>
      <c r="F50" s="9" t="s">
        <v>926</v>
      </c>
      <c r="G50" s="9" t="s">
        <v>928</v>
      </c>
      <c r="L50" s="64">
        <f>$I$6*$L$6</f>
        <v>44503.424086198786</v>
      </c>
      <c r="M50" s="64">
        <f>$I$6*$M$6</f>
        <v>0</v>
      </c>
      <c r="N50" s="64">
        <f>$I$6*$N$6</f>
        <v>0</v>
      </c>
      <c r="O50" s="64">
        <f>$I$6*$O$6</f>
        <v>129188.38196462094</v>
      </c>
      <c r="P50" s="64">
        <f>$I$6*$P$6</f>
        <v>0</v>
      </c>
      <c r="Q50" s="64">
        <f>$I$6*$Q$6</f>
        <v>4125268.7492951094</v>
      </c>
      <c r="R50" s="64">
        <f>$I$6*$R$6</f>
        <v>0</v>
      </c>
      <c r="S50" s="64">
        <f>$I$6*$S$6</f>
        <v>0</v>
      </c>
      <c r="T50" s="64">
        <f>$I$6*$T$6</f>
        <v>0</v>
      </c>
      <c r="U50" s="64">
        <f>$I$6*$U$6</f>
        <v>-737100.48066987901</v>
      </c>
      <c r="V50" s="64">
        <f>$I$6*$V$6</f>
        <v>0</v>
      </c>
      <c r="X50" s="64">
        <f>$I$6*$X$6</f>
        <v>46449.6265737254</v>
      </c>
      <c r="Y50" s="64">
        <f>$I$6*$Y$6</f>
        <v>0</v>
      </c>
      <c r="Z50" s="64">
        <f>$I$6*$Z$6</f>
        <v>0</v>
      </c>
      <c r="AA50" s="64">
        <f>$I$6*$AA$6</f>
        <v>0</v>
      </c>
      <c r="AB50" s="64">
        <f>$I$6*$AB$6</f>
        <v>0</v>
      </c>
      <c r="AC50" s="64">
        <f>$I$6*$AC$6</f>
        <v>4341068.6130459979</v>
      </c>
      <c r="AD50" s="64">
        <f>$I$6*$AD$6</f>
        <v>0</v>
      </c>
      <c r="AE50" s="64">
        <f>$I$6*$AE$6</f>
        <v>0</v>
      </c>
      <c r="AF50" s="64">
        <f>$I$6*$AF$6</f>
        <v>0</v>
      </c>
      <c r="AG50" s="64">
        <f>$I$6*$AG$6</f>
        <v>0</v>
      </c>
      <c r="AH50" s="64">
        <f>$I$6*$AH$6</f>
        <v>0</v>
      </c>
    </row>
    <row r="51" spans="1:34" ht="11.25" customHeight="1" x14ac:dyDescent="0.25">
      <c r="A51" s="9" t="s">
        <v>38</v>
      </c>
      <c r="B51" s="9" t="s">
        <v>929</v>
      </c>
      <c r="C51" s="9" t="s">
        <v>930</v>
      </c>
      <c r="D51" s="9" t="s">
        <v>931</v>
      </c>
      <c r="E51" s="9" t="s">
        <v>932</v>
      </c>
      <c r="F51" s="9" t="s">
        <v>933</v>
      </c>
      <c r="G51" s="9" t="s">
        <v>934</v>
      </c>
      <c r="L51" s="64">
        <f>$I$7*$L$7</f>
        <v>0</v>
      </c>
      <c r="M51" s="64">
        <f>$I$7*$M$7</f>
        <v>0</v>
      </c>
      <c r="N51" s="64">
        <f>$I$7*$N$7</f>
        <v>0</v>
      </c>
      <c r="O51" s="64">
        <f>$I$7*$O$7</f>
        <v>0</v>
      </c>
      <c r="P51" s="64">
        <f>$I$7*$P$7</f>
        <v>0</v>
      </c>
      <c r="Q51" s="64">
        <f>$I$7*$Q$7</f>
        <v>0</v>
      </c>
      <c r="R51" s="64">
        <f>$I$7*$R$7</f>
        <v>0</v>
      </c>
      <c r="S51" s="64">
        <f>$I$7*$S$7</f>
        <v>0</v>
      </c>
      <c r="T51" s="64">
        <f>$I$7*$T$7</f>
        <v>0</v>
      </c>
      <c r="U51" s="64">
        <f>$I$7*$U$7</f>
        <v>0</v>
      </c>
      <c r="V51" s="64">
        <f>$I$7*$V$7</f>
        <v>0</v>
      </c>
      <c r="X51" s="64">
        <f>$I$7*$X$7</f>
        <v>0</v>
      </c>
      <c r="Y51" s="64">
        <f>$I$7*$Y$7</f>
        <v>0</v>
      </c>
      <c r="Z51" s="64">
        <f>$I$7*$Z$7</f>
        <v>0</v>
      </c>
      <c r="AA51" s="64">
        <f>$I$7*$AA$7</f>
        <v>0</v>
      </c>
      <c r="AB51" s="64">
        <f>$I$7*$AB$7</f>
        <v>0</v>
      </c>
      <c r="AC51" s="64">
        <f>$I$7*$AC$7</f>
        <v>0</v>
      </c>
      <c r="AD51" s="64">
        <f>$I$7*$AD$7</f>
        <v>0</v>
      </c>
      <c r="AE51" s="64">
        <f>$I$7*$AE$7</f>
        <v>0</v>
      </c>
      <c r="AF51" s="64">
        <f>$I$7*$AF$7</f>
        <v>0</v>
      </c>
      <c r="AG51" s="64">
        <f>$I$7*$AG$7</f>
        <v>0</v>
      </c>
      <c r="AH51" s="64">
        <f>$I$7*$AH$7</f>
        <v>0</v>
      </c>
    </row>
    <row r="52" spans="1:34" ht="11.25" customHeight="1" x14ac:dyDescent="0.25">
      <c r="A52" s="9" t="s">
        <v>38</v>
      </c>
      <c r="B52" s="9" t="s">
        <v>935</v>
      </c>
      <c r="C52" s="9" t="s">
        <v>936</v>
      </c>
      <c r="D52" s="9" t="s">
        <v>937</v>
      </c>
      <c r="E52" s="9" t="s">
        <v>938</v>
      </c>
      <c r="F52" s="9" t="s">
        <v>939</v>
      </c>
      <c r="G52" s="9" t="s">
        <v>940</v>
      </c>
      <c r="L52" s="64">
        <f>$I$8*$L$8</f>
        <v>0</v>
      </c>
      <c r="M52" s="64">
        <f>$I$8*$M$8</f>
        <v>0</v>
      </c>
      <c r="N52" s="64">
        <f>$I$8*$N$8</f>
        <v>0</v>
      </c>
      <c r="O52" s="64">
        <f>$I$8*$O$8</f>
        <v>0</v>
      </c>
      <c r="P52" s="64">
        <f>$I$8*$P$8</f>
        <v>0</v>
      </c>
      <c r="Q52" s="64">
        <f>$I$8*$Q$8</f>
        <v>0</v>
      </c>
      <c r="R52" s="64">
        <f>$I$8*$R$8</f>
        <v>0</v>
      </c>
      <c r="S52" s="64">
        <f>$I$8*$S$8</f>
        <v>0</v>
      </c>
      <c r="T52" s="64">
        <f>$I$8*$T$8</f>
        <v>0</v>
      </c>
      <c r="U52" s="64">
        <f>$I$8*$U$8</f>
        <v>0</v>
      </c>
      <c r="V52" s="64">
        <f>$I$8*$V$8</f>
        <v>0</v>
      </c>
      <c r="X52" s="64">
        <f>$I$8*$X$8</f>
        <v>0</v>
      </c>
      <c r="Y52" s="64">
        <f>$I$8*$Y$8</f>
        <v>0</v>
      </c>
      <c r="Z52" s="64">
        <f>$I$8*$Z$8</f>
        <v>0</v>
      </c>
      <c r="AA52" s="64">
        <f>$I$8*$AA$8</f>
        <v>0</v>
      </c>
      <c r="AB52" s="64">
        <f>$I$8*$AB$8</f>
        <v>0</v>
      </c>
      <c r="AC52" s="64">
        <f>$I$8*$AC$8</f>
        <v>0</v>
      </c>
      <c r="AD52" s="64">
        <f>$I$8*$AD$8</f>
        <v>0</v>
      </c>
      <c r="AE52" s="64">
        <f>$I$8*$AE$8</f>
        <v>0</v>
      </c>
      <c r="AF52" s="64">
        <f>$I$8*$AF$8</f>
        <v>0</v>
      </c>
      <c r="AG52" s="64">
        <f>$I$8*$AG$8</f>
        <v>0</v>
      </c>
      <c r="AH52" s="64">
        <f>$I$8*$AH$8</f>
        <v>0</v>
      </c>
    </row>
    <row r="53" spans="1:34" ht="11.25" customHeight="1" x14ac:dyDescent="0.25">
      <c r="A53" s="9" t="s">
        <v>22</v>
      </c>
      <c r="B53" s="9" t="s">
        <v>941</v>
      </c>
      <c r="C53" s="9" t="s">
        <v>942</v>
      </c>
      <c r="D53" s="9" t="s">
        <v>943</v>
      </c>
      <c r="E53" s="9" t="s">
        <v>944</v>
      </c>
      <c r="F53" s="9" t="s">
        <v>945</v>
      </c>
      <c r="G53" s="9" t="s">
        <v>946</v>
      </c>
      <c r="L53" s="64">
        <f>$I$9*$L$9</f>
        <v>8.1097297594447895</v>
      </c>
      <c r="M53" s="64">
        <f>$I$9*$M$9</f>
        <v>0</v>
      </c>
      <c r="N53" s="64">
        <f>$I$9*$N$9</f>
        <v>0</v>
      </c>
      <c r="O53" s="64">
        <f>$I$9*$O$9</f>
        <v>23.541623758292115</v>
      </c>
      <c r="P53" s="64">
        <f>$I$9*$P$9</f>
        <v>0</v>
      </c>
      <c r="Q53" s="64">
        <f>$I$9*$Q$9</f>
        <v>1292.9854845450986</v>
      </c>
      <c r="R53" s="64">
        <f>$I$9*$R$9</f>
        <v>0</v>
      </c>
      <c r="S53" s="64">
        <f>$I$9*$S$9</f>
        <v>0</v>
      </c>
      <c r="T53" s="64">
        <f>$I$9*$T$9</f>
        <v>0</v>
      </c>
      <c r="U53" s="64">
        <f>$I$9*$U$9</f>
        <v>-226.90694367174493</v>
      </c>
      <c r="V53" s="64">
        <f>$I$9*$V$9</f>
        <v>0</v>
      </c>
      <c r="X53" s="64">
        <f>$I$9*$X$9</f>
        <v>8.4643805881187717</v>
      </c>
      <c r="Y53" s="64">
        <f>$I$9*$Y$9</f>
        <v>0</v>
      </c>
      <c r="Z53" s="64">
        <f>$I$9*$Z$9</f>
        <v>0</v>
      </c>
      <c r="AA53" s="64">
        <f>$I$9*$AA$9</f>
        <v>0</v>
      </c>
      <c r="AB53" s="64">
        <f>$I$9*$AB$9</f>
        <v>0</v>
      </c>
      <c r="AC53" s="64">
        <f>$I$9*$AC$9</f>
        <v>1360.6237666435386</v>
      </c>
      <c r="AD53" s="64">
        <f>$I$9*$AD$9</f>
        <v>0</v>
      </c>
      <c r="AE53" s="64">
        <f>$I$9*$AE$9</f>
        <v>0</v>
      </c>
      <c r="AF53" s="64">
        <f>$I$9*$AF$9</f>
        <v>0</v>
      </c>
      <c r="AG53" s="64">
        <f>$I$9*$AG$9</f>
        <v>0</v>
      </c>
      <c r="AH53" s="64">
        <f>$I$9*$AH$9</f>
        <v>0</v>
      </c>
    </row>
    <row r="54" spans="1:34" ht="11.25" customHeight="1" x14ac:dyDescent="0.25">
      <c r="A54" s="9" t="s">
        <v>22</v>
      </c>
      <c r="B54" s="9" t="s">
        <v>941</v>
      </c>
      <c r="C54" s="9" t="s">
        <v>942</v>
      </c>
      <c r="D54" s="9" t="s">
        <v>943</v>
      </c>
      <c r="E54" s="9" t="s">
        <v>944</v>
      </c>
      <c r="F54" s="9" t="s">
        <v>945</v>
      </c>
      <c r="G54" s="9" t="s">
        <v>947</v>
      </c>
      <c r="L54" s="64">
        <f>$I$10*$L$10</f>
        <v>5.8426515707094975</v>
      </c>
      <c r="M54" s="64">
        <f>$I$10*$M$10</f>
        <v>0</v>
      </c>
      <c r="N54" s="64">
        <f>$I$10*$N$10</f>
        <v>0</v>
      </c>
      <c r="O54" s="64">
        <f>$I$10*$O$10</f>
        <v>16.960553447326479</v>
      </c>
      <c r="P54" s="64">
        <f>$I$10*$P$10</f>
        <v>0</v>
      </c>
      <c r="Q54" s="64">
        <f>$I$10*$Q$10</f>
        <v>541.58771898053669</v>
      </c>
      <c r="R54" s="64">
        <f>$I$10*$R$10</f>
        <v>0</v>
      </c>
      <c r="S54" s="64">
        <f>$I$10*$S$10</f>
        <v>0</v>
      </c>
      <c r="T54" s="64">
        <f>$I$10*$T$10</f>
        <v>0</v>
      </c>
      <c r="U54" s="64">
        <f>$I$10*$U$10</f>
        <v>-96.77056023408646</v>
      </c>
      <c r="V54" s="64">
        <f>$I$10*$V$10</f>
        <v>0</v>
      </c>
      <c r="X54" s="64">
        <f>$I$10*$X$10</f>
        <v>6.0981596187788236</v>
      </c>
      <c r="Y54" s="64">
        <f>$I$10*$Y$10</f>
        <v>0</v>
      </c>
      <c r="Z54" s="64">
        <f>$I$10*$Z$10</f>
        <v>0</v>
      </c>
      <c r="AA54" s="64">
        <f>$I$10*$AA$10</f>
        <v>0</v>
      </c>
      <c r="AB54" s="64">
        <f>$I$10*$AB$10</f>
        <v>0</v>
      </c>
      <c r="AC54" s="64">
        <f>$I$10*$AC$10</f>
        <v>569.91909884157599</v>
      </c>
      <c r="AD54" s="64">
        <f>$I$10*$AD$10</f>
        <v>0</v>
      </c>
      <c r="AE54" s="64">
        <f>$I$10*$AE$10</f>
        <v>0</v>
      </c>
      <c r="AF54" s="64">
        <f>$I$10*$AF$10</f>
        <v>0</v>
      </c>
      <c r="AG54" s="64">
        <f>$I$10*$AG$10</f>
        <v>0</v>
      </c>
      <c r="AH54" s="64">
        <f>$I$10*$AH$10</f>
        <v>0</v>
      </c>
    </row>
    <row r="55" spans="1:34" ht="11.25" customHeight="1" x14ac:dyDescent="0.25">
      <c r="A55" s="9" t="s">
        <v>22</v>
      </c>
      <c r="B55" s="9" t="s">
        <v>941</v>
      </c>
      <c r="C55" s="9" t="s">
        <v>942</v>
      </c>
      <c r="D55" s="9" t="s">
        <v>943</v>
      </c>
      <c r="E55" s="9" t="s">
        <v>944</v>
      </c>
      <c r="F55" s="9" t="s">
        <v>945</v>
      </c>
      <c r="G55" s="9" t="s">
        <v>948</v>
      </c>
      <c r="L55" s="64">
        <f>$I$11*$L$11</f>
        <v>49.381726461245748</v>
      </c>
      <c r="M55" s="64">
        <f>$I$11*$M$11</f>
        <v>0</v>
      </c>
      <c r="N55" s="64">
        <f>$I$11*$N$11</f>
        <v>0</v>
      </c>
      <c r="O55" s="64">
        <f>$I$11*$O$11</f>
        <v>143.34953930266778</v>
      </c>
      <c r="P55" s="64">
        <f>$I$11*$P$11</f>
        <v>0</v>
      </c>
      <c r="Q55" s="64">
        <f>$I$11*$Q$11</f>
        <v>4577.465602697097</v>
      </c>
      <c r="R55" s="64">
        <f>$I$11*$R$11</f>
        <v>0</v>
      </c>
      <c r="S55" s="64">
        <f>$I$11*$S$11</f>
        <v>0</v>
      </c>
      <c r="T55" s="64">
        <f>$I$11*$T$11</f>
        <v>0</v>
      </c>
      <c r="U55" s="64">
        <f>$I$11*$U$11</f>
        <v>-817.89873607007951</v>
      </c>
      <c r="V55" s="64">
        <f>$I$11*$V$11</f>
        <v>0</v>
      </c>
      <c r="X55" s="64">
        <f>$I$11*$X$11</f>
        <v>51.541264538385285</v>
      </c>
      <c r="Y55" s="64">
        <f>$I$11*$Y$11</f>
        <v>0</v>
      </c>
      <c r="Z55" s="64">
        <f>$I$11*$Z$11</f>
        <v>0</v>
      </c>
      <c r="AA55" s="64">
        <f>$I$11*$AA$11</f>
        <v>0</v>
      </c>
      <c r="AB55" s="64">
        <f>$I$11*$AB$11</f>
        <v>0</v>
      </c>
      <c r="AC55" s="64">
        <f>$I$11*$AC$11</f>
        <v>4816.9206572448047</v>
      </c>
      <c r="AD55" s="64">
        <f>$I$11*$AD$11</f>
        <v>0</v>
      </c>
      <c r="AE55" s="64">
        <f>$I$11*$AE$11</f>
        <v>0</v>
      </c>
      <c r="AF55" s="64">
        <f>$I$11*$AF$11</f>
        <v>0</v>
      </c>
      <c r="AG55" s="64">
        <f>$I$11*$AG$11</f>
        <v>0</v>
      </c>
      <c r="AH55" s="64">
        <f>$I$11*$AH$11</f>
        <v>0</v>
      </c>
    </row>
    <row r="56" spans="1:34" ht="11.25" customHeight="1" x14ac:dyDescent="0.25">
      <c r="A56" s="9" t="s">
        <v>22</v>
      </c>
      <c r="B56" s="9" t="s">
        <v>949</v>
      </c>
      <c r="C56" s="9" t="s">
        <v>950</v>
      </c>
      <c r="D56" s="9" t="s">
        <v>951</v>
      </c>
      <c r="E56" s="9" t="s">
        <v>952</v>
      </c>
      <c r="F56" s="9" t="s">
        <v>953</v>
      </c>
      <c r="G56" s="9" t="s">
        <v>954</v>
      </c>
      <c r="L56" s="64">
        <f>$I$12*$L$12</f>
        <v>111916.19078676768</v>
      </c>
      <c r="M56" s="64">
        <f>$I$12*$M$12</f>
        <v>0</v>
      </c>
      <c r="N56" s="64">
        <f>$I$12*$N$12</f>
        <v>0</v>
      </c>
      <c r="O56" s="64">
        <f>$I$12*$O$12</f>
        <v>324879.98171516135</v>
      </c>
      <c r="P56" s="64">
        <f>$I$12*$P$12</f>
        <v>0</v>
      </c>
      <c r="Q56" s="64">
        <f>$I$12*$Q$12</f>
        <v>10996579.169020304</v>
      </c>
      <c r="R56" s="64">
        <f>$I$12*$R$12</f>
        <v>0</v>
      </c>
      <c r="S56" s="64">
        <f>$I$12*$S$12</f>
        <v>0</v>
      </c>
      <c r="T56" s="64">
        <f>$I$12*$T$12</f>
        <v>0</v>
      </c>
      <c r="U56" s="64">
        <f>$I$12*$U$12</f>
        <v>-1960120.5724640754</v>
      </c>
      <c r="V56" s="64">
        <f>$I$12*$V$12</f>
        <v>0</v>
      </c>
      <c r="X56" s="64">
        <f>$I$12*$X$12</f>
        <v>116810.45619164598</v>
      </c>
      <c r="Y56" s="64">
        <f>$I$12*$Y$12</f>
        <v>0</v>
      </c>
      <c r="Z56" s="64">
        <f>$I$12*$Z$12</f>
        <v>0</v>
      </c>
      <c r="AA56" s="64">
        <f>$I$12*$AA$12</f>
        <v>0</v>
      </c>
      <c r="AB56" s="64">
        <f>$I$12*$AB$12</f>
        <v>0</v>
      </c>
      <c r="AC56" s="64">
        <f>$I$12*$AC$12</f>
        <v>11571829.032876065</v>
      </c>
      <c r="AD56" s="64">
        <f>$I$12*$AD$12</f>
        <v>0</v>
      </c>
      <c r="AE56" s="64">
        <f>$I$12*$AE$12</f>
        <v>0</v>
      </c>
      <c r="AF56" s="64">
        <f>$I$12*$AF$12</f>
        <v>0</v>
      </c>
      <c r="AG56" s="64">
        <f>$I$12*$AG$12</f>
        <v>0</v>
      </c>
      <c r="AH56" s="64">
        <f>$I$12*$AH$12</f>
        <v>0</v>
      </c>
    </row>
    <row r="57" spans="1:34" ht="11.25" customHeight="1" x14ac:dyDescent="0.25">
      <c r="A57" s="9" t="s">
        <v>22</v>
      </c>
      <c r="B57" s="9" t="s">
        <v>949</v>
      </c>
      <c r="C57" s="9" t="s">
        <v>950</v>
      </c>
      <c r="D57" s="9" t="s">
        <v>955</v>
      </c>
      <c r="E57" s="9" t="s">
        <v>956</v>
      </c>
      <c r="F57" s="9" t="s">
        <v>957</v>
      </c>
      <c r="G57" s="9" t="s">
        <v>958</v>
      </c>
      <c r="L57" s="64">
        <f>$I$13*$L$13</f>
        <v>272.65261363451111</v>
      </c>
      <c r="M57" s="64">
        <f>$I$13*$M$13</f>
        <v>0</v>
      </c>
      <c r="N57" s="64">
        <f>$I$13*$N$13</f>
        <v>0</v>
      </c>
      <c r="O57" s="64">
        <f>$I$13*$O$13</f>
        <v>791.4795483071789</v>
      </c>
      <c r="P57" s="64">
        <f>$I$13*$P$13</f>
        <v>0</v>
      </c>
      <c r="Q57" s="64">
        <f>$I$13*$Q$13</f>
        <v>26790.100971044682</v>
      </c>
      <c r="R57" s="64">
        <f>$I$13*$R$13</f>
        <v>0</v>
      </c>
      <c r="S57" s="64">
        <f>$I$13*$S$13</f>
        <v>0</v>
      </c>
      <c r="T57" s="64">
        <f>$I$13*$T$13</f>
        <v>0</v>
      </c>
      <c r="U57" s="64">
        <f>$I$13*$U$13</f>
        <v>-4775.2875912239542</v>
      </c>
      <c r="V57" s="64">
        <f>$I$13*$V$13</f>
        <v>0</v>
      </c>
      <c r="X57" s="64">
        <f>$I$13*$X$13</f>
        <v>284.57612751646184</v>
      </c>
      <c r="Y57" s="64">
        <f>$I$13*$Y$13</f>
        <v>0</v>
      </c>
      <c r="Z57" s="64">
        <f>$I$13*$Z$13</f>
        <v>0</v>
      </c>
      <c r="AA57" s="64">
        <f>$I$13*$AA$13</f>
        <v>0</v>
      </c>
      <c r="AB57" s="64">
        <f>$I$13*$AB$13</f>
        <v>0</v>
      </c>
      <c r="AC57" s="64">
        <f>$I$13*$AC$13</f>
        <v>28191.536972132239</v>
      </c>
      <c r="AD57" s="64">
        <f>$I$13*$AD$13</f>
        <v>0</v>
      </c>
      <c r="AE57" s="64">
        <f>$I$13*$AE$13</f>
        <v>0</v>
      </c>
      <c r="AF57" s="64">
        <f>$I$13*$AF$13</f>
        <v>0</v>
      </c>
      <c r="AG57" s="64">
        <f>$I$13*$AG$13</f>
        <v>0</v>
      </c>
      <c r="AH57" s="64">
        <f>$I$13*$AH$13</f>
        <v>0</v>
      </c>
    </row>
    <row r="58" spans="1:34" ht="11.25" customHeight="1" x14ac:dyDescent="0.25">
      <c r="A58" s="9" t="s">
        <v>22</v>
      </c>
      <c r="B58" s="9" t="s">
        <v>949</v>
      </c>
      <c r="C58" s="9" t="s">
        <v>950</v>
      </c>
      <c r="D58" s="9" t="s">
        <v>959</v>
      </c>
      <c r="E58" s="9" t="s">
        <v>960</v>
      </c>
      <c r="F58" s="9" t="s">
        <v>961</v>
      </c>
      <c r="G58" s="9" t="s">
        <v>962</v>
      </c>
      <c r="L58" s="64">
        <f>$I$14*$L$14</f>
        <v>965.02196802256469</v>
      </c>
      <c r="M58" s="64">
        <f>$I$14*$M$14</f>
        <v>0</v>
      </c>
      <c r="N58" s="64">
        <f>$I$14*$N$14</f>
        <v>0</v>
      </c>
      <c r="O58" s="64">
        <f>$I$14*$O$14</f>
        <v>2801.3490909750312</v>
      </c>
      <c r="P58" s="64">
        <f>$I$14*$P$14</f>
        <v>0</v>
      </c>
      <c r="Q58" s="64">
        <f>$I$14*$Q$14</f>
        <v>94820.422287448033</v>
      </c>
      <c r="R58" s="64">
        <f>$I$14*$R$14</f>
        <v>0</v>
      </c>
      <c r="S58" s="64">
        <f>$I$14*$S$14</f>
        <v>0</v>
      </c>
      <c r="T58" s="64">
        <f>$I$14*$T$14</f>
        <v>0</v>
      </c>
      <c r="U58" s="64">
        <f>$I$14*$U$14</f>
        <v>-16901.570712005014</v>
      </c>
      <c r="V58" s="64">
        <f>$I$14*$V$14</f>
        <v>0</v>
      </c>
      <c r="X58" s="64">
        <f>$I$14*$X$14</f>
        <v>1007.2238478385028</v>
      </c>
      <c r="Y58" s="64">
        <f>$I$14*$Y$14</f>
        <v>0</v>
      </c>
      <c r="Z58" s="64">
        <f>$I$14*$Z$14</f>
        <v>0</v>
      </c>
      <c r="AA58" s="64">
        <f>$I$14*$AA$14</f>
        <v>0</v>
      </c>
      <c r="AB58" s="64">
        <f>$I$14*$AB$14</f>
        <v>0</v>
      </c>
      <c r="AC58" s="64">
        <f>$I$14*$AC$14</f>
        <v>99780.640749319224</v>
      </c>
      <c r="AD58" s="64">
        <f>$I$14*$AD$14</f>
        <v>0</v>
      </c>
      <c r="AE58" s="64">
        <f>$I$14*$AE$14</f>
        <v>0</v>
      </c>
      <c r="AF58" s="64">
        <f>$I$14*$AF$14</f>
        <v>0</v>
      </c>
      <c r="AG58" s="64">
        <f>$I$14*$AG$14</f>
        <v>0</v>
      </c>
      <c r="AH58" s="64">
        <f>$I$14*$AH$14</f>
        <v>0</v>
      </c>
    </row>
    <row r="59" spans="1:34" ht="11.25" customHeight="1" x14ac:dyDescent="0.25">
      <c r="A59" s="9" t="s">
        <v>22</v>
      </c>
      <c r="B59" s="9" t="s">
        <v>949</v>
      </c>
      <c r="C59" s="9" t="s">
        <v>950</v>
      </c>
      <c r="D59" s="9" t="s">
        <v>963</v>
      </c>
      <c r="E59" s="9" t="s">
        <v>964</v>
      </c>
      <c r="F59" s="9" t="s">
        <v>965</v>
      </c>
      <c r="G59" s="9" t="s">
        <v>966</v>
      </c>
      <c r="L59" s="64">
        <f>$I$15*$L$15</f>
        <v>1270.7537812079509</v>
      </c>
      <c r="M59" s="64">
        <f>$I$15*$M$15</f>
        <v>0</v>
      </c>
      <c r="N59" s="64">
        <f>$I$15*$N$15</f>
        <v>0</v>
      </c>
      <c r="O59" s="64">
        <f>$I$15*$O$15</f>
        <v>3688.8537958720754</v>
      </c>
      <c r="P59" s="64">
        <f>$I$15*$P$15</f>
        <v>0</v>
      </c>
      <c r="Q59" s="64">
        <f>$I$15*$Q$15</f>
        <v>124860.79503911543</v>
      </c>
      <c r="R59" s="64">
        <f>$I$15*$R$15</f>
        <v>0</v>
      </c>
      <c r="S59" s="64">
        <f>$I$15*$S$15</f>
        <v>0</v>
      </c>
      <c r="T59" s="64">
        <f>$I$15*$T$15</f>
        <v>0</v>
      </c>
      <c r="U59" s="64">
        <f>$I$15*$U$15</f>
        <v>-22256.213435891161</v>
      </c>
      <c r="V59" s="64">
        <f>$I$15*$V$15</f>
        <v>0</v>
      </c>
      <c r="X59" s="64">
        <f>$I$15*$X$15</f>
        <v>1326.3257786621382</v>
      </c>
      <c r="Y59" s="64">
        <f>$I$15*$Y$15</f>
        <v>0</v>
      </c>
      <c r="Z59" s="64">
        <f>$I$15*$Z$15</f>
        <v>0</v>
      </c>
      <c r="AA59" s="64">
        <f>$I$15*$AA$15</f>
        <v>0</v>
      </c>
      <c r="AB59" s="64">
        <f>$I$15*$AB$15</f>
        <v>0</v>
      </c>
      <c r="AC59" s="64">
        <f>$I$15*$AC$15</f>
        <v>131392.47677788048</v>
      </c>
      <c r="AD59" s="64">
        <f>$I$15*$AD$15</f>
        <v>0</v>
      </c>
      <c r="AE59" s="64">
        <f>$I$15*$AE$15</f>
        <v>0</v>
      </c>
      <c r="AF59" s="64">
        <f>$I$15*$AF$15</f>
        <v>0</v>
      </c>
      <c r="AG59" s="64">
        <f>$I$15*$AG$15</f>
        <v>0</v>
      </c>
      <c r="AH59" s="64">
        <f>$I$15*$AH$15</f>
        <v>0</v>
      </c>
    </row>
    <row r="60" spans="1:34" ht="11.25" customHeight="1" x14ac:dyDescent="0.25">
      <c r="A60" s="9" t="s">
        <v>22</v>
      </c>
      <c r="B60" s="9" t="s">
        <v>949</v>
      </c>
      <c r="C60" s="9" t="s">
        <v>950</v>
      </c>
      <c r="D60" s="9" t="s">
        <v>967</v>
      </c>
      <c r="E60" s="9" t="s">
        <v>968</v>
      </c>
      <c r="F60" s="9" t="s">
        <v>969</v>
      </c>
      <c r="G60" s="9" t="s">
        <v>970</v>
      </c>
      <c r="L60" s="64">
        <f>$I$16*$L$16</f>
        <v>429.04234188917627</v>
      </c>
      <c r="M60" s="64">
        <f>$I$16*$M$16</f>
        <v>0</v>
      </c>
      <c r="N60" s="64">
        <f>$I$16*$N$16</f>
        <v>0</v>
      </c>
      <c r="O60" s="64">
        <f>$I$16*$O$16</f>
        <v>1245.4611545308774</v>
      </c>
      <c r="P60" s="64">
        <f>$I$16*$P$16</f>
        <v>0</v>
      </c>
      <c r="Q60" s="64">
        <f>$I$16*$Q$16</f>
        <v>42156.528436849127</v>
      </c>
      <c r="R60" s="64">
        <f>$I$16*$R$16</f>
        <v>0</v>
      </c>
      <c r="S60" s="64">
        <f>$I$16*$S$16</f>
        <v>0</v>
      </c>
      <c r="T60" s="64">
        <f>$I$16*$T$16</f>
        <v>0</v>
      </c>
      <c r="U60" s="64">
        <f>$I$16*$U$16</f>
        <v>-7514.3258082955754</v>
      </c>
      <c r="V60" s="64">
        <f>$I$16*$V$16</f>
        <v>0</v>
      </c>
      <c r="X60" s="64">
        <f>$I$16*$X$16</f>
        <v>447.80501667621377</v>
      </c>
      <c r="Y60" s="64">
        <f>$I$16*$Y$16</f>
        <v>0</v>
      </c>
      <c r="Z60" s="64">
        <f>$I$16*$Z$16</f>
        <v>0</v>
      </c>
      <c r="AA60" s="64">
        <f>$I$16*$AA$16</f>
        <v>0</v>
      </c>
      <c r="AB60" s="64">
        <f>$I$16*$AB$16</f>
        <v>0</v>
      </c>
      <c r="AC60" s="64">
        <f>$I$16*$AC$16</f>
        <v>44361.808539978636</v>
      </c>
      <c r="AD60" s="64">
        <f>$I$16*$AD$16</f>
        <v>0</v>
      </c>
      <c r="AE60" s="64">
        <f>$I$16*$AE$16</f>
        <v>0</v>
      </c>
      <c r="AF60" s="64">
        <f>$I$16*$AF$16</f>
        <v>0</v>
      </c>
      <c r="AG60" s="64">
        <f>$I$16*$AG$16</f>
        <v>0</v>
      </c>
      <c r="AH60" s="64">
        <f>$I$16*$AH$16</f>
        <v>0</v>
      </c>
    </row>
    <row r="61" spans="1:34" ht="11.25" customHeight="1" x14ac:dyDescent="0.25">
      <c r="A61" s="9" t="s">
        <v>22</v>
      </c>
      <c r="B61" s="9" t="s">
        <v>971</v>
      </c>
      <c r="C61" s="9" t="s">
        <v>972</v>
      </c>
      <c r="D61" s="9" t="s">
        <v>973</v>
      </c>
      <c r="E61" s="9" t="s">
        <v>974</v>
      </c>
      <c r="F61" s="9" t="s">
        <v>975</v>
      </c>
      <c r="G61" s="9" t="s">
        <v>976</v>
      </c>
      <c r="L61" s="64">
        <f>$I$17*$L$17</f>
        <v>0</v>
      </c>
      <c r="M61" s="64">
        <f>$I$17*$M$17</f>
        <v>0</v>
      </c>
      <c r="N61" s="64">
        <f>$I$17*$N$17</f>
        <v>0</v>
      </c>
      <c r="O61" s="64">
        <f>$I$17*$O$17</f>
        <v>0</v>
      </c>
      <c r="P61" s="64">
        <f>$I$17*$P$17</f>
        <v>0</v>
      </c>
      <c r="Q61" s="64">
        <f>$I$17*$Q$17</f>
        <v>0</v>
      </c>
      <c r="R61" s="64">
        <f>$I$17*$R$17</f>
        <v>0</v>
      </c>
      <c r="S61" s="64">
        <f>$I$17*$S$17</f>
        <v>0</v>
      </c>
      <c r="T61" s="64">
        <f>$I$17*$T$17</f>
        <v>0</v>
      </c>
      <c r="U61" s="64">
        <f>$I$17*$U$17</f>
        <v>0</v>
      </c>
      <c r="V61" s="64">
        <f>$I$17*$V$17</f>
        <v>0</v>
      </c>
      <c r="X61" s="64">
        <f>$I$17*$X$17</f>
        <v>0</v>
      </c>
      <c r="Y61" s="64">
        <f>$I$17*$Y$17</f>
        <v>0</v>
      </c>
      <c r="Z61" s="64">
        <f>$I$17*$Z$17</f>
        <v>0</v>
      </c>
      <c r="AA61" s="64">
        <f>$I$17*$AA$17</f>
        <v>0</v>
      </c>
      <c r="AB61" s="64">
        <f>$I$17*$AB$17</f>
        <v>0</v>
      </c>
      <c r="AC61" s="64">
        <f>$I$17*$AC$17</f>
        <v>0</v>
      </c>
      <c r="AD61" s="64">
        <f>$I$17*$AD$17</f>
        <v>0</v>
      </c>
      <c r="AE61" s="64">
        <f>$I$17*$AE$17</f>
        <v>0</v>
      </c>
      <c r="AF61" s="64">
        <f>$I$17*$AF$17</f>
        <v>0</v>
      </c>
      <c r="AG61" s="64">
        <f>$I$17*$AG$17</f>
        <v>0</v>
      </c>
      <c r="AH61" s="64">
        <f>$I$17*$AH$17</f>
        <v>0</v>
      </c>
    </row>
    <row r="62" spans="1:34" ht="11.25" customHeight="1" x14ac:dyDescent="0.25">
      <c r="A62" s="9" t="s">
        <v>22</v>
      </c>
      <c r="B62" s="9" t="s">
        <v>971</v>
      </c>
      <c r="C62" s="9" t="s">
        <v>972</v>
      </c>
      <c r="D62" s="9" t="s">
        <v>977</v>
      </c>
      <c r="E62" s="9" t="s">
        <v>978</v>
      </c>
      <c r="F62" s="9" t="s">
        <v>979</v>
      </c>
      <c r="G62" s="9" t="s">
        <v>980</v>
      </c>
      <c r="L62" s="64">
        <f>$I$18*$L$18</f>
        <v>0</v>
      </c>
      <c r="M62" s="64">
        <f>$I$18*$M$18</f>
        <v>0</v>
      </c>
      <c r="N62" s="64">
        <f>$I$18*$N$18</f>
        <v>0</v>
      </c>
      <c r="O62" s="64">
        <f>$I$18*$O$18</f>
        <v>0</v>
      </c>
      <c r="P62" s="64">
        <f>$I$18*$P$18</f>
        <v>0</v>
      </c>
      <c r="Q62" s="64">
        <f>$I$18*$Q$18</f>
        <v>0</v>
      </c>
      <c r="R62" s="64">
        <f>$I$18*$R$18</f>
        <v>0</v>
      </c>
      <c r="S62" s="64">
        <f>$I$18*$S$18</f>
        <v>0</v>
      </c>
      <c r="T62" s="64">
        <f>$I$18*$T$18</f>
        <v>0</v>
      </c>
      <c r="U62" s="64">
        <f>$I$18*$U$18</f>
        <v>0</v>
      </c>
      <c r="V62" s="64">
        <f>$I$18*$V$18</f>
        <v>0</v>
      </c>
      <c r="X62" s="64">
        <f>$I$18*$X$18</f>
        <v>0</v>
      </c>
      <c r="Y62" s="64">
        <f>$I$18*$Y$18</f>
        <v>0</v>
      </c>
      <c r="Z62" s="64">
        <f>$I$18*$Z$18</f>
        <v>0</v>
      </c>
      <c r="AA62" s="64">
        <f>$I$18*$AA$18</f>
        <v>0</v>
      </c>
      <c r="AB62" s="64">
        <f>$I$18*$AB$18</f>
        <v>0</v>
      </c>
      <c r="AC62" s="64">
        <f>$I$18*$AC$18</f>
        <v>0</v>
      </c>
      <c r="AD62" s="64">
        <f>$I$18*$AD$18</f>
        <v>0</v>
      </c>
      <c r="AE62" s="64">
        <f>$I$18*$AE$18</f>
        <v>0</v>
      </c>
      <c r="AF62" s="64">
        <f>$I$18*$AF$18</f>
        <v>0</v>
      </c>
      <c r="AG62" s="64">
        <f>$I$18*$AG$18</f>
        <v>0</v>
      </c>
      <c r="AH62" s="64">
        <f>$I$18*$AH$18</f>
        <v>0</v>
      </c>
    </row>
    <row r="63" spans="1:34" ht="11.25" customHeight="1" x14ac:dyDescent="0.25">
      <c r="A63" s="9" t="s">
        <v>22</v>
      </c>
      <c r="B63" s="9" t="s">
        <v>971</v>
      </c>
      <c r="C63" s="9" t="s">
        <v>972</v>
      </c>
      <c r="D63" s="9" t="s">
        <v>981</v>
      </c>
      <c r="E63" s="9" t="s">
        <v>982</v>
      </c>
      <c r="F63" s="9" t="s">
        <v>983</v>
      </c>
      <c r="G63" s="9" t="s">
        <v>984</v>
      </c>
      <c r="L63" s="64">
        <f>$I$19*$L$19</f>
        <v>0</v>
      </c>
      <c r="M63" s="64">
        <f>$I$19*$M$19</f>
        <v>0</v>
      </c>
      <c r="N63" s="64">
        <f>$I$19*$N$19</f>
        <v>0</v>
      </c>
      <c r="O63" s="64">
        <f>$I$19*$O$19</f>
        <v>0</v>
      </c>
      <c r="P63" s="64">
        <f>$I$19*$P$19</f>
        <v>0</v>
      </c>
      <c r="Q63" s="64">
        <f>$I$19*$Q$19</f>
        <v>0</v>
      </c>
      <c r="R63" s="64">
        <f>$I$19*$R$19</f>
        <v>0</v>
      </c>
      <c r="S63" s="64">
        <f>$I$19*$S$19</f>
        <v>0</v>
      </c>
      <c r="T63" s="64">
        <f>$I$19*$T$19</f>
        <v>0</v>
      </c>
      <c r="U63" s="64">
        <f>$I$19*$U$19</f>
        <v>0</v>
      </c>
      <c r="V63" s="64">
        <f>$I$19*$V$19</f>
        <v>0</v>
      </c>
      <c r="X63" s="64">
        <f>$I$19*$X$19</f>
        <v>0</v>
      </c>
      <c r="Y63" s="64">
        <f>$I$19*$Y$19</f>
        <v>0</v>
      </c>
      <c r="Z63" s="64">
        <f>$I$19*$Z$19</f>
        <v>0</v>
      </c>
      <c r="AA63" s="64">
        <f>$I$19*$AA$19</f>
        <v>0</v>
      </c>
      <c r="AB63" s="64">
        <f>$I$19*$AB$19</f>
        <v>0</v>
      </c>
      <c r="AC63" s="64">
        <f>$I$19*$AC$19</f>
        <v>0</v>
      </c>
      <c r="AD63" s="64">
        <f>$I$19*$AD$19</f>
        <v>0</v>
      </c>
      <c r="AE63" s="64">
        <f>$I$19*$AE$19</f>
        <v>0</v>
      </c>
      <c r="AF63" s="64">
        <f>$I$19*$AF$19</f>
        <v>0</v>
      </c>
      <c r="AG63" s="64">
        <f>$I$19*$AG$19</f>
        <v>0</v>
      </c>
      <c r="AH63" s="64">
        <f>$I$19*$AH$19</f>
        <v>0</v>
      </c>
    </row>
    <row r="64" spans="1:34" ht="11.25" customHeight="1" x14ac:dyDescent="0.25">
      <c r="A64" s="9" t="s">
        <v>22</v>
      </c>
      <c r="B64" s="9" t="s">
        <v>971</v>
      </c>
      <c r="C64" s="9" t="s">
        <v>972</v>
      </c>
      <c r="D64" s="9" t="s">
        <v>985</v>
      </c>
      <c r="E64" s="9" t="s">
        <v>986</v>
      </c>
      <c r="F64" s="9" t="s">
        <v>987</v>
      </c>
      <c r="G64" s="9" t="s">
        <v>988</v>
      </c>
      <c r="L64" s="64">
        <f>$I$20*$L$20</f>
        <v>0</v>
      </c>
      <c r="M64" s="64">
        <f>$I$20*$M$20</f>
        <v>0</v>
      </c>
      <c r="N64" s="64">
        <f>$I$20*$N$20</f>
        <v>0</v>
      </c>
      <c r="O64" s="64">
        <f>$I$20*$O$20</f>
        <v>0</v>
      </c>
      <c r="P64" s="64">
        <f>$I$20*$P$20</f>
        <v>0</v>
      </c>
      <c r="Q64" s="64">
        <f>$I$20*$Q$20</f>
        <v>0</v>
      </c>
      <c r="R64" s="64">
        <f>$I$20*$R$20</f>
        <v>0</v>
      </c>
      <c r="S64" s="64">
        <f>$I$20*$S$20</f>
        <v>0</v>
      </c>
      <c r="T64" s="64">
        <f>$I$20*$T$20</f>
        <v>0</v>
      </c>
      <c r="U64" s="64">
        <f>$I$20*$U$20</f>
        <v>0</v>
      </c>
      <c r="V64" s="64">
        <f>$I$20*$V$20</f>
        <v>0</v>
      </c>
      <c r="X64" s="64">
        <f>$I$20*$X$20</f>
        <v>0</v>
      </c>
      <c r="Y64" s="64">
        <f>$I$20*$Y$20</f>
        <v>0</v>
      </c>
      <c r="Z64" s="64">
        <f>$I$20*$Z$20</f>
        <v>0</v>
      </c>
      <c r="AA64" s="64">
        <f>$I$20*$AA$20</f>
        <v>0</v>
      </c>
      <c r="AB64" s="64">
        <f>$I$20*$AB$20</f>
        <v>0</v>
      </c>
      <c r="AC64" s="64">
        <f>$I$20*$AC$20</f>
        <v>0</v>
      </c>
      <c r="AD64" s="64">
        <f>$I$20*$AD$20</f>
        <v>0</v>
      </c>
      <c r="AE64" s="64">
        <f>$I$20*$AE$20</f>
        <v>0</v>
      </c>
      <c r="AF64" s="64">
        <f>$I$20*$AF$20</f>
        <v>0</v>
      </c>
      <c r="AG64" s="64">
        <f>$I$20*$AG$20</f>
        <v>0</v>
      </c>
      <c r="AH64" s="64">
        <f>$I$20*$AH$20</f>
        <v>0</v>
      </c>
    </row>
    <row r="65" spans="1:34" ht="11.25" customHeight="1" x14ac:dyDescent="0.25">
      <c r="A65" s="9" t="s">
        <v>22</v>
      </c>
      <c r="B65" s="9" t="s">
        <v>971</v>
      </c>
      <c r="C65" s="9" t="s">
        <v>972</v>
      </c>
      <c r="D65" s="9" t="s">
        <v>989</v>
      </c>
      <c r="E65" s="9" t="s">
        <v>990</v>
      </c>
      <c r="F65" s="9" t="s">
        <v>991</v>
      </c>
      <c r="G65" s="9" t="s">
        <v>992</v>
      </c>
      <c r="L65" s="64">
        <f>$I$21*$L$21</f>
        <v>0</v>
      </c>
      <c r="M65" s="64">
        <f>$I$21*$M$21</f>
        <v>0</v>
      </c>
      <c r="N65" s="64">
        <f>$I$21*$N$21</f>
        <v>0</v>
      </c>
      <c r="O65" s="64">
        <f>$I$21*$O$21</f>
        <v>0</v>
      </c>
      <c r="P65" s="64">
        <f>$I$21*$P$21</f>
        <v>0</v>
      </c>
      <c r="Q65" s="64">
        <f>$I$21*$Q$21</f>
        <v>0</v>
      </c>
      <c r="R65" s="64">
        <f>$I$21*$R$21</f>
        <v>0</v>
      </c>
      <c r="S65" s="64">
        <f>$I$21*$S$21</f>
        <v>0</v>
      </c>
      <c r="T65" s="64">
        <f>$I$21*$T$21</f>
        <v>0</v>
      </c>
      <c r="U65" s="64">
        <f>$I$21*$U$21</f>
        <v>0</v>
      </c>
      <c r="V65" s="64">
        <f>$I$21*$V$21</f>
        <v>0</v>
      </c>
      <c r="X65" s="64">
        <f>$I$21*$X$21</f>
        <v>0</v>
      </c>
      <c r="Y65" s="64">
        <f>$I$21*$Y$21</f>
        <v>0</v>
      </c>
      <c r="Z65" s="64">
        <f>$I$21*$Z$21</f>
        <v>0</v>
      </c>
      <c r="AA65" s="64">
        <f>$I$21*$AA$21</f>
        <v>0</v>
      </c>
      <c r="AB65" s="64">
        <f>$I$21*$AB$21</f>
        <v>0</v>
      </c>
      <c r="AC65" s="64">
        <f>$I$21*$AC$21</f>
        <v>0</v>
      </c>
      <c r="AD65" s="64">
        <f>$I$21*$AD$21</f>
        <v>0</v>
      </c>
      <c r="AE65" s="64">
        <f>$I$21*$AE$21</f>
        <v>0</v>
      </c>
      <c r="AF65" s="64">
        <f>$I$21*$AF$21</f>
        <v>0</v>
      </c>
      <c r="AG65" s="64">
        <f>$I$21*$AG$21</f>
        <v>0</v>
      </c>
      <c r="AH65" s="64">
        <f>$I$21*$AH$21</f>
        <v>0</v>
      </c>
    </row>
    <row r="66" spans="1:34" ht="11.25" customHeight="1" x14ac:dyDescent="0.25">
      <c r="A66" s="9" t="s">
        <v>42</v>
      </c>
      <c r="B66" s="9" t="s">
        <v>993</v>
      </c>
      <c r="C66" s="9" t="s">
        <v>994</v>
      </c>
      <c r="D66" s="9" t="s">
        <v>995</v>
      </c>
      <c r="E66" s="9" t="s">
        <v>996</v>
      </c>
      <c r="F66" s="9" t="s">
        <v>997</v>
      </c>
      <c r="G66" s="9" t="s">
        <v>998</v>
      </c>
      <c r="L66" s="64">
        <f>$I$22*$L$22</f>
        <v>0</v>
      </c>
      <c r="M66" s="64">
        <f>$I$22*$M$22</f>
        <v>0</v>
      </c>
      <c r="N66" s="64">
        <f>$I$22*$N$22</f>
        <v>0</v>
      </c>
      <c r="O66" s="64">
        <f>$I$22*$O$22</f>
        <v>0</v>
      </c>
      <c r="P66" s="64">
        <f>$I$22*$P$22</f>
        <v>0</v>
      </c>
      <c r="Q66" s="64">
        <f>$I$22*$Q$22</f>
        <v>0</v>
      </c>
      <c r="R66" s="64">
        <f>$I$22*$R$22</f>
        <v>0</v>
      </c>
      <c r="S66" s="64">
        <f>$I$22*$S$22</f>
        <v>0</v>
      </c>
      <c r="T66" s="64">
        <f>$I$22*$T$22</f>
        <v>0</v>
      </c>
      <c r="U66" s="64">
        <f>$I$22*$U$22</f>
        <v>0</v>
      </c>
      <c r="V66" s="64">
        <f>$I$22*$V$22</f>
        <v>0</v>
      </c>
      <c r="X66" s="64">
        <f>$I$22*$X$22</f>
        <v>0</v>
      </c>
      <c r="Y66" s="64">
        <f>$I$22*$Y$22</f>
        <v>0</v>
      </c>
      <c r="Z66" s="64">
        <f>$I$22*$Z$22</f>
        <v>0</v>
      </c>
      <c r="AA66" s="64">
        <f>$I$22*$AA$22</f>
        <v>0</v>
      </c>
      <c r="AB66" s="64">
        <f>$I$22*$AB$22</f>
        <v>0</v>
      </c>
      <c r="AC66" s="64">
        <f>$I$22*$AC$22</f>
        <v>0</v>
      </c>
      <c r="AD66" s="64">
        <f>$I$22*$AD$22</f>
        <v>0</v>
      </c>
      <c r="AE66" s="64">
        <f>$I$22*$AE$22</f>
        <v>0</v>
      </c>
      <c r="AF66" s="64">
        <f>$I$22*$AF$22</f>
        <v>0</v>
      </c>
      <c r="AG66" s="64">
        <f>$I$22*$AG$22</f>
        <v>0</v>
      </c>
      <c r="AH66" s="64">
        <f>$I$22*$AH$22</f>
        <v>0</v>
      </c>
    </row>
    <row r="67" spans="1:34" ht="11.25" customHeight="1" x14ac:dyDescent="0.25">
      <c r="A67" s="9" t="s">
        <v>42</v>
      </c>
      <c r="B67" s="9" t="s">
        <v>993</v>
      </c>
      <c r="C67" s="9" t="s">
        <v>994</v>
      </c>
      <c r="D67" s="9" t="s">
        <v>995</v>
      </c>
      <c r="E67" s="9" t="s">
        <v>996</v>
      </c>
      <c r="F67" s="9" t="s">
        <v>997</v>
      </c>
      <c r="G67" s="9" t="s">
        <v>999</v>
      </c>
      <c r="L67" s="64">
        <f>$I$23*$L$23</f>
        <v>0</v>
      </c>
      <c r="M67" s="64">
        <f>$I$23*$M$23</f>
        <v>0</v>
      </c>
      <c r="N67" s="64">
        <f>$I$23*$N$23</f>
        <v>0</v>
      </c>
      <c r="O67" s="64">
        <f>$I$23*$O$23</f>
        <v>0</v>
      </c>
      <c r="P67" s="64">
        <f>$I$23*$P$23</f>
        <v>0</v>
      </c>
      <c r="Q67" s="64">
        <f>$I$23*$Q$23</f>
        <v>0</v>
      </c>
      <c r="R67" s="64">
        <f>$I$23*$R$23</f>
        <v>0</v>
      </c>
      <c r="S67" s="64">
        <f>$I$23*$S$23</f>
        <v>0</v>
      </c>
      <c r="T67" s="64">
        <f>$I$23*$T$23</f>
        <v>0</v>
      </c>
      <c r="U67" s="64">
        <f>$I$23*$U$23</f>
        <v>0</v>
      </c>
      <c r="V67" s="64">
        <f>$I$23*$V$23</f>
        <v>0</v>
      </c>
      <c r="X67" s="64">
        <f>$I$23*$X$23</f>
        <v>0</v>
      </c>
      <c r="Y67" s="64">
        <f>$I$23*$Y$23</f>
        <v>0</v>
      </c>
      <c r="Z67" s="64">
        <f>$I$23*$Z$23</f>
        <v>0</v>
      </c>
      <c r="AA67" s="64">
        <f>$I$23*$AA$23</f>
        <v>0</v>
      </c>
      <c r="AB67" s="64">
        <f>$I$23*$AB$23</f>
        <v>0</v>
      </c>
      <c r="AC67" s="64">
        <f>$I$23*$AC$23</f>
        <v>0</v>
      </c>
      <c r="AD67" s="64">
        <f>$I$23*$AD$23</f>
        <v>0</v>
      </c>
      <c r="AE67" s="64">
        <f>$I$23*$AE$23</f>
        <v>0</v>
      </c>
      <c r="AF67" s="64">
        <f>$I$23*$AF$23</f>
        <v>0</v>
      </c>
      <c r="AG67" s="64">
        <f>$I$23*$AG$23</f>
        <v>0</v>
      </c>
      <c r="AH67" s="64">
        <f>$I$23*$AH$23</f>
        <v>0</v>
      </c>
    </row>
    <row r="68" spans="1:34" ht="11.25" customHeight="1" x14ac:dyDescent="0.25">
      <c r="A68" s="9" t="s">
        <v>42</v>
      </c>
      <c r="B68" s="9" t="s">
        <v>993</v>
      </c>
      <c r="C68" s="9" t="s">
        <v>994</v>
      </c>
      <c r="D68" s="9" t="s">
        <v>995</v>
      </c>
      <c r="E68" s="9" t="s">
        <v>996</v>
      </c>
      <c r="F68" s="9" t="s">
        <v>997</v>
      </c>
      <c r="G68" s="9" t="s">
        <v>1000</v>
      </c>
      <c r="L68" s="64">
        <f>$I$24*$L$24</f>
        <v>0</v>
      </c>
      <c r="M68" s="64">
        <f>$I$24*$M$24</f>
        <v>0</v>
      </c>
      <c r="N68" s="64">
        <f>$I$24*$N$24</f>
        <v>0</v>
      </c>
      <c r="O68" s="64">
        <f>$I$24*$O$24</f>
        <v>0</v>
      </c>
      <c r="P68" s="64">
        <f>$I$24*$P$24</f>
        <v>0</v>
      </c>
      <c r="Q68" s="64">
        <f>$I$24*$Q$24</f>
        <v>0</v>
      </c>
      <c r="R68" s="64">
        <f>$I$24*$R$24</f>
        <v>0</v>
      </c>
      <c r="S68" s="64">
        <f>$I$24*$S$24</f>
        <v>0</v>
      </c>
      <c r="T68" s="64">
        <f>$I$24*$T$24</f>
        <v>0</v>
      </c>
      <c r="U68" s="64">
        <f>$I$24*$U$24</f>
        <v>0</v>
      </c>
      <c r="V68" s="64">
        <f>$I$24*$V$24</f>
        <v>0</v>
      </c>
      <c r="X68" s="64">
        <f>$I$24*$X$24</f>
        <v>0</v>
      </c>
      <c r="Y68" s="64">
        <f>$I$24*$Y$24</f>
        <v>0</v>
      </c>
      <c r="Z68" s="64">
        <f>$I$24*$Z$24</f>
        <v>0</v>
      </c>
      <c r="AA68" s="64">
        <f>$I$24*$AA$24</f>
        <v>0</v>
      </c>
      <c r="AB68" s="64">
        <f>$I$24*$AB$24</f>
        <v>0</v>
      </c>
      <c r="AC68" s="64">
        <f>$I$24*$AC$24</f>
        <v>0</v>
      </c>
      <c r="AD68" s="64">
        <f>$I$24*$AD$24</f>
        <v>0</v>
      </c>
      <c r="AE68" s="64">
        <f>$I$24*$AE$24</f>
        <v>0</v>
      </c>
      <c r="AF68" s="64">
        <f>$I$24*$AF$24</f>
        <v>0</v>
      </c>
      <c r="AG68" s="64">
        <f>$I$24*$AG$24</f>
        <v>0</v>
      </c>
      <c r="AH68" s="64">
        <f>$I$24*$AH$24</f>
        <v>0</v>
      </c>
    </row>
    <row r="69" spans="1:34" ht="11.25" customHeight="1" x14ac:dyDescent="0.25">
      <c r="A69" s="9" t="s">
        <v>42</v>
      </c>
      <c r="B69" s="9" t="s">
        <v>1001</v>
      </c>
      <c r="C69" s="9" t="s">
        <v>1002</v>
      </c>
      <c r="D69" s="9" t="s">
        <v>1003</v>
      </c>
      <c r="E69" s="9" t="s">
        <v>1004</v>
      </c>
      <c r="F69" s="9" t="s">
        <v>1005</v>
      </c>
      <c r="G69" s="9" t="s">
        <v>1006</v>
      </c>
      <c r="L69" s="64">
        <f>$I$25*$L$25</f>
        <v>4684.3734487263637</v>
      </c>
      <c r="M69" s="64">
        <f>$I$25*$M$25</f>
        <v>0</v>
      </c>
      <c r="N69" s="64">
        <f>$I$25*$N$25</f>
        <v>0</v>
      </c>
      <c r="O69" s="64">
        <f>$I$25*$O$25</f>
        <v>13598.203706457318</v>
      </c>
      <c r="P69" s="64">
        <f>$I$25*$P$25</f>
        <v>0</v>
      </c>
      <c r="Q69" s="64">
        <f>$I$25*$Q$25</f>
        <v>460273.73808961536</v>
      </c>
      <c r="R69" s="64">
        <f>$I$25*$R$25</f>
        <v>0</v>
      </c>
      <c r="S69" s="64">
        <f>$I$25*$S$25</f>
        <v>0</v>
      </c>
      <c r="T69" s="64">
        <f>$I$25*$T$25</f>
        <v>0</v>
      </c>
      <c r="U69" s="64">
        <f>$I$25*$U$25</f>
        <v>-82042.970739124314</v>
      </c>
      <c r="V69" s="64">
        <f>$I$25*$V$25</f>
        <v>0</v>
      </c>
      <c r="X69" s="64">
        <f>$I$25*$X$25</f>
        <v>4577.1498334197531</v>
      </c>
      <c r="Y69" s="64">
        <f>$I$25*$Y$25</f>
        <v>0</v>
      </c>
      <c r="Z69" s="64">
        <f>$I$25*$Z$25</f>
        <v>0</v>
      </c>
      <c r="AA69" s="64">
        <f>$I$25*$AA$25</f>
        <v>0</v>
      </c>
      <c r="AB69" s="64">
        <f>$I$25*$AB$25</f>
        <v>0</v>
      </c>
      <c r="AC69" s="64">
        <f>$I$25*$AC$25</f>
        <v>453435.39488700707</v>
      </c>
      <c r="AD69" s="64">
        <f>$I$25*$AD$25</f>
        <v>0</v>
      </c>
      <c r="AE69" s="64">
        <f>$I$25*$AE$25</f>
        <v>0</v>
      </c>
      <c r="AF69" s="64">
        <f>$I$25*$AF$25</f>
        <v>0</v>
      </c>
      <c r="AG69" s="64">
        <f>$I$25*$AG$25</f>
        <v>0</v>
      </c>
      <c r="AH69" s="64">
        <f>$I$25*$AH$25</f>
        <v>0</v>
      </c>
    </row>
    <row r="70" spans="1:34" ht="11.25" customHeight="1" x14ac:dyDescent="0.25">
      <c r="A70" s="9" t="s">
        <v>42</v>
      </c>
      <c r="B70" s="9" t="s">
        <v>993</v>
      </c>
      <c r="C70" s="9" t="s">
        <v>994</v>
      </c>
      <c r="D70" s="9" t="s">
        <v>1007</v>
      </c>
      <c r="E70" s="9" t="s">
        <v>1008</v>
      </c>
      <c r="F70" s="9" t="s">
        <v>1009</v>
      </c>
      <c r="G70" s="9" t="s">
        <v>1010</v>
      </c>
      <c r="L70" s="64">
        <f>$I$26*$L$26</f>
        <v>0</v>
      </c>
      <c r="M70" s="64">
        <f>$I$26*$M$26</f>
        <v>0</v>
      </c>
      <c r="N70" s="64">
        <f>$I$26*$N$26</f>
        <v>0</v>
      </c>
      <c r="O70" s="64">
        <f>$I$26*$O$26</f>
        <v>0</v>
      </c>
      <c r="P70" s="64">
        <f>$I$26*$P$26</f>
        <v>0</v>
      </c>
      <c r="Q70" s="64">
        <f>$I$26*$Q$26</f>
        <v>0</v>
      </c>
      <c r="R70" s="64">
        <f>$I$26*$R$26</f>
        <v>0</v>
      </c>
      <c r="S70" s="64">
        <f>$I$26*$S$26</f>
        <v>0</v>
      </c>
      <c r="T70" s="64">
        <f>$I$26*$T$26</f>
        <v>0</v>
      </c>
      <c r="U70" s="64">
        <f>$I$26*$U$26</f>
        <v>0</v>
      </c>
      <c r="V70" s="64">
        <f>$I$26*$V$26</f>
        <v>0</v>
      </c>
      <c r="X70" s="64">
        <f>$I$26*$X$26</f>
        <v>0</v>
      </c>
      <c r="Y70" s="64">
        <f>$I$26*$Y$26</f>
        <v>0</v>
      </c>
      <c r="Z70" s="64">
        <f>$I$26*$Z$26</f>
        <v>0</v>
      </c>
      <c r="AA70" s="64">
        <f>$I$26*$AA$26</f>
        <v>0</v>
      </c>
      <c r="AB70" s="64">
        <f>$I$26*$AB$26</f>
        <v>0</v>
      </c>
      <c r="AC70" s="64">
        <f>$I$26*$AC$26</f>
        <v>0</v>
      </c>
      <c r="AD70" s="64">
        <f>$I$26*$AD$26</f>
        <v>0</v>
      </c>
      <c r="AE70" s="64">
        <f>$I$26*$AE$26</f>
        <v>0</v>
      </c>
      <c r="AF70" s="64">
        <f>$I$26*$AF$26</f>
        <v>0</v>
      </c>
      <c r="AG70" s="64">
        <f>$I$26*$AG$26</f>
        <v>0</v>
      </c>
      <c r="AH70" s="64">
        <f>$I$26*$AH$26</f>
        <v>0</v>
      </c>
    </row>
    <row r="71" spans="1:34" ht="11.25" customHeight="1" x14ac:dyDescent="0.25">
      <c r="A71" s="9" t="s">
        <v>42</v>
      </c>
      <c r="B71" s="9" t="s">
        <v>993</v>
      </c>
      <c r="C71" s="9" t="s">
        <v>994</v>
      </c>
      <c r="D71" s="9" t="s">
        <v>1007</v>
      </c>
      <c r="E71" s="9" t="s">
        <v>1008</v>
      </c>
      <c r="F71" s="9" t="s">
        <v>1009</v>
      </c>
      <c r="G71" s="9" t="s">
        <v>1011</v>
      </c>
      <c r="L71" s="64">
        <f>$I$27*$L$27</f>
        <v>0</v>
      </c>
      <c r="M71" s="64">
        <f>$I$27*$M$27</f>
        <v>0</v>
      </c>
      <c r="N71" s="64">
        <f>$I$27*$N$27</f>
        <v>0</v>
      </c>
      <c r="O71" s="64">
        <f>$I$27*$O$27</f>
        <v>0</v>
      </c>
      <c r="P71" s="64">
        <f>$I$27*$P$27</f>
        <v>0</v>
      </c>
      <c r="Q71" s="64">
        <f>$I$27*$Q$27</f>
        <v>0</v>
      </c>
      <c r="R71" s="64">
        <f>$I$27*$R$27</f>
        <v>0</v>
      </c>
      <c r="S71" s="64">
        <f>$I$27*$S$27</f>
        <v>0</v>
      </c>
      <c r="T71" s="64">
        <f>$I$27*$T$27</f>
        <v>0</v>
      </c>
      <c r="U71" s="64">
        <f>$I$27*$U$27</f>
        <v>0</v>
      </c>
      <c r="V71" s="64">
        <f>$I$27*$V$27</f>
        <v>0</v>
      </c>
      <c r="X71" s="64">
        <f>$I$27*$X$27</f>
        <v>0</v>
      </c>
      <c r="Y71" s="64">
        <f>$I$27*$Y$27</f>
        <v>0</v>
      </c>
      <c r="Z71" s="64">
        <f>$I$27*$Z$27</f>
        <v>0</v>
      </c>
      <c r="AA71" s="64">
        <f>$I$27*$AA$27</f>
        <v>0</v>
      </c>
      <c r="AB71" s="64">
        <f>$I$27*$AB$27</f>
        <v>0</v>
      </c>
      <c r="AC71" s="64">
        <f>$I$27*$AC$27</f>
        <v>0</v>
      </c>
      <c r="AD71" s="64">
        <f>$I$27*$AD$27</f>
        <v>0</v>
      </c>
      <c r="AE71" s="64">
        <f>$I$27*$AE$27</f>
        <v>0</v>
      </c>
      <c r="AF71" s="64">
        <f>$I$27*$AF$27</f>
        <v>0</v>
      </c>
      <c r="AG71" s="64">
        <f>$I$27*$AG$27</f>
        <v>0</v>
      </c>
      <c r="AH71" s="64">
        <f>$I$27*$AH$27</f>
        <v>0</v>
      </c>
    </row>
    <row r="72" spans="1:34" ht="11.25" customHeight="1" x14ac:dyDescent="0.25">
      <c r="A72" s="9" t="s">
        <v>42</v>
      </c>
      <c r="B72" s="9" t="s">
        <v>993</v>
      </c>
      <c r="C72" s="9" t="s">
        <v>994</v>
      </c>
      <c r="D72" s="9" t="s">
        <v>1007</v>
      </c>
      <c r="E72" s="9" t="s">
        <v>1008</v>
      </c>
      <c r="F72" s="9" t="s">
        <v>1009</v>
      </c>
      <c r="G72" s="9" t="s">
        <v>1012</v>
      </c>
      <c r="L72" s="64">
        <f>$I$28*$L$28</f>
        <v>0</v>
      </c>
      <c r="M72" s="64">
        <f>$I$28*$M$28</f>
        <v>0</v>
      </c>
      <c r="N72" s="64">
        <f>$I$28*$N$28</f>
        <v>0</v>
      </c>
      <c r="O72" s="64">
        <f>$I$28*$O$28</f>
        <v>0</v>
      </c>
      <c r="P72" s="64">
        <f>$I$28*$P$28</f>
        <v>0</v>
      </c>
      <c r="Q72" s="64">
        <f>$I$28*$Q$28</f>
        <v>0</v>
      </c>
      <c r="R72" s="64">
        <f>$I$28*$R$28</f>
        <v>0</v>
      </c>
      <c r="S72" s="64">
        <f>$I$28*$S$28</f>
        <v>0</v>
      </c>
      <c r="T72" s="64">
        <f>$I$28*$T$28</f>
        <v>0</v>
      </c>
      <c r="U72" s="64">
        <f>$I$28*$U$28</f>
        <v>0</v>
      </c>
      <c r="V72" s="64">
        <f>$I$28*$V$28</f>
        <v>0</v>
      </c>
      <c r="X72" s="64">
        <f>$I$28*$X$28</f>
        <v>0</v>
      </c>
      <c r="Y72" s="64">
        <f>$I$28*$Y$28</f>
        <v>0</v>
      </c>
      <c r="Z72" s="64">
        <f>$I$28*$Z$28</f>
        <v>0</v>
      </c>
      <c r="AA72" s="64">
        <f>$I$28*$AA$28</f>
        <v>0</v>
      </c>
      <c r="AB72" s="64">
        <f>$I$28*$AB$28</f>
        <v>0</v>
      </c>
      <c r="AC72" s="64">
        <f>$I$28*$AC$28</f>
        <v>0</v>
      </c>
      <c r="AD72" s="64">
        <f>$I$28*$AD$28</f>
        <v>0</v>
      </c>
      <c r="AE72" s="64">
        <f>$I$28*$AE$28</f>
        <v>0</v>
      </c>
      <c r="AF72" s="64">
        <f>$I$28*$AF$28</f>
        <v>0</v>
      </c>
      <c r="AG72" s="64">
        <f>$I$28*$AG$28</f>
        <v>0</v>
      </c>
      <c r="AH72" s="64">
        <f>$I$28*$AH$28</f>
        <v>0</v>
      </c>
    </row>
    <row r="73" spans="1:34" ht="11.25" customHeight="1" x14ac:dyDescent="0.25">
      <c r="A73" s="9" t="s">
        <v>42</v>
      </c>
      <c r="B73" s="9" t="s">
        <v>1001</v>
      </c>
      <c r="C73" s="9" t="s">
        <v>1002</v>
      </c>
      <c r="D73" s="9" t="s">
        <v>1013</v>
      </c>
      <c r="E73" s="9" t="s">
        <v>1014</v>
      </c>
      <c r="F73" s="9" t="s">
        <v>1015</v>
      </c>
      <c r="G73" s="9" t="s">
        <v>1016</v>
      </c>
      <c r="L73" s="64">
        <f>$I$29*$L$29</f>
        <v>0</v>
      </c>
      <c r="M73" s="64">
        <f>$I$29*$M$29</f>
        <v>0</v>
      </c>
      <c r="N73" s="64">
        <f>$I$29*$N$29</f>
        <v>0</v>
      </c>
      <c r="O73" s="64">
        <f>$I$29*$O$29</f>
        <v>0</v>
      </c>
      <c r="P73" s="64">
        <f>$I$29*$P$29</f>
        <v>0</v>
      </c>
      <c r="Q73" s="64">
        <f>$I$29*$Q$29</f>
        <v>0</v>
      </c>
      <c r="R73" s="64">
        <f>$I$29*$R$29</f>
        <v>0</v>
      </c>
      <c r="S73" s="64">
        <f>$I$29*$S$29</f>
        <v>0</v>
      </c>
      <c r="T73" s="64">
        <f>$I$29*$T$29</f>
        <v>0</v>
      </c>
      <c r="U73" s="64">
        <f>$I$29*$U$29</f>
        <v>0</v>
      </c>
      <c r="V73" s="64">
        <f>$I$29*$V$29</f>
        <v>0</v>
      </c>
      <c r="X73" s="64">
        <f>$I$29*$X$29</f>
        <v>0</v>
      </c>
      <c r="Y73" s="64">
        <f>$I$29*$Y$29</f>
        <v>0</v>
      </c>
      <c r="Z73" s="64">
        <f>$I$29*$Z$29</f>
        <v>0</v>
      </c>
      <c r="AA73" s="64">
        <f>$I$29*$AA$29</f>
        <v>0</v>
      </c>
      <c r="AB73" s="64">
        <f>$I$29*$AB$29</f>
        <v>0</v>
      </c>
      <c r="AC73" s="64">
        <f>$I$29*$AC$29</f>
        <v>0</v>
      </c>
      <c r="AD73" s="64">
        <f>$I$29*$AD$29</f>
        <v>0</v>
      </c>
      <c r="AE73" s="64">
        <f>$I$29*$AE$29</f>
        <v>0</v>
      </c>
      <c r="AF73" s="64">
        <f>$I$29*$AF$29</f>
        <v>0</v>
      </c>
      <c r="AG73" s="64">
        <f>$I$29*$AG$29</f>
        <v>0</v>
      </c>
      <c r="AH73" s="64">
        <f>$I$29*$AH$29</f>
        <v>0</v>
      </c>
    </row>
    <row r="74" spans="1:34" ht="11.25" customHeight="1" x14ac:dyDescent="0.25">
      <c r="A74" s="9" t="s">
        <v>42</v>
      </c>
      <c r="B74" s="9" t="s">
        <v>993</v>
      </c>
      <c r="C74" s="9" t="s">
        <v>994</v>
      </c>
      <c r="D74" s="9" t="s">
        <v>1017</v>
      </c>
      <c r="E74" s="9" t="s">
        <v>1018</v>
      </c>
      <c r="F74" s="9" t="s">
        <v>1019</v>
      </c>
      <c r="G74" s="9" t="s">
        <v>1020</v>
      </c>
      <c r="L74" s="64">
        <f>$I$30*$L$30</f>
        <v>0</v>
      </c>
      <c r="M74" s="64">
        <f>$I$30*$M$30</f>
        <v>0</v>
      </c>
      <c r="N74" s="64">
        <f>$I$30*$N$30</f>
        <v>0</v>
      </c>
      <c r="O74" s="64">
        <f>$I$30*$O$30</f>
        <v>0</v>
      </c>
      <c r="P74" s="64">
        <f>$I$30*$P$30</f>
        <v>0</v>
      </c>
      <c r="Q74" s="64">
        <f>$I$30*$Q$30</f>
        <v>0</v>
      </c>
      <c r="R74" s="64">
        <f>$I$30*$R$30</f>
        <v>0</v>
      </c>
      <c r="S74" s="64">
        <f>$I$30*$S$30</f>
        <v>0</v>
      </c>
      <c r="T74" s="64">
        <f>$I$30*$T$30</f>
        <v>0</v>
      </c>
      <c r="U74" s="64">
        <f>$I$30*$U$30</f>
        <v>0</v>
      </c>
      <c r="V74" s="64">
        <f>$I$30*$V$30</f>
        <v>0</v>
      </c>
      <c r="X74" s="64">
        <f>$I$30*$X$30</f>
        <v>0</v>
      </c>
      <c r="Y74" s="64">
        <f>$I$30*$Y$30</f>
        <v>0</v>
      </c>
      <c r="Z74" s="64">
        <f>$I$30*$Z$30</f>
        <v>0</v>
      </c>
      <c r="AA74" s="64">
        <f>$I$30*$AA$30</f>
        <v>0</v>
      </c>
      <c r="AB74" s="64">
        <f>$I$30*$AB$30</f>
        <v>0</v>
      </c>
      <c r="AC74" s="64">
        <f>$I$30*$AC$30</f>
        <v>0</v>
      </c>
      <c r="AD74" s="64">
        <f>$I$30*$AD$30</f>
        <v>0</v>
      </c>
      <c r="AE74" s="64">
        <f>$I$30*$AE$30</f>
        <v>0</v>
      </c>
      <c r="AF74" s="64">
        <f>$I$30*$AF$30</f>
        <v>0</v>
      </c>
      <c r="AG74" s="64">
        <f>$I$30*$AG$30</f>
        <v>0</v>
      </c>
      <c r="AH74" s="64">
        <f>$I$30*$AH$30</f>
        <v>0</v>
      </c>
    </row>
    <row r="75" spans="1:34" ht="11.25" customHeight="1" x14ac:dyDescent="0.25">
      <c r="A75" s="9" t="s">
        <v>42</v>
      </c>
      <c r="B75" s="9" t="s">
        <v>993</v>
      </c>
      <c r="C75" s="9" t="s">
        <v>994</v>
      </c>
      <c r="D75" s="9" t="s">
        <v>1017</v>
      </c>
      <c r="E75" s="9" t="s">
        <v>1018</v>
      </c>
      <c r="F75" s="9" t="s">
        <v>1019</v>
      </c>
      <c r="G75" s="9" t="s">
        <v>1021</v>
      </c>
      <c r="L75" s="64">
        <f>$I$31*$L$31</f>
        <v>0</v>
      </c>
      <c r="M75" s="64">
        <f>$I$31*$M$31</f>
        <v>0</v>
      </c>
      <c r="N75" s="64">
        <f>$I$31*$N$31</f>
        <v>0</v>
      </c>
      <c r="O75" s="64">
        <f>$I$31*$O$31</f>
        <v>0</v>
      </c>
      <c r="P75" s="64">
        <f>$I$31*$P$31</f>
        <v>0</v>
      </c>
      <c r="Q75" s="64">
        <f>$I$31*$Q$31</f>
        <v>0</v>
      </c>
      <c r="R75" s="64">
        <f>$I$31*$R$31</f>
        <v>0</v>
      </c>
      <c r="S75" s="64">
        <f>$I$31*$S$31</f>
        <v>0</v>
      </c>
      <c r="T75" s="64">
        <f>$I$31*$T$31</f>
        <v>0</v>
      </c>
      <c r="U75" s="64">
        <f>$I$31*$U$31</f>
        <v>0</v>
      </c>
      <c r="V75" s="64">
        <f>$I$31*$V$31</f>
        <v>0</v>
      </c>
      <c r="X75" s="64">
        <f>$I$31*$X$31</f>
        <v>0</v>
      </c>
      <c r="Y75" s="64">
        <f>$I$31*$Y$31</f>
        <v>0</v>
      </c>
      <c r="Z75" s="64">
        <f>$I$31*$Z$31</f>
        <v>0</v>
      </c>
      <c r="AA75" s="64">
        <f>$I$31*$AA$31</f>
        <v>0</v>
      </c>
      <c r="AB75" s="64">
        <f>$I$31*$AB$31</f>
        <v>0</v>
      </c>
      <c r="AC75" s="64">
        <f>$I$31*$AC$31</f>
        <v>0</v>
      </c>
      <c r="AD75" s="64">
        <f>$I$31*$AD$31</f>
        <v>0</v>
      </c>
      <c r="AE75" s="64">
        <f>$I$31*$AE$31</f>
        <v>0</v>
      </c>
      <c r="AF75" s="64">
        <f>$I$31*$AF$31</f>
        <v>0</v>
      </c>
      <c r="AG75" s="64">
        <f>$I$31*$AG$31</f>
        <v>0</v>
      </c>
      <c r="AH75" s="64">
        <f>$I$31*$AH$31</f>
        <v>0</v>
      </c>
    </row>
    <row r="76" spans="1:34" ht="11.25" customHeight="1" x14ac:dyDescent="0.25">
      <c r="A76" s="9" t="s">
        <v>42</v>
      </c>
      <c r="B76" s="9" t="s">
        <v>993</v>
      </c>
      <c r="C76" s="9" t="s">
        <v>994</v>
      </c>
      <c r="D76" s="9" t="s">
        <v>1017</v>
      </c>
      <c r="E76" s="9" t="s">
        <v>1018</v>
      </c>
      <c r="F76" s="9" t="s">
        <v>1019</v>
      </c>
      <c r="G76" s="9" t="s">
        <v>1022</v>
      </c>
      <c r="L76" s="64">
        <f>$I$32*$L$32</f>
        <v>0</v>
      </c>
      <c r="M76" s="64">
        <f>$I$32*$M$32</f>
        <v>0</v>
      </c>
      <c r="N76" s="64">
        <f>$I$32*$N$32</f>
        <v>0</v>
      </c>
      <c r="O76" s="64">
        <f>$I$32*$O$32</f>
        <v>0</v>
      </c>
      <c r="P76" s="64">
        <f>$I$32*$P$32</f>
        <v>0</v>
      </c>
      <c r="Q76" s="64">
        <f>$I$32*$Q$32</f>
        <v>0</v>
      </c>
      <c r="R76" s="64">
        <f>$I$32*$R$32</f>
        <v>0</v>
      </c>
      <c r="S76" s="64">
        <f>$I$32*$S$32</f>
        <v>0</v>
      </c>
      <c r="T76" s="64">
        <f>$I$32*$T$32</f>
        <v>0</v>
      </c>
      <c r="U76" s="64">
        <f>$I$32*$U$32</f>
        <v>0</v>
      </c>
      <c r="V76" s="64">
        <f>$I$32*$V$32</f>
        <v>0</v>
      </c>
      <c r="X76" s="64">
        <f>$I$32*$X$32</f>
        <v>0</v>
      </c>
      <c r="Y76" s="64">
        <f>$I$32*$Y$32</f>
        <v>0</v>
      </c>
      <c r="Z76" s="64">
        <f>$I$32*$Z$32</f>
        <v>0</v>
      </c>
      <c r="AA76" s="64">
        <f>$I$32*$AA$32</f>
        <v>0</v>
      </c>
      <c r="AB76" s="64">
        <f>$I$32*$AB$32</f>
        <v>0</v>
      </c>
      <c r="AC76" s="64">
        <f>$I$32*$AC$32</f>
        <v>0</v>
      </c>
      <c r="AD76" s="64">
        <f>$I$32*$AD$32</f>
        <v>0</v>
      </c>
      <c r="AE76" s="64">
        <f>$I$32*$AE$32</f>
        <v>0</v>
      </c>
      <c r="AF76" s="64">
        <f>$I$32*$AF$32</f>
        <v>0</v>
      </c>
      <c r="AG76" s="64">
        <f>$I$32*$AG$32</f>
        <v>0</v>
      </c>
      <c r="AH76" s="64">
        <f>$I$32*$AH$32</f>
        <v>0</v>
      </c>
    </row>
    <row r="77" spans="1:34" ht="11.25" customHeight="1" x14ac:dyDescent="0.25">
      <c r="A77" s="9" t="s">
        <v>42</v>
      </c>
      <c r="B77" s="9" t="s">
        <v>1001</v>
      </c>
      <c r="C77" s="9" t="s">
        <v>1002</v>
      </c>
      <c r="D77" s="9" t="s">
        <v>1023</v>
      </c>
      <c r="E77" s="9" t="s">
        <v>1024</v>
      </c>
      <c r="F77" s="9" t="s">
        <v>1025</v>
      </c>
      <c r="G77" s="9" t="s">
        <v>1026</v>
      </c>
      <c r="L77" s="64">
        <f>$I$33*$L$33</f>
        <v>0</v>
      </c>
      <c r="M77" s="64">
        <f>$I$33*$M$33</f>
        <v>0</v>
      </c>
      <c r="N77" s="64">
        <f>$I$33*$N$33</f>
        <v>0</v>
      </c>
      <c r="O77" s="64">
        <f>$I$33*$O$33</f>
        <v>0</v>
      </c>
      <c r="P77" s="64">
        <f>$I$33*$P$33</f>
        <v>0</v>
      </c>
      <c r="Q77" s="64">
        <f>$I$33*$Q$33</f>
        <v>0</v>
      </c>
      <c r="R77" s="64">
        <f>$I$33*$R$33</f>
        <v>0</v>
      </c>
      <c r="S77" s="64">
        <f>$I$33*$S$33</f>
        <v>0</v>
      </c>
      <c r="T77" s="64">
        <f>$I$33*$T$33</f>
        <v>0</v>
      </c>
      <c r="U77" s="64">
        <f>$I$33*$U$33</f>
        <v>0</v>
      </c>
      <c r="V77" s="64">
        <f>$I$33*$V$33</f>
        <v>0</v>
      </c>
      <c r="X77" s="64">
        <f>$I$33*$X$33</f>
        <v>0</v>
      </c>
      <c r="Y77" s="64">
        <f>$I$33*$Y$33</f>
        <v>0</v>
      </c>
      <c r="Z77" s="64">
        <f>$I$33*$Z$33</f>
        <v>0</v>
      </c>
      <c r="AA77" s="64">
        <f>$I$33*$AA$33</f>
        <v>0</v>
      </c>
      <c r="AB77" s="64">
        <f>$I$33*$AB$33</f>
        <v>0</v>
      </c>
      <c r="AC77" s="64">
        <f>$I$33*$AC$33</f>
        <v>0</v>
      </c>
      <c r="AD77" s="64">
        <f>$I$33*$AD$33</f>
        <v>0</v>
      </c>
      <c r="AE77" s="64">
        <f>$I$33*$AE$33</f>
        <v>0</v>
      </c>
      <c r="AF77" s="64">
        <f>$I$33*$AF$33</f>
        <v>0</v>
      </c>
      <c r="AG77" s="64">
        <f>$I$33*$AG$33</f>
        <v>0</v>
      </c>
      <c r="AH77" s="64">
        <f>$I$33*$AH$33</f>
        <v>0</v>
      </c>
    </row>
    <row r="78" spans="1:34" ht="11.25" customHeight="1" x14ac:dyDescent="0.25">
      <c r="A78" s="9" t="s">
        <v>42</v>
      </c>
      <c r="B78" s="9" t="s">
        <v>1027</v>
      </c>
      <c r="C78" s="9" t="s">
        <v>1028</v>
      </c>
      <c r="D78" s="9" t="s">
        <v>1029</v>
      </c>
      <c r="E78" s="9" t="s">
        <v>1030</v>
      </c>
      <c r="F78" s="9" t="s">
        <v>1031</v>
      </c>
      <c r="G78" s="9" t="s">
        <v>1032</v>
      </c>
      <c r="L78" s="64">
        <f>$I$34*$L$34</f>
        <v>0</v>
      </c>
      <c r="M78" s="64">
        <f>$I$34*$M$34</f>
        <v>0</v>
      </c>
      <c r="N78" s="64">
        <f>$I$34*$N$34</f>
        <v>0</v>
      </c>
      <c r="O78" s="64">
        <f>$I$34*$O$34</f>
        <v>0</v>
      </c>
      <c r="P78" s="64">
        <f>$I$34*$P$34</f>
        <v>0</v>
      </c>
      <c r="Q78" s="64">
        <f>$I$34*$Q$34</f>
        <v>0</v>
      </c>
      <c r="R78" s="64">
        <f>$I$34*$R$34</f>
        <v>0</v>
      </c>
      <c r="S78" s="64">
        <f>$I$34*$S$34</f>
        <v>0</v>
      </c>
      <c r="T78" s="64">
        <f>$I$34*$T$34</f>
        <v>0</v>
      </c>
      <c r="U78" s="64">
        <f>$I$34*$U$34</f>
        <v>0</v>
      </c>
      <c r="V78" s="64">
        <f>$I$34*$V$34</f>
        <v>0</v>
      </c>
      <c r="X78" s="64">
        <f>$I$34*$X$34</f>
        <v>0</v>
      </c>
      <c r="Y78" s="64">
        <f>$I$34*$Y$34</f>
        <v>0</v>
      </c>
      <c r="Z78" s="64">
        <f>$I$34*$Z$34</f>
        <v>0</v>
      </c>
      <c r="AA78" s="64">
        <f>$I$34*$AA$34</f>
        <v>0</v>
      </c>
      <c r="AB78" s="64">
        <f>$I$34*$AB$34</f>
        <v>0</v>
      </c>
      <c r="AC78" s="64">
        <f>$I$34*$AC$34</f>
        <v>0</v>
      </c>
      <c r="AD78" s="64">
        <f>$I$34*$AD$34</f>
        <v>0</v>
      </c>
      <c r="AE78" s="64">
        <f>$I$34*$AE$34</f>
        <v>0</v>
      </c>
      <c r="AF78" s="64">
        <f>$I$34*$AF$34</f>
        <v>0</v>
      </c>
      <c r="AG78" s="64">
        <f>$I$34*$AG$34</f>
        <v>0</v>
      </c>
      <c r="AH78" s="64">
        <f>$I$34*$AH$34</f>
        <v>0</v>
      </c>
    </row>
    <row r="79" spans="1:34" ht="11.25" customHeight="1" x14ac:dyDescent="0.25">
      <c r="A79" s="9" t="s">
        <v>42</v>
      </c>
      <c r="B79" s="9" t="s">
        <v>1027</v>
      </c>
      <c r="C79" s="9" t="s">
        <v>1028</v>
      </c>
      <c r="D79" s="9" t="s">
        <v>1033</v>
      </c>
      <c r="E79" s="9" t="s">
        <v>1034</v>
      </c>
      <c r="F79" s="9" t="s">
        <v>1035</v>
      </c>
      <c r="G79" s="9" t="s">
        <v>1036</v>
      </c>
      <c r="L79" s="64">
        <f>$I$35*$L$35</f>
        <v>0</v>
      </c>
      <c r="M79" s="64">
        <f>$I$35*$M$35</f>
        <v>0</v>
      </c>
      <c r="N79" s="64">
        <f>$I$35*$N$35</f>
        <v>0</v>
      </c>
      <c r="O79" s="64">
        <f>$I$35*$O$35</f>
        <v>0</v>
      </c>
      <c r="P79" s="64">
        <f>$I$35*$P$35</f>
        <v>0</v>
      </c>
      <c r="Q79" s="64">
        <f>$I$35*$Q$35</f>
        <v>0</v>
      </c>
      <c r="R79" s="64">
        <f>$I$35*$R$35</f>
        <v>0</v>
      </c>
      <c r="S79" s="64">
        <f>$I$35*$S$35</f>
        <v>0</v>
      </c>
      <c r="T79" s="64">
        <f>$I$35*$T$35</f>
        <v>0</v>
      </c>
      <c r="U79" s="64">
        <f>$I$35*$U$35</f>
        <v>0</v>
      </c>
      <c r="V79" s="64">
        <f>$I$35*$V$35</f>
        <v>0</v>
      </c>
      <c r="X79" s="64">
        <f>$I$35*$X$35</f>
        <v>0</v>
      </c>
      <c r="Y79" s="64">
        <f>$I$35*$Y$35</f>
        <v>0</v>
      </c>
      <c r="Z79" s="64">
        <f>$I$35*$Z$35</f>
        <v>0</v>
      </c>
      <c r="AA79" s="64">
        <f>$I$35*$AA$35</f>
        <v>0</v>
      </c>
      <c r="AB79" s="64">
        <f>$I$35*$AB$35</f>
        <v>0</v>
      </c>
      <c r="AC79" s="64">
        <f>$I$35*$AC$35</f>
        <v>0</v>
      </c>
      <c r="AD79" s="64">
        <f>$I$35*$AD$35</f>
        <v>0</v>
      </c>
      <c r="AE79" s="64">
        <f>$I$35*$AE$35</f>
        <v>0</v>
      </c>
      <c r="AF79" s="64">
        <f>$I$35*$AF$35</f>
        <v>0</v>
      </c>
      <c r="AG79" s="64">
        <f>$I$35*$AG$35</f>
        <v>0</v>
      </c>
      <c r="AH79" s="64">
        <f>$I$35*$AH$35</f>
        <v>0</v>
      </c>
    </row>
    <row r="80" spans="1:34" ht="11.25" customHeight="1" x14ac:dyDescent="0.25">
      <c r="A80" s="9" t="s">
        <v>42</v>
      </c>
      <c r="B80" s="9" t="s">
        <v>1027</v>
      </c>
      <c r="C80" s="9" t="s">
        <v>1028</v>
      </c>
      <c r="D80" s="9" t="s">
        <v>1037</v>
      </c>
      <c r="E80" s="9" t="s">
        <v>1038</v>
      </c>
      <c r="F80" s="9" t="s">
        <v>1039</v>
      </c>
      <c r="G80" s="9" t="s">
        <v>1040</v>
      </c>
      <c r="L80" s="64">
        <f>$I$36*$L$36</f>
        <v>0</v>
      </c>
      <c r="M80" s="64">
        <f>$I$36*$M$36</f>
        <v>0</v>
      </c>
      <c r="N80" s="64">
        <f>$I$36*$N$36</f>
        <v>0</v>
      </c>
      <c r="O80" s="64">
        <f>$I$36*$O$36</f>
        <v>0</v>
      </c>
      <c r="P80" s="64">
        <f>$I$36*$P$36</f>
        <v>0</v>
      </c>
      <c r="Q80" s="64">
        <f>$I$36*$Q$36</f>
        <v>0</v>
      </c>
      <c r="R80" s="64">
        <f>$I$36*$R$36</f>
        <v>0</v>
      </c>
      <c r="S80" s="64">
        <f>$I$36*$S$36</f>
        <v>0</v>
      </c>
      <c r="T80" s="64">
        <f>$I$36*$T$36</f>
        <v>0</v>
      </c>
      <c r="U80" s="64">
        <f>$I$36*$U$36</f>
        <v>0</v>
      </c>
      <c r="V80" s="64">
        <f>$I$36*$V$36</f>
        <v>0</v>
      </c>
      <c r="X80" s="64">
        <f>$I$36*$X$36</f>
        <v>0</v>
      </c>
      <c r="Y80" s="64">
        <f>$I$36*$Y$36</f>
        <v>0</v>
      </c>
      <c r="Z80" s="64">
        <f>$I$36*$Z$36</f>
        <v>0</v>
      </c>
      <c r="AA80" s="64">
        <f>$I$36*$AA$36</f>
        <v>0</v>
      </c>
      <c r="AB80" s="64">
        <f>$I$36*$AB$36</f>
        <v>0</v>
      </c>
      <c r="AC80" s="64">
        <f>$I$36*$AC$36</f>
        <v>0</v>
      </c>
      <c r="AD80" s="64">
        <f>$I$36*$AD$36</f>
        <v>0</v>
      </c>
      <c r="AE80" s="64">
        <f>$I$36*$AE$36</f>
        <v>0</v>
      </c>
      <c r="AF80" s="64">
        <f>$I$36*$AF$36</f>
        <v>0</v>
      </c>
      <c r="AG80" s="64">
        <f>$I$36*$AG$36</f>
        <v>0</v>
      </c>
      <c r="AH80" s="64">
        <f>$I$36*$AH$36</f>
        <v>0</v>
      </c>
    </row>
    <row r="81" spans="1:34" ht="11.25" customHeight="1" x14ac:dyDescent="0.25">
      <c r="A81" s="9" t="s">
        <v>36</v>
      </c>
      <c r="B81" s="9" t="s">
        <v>1041</v>
      </c>
      <c r="C81" s="9" t="s">
        <v>1042</v>
      </c>
      <c r="D81" s="9" t="s">
        <v>1043</v>
      </c>
      <c r="E81" s="9" t="s">
        <v>1044</v>
      </c>
      <c r="F81" s="9" t="s">
        <v>1045</v>
      </c>
      <c r="G81" s="9" t="s">
        <v>1046</v>
      </c>
      <c r="L81" s="64">
        <f>$I$37*$L$37</f>
        <v>3.2756486410520282</v>
      </c>
      <c r="M81" s="64">
        <f>$I$37*$M$37</f>
        <v>0</v>
      </c>
      <c r="N81" s="64">
        <f>$I$37*$N$37</f>
        <v>0</v>
      </c>
      <c r="O81" s="64">
        <f>$I$37*$O$37</f>
        <v>9.5088357022253138</v>
      </c>
      <c r="P81" s="64">
        <f>$I$37*$P$37</f>
        <v>0</v>
      </c>
      <c r="Q81" s="64">
        <f>$I$37*$Q$37</f>
        <v>522.25737120494557</v>
      </c>
      <c r="R81" s="64">
        <f>$I$37*$R$37</f>
        <v>0</v>
      </c>
      <c r="S81" s="64">
        <f>$I$37*$S$37</f>
        <v>0</v>
      </c>
      <c r="T81" s="64">
        <f>$I$37*$T$37</f>
        <v>0</v>
      </c>
      <c r="U81" s="64">
        <f>$I$37*$U$37</f>
        <v>-91.651318074809211</v>
      </c>
      <c r="V81" s="64">
        <f>$I$37*$V$37</f>
        <v>0</v>
      </c>
      <c r="X81" s="64">
        <f>$I$37*$X$37</f>
        <v>3.4188977429892349</v>
      </c>
      <c r="Y81" s="64">
        <f>$I$37*$Y$37</f>
        <v>0</v>
      </c>
      <c r="Z81" s="64">
        <f>$I$37*$Z$37</f>
        <v>0</v>
      </c>
      <c r="AA81" s="64">
        <f>$I$37*$AA$37</f>
        <v>0</v>
      </c>
      <c r="AB81" s="64">
        <f>$I$37*$AB$37</f>
        <v>0</v>
      </c>
      <c r="AC81" s="64">
        <f>$I$37*$AC$37</f>
        <v>549.57754751301729</v>
      </c>
      <c r="AD81" s="64">
        <f>$I$37*$AD$37</f>
        <v>0</v>
      </c>
      <c r="AE81" s="64">
        <f>$I$37*$AE$37</f>
        <v>0</v>
      </c>
      <c r="AF81" s="64">
        <f>$I$37*$AF$37</f>
        <v>0</v>
      </c>
      <c r="AG81" s="64">
        <f>$I$37*$AG$37</f>
        <v>0</v>
      </c>
      <c r="AH81" s="64">
        <f>$I$37*$AH$37</f>
        <v>0</v>
      </c>
    </row>
    <row r="82" spans="1:34" ht="11.25" customHeight="1" x14ac:dyDescent="0.25">
      <c r="A82" s="9" t="s">
        <v>36</v>
      </c>
      <c r="B82" s="9" t="s">
        <v>1041</v>
      </c>
      <c r="C82" s="9" t="s">
        <v>1042</v>
      </c>
      <c r="D82" s="9" t="s">
        <v>1043</v>
      </c>
      <c r="E82" s="9" t="s">
        <v>1044</v>
      </c>
      <c r="F82" s="9" t="s">
        <v>1045</v>
      </c>
      <c r="G82" s="9" t="s">
        <v>1047</v>
      </c>
      <c r="L82" s="64">
        <f>$I$38*$L$38</f>
        <v>1.4261127386985939</v>
      </c>
      <c r="M82" s="64">
        <f>$I$38*$M$38</f>
        <v>0</v>
      </c>
      <c r="N82" s="64">
        <f>$I$38*$N$38</f>
        <v>0</v>
      </c>
      <c r="O82" s="64">
        <f>$I$38*$O$38</f>
        <v>4.1398431917228695</v>
      </c>
      <c r="P82" s="64">
        <f>$I$38*$P$38</f>
        <v>0</v>
      </c>
      <c r="Q82" s="64">
        <f>$I$38*$Q$38</f>
        <v>132.19428470335191</v>
      </c>
      <c r="R82" s="64">
        <f>$I$38*$R$38</f>
        <v>0</v>
      </c>
      <c r="S82" s="64">
        <f>$I$38*$S$38</f>
        <v>0</v>
      </c>
      <c r="T82" s="64">
        <f>$I$38*$T$38</f>
        <v>0</v>
      </c>
      <c r="U82" s="64">
        <f>$I$38*$U$38</f>
        <v>-23.620393413956684</v>
      </c>
      <c r="V82" s="64">
        <f>$I$38*$V$38</f>
        <v>0</v>
      </c>
      <c r="X82" s="64">
        <f>$I$38*$X$38</f>
        <v>1.4884788198831049</v>
      </c>
      <c r="Y82" s="64">
        <f>$I$38*$Y$38</f>
        <v>0</v>
      </c>
      <c r="Z82" s="64">
        <f>$I$38*$Z$38</f>
        <v>0</v>
      </c>
      <c r="AA82" s="64">
        <f>$I$38*$AA$38</f>
        <v>0</v>
      </c>
      <c r="AB82" s="64">
        <f>$I$38*$AB$38</f>
        <v>0</v>
      </c>
      <c r="AC82" s="64">
        <f>$I$38*$AC$38</f>
        <v>139.10959382897047</v>
      </c>
      <c r="AD82" s="64">
        <f>$I$38*$AD$38</f>
        <v>0</v>
      </c>
      <c r="AE82" s="64">
        <f>$I$38*$AE$38</f>
        <v>0</v>
      </c>
      <c r="AF82" s="64">
        <f>$I$38*$AF$38</f>
        <v>0</v>
      </c>
      <c r="AG82" s="64">
        <f>$I$38*$AG$38</f>
        <v>0</v>
      </c>
      <c r="AH82" s="64">
        <f>$I$38*$AH$38</f>
        <v>0</v>
      </c>
    </row>
    <row r="83" spans="1:34" ht="11.25" customHeight="1" x14ac:dyDescent="0.25">
      <c r="A83" s="9" t="s">
        <v>36</v>
      </c>
      <c r="B83" s="9" t="s">
        <v>1041</v>
      </c>
      <c r="C83" s="9" t="s">
        <v>1042</v>
      </c>
      <c r="D83" s="9" t="s">
        <v>1043</v>
      </c>
      <c r="E83" s="9" t="s">
        <v>1044</v>
      </c>
      <c r="F83" s="9" t="s">
        <v>1045</v>
      </c>
      <c r="G83" s="9" t="s">
        <v>1048</v>
      </c>
      <c r="L83" s="64">
        <f>$I$39*$L$39</f>
        <v>18.427728934895029</v>
      </c>
      <c r="M83" s="64">
        <f>$I$39*$M$39</f>
        <v>0</v>
      </c>
      <c r="N83" s="64">
        <f>$I$39*$N$39</f>
        <v>0</v>
      </c>
      <c r="O83" s="64">
        <f>$I$39*$O$39</f>
        <v>53.49360264438603</v>
      </c>
      <c r="P83" s="64">
        <f>$I$39*$P$39</f>
        <v>0</v>
      </c>
      <c r="Q83" s="64">
        <f>$I$39*$Q$39</f>
        <v>1708.1682107956835</v>
      </c>
      <c r="R83" s="64">
        <f>$I$39*$R$39</f>
        <v>0</v>
      </c>
      <c r="S83" s="64">
        <f>$I$39*$S$39</f>
        <v>0</v>
      </c>
      <c r="T83" s="64">
        <f>$I$39*$T$39</f>
        <v>0</v>
      </c>
      <c r="U83" s="64">
        <f>$I$39*$U$39</f>
        <v>-305.21444438199291</v>
      </c>
      <c r="V83" s="64">
        <f>$I$39*$V$39</f>
        <v>0</v>
      </c>
      <c r="X83" s="64">
        <f>$I$39*$X$39</f>
        <v>19.233601575685398</v>
      </c>
      <c r="Y83" s="64">
        <f>$I$39*$Y$39</f>
        <v>0</v>
      </c>
      <c r="Z83" s="64">
        <f>$I$39*$Z$39</f>
        <v>0</v>
      </c>
      <c r="AA83" s="64">
        <f>$I$39*$AA$39</f>
        <v>0</v>
      </c>
      <c r="AB83" s="64">
        <f>$I$39*$AB$39</f>
        <v>0</v>
      </c>
      <c r="AC83" s="64">
        <f>$I$39*$AC$39</f>
        <v>1797.5254113941403</v>
      </c>
      <c r="AD83" s="64">
        <f>$I$39*$AD$39</f>
        <v>0</v>
      </c>
      <c r="AE83" s="64">
        <f>$I$39*$AE$39</f>
        <v>0</v>
      </c>
      <c r="AF83" s="64">
        <f>$I$39*$AF$39</f>
        <v>0</v>
      </c>
      <c r="AG83" s="64">
        <f>$I$39*$AG$39</f>
        <v>0</v>
      </c>
      <c r="AH83" s="64">
        <f>$I$39*$AH$39</f>
        <v>0</v>
      </c>
    </row>
    <row r="84" spans="1:34" ht="11.25" customHeight="1" x14ac:dyDescent="0.25">
      <c r="A84" s="9" t="s">
        <v>36</v>
      </c>
      <c r="B84" s="9" t="s">
        <v>1049</v>
      </c>
      <c r="C84" s="9" t="s">
        <v>1050</v>
      </c>
      <c r="D84" s="9" t="s">
        <v>1051</v>
      </c>
      <c r="E84" s="9" t="s">
        <v>1052</v>
      </c>
      <c r="F84" s="9" t="s">
        <v>1053</v>
      </c>
      <c r="G84" s="9" t="s">
        <v>1054</v>
      </c>
      <c r="L84" s="64">
        <f>$I$40*$L$40</f>
        <v>40125.525558310022</v>
      </c>
      <c r="M84" s="64">
        <f>$I$40*$M$40</f>
        <v>0</v>
      </c>
      <c r="N84" s="64">
        <f>$I$40*$N$40</f>
        <v>0</v>
      </c>
      <c r="O84" s="64">
        <f>$I$40*$O$40</f>
        <v>116479.84012011513</v>
      </c>
      <c r="P84" s="64">
        <f>$I$40*$P$40</f>
        <v>0</v>
      </c>
      <c r="Q84" s="64">
        <f>$I$40*$Q$40</f>
        <v>3942624.5246427194</v>
      </c>
      <c r="R84" s="64">
        <f>$I$40*$R$40</f>
        <v>0</v>
      </c>
      <c r="S84" s="64">
        <f>$I$40*$S$40</f>
        <v>0</v>
      </c>
      <c r="T84" s="64">
        <f>$I$40*$T$40</f>
        <v>0</v>
      </c>
      <c r="U84" s="64">
        <f>$I$40*$U$40</f>
        <v>-702765.77119774302</v>
      </c>
      <c r="V84" s="64">
        <f>$I$40*$V$40</f>
        <v>0</v>
      </c>
      <c r="X84" s="64">
        <f>$I$40*$X$40</f>
        <v>41880.275878277273</v>
      </c>
      <c r="Y84" s="64">
        <f>$I$40*$Y$40</f>
        <v>0</v>
      </c>
      <c r="Z84" s="64">
        <f>$I$40*$Z$40</f>
        <v>0</v>
      </c>
      <c r="AA84" s="64">
        <f>$I$40*$AA$40</f>
        <v>0</v>
      </c>
      <c r="AB84" s="64">
        <f>$I$40*$AB$40</f>
        <v>0</v>
      </c>
      <c r="AC84" s="64">
        <f>$I$40*$AC$40</f>
        <v>4148869.9566243785</v>
      </c>
      <c r="AD84" s="64">
        <f>$I$40*$AD$40</f>
        <v>0</v>
      </c>
      <c r="AE84" s="64">
        <f>$I$40*$AE$40</f>
        <v>0</v>
      </c>
      <c r="AF84" s="64">
        <f>$I$40*$AF$40</f>
        <v>0</v>
      </c>
      <c r="AG84" s="64">
        <f>$I$40*$AG$40</f>
        <v>0</v>
      </c>
      <c r="AH84" s="64">
        <f>$I$40*$AH$40</f>
        <v>0</v>
      </c>
    </row>
    <row r="85" spans="1:34" ht="11.25" customHeight="1" x14ac:dyDescent="0.25">
      <c r="A85" s="9" t="s">
        <v>36</v>
      </c>
      <c r="B85" s="9" t="s">
        <v>1055</v>
      </c>
      <c r="C85" s="9" t="s">
        <v>1056</v>
      </c>
      <c r="D85" s="9" t="s">
        <v>1057</v>
      </c>
      <c r="E85" s="9" t="s">
        <v>1058</v>
      </c>
      <c r="F85" s="9" t="s">
        <v>1059</v>
      </c>
      <c r="G85" s="9" t="s">
        <v>1060</v>
      </c>
      <c r="L85" s="64">
        <f>$I$41*$L$41</f>
        <v>0</v>
      </c>
      <c r="M85" s="64">
        <f>$I$41*$M$41</f>
        <v>0</v>
      </c>
      <c r="N85" s="64">
        <f>$I$41*$N$41</f>
        <v>0</v>
      </c>
      <c r="O85" s="64">
        <f>$I$41*$O$41</f>
        <v>0</v>
      </c>
      <c r="P85" s="64">
        <f>$I$41*$P$41</f>
        <v>0</v>
      </c>
      <c r="Q85" s="64">
        <f>$I$41*$Q$41</f>
        <v>0</v>
      </c>
      <c r="R85" s="64">
        <f>$I$41*$R$41</f>
        <v>0</v>
      </c>
      <c r="S85" s="64">
        <f>$I$41*$S$41</f>
        <v>0</v>
      </c>
      <c r="T85" s="64">
        <f>$I$41*$T$41</f>
        <v>0</v>
      </c>
      <c r="U85" s="64">
        <f>$I$41*$U$41</f>
        <v>0</v>
      </c>
      <c r="V85" s="64">
        <f>$I$41*$V$41</f>
        <v>0</v>
      </c>
      <c r="X85" s="64">
        <f>$I$41*$X$41</f>
        <v>0</v>
      </c>
      <c r="Y85" s="64">
        <f>$I$41*$Y$41</f>
        <v>0</v>
      </c>
      <c r="Z85" s="64">
        <f>$I$41*$Z$41</f>
        <v>0</v>
      </c>
      <c r="AA85" s="64">
        <f>$I$41*$AA$41</f>
        <v>0</v>
      </c>
      <c r="AB85" s="64">
        <f>$I$41*$AB$41</f>
        <v>0</v>
      </c>
      <c r="AC85" s="64">
        <f>$I$41*$AC$41</f>
        <v>0</v>
      </c>
      <c r="AD85" s="64">
        <f>$I$41*$AD$41</f>
        <v>0</v>
      </c>
      <c r="AE85" s="64">
        <f>$I$41*$AE$41</f>
        <v>0</v>
      </c>
      <c r="AF85" s="64">
        <f>$I$41*$AF$41</f>
        <v>0</v>
      </c>
      <c r="AG85" s="64">
        <f>$I$41*$AG$41</f>
        <v>0</v>
      </c>
      <c r="AH85" s="64">
        <f>$I$41*$AH$41</f>
        <v>0</v>
      </c>
    </row>
    <row r="86" spans="1:34" ht="11.25" customHeight="1" x14ac:dyDescent="0.25">
      <c r="A86" s="9" t="s">
        <v>45</v>
      </c>
      <c r="B86" s="9" t="s">
        <v>1061</v>
      </c>
      <c r="C86" s="9" t="s">
        <v>1062</v>
      </c>
      <c r="D86" s="9" t="s">
        <v>1063</v>
      </c>
      <c r="E86" s="9" t="s">
        <v>1064</v>
      </c>
      <c r="F86" s="9" t="s">
        <v>1065</v>
      </c>
      <c r="G86" s="9" t="s">
        <v>1066</v>
      </c>
      <c r="L86" s="64">
        <f>$I$42*$L$42</f>
        <v>7947.2787580067907</v>
      </c>
      <c r="M86" s="64">
        <f>$I$42*$M$42</f>
        <v>0</v>
      </c>
      <c r="N86" s="64">
        <f>$I$42*$N$42</f>
        <v>0</v>
      </c>
      <c r="O86" s="64">
        <f>$I$42*$O$42</f>
        <v>23070.046964927682</v>
      </c>
      <c r="P86" s="64">
        <f>$I$42*$P$42</f>
        <v>0</v>
      </c>
      <c r="Q86" s="64">
        <f>$I$42*$Q$42</f>
        <v>780877.90002791875</v>
      </c>
      <c r="R86" s="64">
        <f>$I$42*$R$42</f>
        <v>0</v>
      </c>
      <c r="S86" s="64">
        <f>$I$42*$S$42</f>
        <v>0</v>
      </c>
      <c r="T86" s="64">
        <f>$I$42*$T$42</f>
        <v>0</v>
      </c>
      <c r="U86" s="64">
        <f>$I$42*$U$42</f>
        <v>-139190.08929061645</v>
      </c>
      <c r="V86" s="64">
        <f>$I$42*$V$42</f>
        <v>0</v>
      </c>
      <c r="X86" s="64">
        <f>$I$42*$X$42</f>
        <v>8294.8253570716806</v>
      </c>
      <c r="Y86" s="64">
        <f>$I$42*$Y$42</f>
        <v>0</v>
      </c>
      <c r="Z86" s="64">
        <f>$I$42*$Z$42</f>
        <v>0</v>
      </c>
      <c r="AA86" s="64">
        <f>$I$42*$AA$42</f>
        <v>0</v>
      </c>
      <c r="AB86" s="64">
        <f>$I$42*$AB$42</f>
        <v>0</v>
      </c>
      <c r="AC86" s="64">
        <f>$I$42*$AC$42</f>
        <v>821726.95851917623</v>
      </c>
      <c r="AD86" s="64">
        <f>$I$42*$AD$42</f>
        <v>0</v>
      </c>
      <c r="AE86" s="64">
        <f>$I$42*$AE$42</f>
        <v>0</v>
      </c>
      <c r="AF86" s="64">
        <f>$I$42*$AF$42</f>
        <v>0</v>
      </c>
      <c r="AG86" s="64">
        <f>$I$42*$AG$42</f>
        <v>0</v>
      </c>
      <c r="AH86" s="64">
        <f>$I$42*$AH$42</f>
        <v>0</v>
      </c>
    </row>
    <row r="87" spans="1:34" ht="11.25" customHeight="1" x14ac:dyDescent="0.25">
      <c r="A87" s="9" t="s">
        <v>45</v>
      </c>
      <c r="B87" s="9" t="s">
        <v>1061</v>
      </c>
      <c r="C87" s="9" t="s">
        <v>1062</v>
      </c>
      <c r="D87" s="9" t="s">
        <v>1067</v>
      </c>
      <c r="E87" s="9" t="s">
        <v>1068</v>
      </c>
      <c r="F87" s="9" t="s">
        <v>1069</v>
      </c>
      <c r="G87" s="9" t="s">
        <v>1070</v>
      </c>
      <c r="L87" s="64">
        <f>$I$43*$L$43</f>
        <v>0</v>
      </c>
      <c r="M87" s="64">
        <f>$I$43*$M$43</f>
        <v>0</v>
      </c>
      <c r="N87" s="64">
        <f>$I$43*$N$43</f>
        <v>0</v>
      </c>
      <c r="O87" s="64">
        <f>$I$43*$O$43</f>
        <v>0</v>
      </c>
      <c r="P87" s="64">
        <f>$I$43*$P$43</f>
        <v>0</v>
      </c>
      <c r="Q87" s="64">
        <f>$I$43*$Q$43</f>
        <v>0</v>
      </c>
      <c r="R87" s="64">
        <f>$I$43*$R$43</f>
        <v>0</v>
      </c>
      <c r="S87" s="64">
        <f>$I$43*$S$43</f>
        <v>0</v>
      </c>
      <c r="T87" s="64">
        <f>$I$43*$T$43</f>
        <v>0</v>
      </c>
      <c r="U87" s="64">
        <f>$I$43*$U$43</f>
        <v>0</v>
      </c>
      <c r="V87" s="64">
        <f>$I$43*$V$43</f>
        <v>0</v>
      </c>
      <c r="X87" s="64">
        <f>$I$43*$X$43</f>
        <v>0</v>
      </c>
      <c r="Y87" s="64">
        <f>$I$43*$Y$43</f>
        <v>0</v>
      </c>
      <c r="Z87" s="64">
        <f>$I$43*$Z$43</f>
        <v>0</v>
      </c>
      <c r="AA87" s="64">
        <f>$I$43*$AA$43</f>
        <v>0</v>
      </c>
      <c r="AB87" s="64">
        <f>$I$43*$AB$43</f>
        <v>0</v>
      </c>
      <c r="AC87" s="64">
        <f>$I$43*$AC$43</f>
        <v>0</v>
      </c>
      <c r="AD87" s="64">
        <f>$I$43*$AD$43</f>
        <v>0</v>
      </c>
      <c r="AE87" s="64">
        <f>$I$43*$AE$43</f>
        <v>0</v>
      </c>
      <c r="AF87" s="64">
        <f>$I$43*$AF$43</f>
        <v>0</v>
      </c>
      <c r="AG87" s="64">
        <f>$I$43*$AG$43</f>
        <v>0</v>
      </c>
      <c r="AH87" s="64">
        <f>$I$43*$AH$43</f>
        <v>0</v>
      </c>
    </row>
  </sheetData>
  <mergeCells count="69">
    <mergeCell ref="F1:F4"/>
    <mergeCell ref="A1:A4"/>
    <mergeCell ref="B1:B4"/>
    <mergeCell ref="C1:C4"/>
    <mergeCell ref="D1:D4"/>
    <mergeCell ref="E1:E4"/>
    <mergeCell ref="H1:H4"/>
    <mergeCell ref="I1:I4"/>
    <mergeCell ref="J1:J4"/>
    <mergeCell ref="L1:V1"/>
    <mergeCell ref="L2:V2"/>
    <mergeCell ref="L3:P3"/>
    <mergeCell ref="R3:T3"/>
    <mergeCell ref="A5:A8"/>
    <mergeCell ref="B5:B6"/>
    <mergeCell ref="C5:C6"/>
    <mergeCell ref="D5:D6"/>
    <mergeCell ref="E5:E6"/>
    <mergeCell ref="A9:A21"/>
    <mergeCell ref="B9:B11"/>
    <mergeCell ref="C9:C11"/>
    <mergeCell ref="D9:D11"/>
    <mergeCell ref="E9:E11"/>
    <mergeCell ref="B12:B16"/>
    <mergeCell ref="C12:C16"/>
    <mergeCell ref="B17:B21"/>
    <mergeCell ref="C17:C21"/>
    <mergeCell ref="A22:A36"/>
    <mergeCell ref="B22:B24"/>
    <mergeCell ref="C22:C24"/>
    <mergeCell ref="D22:D24"/>
    <mergeCell ref="E22:E24"/>
    <mergeCell ref="B26:B28"/>
    <mergeCell ref="C26:C28"/>
    <mergeCell ref="D26:D28"/>
    <mergeCell ref="E26:E28"/>
    <mergeCell ref="X1:AH1"/>
    <mergeCell ref="X2:AH2"/>
    <mergeCell ref="X3:AB3"/>
    <mergeCell ref="AD3:AF3"/>
    <mergeCell ref="B34:B36"/>
    <mergeCell ref="C34:C36"/>
    <mergeCell ref="F26:F28"/>
    <mergeCell ref="B30:B32"/>
    <mergeCell ref="C30:C32"/>
    <mergeCell ref="D30:D32"/>
    <mergeCell ref="E30:E32"/>
    <mergeCell ref="F30:F32"/>
    <mergeCell ref="F22:F24"/>
    <mergeCell ref="F9:F11"/>
    <mergeCell ref="F5:F6"/>
    <mergeCell ref="G1:G4"/>
    <mergeCell ref="E37:E39"/>
    <mergeCell ref="F37:F39"/>
    <mergeCell ref="A42:A43"/>
    <mergeCell ref="B42:B43"/>
    <mergeCell ref="C42:C43"/>
    <mergeCell ref="A37:A41"/>
    <mergeCell ref="B37:B39"/>
    <mergeCell ref="C37:C39"/>
    <mergeCell ref="D37:D39"/>
    <mergeCell ref="L45:V45"/>
    <mergeCell ref="X45:AH45"/>
    <mergeCell ref="L46:V46"/>
    <mergeCell ref="X46:AH46"/>
    <mergeCell ref="L47:P47"/>
    <mergeCell ref="R47:T47"/>
    <mergeCell ref="X47:AB47"/>
    <mergeCell ref="AD47:AF47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C984F-4194-4DD9-A0F7-D0503125AF70}">
  <dimension ref="A1:AG15"/>
  <sheetViews>
    <sheetView showGridLines="0" tabSelected="1" topLeftCell="A25" workbookViewId="0">
      <selection activeCell="N34" sqref="N34"/>
    </sheetView>
  </sheetViews>
  <sheetFormatPr defaultRowHeight="11.25" x14ac:dyDescent="0.2"/>
  <cols>
    <col min="1" max="1" width="19.140625" style="15" bestFit="1" customWidth="1"/>
    <col min="2" max="2" width="12.42578125" style="15" bestFit="1" customWidth="1"/>
    <col min="3" max="6" width="10.28515625" style="15" bestFit="1" customWidth="1"/>
    <col min="7" max="7" width="10.85546875" style="15" bestFit="1" customWidth="1"/>
    <col min="8" max="8" width="10" style="15" bestFit="1" customWidth="1"/>
    <col min="9" max="9" width="8" style="15" bestFit="1" customWidth="1"/>
    <col min="10" max="11" width="10" style="15" bestFit="1" customWidth="1"/>
    <col min="12" max="12" width="9.5703125" style="15" bestFit="1" customWidth="1"/>
    <col min="13" max="13" width="9.7109375" style="15" bestFit="1" customWidth="1"/>
    <col min="14" max="14" width="6" style="15" bestFit="1" customWidth="1"/>
    <col min="15" max="15" width="7.42578125" style="15" bestFit="1" customWidth="1"/>
    <col min="16" max="16" width="9.7109375" style="15" bestFit="1" customWidth="1"/>
    <col min="17" max="17" width="11" style="15" bestFit="1" customWidth="1"/>
    <col min="18" max="18" width="10.5703125" style="15" bestFit="1" customWidth="1"/>
    <col min="19" max="19" width="7.140625" style="15" bestFit="1" customWidth="1"/>
    <col min="20" max="20" width="14.5703125" style="15" bestFit="1" customWidth="1"/>
    <col min="21" max="21" width="17.7109375" style="15" bestFit="1" customWidth="1"/>
    <col min="22" max="22" width="18.42578125" style="15" bestFit="1" customWidth="1"/>
    <col min="23" max="23" width="7.85546875" style="15" bestFit="1" customWidth="1"/>
    <col min="24" max="24" width="10.85546875" style="15" bestFit="1" customWidth="1"/>
    <col min="25" max="26" width="9.140625" style="15"/>
    <col min="27" max="27" width="3" style="15" bestFit="1" customWidth="1"/>
    <col min="28" max="28" width="21.5703125" style="15" bestFit="1" customWidth="1"/>
    <col min="29" max="29" width="13.5703125" style="15" bestFit="1" customWidth="1"/>
    <col min="30" max="30" width="25.140625" style="15" bestFit="1" customWidth="1"/>
    <col min="31" max="33" width="10.28515625" style="15" bestFit="1" customWidth="1"/>
    <col min="34" max="16384" width="9.140625" style="15"/>
  </cols>
  <sheetData>
    <row r="1" spans="1:33" x14ac:dyDescent="0.2">
      <c r="A1" s="15" t="s">
        <v>68</v>
      </c>
      <c r="B1" s="15" t="s">
        <v>69</v>
      </c>
      <c r="C1" s="15" t="s">
        <v>70</v>
      </c>
      <c r="D1" s="15" t="s">
        <v>71</v>
      </c>
      <c r="E1" s="15" t="s">
        <v>72</v>
      </c>
      <c r="F1" s="15" t="s">
        <v>15</v>
      </c>
      <c r="G1" s="15" t="s">
        <v>74</v>
      </c>
      <c r="I1" s="15" t="s">
        <v>1078</v>
      </c>
      <c r="AA1" s="15" t="s">
        <v>38</v>
      </c>
      <c r="AB1" s="15" t="s">
        <v>25</v>
      </c>
      <c r="AC1" s="15" t="s">
        <v>25</v>
      </c>
      <c r="AD1" s="15" t="s">
        <v>25</v>
      </c>
      <c r="AE1" s="15" t="s">
        <v>25</v>
      </c>
      <c r="AF1" s="15" t="s">
        <v>25</v>
      </c>
      <c r="AG1" s="15" t="s">
        <v>25</v>
      </c>
    </row>
    <row r="2" spans="1:33" x14ac:dyDescent="0.2">
      <c r="A2" s="15" t="s">
        <v>22</v>
      </c>
      <c r="B2" s="15" t="s">
        <v>23</v>
      </c>
      <c r="C2" s="15" t="s">
        <v>25</v>
      </c>
      <c r="D2" s="15" t="s">
        <v>25</v>
      </c>
      <c r="E2" s="15" t="s">
        <v>25</v>
      </c>
      <c r="F2" s="15" t="s">
        <v>25</v>
      </c>
      <c r="G2" s="15" t="s">
        <v>25</v>
      </c>
      <c r="I2" s="15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B1Convencional</v>
      </c>
      <c r="AA2" s="15" t="s">
        <v>89</v>
      </c>
      <c r="AB2" s="15" t="s">
        <v>50</v>
      </c>
      <c r="AC2" s="15" t="s">
        <v>24</v>
      </c>
      <c r="AD2" s="15" t="s">
        <v>24</v>
      </c>
      <c r="AE2" s="15" t="s">
        <v>86</v>
      </c>
      <c r="AG2" s="15" t="s">
        <v>84</v>
      </c>
    </row>
    <row r="3" spans="1:33" x14ac:dyDescent="0.2">
      <c r="AA3" s="15" t="s">
        <v>22</v>
      </c>
      <c r="AB3" s="15" t="s">
        <v>58</v>
      </c>
      <c r="AC3" s="15" t="s">
        <v>43</v>
      </c>
      <c r="AD3" s="15" t="s">
        <v>28</v>
      </c>
      <c r="AE3" s="15" t="s">
        <v>90</v>
      </c>
      <c r="AG3" s="15" t="s">
        <v>85</v>
      </c>
    </row>
    <row r="4" spans="1:33" x14ac:dyDescent="0.2">
      <c r="AA4" s="15" t="s">
        <v>42</v>
      </c>
      <c r="AB4" s="15" t="s">
        <v>39</v>
      </c>
      <c r="AC4" s="15" t="s">
        <v>46</v>
      </c>
      <c r="AD4" s="15" t="s">
        <v>29</v>
      </c>
      <c r="AE4" s="15" t="s">
        <v>91</v>
      </c>
      <c r="AG4" s="15" t="s">
        <v>82</v>
      </c>
    </row>
    <row r="5" spans="1:33" x14ac:dyDescent="0.2">
      <c r="A5" s="15" t="s">
        <v>1071</v>
      </c>
      <c r="B5" s="15" t="str">
        <f>TUSD!$AI$4</f>
        <v>CDE Covid TUSD</v>
      </c>
      <c r="C5" s="15" t="str">
        <f>TUSD!$AJ$4</f>
        <v>TFSEE</v>
      </c>
      <c r="D5" s="15" t="str">
        <f>TUSD!$AK$4</f>
        <v>P&amp;D</v>
      </c>
      <c r="E5" s="15" t="str">
        <f>TUSD!$AL$4</f>
        <v>ONS</v>
      </c>
      <c r="F5" s="15" t="str">
        <f>TUSD!$AM$4</f>
        <v>CCC</v>
      </c>
      <c r="G5" s="15" t="str">
        <f>TUSD!$AN$4</f>
        <v>CDE</v>
      </c>
      <c r="H5" s="15" t="str">
        <f>TUSD!$AO$4</f>
        <v>PROINFA</v>
      </c>
      <c r="I5" s="15" t="str">
        <f>TUSD!$AP$4</f>
        <v>LIMINAR 1</v>
      </c>
      <c r="J5" s="15" t="str">
        <f>TUSD!$AQ$4</f>
        <v>TUSD RB</v>
      </c>
      <c r="K5" s="15" t="str">
        <f>TUSD!$AR$4</f>
        <v>TUSD FR</v>
      </c>
      <c r="L5" s="15" t="str">
        <f>TUSD!$AS$4</f>
        <v>CONEXAO T</v>
      </c>
      <c r="M5" s="15" t="str">
        <f>TUSD!$AT$4</f>
        <v>CONEXAO D</v>
      </c>
      <c r="N5" s="15" t="str">
        <f>TUSD!$AU$4</f>
        <v>CUSD</v>
      </c>
      <c r="O5" s="15" t="str">
        <f>TUSD!$AV$4</f>
        <v>TUSDG-T</v>
      </c>
      <c r="P5" s="15" t="str">
        <f>TUSD!$AW$4</f>
        <v>TUSDG-ONS</v>
      </c>
      <c r="Q5" s="15" t="str">
        <f>TUSD!$AX$4</f>
        <v>DISTRIBUICAO</v>
      </c>
      <c r="R5" s="15" t="str">
        <f>TUSD!$AY$4</f>
        <v>SUBSIDIO</v>
      </c>
      <c r="S5" s="15" t="str">
        <f>TUSD!$AZ$4</f>
        <v>OUTROS</v>
      </c>
      <c r="T5" s="15" t="str">
        <f>TUSD!$BA$4</f>
        <v>PERDAS TECNICAS</v>
      </c>
      <c r="U5" s="15" t="str">
        <f>TUSD!$BB$4</f>
        <v>PERDAS RB/ PERDAS D</v>
      </c>
      <c r="V5" s="15" t="str">
        <f>TUSD!$BC$4</f>
        <v>PERDAS NAO TECNICAS</v>
      </c>
      <c r="W5" s="15" t="str">
        <f>TUSD!$BD$4</f>
        <v>RI</v>
      </c>
      <c r="X5" s="15" t="s">
        <v>521</v>
      </c>
      <c r="AA5" s="15" t="s">
        <v>36</v>
      </c>
      <c r="AB5" s="15" t="s">
        <v>32</v>
      </c>
      <c r="AD5" s="15" t="s">
        <v>30</v>
      </c>
      <c r="AG5" s="15" t="s">
        <v>9</v>
      </c>
    </row>
    <row r="6" spans="1:33" x14ac:dyDescent="0.2">
      <c r="A6" s="15" t="s">
        <v>1072</v>
      </c>
      <c r="B6" s="19">
        <f>SUM(TUSD!$AI$57:'TUSD'!$AI$103)</f>
        <v>848199.35580224241</v>
      </c>
      <c r="C6" s="19">
        <f>SUM(TUSD!$AJ$57:'TUSD'!$AJ$103)</f>
        <v>76646.05567581873</v>
      </c>
      <c r="D6" s="19">
        <f>SUM(TUSD!$AK$57:'TUSD'!$AK$103)</f>
        <v>230580.06548592978</v>
      </c>
      <c r="E6" s="19">
        <f>SUM(TUSD!$AL$57:'TUSD'!$AL$103)</f>
        <v>0</v>
      </c>
      <c r="F6" s="19">
        <f>SUM(TUSD!$AM$57:'TUSD'!$AM$103)</f>
        <v>0</v>
      </c>
      <c r="G6" s="19">
        <f>SUM(TUSD!$AN$57:'TUSD'!$AN$103)</f>
        <v>6614030.8644571546</v>
      </c>
      <c r="H6" s="19">
        <f>SUM(TUSD!$AO$57:'TUSD'!$AO$103)</f>
        <v>1133063.1351512561</v>
      </c>
      <c r="I6" s="19">
        <f>SUM(TUSD!$AP$57:'TUSD'!$AP$103)</f>
        <v>0</v>
      </c>
      <c r="J6" s="19">
        <f>SUM(TUSD!$AQ$57:'TUSD'!$AQ$103)</f>
        <v>3277744.6568576652</v>
      </c>
      <c r="K6" s="19">
        <f>SUM(TUSD!$AR$57:'TUSD'!$AR$103)</f>
        <v>2387238.7571998932</v>
      </c>
      <c r="L6" s="19">
        <f>SUM(TUSD!$AS$57:'TUSD'!$AS$103)</f>
        <v>177196.97656186813</v>
      </c>
      <c r="M6" s="19">
        <f>SUM(TUSD!$AT$57:'TUSD'!$AT$103)</f>
        <v>0</v>
      </c>
      <c r="N6" s="19">
        <f>SUM(TUSD!$AU$57:'TUSD'!$AU$103)</f>
        <v>0</v>
      </c>
      <c r="O6" s="19">
        <f>SUM(TUSD!$AV$57:'TUSD'!$AV$103)</f>
        <v>0</v>
      </c>
      <c r="P6" s="19">
        <f>SUM(TUSD!$AW$57:'TUSD'!$AW$103)</f>
        <v>0</v>
      </c>
      <c r="Q6" s="19">
        <f>SUM(TUSD!$AX$57:'TUSD'!$AX$103)</f>
        <v>14756144.442512771</v>
      </c>
      <c r="R6" s="19">
        <f>SUM(TUSD!$AY$57:'TUSD'!$AY$103)</f>
        <v>0</v>
      </c>
      <c r="S6" s="19">
        <f>SUM(TUSD!$AZ$57:'TUSD'!$AZ$103)</f>
        <v>0</v>
      </c>
      <c r="T6" s="19">
        <f>SUM(TUSD!$BA$57:'TUSD'!$BA$103)</f>
        <v>1554872.8830726228</v>
      </c>
      <c r="U6" s="19">
        <f>SUM(TUSD!$BB$57:'TUSD'!$BB$103)</f>
        <v>0</v>
      </c>
      <c r="V6" s="19">
        <f>SUM(TUSD!$BC$57:'TUSD'!$BC$103)</f>
        <v>107893.50994960277</v>
      </c>
      <c r="W6" s="19">
        <f>SUM(TUSD!$BD$57:'TUSD'!$BD$103)</f>
        <v>-189359.65998954728</v>
      </c>
      <c r="X6" s="19">
        <f t="shared" ref="X6:X11" si="0">SUM(B6:W6)</f>
        <v>30974251.042737279</v>
      </c>
      <c r="AA6" s="15" t="s">
        <v>45</v>
      </c>
      <c r="AB6" s="15" t="s">
        <v>23</v>
      </c>
      <c r="AD6" s="15" t="s">
        <v>31</v>
      </c>
      <c r="AG6" s="15" t="s">
        <v>79</v>
      </c>
    </row>
    <row r="7" spans="1:33" x14ac:dyDescent="0.2">
      <c r="A7" s="15" t="s">
        <v>1073</v>
      </c>
      <c r="B7" s="19">
        <f>SUM(TUSD!$L$57:'TUSD'!$L$103)</f>
        <v>784192.69848690822</v>
      </c>
      <c r="C7" s="19">
        <f>SUM(TUSD!$M$57:'TUSD'!$M$103)</f>
        <v>74177.726474626266</v>
      </c>
      <c r="D7" s="19">
        <f ca="1">SUM(TUSD!$N$57:'TUSD'!$N$103)</f>
        <v>166855.72374684879</v>
      </c>
      <c r="E7" s="19">
        <f>SUM(TUSD!$O$57:'TUSD'!$O$103)</f>
        <v>0</v>
      </c>
      <c r="F7" s="19">
        <f>SUM(TUSD!$P$57:'TUSD'!$P$103)</f>
        <v>0</v>
      </c>
      <c r="G7" s="19">
        <f>SUM(TUSD!$Q$57:'TUSD'!$Q$103)</f>
        <v>11313876.270311514</v>
      </c>
      <c r="H7" s="19">
        <f>SUM(TUSD!$R$57:'TUSD'!$R$103)</f>
        <v>2077401.3252758896</v>
      </c>
      <c r="I7" s="19">
        <f>SUM(TUSD!$S$57:'TUSD'!$S$103)</f>
        <v>0</v>
      </c>
      <c r="J7" s="19">
        <f>SUM(TUSD!$T$57:'TUSD'!$T$103)</f>
        <v>4540834.5294790827</v>
      </c>
      <c r="K7" s="19">
        <f>SUM(TUSD!$U$57:'TUSD'!$U$103)</f>
        <v>3766817.8976350762</v>
      </c>
      <c r="L7" s="19">
        <f>SUM(TUSD!$V$57:'TUSD'!$V$103)</f>
        <v>670357.07259989728</v>
      </c>
      <c r="M7" s="19">
        <f>SUM(TUSD!$W$57:'TUSD'!$W$103)</f>
        <v>0</v>
      </c>
      <c r="N7" s="19">
        <f>SUM(TUSD!$X$57:'TUSD'!$X$103)</f>
        <v>0</v>
      </c>
      <c r="O7" s="19">
        <f>SUM(TUSD!$Y$57:'TUSD'!$Y$103)</f>
        <v>0</v>
      </c>
      <c r="P7" s="19">
        <f>SUM(TUSD!$Z$57:'TUSD'!$Z$103)</f>
        <v>0</v>
      </c>
      <c r="Q7" s="19">
        <f>SUM(TUSD!$AA$57:'TUSD'!$AA$103)</f>
        <v>14891407.426893143</v>
      </c>
      <c r="R7" s="19">
        <f ca="1">SUM(TUSD!$AB$57:'TUSD'!$AB$103)</f>
        <v>-6854070.4158408856</v>
      </c>
      <c r="S7" s="19">
        <f ca="1">SUM(TUSD!$AC$57:'TUSD'!$AC$103)</f>
        <v>0</v>
      </c>
      <c r="T7" s="19">
        <f>SUM(TUSD!$AD$57:'TUSD'!$AD$103)</f>
        <v>1608093.4245550493</v>
      </c>
      <c r="U7" s="19">
        <f>SUM(TUSD!$AE$57:'TUSD'!$AE$103)</f>
        <v>0</v>
      </c>
      <c r="V7" s="19">
        <f ca="1">SUM(TUSD!$AF$57:'TUSD'!$AF$103)</f>
        <v>81157.844840810736</v>
      </c>
      <c r="W7" s="19">
        <f ca="1">SUM(TUSD!$AG$57:'TUSD'!$AG$103)</f>
        <v>47280.701971621049</v>
      </c>
      <c r="X7" s="19">
        <f t="shared" ca="1" si="0"/>
        <v>33168382.226429582</v>
      </c>
      <c r="AB7" s="15" t="s">
        <v>94</v>
      </c>
      <c r="AD7" s="15" t="s">
        <v>95</v>
      </c>
      <c r="AG7" s="15" t="s">
        <v>80</v>
      </c>
    </row>
    <row r="8" spans="1:33" x14ac:dyDescent="0.2">
      <c r="A8" s="15" t="s">
        <v>1076</v>
      </c>
      <c r="B8" s="19">
        <f>IF($G$2&lt;&gt;"Não se aplica",SUMIF(TUSD!$G$57:'TUSD'!$G$103,$I$2,TUSD!$AI$57:'TUSD'!$AI$103),IF($F$2&lt;&gt;"Não se aplica",SUMIF(TUSD!$F$57:'TUSD'!$F$103,$I$2,TUSD!$AI$57:'TUSD'!$AI$103),IF($E$2&lt;&gt;"Não se aplica",SUMIF(TUSD!$E$57:'TUSD'!$E$103,$I$2,TUSD!$AI$57:'TUSD'!$AI$103),IF($D$2&lt;&gt;"Não se aplica",SUMIF(TUSD!$D$57:'TUSD'!$D$103,$I$2,TUSD!$AI$57:'TUSD'!$AI$103),IF($C$2&lt;&gt;"Não se aplica",SUMIF(TUSD!$C$57:'TUSD'!$C$103,$I$2,TUSD!$AI$57:'TUSD'!$AI$103),IF($B$2&lt;&gt;"Não se aplica",SUMIF(TUSD!$B$57:'TUSD'!$B$103,$I$2,TUSD!$AI$57:'TUSD'!$AI$103),SUMIF(TUSD!$A$57:'TUSD'!$A$103,$I$2,TUSD!$AI$57:'TUSD'!$AI$103)))))))</f>
        <v>280303.4719966813</v>
      </c>
      <c r="C8" s="19">
        <f>IF($G$2&lt;&gt;"Não se aplica",SUMIF(TUSD!$G$57:'TUSD'!$G$103,$I$2,TUSD!$AJ$57:'TUSD'!$AJ$103),IF($F$2&lt;&gt;"Não se aplica",SUMIF(TUSD!$F$57:'TUSD'!$F$103,$I$2,TUSD!$AJ$57:'TUSD'!$AJ$103),IF($E$2&lt;&gt;"Não se aplica",SUMIF(TUSD!$E$57:'TUSD'!$E$103,$I$2,TUSD!$AJ$57:'TUSD'!$AJ$103),IF($D$2&lt;&gt;"Não se aplica",SUMIF(TUSD!$D$57:'TUSD'!$D$103,$I$2,TUSD!$AJ$57:'TUSD'!$AJ$103),IF($C$2&lt;&gt;"Não se aplica",SUMIF(TUSD!$C$57:'TUSD'!$C$103,$I$2,TUSD!$AJ$57:'TUSD'!$AJ$103),IF($B$2&lt;&gt;"Não se aplica",SUMIF(TUSD!$B$57:'TUSD'!$B$103,$I$2,TUSD!$AJ$57:'TUSD'!$AJ$103),SUMIF(TUSD!$A$57:'TUSD'!$A$103,$I$2,TUSD!$AJ$57:'TUSD'!$AJ$103)))))))</f>
        <v>37545.985795615408</v>
      </c>
      <c r="D8" s="19">
        <f>IF($G$2&lt;&gt;"Não se aplica",SUMIF(TUSD!$G$57:'TUSD'!$G$103,$I$2,TUSD!$AK$57:'TUSD'!$AK$103),IF($F$2&lt;&gt;"Não se aplica",SUMIF(TUSD!$F$57:'TUSD'!$F$103,$I$2,TUSD!$AK$57:'TUSD'!$AK$103),IF($E$2&lt;&gt;"Não se aplica",SUMIF(TUSD!$E$57:'TUSD'!$E$103,$I$2,TUSD!$AK$57:'TUSD'!$AK$103),IF($D$2&lt;&gt;"Não se aplica",SUMIF(TUSD!$D$57:'TUSD'!$D$103,$I$2,TUSD!$AK$57:'TUSD'!$AK$103),IF($C$2&lt;&gt;"Não se aplica",SUMIF(TUSD!$C$57:'TUSD'!$C$103,$I$2,TUSD!$AK$57:'TUSD'!$AK$103),IF($B$2&lt;&gt;"Não se aplica",SUMIF(TUSD!$B$57:'TUSD'!$B$103,$I$2,TUSD!$AK$57:'TUSD'!$AK$103),SUMIF(TUSD!$A$57:'TUSD'!$A$103,$I$2,TUSD!$AK$57:'TUSD'!$AK$103)))))))</f>
        <v>124127.90036184207</v>
      </c>
      <c r="E8" s="19">
        <f>IF($G$2&lt;&gt;"Não se aplica",SUMIF(TUSD!$G$57:'TUSD'!$G$103,$I$2,TUSD!$AL$57:'TUSD'!$AL$103),IF($F$2&lt;&gt;"Não se aplica",SUMIF(TUSD!$F$57:'TUSD'!$F$103,$I$2,TUSD!$AL$57:'TUSD'!$AL$103),IF($E$2&lt;&gt;"Não se aplica",SUMIF(TUSD!$E$57:'TUSD'!$E$103,$I$2,TUSD!$AL$57:'TUSD'!$AL$103),IF($D$2&lt;&gt;"Não se aplica",SUMIF(TUSD!$D$57:'TUSD'!$D$103,$I$2,TUSD!$AL$57:'TUSD'!$AL$103),IF($C$2&lt;&gt;"Não se aplica",SUMIF(TUSD!$C$57:'TUSD'!$C$103,$I$2,TUSD!$AL$57:'TUSD'!$AL$103),IF($B$2&lt;&gt;"Não se aplica",SUMIF(TUSD!$B$57:'TUSD'!$B$103,$I$2,TUSD!$AL$57:'TUSD'!$AL$103),SUMIF(TUSD!$A$57:'TUSD'!$A$103,$I$2,TUSD!$AL$57:'TUSD'!$AL$103)))))))</f>
        <v>0</v>
      </c>
      <c r="F8" s="19">
        <f>IF($G$2&lt;&gt;"Não se aplica",SUMIF(TUSD!$G$57:'TUSD'!$G$103,$I$2,TUSD!$AM$57:'TUSD'!$AM$103),IF($F$2&lt;&gt;"Não se aplica",SUMIF(TUSD!$F$57:'TUSD'!$F$103,$I$2,TUSD!$AM$57:'TUSD'!$AM$103),IF($E$2&lt;&gt;"Não se aplica",SUMIF(TUSD!$E$57:'TUSD'!$E$103,$I$2,TUSD!$AM$57:'TUSD'!$AM$103),IF($D$2&lt;&gt;"Não se aplica",SUMIF(TUSD!$D$57:'TUSD'!$D$103,$I$2,TUSD!$AM$57:'TUSD'!$AM$103),IF($C$2&lt;&gt;"Não se aplica",SUMIF(TUSD!$C$57:'TUSD'!$C$103,$I$2,TUSD!$AM$57:'TUSD'!$AM$103),IF($B$2&lt;&gt;"Não se aplica",SUMIF(TUSD!$B$57:'TUSD'!$B$103,$I$2,TUSD!$AM$57:'TUSD'!$AM$103),SUMIF(TUSD!$A$57:'TUSD'!$A$103,$I$2,TUSD!$AM$57:'TUSD'!$AM$103)))))))</f>
        <v>0</v>
      </c>
      <c r="G8" s="19">
        <f>IF($G$2&lt;&gt;"Não se aplica",SUMIF(TUSD!$G$57:'TUSD'!$G$103,$I$2,TUSD!$AN$57:'TUSD'!$AN$103),IF($F$2&lt;&gt;"Não se aplica",SUMIF(TUSD!$F$57:'TUSD'!$F$103,$I$2,TUSD!$AN$57:'TUSD'!$AN$103),IF($E$2&lt;&gt;"Não se aplica",SUMIF(TUSD!$E$57:'TUSD'!$E$103,$I$2,TUSD!$AN$57:'TUSD'!$AN$103),IF($D$2&lt;&gt;"Não se aplica",SUMIF(TUSD!$D$57:'TUSD'!$D$103,$I$2,TUSD!$AN$57:'TUSD'!$AN$103),IF($C$2&lt;&gt;"Não se aplica",SUMIF(TUSD!$C$57:'TUSD'!$C$103,$I$2,TUSD!$AN$57:'TUSD'!$AN$103),IF($B$2&lt;&gt;"Não se aplica",SUMIF(TUSD!$B$57:'TUSD'!$B$103,$I$2,TUSD!$AN$57:'TUSD'!$AN$103),SUMIF(TUSD!$A$57:'TUSD'!$A$103,$I$2,TUSD!$AN$57:'TUSD'!$AN$103)))))))</f>
        <v>2185731.2228763327</v>
      </c>
      <c r="H8" s="19">
        <f>IF($G$2&lt;&gt;"Não se aplica",SUMIF(TUSD!$G$57:'TUSD'!$G$103,$I$2,TUSD!$AO$57:'TUSD'!$AO$103),IF($F$2&lt;&gt;"Não se aplica",SUMIF(TUSD!$F$57:'TUSD'!$F$103,$I$2,TUSD!$AO$57:'TUSD'!$AO$103),IF($E$2&lt;&gt;"Não se aplica",SUMIF(TUSD!$E$57:'TUSD'!$E$103,$I$2,TUSD!$AO$57:'TUSD'!$AO$103),IF($D$2&lt;&gt;"Não se aplica",SUMIF(TUSD!$D$57:'TUSD'!$D$103,$I$2,TUSD!$AO$57:'TUSD'!$AO$103),IF($C$2&lt;&gt;"Não se aplica",SUMIF(TUSD!$C$57:'TUSD'!$C$103,$I$2,TUSD!$AO$57:'TUSD'!$AO$103),IF($B$2&lt;&gt;"Não se aplica",SUMIF(TUSD!$B$57:'TUSD'!$B$103,$I$2,TUSD!$AO$57:'TUSD'!$AO$103),SUMIF(TUSD!$A$57:'TUSD'!$A$103,$I$2,TUSD!$AO$57:'TUSD'!$AO$103)))))))</f>
        <v>347716.32823290717</v>
      </c>
      <c r="I8" s="19">
        <f>IF($G$2&lt;&gt;"Não se aplica",SUMIF(TUSD!$G$57:'TUSD'!$G$103,$I$2,TUSD!$AP$57:'TUSD'!$AP$103),IF($F$2&lt;&gt;"Não se aplica",SUMIF(TUSD!$F$57:'TUSD'!$F$103,$I$2,TUSD!$AP$57:'TUSD'!$AP$103),IF($E$2&lt;&gt;"Não se aplica",SUMIF(TUSD!$E$57:'TUSD'!$E$103,$I$2,TUSD!$AP$57:'TUSD'!$AP$103),IF($D$2&lt;&gt;"Não se aplica",SUMIF(TUSD!$D$57:'TUSD'!$D$103,$I$2,TUSD!$AP$57:'TUSD'!$AP$103),IF($C$2&lt;&gt;"Não se aplica",SUMIF(TUSD!$C$57:'TUSD'!$C$103,$I$2,TUSD!$AP$57:'TUSD'!$AP$103),IF($B$2&lt;&gt;"Não se aplica",SUMIF(TUSD!$B$57:'TUSD'!$B$103,$I$2,TUSD!$AP$57:'TUSD'!$AP$103),SUMIF(TUSD!$A$57:'TUSD'!$A$103,$I$2,TUSD!$AP$57:'TUSD'!$AP$103)))))))</f>
        <v>0</v>
      </c>
      <c r="J8" s="19">
        <f>IF($G$2&lt;&gt;"Não se aplica",SUMIF(TUSD!$G$57:'TUSD'!$G$103,$I$2,TUSD!$AQ$57:'TUSD'!$AQ$103),IF($F$2&lt;&gt;"Não se aplica",SUMIF(TUSD!$F$57:'TUSD'!$F$103,$I$2,TUSD!$AQ$57:'TUSD'!$AQ$103),IF($E$2&lt;&gt;"Não se aplica",SUMIF(TUSD!$E$57:'TUSD'!$E$103,$I$2,TUSD!$AQ$57:'TUSD'!$AQ$103),IF($D$2&lt;&gt;"Não se aplica",SUMIF(TUSD!$D$57:'TUSD'!$D$103,$I$2,TUSD!$AQ$57:'TUSD'!$AQ$103),IF($C$2&lt;&gt;"Não se aplica",SUMIF(TUSD!$C$57:'TUSD'!$C$103,$I$2,TUSD!$AQ$57:'TUSD'!$AQ$103),IF($B$2&lt;&gt;"Não se aplica",SUMIF(TUSD!$B$57:'TUSD'!$B$103,$I$2,TUSD!$AQ$57:'TUSD'!$AQ$103),SUMIF(TUSD!$A$57:'TUSD'!$A$103,$I$2,TUSD!$AQ$57:'TUSD'!$AQ$103)))))))</f>
        <v>965792.69231674366</v>
      </c>
      <c r="K8" s="19">
        <f>IF($G$2&lt;&gt;"Não se aplica",SUMIF(TUSD!$G$57:'TUSD'!$G$103,$I$2,TUSD!$AR$57:'TUSD'!$AR$103),IF($F$2&lt;&gt;"Não se aplica",SUMIF(TUSD!$F$57:'TUSD'!$F$103,$I$2,TUSD!$AR$57:'TUSD'!$AR$103),IF($E$2&lt;&gt;"Não se aplica",SUMIF(TUSD!$E$57:'TUSD'!$E$103,$I$2,TUSD!$AR$57:'TUSD'!$AR$103),IF($D$2&lt;&gt;"Não se aplica",SUMIF(TUSD!$D$57:'TUSD'!$D$103,$I$2,TUSD!$AR$57:'TUSD'!$AR$103),IF($C$2&lt;&gt;"Não se aplica",SUMIF(TUSD!$C$57:'TUSD'!$C$103,$I$2,TUSD!$AR$57:'TUSD'!$AR$103),IF($B$2&lt;&gt;"Não se aplica",SUMIF(TUSD!$B$57:'TUSD'!$B$103,$I$2,TUSD!$AR$57:'TUSD'!$AR$103),SUMIF(TUSD!$A$57:'TUSD'!$A$103,$I$2,TUSD!$AR$57:'TUSD'!$AR$103)))))))</f>
        <v>704498.71062935807</v>
      </c>
      <c r="L8" s="19">
        <f>IF($G$2&lt;&gt;"Não se aplica",SUMIF(TUSD!$G$57:'TUSD'!$G$103,$I$2,TUSD!$AS$57:'TUSD'!$AS$103),IF($F$2&lt;&gt;"Não se aplica",SUMIF(TUSD!$F$57:'TUSD'!$F$103,$I$2,TUSD!$AS$57:'TUSD'!$AS$103),IF($E$2&lt;&gt;"Não se aplica",SUMIF(TUSD!$E$57:'TUSD'!$E$103,$I$2,TUSD!$AS$57:'TUSD'!$AS$103),IF($D$2&lt;&gt;"Não se aplica",SUMIF(TUSD!$D$57:'TUSD'!$D$103,$I$2,TUSD!$AS$57:'TUSD'!$AS$103),IF($C$2&lt;&gt;"Não se aplica",SUMIF(TUSD!$C$57:'TUSD'!$C$103,$I$2,TUSD!$AS$57:'TUSD'!$AS$103),IF($B$2&lt;&gt;"Não se aplica",SUMIF(TUSD!$B$57:'TUSD'!$B$103,$I$2,TUSD!$AS$57:'TUSD'!$AS$103),SUMIF(TUSD!$A$57:'TUSD'!$A$103,$I$2,TUSD!$AS$57:'TUSD'!$AS$103)))))))</f>
        <v>52026.82779111225</v>
      </c>
      <c r="M8" s="19">
        <f>IF($G$2&lt;&gt;"Não se aplica",SUMIF(TUSD!$G$57:'TUSD'!$G$103,$I$2,TUSD!$AT$57:'TUSD'!$AT$103),IF($F$2&lt;&gt;"Não se aplica",SUMIF(TUSD!$F$57:'TUSD'!$F$103,$I$2,TUSD!$AT$57:'TUSD'!$AT$103),IF($E$2&lt;&gt;"Não se aplica",SUMIF(TUSD!$E$57:'TUSD'!$E$103,$I$2,TUSD!$AT$57:'TUSD'!$AT$103),IF($D$2&lt;&gt;"Não se aplica",SUMIF(TUSD!$D$57:'TUSD'!$D$103,$I$2,TUSD!$AT$57:'TUSD'!$AT$103),IF($C$2&lt;&gt;"Não se aplica",SUMIF(TUSD!$C$57:'TUSD'!$C$103,$I$2,TUSD!$AT$57:'TUSD'!$AT$103),IF($B$2&lt;&gt;"Não se aplica",SUMIF(TUSD!$B$57:'TUSD'!$B$103,$I$2,TUSD!$AT$57:'TUSD'!$AT$103),SUMIF(TUSD!$A$57:'TUSD'!$A$103,$I$2,TUSD!$AT$57:'TUSD'!$AT$103)))))))</f>
        <v>0</v>
      </c>
      <c r="N8" s="19">
        <f>IF($G$2&lt;&gt;"Não se aplica",SUMIF(TUSD!$G$57:'TUSD'!$G$103,$I$2,TUSD!$AU$57:'TUSD'!$AU$103),IF($F$2&lt;&gt;"Não se aplica",SUMIF(TUSD!$F$57:'TUSD'!$F$103,$I$2,TUSD!$AU$57:'TUSD'!$AU$103),IF($E$2&lt;&gt;"Não se aplica",SUMIF(TUSD!$E$57:'TUSD'!$E$103,$I$2,TUSD!$AU$57:'TUSD'!$AU$103),IF($D$2&lt;&gt;"Não se aplica",SUMIF(TUSD!$D$57:'TUSD'!$D$103,$I$2,TUSD!$AU$57:'TUSD'!$AU$103),IF($C$2&lt;&gt;"Não se aplica",SUMIF(TUSD!$C$57:'TUSD'!$C$103,$I$2,TUSD!$AU$57:'TUSD'!$AU$103),IF($B$2&lt;&gt;"Não se aplica",SUMIF(TUSD!$B$57:'TUSD'!$B$103,$I$2,TUSD!$AU$57:'TUSD'!$AU$103),SUMIF(TUSD!$A$57:'TUSD'!$A$103,$I$2,TUSD!$AU$57:'TUSD'!$AU$103)))))))</f>
        <v>0</v>
      </c>
      <c r="O8" s="19">
        <f>IF($G$2&lt;&gt;"Não se aplica",SUMIF(TUSD!$G$57:'TUSD'!$G$103,$I$2,TUSD!$AV$57:'TUSD'!$AV$103),IF($F$2&lt;&gt;"Não se aplica",SUMIF(TUSD!$F$57:'TUSD'!$F$103,$I$2,TUSD!$AV$57:'TUSD'!$AV$103),IF($E$2&lt;&gt;"Não se aplica",SUMIF(TUSD!$E$57:'TUSD'!$E$103,$I$2,TUSD!$AV$57:'TUSD'!$AV$103),IF($D$2&lt;&gt;"Não se aplica",SUMIF(TUSD!$D$57:'TUSD'!$D$103,$I$2,TUSD!$AV$57:'TUSD'!$AV$103),IF($C$2&lt;&gt;"Não se aplica",SUMIF(TUSD!$C$57:'TUSD'!$C$103,$I$2,TUSD!$AV$57:'TUSD'!$AV$103),IF($B$2&lt;&gt;"Não se aplica",SUMIF(TUSD!$B$57:'TUSD'!$B$103,$I$2,TUSD!$AV$57:'TUSD'!$AV$103),SUMIF(TUSD!$A$57:'TUSD'!$A$103,$I$2,TUSD!$AV$57:'TUSD'!$AV$103)))))))</f>
        <v>0</v>
      </c>
      <c r="P8" s="19">
        <f>IF($G$2&lt;&gt;"Não se aplica",SUMIF(TUSD!$G$57:'TUSD'!$G$103,$I$2,TUSD!$AW$57:'TUSD'!$AW$103),IF($F$2&lt;&gt;"Não se aplica",SUMIF(TUSD!$F$57:'TUSD'!$F$103,$I$2,TUSD!$AW$57:'TUSD'!$AW$103),IF($E$2&lt;&gt;"Não se aplica",SUMIF(TUSD!$E$57:'TUSD'!$E$103,$I$2,TUSD!$AW$57:'TUSD'!$AW$103),IF($D$2&lt;&gt;"Não se aplica",SUMIF(TUSD!$D$57:'TUSD'!$D$103,$I$2,TUSD!$AW$57:'TUSD'!$AW$103),IF($C$2&lt;&gt;"Não se aplica",SUMIF(TUSD!$C$57:'TUSD'!$C$103,$I$2,TUSD!$AW$57:'TUSD'!$AW$103),IF($B$2&lt;&gt;"Não se aplica",SUMIF(TUSD!$B$57:'TUSD'!$B$103,$I$2,TUSD!$AW$57:'TUSD'!$AW$103),SUMIF(TUSD!$A$57:'TUSD'!$A$103,$I$2,TUSD!$AW$57:'TUSD'!$AW$103)))))))</f>
        <v>0</v>
      </c>
      <c r="Q8" s="19">
        <f>IF($G$2&lt;&gt;"Não se aplica",SUMIF(TUSD!$G$57:'TUSD'!$G$103,$I$2,TUSD!$AX$57:'TUSD'!$AX$103),IF($F$2&lt;&gt;"Não se aplica",SUMIF(TUSD!$F$57:'TUSD'!$F$103,$I$2,TUSD!$AX$57:'TUSD'!$AX$103),IF($E$2&lt;&gt;"Não se aplica",SUMIF(TUSD!$E$57:'TUSD'!$E$103,$I$2,TUSD!$AX$57:'TUSD'!$AX$103),IF($D$2&lt;&gt;"Não se aplica",SUMIF(TUSD!$D$57:'TUSD'!$D$103,$I$2,TUSD!$AX$57:'TUSD'!$AX$103),IF($C$2&lt;&gt;"Não se aplica",SUMIF(TUSD!$C$57:'TUSD'!$C$103,$I$2,TUSD!$AX$57:'TUSD'!$AX$103),IF($B$2&lt;&gt;"Não se aplica",SUMIF(TUSD!$B$57:'TUSD'!$B$103,$I$2,TUSD!$AX$57:'TUSD'!$AX$103),SUMIF(TUSD!$A$57:'TUSD'!$A$103,$I$2,TUSD!$AX$57:'TUSD'!$AX$103)))))))</f>
        <v>7236225.3371827696</v>
      </c>
      <c r="R8" s="19">
        <f>IF($G$2&lt;&gt;"Não se aplica",SUMIF(TUSD!$G$57:'TUSD'!$G$103,$I$2,TUSD!$AY$57:'TUSD'!$AY$103),IF($F$2&lt;&gt;"Não se aplica",SUMIF(TUSD!$F$57:'TUSD'!$F$103,$I$2,TUSD!$AY$57:'TUSD'!$AY$103),IF($E$2&lt;&gt;"Não se aplica",SUMIF(TUSD!$E$57:'TUSD'!$E$103,$I$2,TUSD!$AY$57:'TUSD'!$AY$103),IF($D$2&lt;&gt;"Não se aplica",SUMIF(TUSD!$D$57:'TUSD'!$D$103,$I$2,TUSD!$AY$57:'TUSD'!$AY$103),IF($C$2&lt;&gt;"Não se aplica",SUMIF(TUSD!$C$57:'TUSD'!$C$103,$I$2,TUSD!$AY$57:'TUSD'!$AY$103),IF($B$2&lt;&gt;"Não se aplica",SUMIF(TUSD!$B$57:'TUSD'!$B$103,$I$2,TUSD!$AY$57:'TUSD'!$AY$103),SUMIF(TUSD!$A$57:'TUSD'!$A$103,$I$2,TUSD!$AY$57:'TUSD'!$AY$103)))))))</f>
        <v>0</v>
      </c>
      <c r="S8" s="19">
        <f>IF($G$2&lt;&gt;"Não se aplica",SUMIF(TUSD!$G$57:'TUSD'!$G$103,$I$2,TUSD!$AZ$57:'TUSD'!$AZ$103),IF($F$2&lt;&gt;"Não se aplica",SUMIF(TUSD!$F$57:'TUSD'!$F$103,$I$2,TUSD!$AZ$57:'TUSD'!$AZ$103),IF($E$2&lt;&gt;"Não se aplica",SUMIF(TUSD!$E$57:'TUSD'!$E$103,$I$2,TUSD!$AZ$57:'TUSD'!$AZ$103),IF($D$2&lt;&gt;"Não se aplica",SUMIF(TUSD!$D$57:'TUSD'!$D$103,$I$2,TUSD!$AZ$57:'TUSD'!$AZ$103),IF($C$2&lt;&gt;"Não se aplica",SUMIF(TUSD!$C$57:'TUSD'!$C$103,$I$2,TUSD!$AZ$57:'TUSD'!$AZ$103),IF($B$2&lt;&gt;"Não se aplica",SUMIF(TUSD!$B$57:'TUSD'!$B$103,$I$2,TUSD!$AZ$57:'TUSD'!$AZ$103),SUMIF(TUSD!$A$57:'TUSD'!$A$103,$I$2,TUSD!$AZ$57:'TUSD'!$AZ$103)))))))</f>
        <v>0</v>
      </c>
      <c r="T8" s="19">
        <f>IF($G$2&lt;&gt;"Não se aplica",SUMIF(TUSD!$G$57:'TUSD'!$G$103,$I$2,TUSD!$BA$57:'TUSD'!$BA$103),IF($F$2&lt;&gt;"Não se aplica",SUMIF(TUSD!$F$57:'TUSD'!$F$103,$I$2,TUSD!$BA$57:'TUSD'!$BA$103),IF($E$2&lt;&gt;"Não se aplica",SUMIF(TUSD!$E$57:'TUSD'!$E$103,$I$2,TUSD!$BA$57:'TUSD'!$BA$103),IF($D$2&lt;&gt;"Não se aplica",SUMIF(TUSD!$D$57:'TUSD'!$D$103,$I$2,TUSD!$BA$57:'TUSD'!$BA$103),IF($C$2&lt;&gt;"Não se aplica",SUMIF(TUSD!$C$57:'TUSD'!$C$103,$I$2,TUSD!$BA$57:'TUSD'!$BA$103),IF($B$2&lt;&gt;"Não se aplica",SUMIF(TUSD!$B$57:'TUSD'!$B$103,$I$2,TUSD!$BA$57:'TUSD'!$BA$103),SUMIF(TUSD!$A$57:'TUSD'!$A$103,$I$2,TUSD!$BA$57:'TUSD'!$BA$103)))))))</f>
        <v>797209.9624545119</v>
      </c>
      <c r="U8" s="19">
        <f>IF($G$2&lt;&gt;"Não se aplica",SUMIF(TUSD!$G$57:'TUSD'!$G$103,$I$2,TUSD!$BB$57:'TUSD'!$BB$103),IF($F$2&lt;&gt;"Não se aplica",SUMIF(TUSD!$F$57:'TUSD'!$F$103,$I$2,TUSD!$BB$57:'TUSD'!$BB$103),IF($E$2&lt;&gt;"Não se aplica",SUMIF(TUSD!$E$57:'TUSD'!$E$103,$I$2,TUSD!$BB$57:'TUSD'!$BB$103),IF($D$2&lt;&gt;"Não se aplica",SUMIF(TUSD!$D$57:'TUSD'!$D$103,$I$2,TUSD!$BB$57:'TUSD'!$BB$103),IF($C$2&lt;&gt;"Não se aplica",SUMIF(TUSD!$C$57:'TUSD'!$C$103,$I$2,TUSD!$BB$57:'TUSD'!$BB$103),IF($B$2&lt;&gt;"Não se aplica",SUMIF(TUSD!$B$57:'TUSD'!$B$103,$I$2,TUSD!$BB$57:'TUSD'!$BB$103),SUMIF(TUSD!$A$57:'TUSD'!$A$103,$I$2,TUSD!$BB$57:'TUSD'!$BB$103)))))))</f>
        <v>0</v>
      </c>
      <c r="V8" s="19">
        <f>IF($G$2&lt;&gt;"Não se aplica",SUMIF(TUSD!$G$57:'TUSD'!$G$103,$I$2,TUSD!$BC$57:'TUSD'!$BC$103),IF($F$2&lt;&gt;"Não se aplica",SUMIF(TUSD!$F$57:'TUSD'!$F$103,$I$2,TUSD!$BC$57:'TUSD'!$BC$103),IF($E$2&lt;&gt;"Não se aplica",SUMIF(TUSD!$E$57:'TUSD'!$E$103,$I$2,TUSD!$BC$57:'TUSD'!$BC$103),IF($D$2&lt;&gt;"Não se aplica",SUMIF(TUSD!$D$57:'TUSD'!$D$103,$I$2,TUSD!$BC$57:'TUSD'!$BC$103),IF($C$2&lt;&gt;"Não se aplica",SUMIF(TUSD!$C$57:'TUSD'!$C$103,$I$2,TUSD!$BC$57:'TUSD'!$BC$103),IF($B$2&lt;&gt;"Não se aplica",SUMIF(TUSD!$B$57:'TUSD'!$B$103,$I$2,TUSD!$BC$57:'TUSD'!$BC$103),SUMIF(TUSD!$A$57:'TUSD'!$A$103,$I$2,TUSD!$BC$57:'TUSD'!$BC$103)))))))</f>
        <v>43761.519580855696</v>
      </c>
      <c r="W8" s="19">
        <f>IF($G$2&lt;&gt;"Não se aplica",SUMIF(TUSD!$G$57:'TUSD'!$G$103,$I$2,TUSD!$BD$57:'TUSD'!$BD$103),IF($F$2&lt;&gt;"Não se aplica",SUMIF(TUSD!$F$57:'TUSD'!$F$103,$I$2,TUSD!$BD$57:'TUSD'!$BD$103),IF($E$2&lt;&gt;"Não se aplica",SUMIF(TUSD!$E$57:'TUSD'!$E$103,$I$2,TUSD!$BD$57:'TUSD'!$BD$103),IF($D$2&lt;&gt;"Não se aplica",SUMIF(TUSD!$D$57:'TUSD'!$D$103,$I$2,TUSD!$BD$57:'TUSD'!$BD$103),IF($C$2&lt;&gt;"Não se aplica",SUMIF(TUSD!$C$57:'TUSD'!$C$103,$I$2,TUSD!$BD$57:'TUSD'!$BD$103),IF($B$2&lt;&gt;"Não se aplica",SUMIF(TUSD!$B$57:'TUSD'!$B$103,$I$2,TUSD!$BD$57:'TUSD'!$BD$103),SUMIF(TUSD!$A$57:'TUSD'!$A$103,$I$2,TUSD!$BD$57:'TUSD'!$BD$103)))))))</f>
        <v>-76804.12355041047</v>
      </c>
      <c r="X8" s="19">
        <f t="shared" si="0"/>
        <v>12698135.83566832</v>
      </c>
      <c r="AD8" s="15" t="s">
        <v>96</v>
      </c>
      <c r="AG8" s="15" t="s">
        <v>92</v>
      </c>
    </row>
    <row r="9" spans="1:33" x14ac:dyDescent="0.2">
      <c r="A9" s="15" t="s">
        <v>1077</v>
      </c>
      <c r="B9" s="19">
        <f>IF($G$2&lt;&gt;"Não se aplica",SUMIF(TUSD!$G$57:'TUSD'!$G$103,$I$2,TUSD!$L$57:'TUSD'!$L$103),IF($F$2&lt;&gt;"Não se aplica",SUMIF(TUSD!$F$57:'TUSD'!$F$103,$I$2,TUSD!$L$57:'TUSD'!$L$103),IF($E$2&lt;&gt;"Não se aplica",SUMIF(TUSD!$E$57:'TUSD'!$E$103,$I$2,TUSD!$L$57:'TUSD'!$L$103),IF($D$2&lt;&gt;"Não se aplica",SUMIF(TUSD!$D$57:'TUSD'!$D$103,$I$2,TUSD!$L$57:'TUSD'!$L$103),IF($C$2&lt;&gt;"Não se aplica",SUMIF(TUSD!$C$57:'TUSD'!$C$103,$I$2,TUSD!$L$57:'TUSD'!$L$103),IF($B$2&lt;&gt;"Não se aplica",SUMIF(TUSD!$B$57:'TUSD'!$B$103,$I$2,TUSD!$L$57:'TUSD'!$L$103),SUMIF(TUSD!$A$57:'TUSD'!$A$103,$I$2,TUSD!$L$57:'TUSD'!$L$103)))))))</f>
        <v>263593.93075034494</v>
      </c>
      <c r="C9" s="19">
        <f>IF($G$2&lt;&gt;"Não se aplica",SUMIF(TUSD!$G$57:'TUSD'!$G$103,$I$2,TUSD!$M$57:'TUSD'!$M$103),IF($F$2&lt;&gt;"Não se aplica",SUMIF(TUSD!$F$57:'TUSD'!$F$103,$I$2,TUSD!$M$57:'TUSD'!$M$103),IF($E$2&lt;&gt;"Não se aplica",SUMIF(TUSD!$E$57:'TUSD'!$E$103,$I$2,TUSD!$M$57:'TUSD'!$M$103),IF($D$2&lt;&gt;"Não se aplica",SUMIF(TUSD!$D$57:'TUSD'!$D$103,$I$2,TUSD!$M$57:'TUSD'!$M$103),IF($C$2&lt;&gt;"Não se aplica",SUMIF(TUSD!$C$57:'TUSD'!$C$103,$I$2,TUSD!$M$57:'TUSD'!$M$103),IF($B$2&lt;&gt;"Não se aplica",SUMIF(TUSD!$B$57:'TUSD'!$B$103,$I$2,TUSD!$M$57:'TUSD'!$M$103),SUMIF(TUSD!$A$57:'TUSD'!$A$103,$I$2,TUSD!$M$57:'TUSD'!$M$103)))))))</f>
        <v>32952.366147275126</v>
      </c>
      <c r="D9" s="19">
        <f ca="1">IF($G$2&lt;&gt;"Não se aplica",SUMIF(TUSD!$G$57:'TUSD'!$G$103,$I$2,TUSD!$N$57:'TUSD'!$N$103),IF($F$2&lt;&gt;"Não se aplica",SUMIF(TUSD!$F$57:'TUSD'!$F$103,$I$2,TUSD!$N$57:'TUSD'!$N$103),IF($E$2&lt;&gt;"Não se aplica",SUMIF(TUSD!$E$57:'TUSD'!$E$103,$I$2,TUSD!$N$57:'TUSD'!$N$103),IF($D$2&lt;&gt;"Não se aplica",SUMIF(TUSD!$D$57:'TUSD'!$D$103,$I$2,TUSD!$N$57:'TUSD'!$N$103),IF($C$2&lt;&gt;"Não se aplica",SUMIF(TUSD!$C$57:'TUSD'!$C$103,$I$2,TUSD!$N$57:'TUSD'!$N$103),IF($B$2&lt;&gt;"Não se aplica",SUMIF(TUSD!$B$57:'TUSD'!$B$103,$I$2,TUSD!$N$57:'TUSD'!$N$103),SUMIF(TUSD!$A$57:'TUSD'!$A$103,$I$2,TUSD!$N$57:'TUSD'!$N$103)))))))</f>
        <v>87776.582788665502</v>
      </c>
      <c r="E9" s="19">
        <f>IF($G$2&lt;&gt;"Não se aplica",SUMIF(TUSD!$G$57:'TUSD'!$G$103,$I$2,TUSD!$O$57:'TUSD'!$O$103),IF($F$2&lt;&gt;"Não se aplica",SUMIF(TUSD!$F$57:'TUSD'!$F$103,$I$2,TUSD!$O$57:'TUSD'!$O$103),IF($E$2&lt;&gt;"Não se aplica",SUMIF(TUSD!$E$57:'TUSD'!$E$103,$I$2,TUSD!$O$57:'TUSD'!$O$103),IF($D$2&lt;&gt;"Não se aplica",SUMIF(TUSD!$D$57:'TUSD'!$D$103,$I$2,TUSD!$O$57:'TUSD'!$O$103),IF($C$2&lt;&gt;"Não se aplica",SUMIF(TUSD!$C$57:'TUSD'!$C$103,$I$2,TUSD!$O$57:'TUSD'!$O$103),IF($B$2&lt;&gt;"Não se aplica",SUMIF(TUSD!$B$57:'TUSD'!$B$103,$I$2,TUSD!$O$57:'TUSD'!$O$103),SUMIF(TUSD!$A$57:'TUSD'!$A$103,$I$2,TUSD!$O$57:'TUSD'!$O$103)))))))</f>
        <v>0</v>
      </c>
      <c r="F9" s="19">
        <f>IF($G$2&lt;&gt;"Não se aplica",SUMIF(TUSD!$G$57:'TUSD'!$G$103,$I$2,TUSD!$P$57:'TUSD'!$P$103),IF($F$2&lt;&gt;"Não se aplica",SUMIF(TUSD!$F$57:'TUSD'!$F$103,$I$2,TUSD!$P$57:'TUSD'!$P$103),IF($E$2&lt;&gt;"Não se aplica",SUMIF(TUSD!$E$57:'TUSD'!$E$103,$I$2,TUSD!$P$57:'TUSD'!$P$103),IF($D$2&lt;&gt;"Não se aplica",SUMIF(TUSD!$D$57:'TUSD'!$D$103,$I$2,TUSD!$P$57:'TUSD'!$P$103),IF($C$2&lt;&gt;"Não se aplica",SUMIF(TUSD!$C$57:'TUSD'!$C$103,$I$2,TUSD!$P$57:'TUSD'!$P$103),IF($B$2&lt;&gt;"Não se aplica",SUMIF(TUSD!$B$57:'TUSD'!$B$103,$I$2,TUSD!$P$57:'TUSD'!$P$103),SUMIF(TUSD!$A$57:'TUSD'!$A$103,$I$2,TUSD!$P$57:'TUSD'!$P$103)))))))</f>
        <v>0</v>
      </c>
      <c r="G9" s="19">
        <f>IF($G$2&lt;&gt;"Não se aplica",SUMIF(TUSD!$G$57:'TUSD'!$G$103,$I$2,TUSD!$Q$57:'TUSD'!$Q$103),IF($F$2&lt;&gt;"Não se aplica",SUMIF(TUSD!$F$57:'TUSD'!$F$103,$I$2,TUSD!$Q$57:'TUSD'!$Q$103),IF($E$2&lt;&gt;"Não se aplica",SUMIF(TUSD!$E$57:'TUSD'!$E$103,$I$2,TUSD!$Q$57:'TUSD'!$Q$103),IF($D$2&lt;&gt;"Não se aplica",SUMIF(TUSD!$D$57:'TUSD'!$D$103,$I$2,TUSD!$Q$57:'TUSD'!$Q$103),IF($C$2&lt;&gt;"Não se aplica",SUMIF(TUSD!$C$57:'TUSD'!$C$103,$I$2,TUSD!$Q$57:'TUSD'!$Q$103),IF($B$2&lt;&gt;"Não se aplica",SUMIF(TUSD!$B$57:'TUSD'!$B$103,$I$2,TUSD!$Q$57:'TUSD'!$Q$103),SUMIF(TUSD!$A$57:'TUSD'!$A$103,$I$2,TUSD!$Q$57:'TUSD'!$Q$103)))))))</f>
        <v>3802979.9612629935</v>
      </c>
      <c r="H9" s="19">
        <f>IF($G$2&lt;&gt;"Não se aplica",SUMIF(TUSD!$G$57:'TUSD'!$G$103,$I$2,TUSD!$R$57:'TUSD'!$R$103),IF($F$2&lt;&gt;"Não se aplica",SUMIF(TUSD!$F$57:'TUSD'!$F$103,$I$2,TUSD!$R$57:'TUSD'!$R$103),IF($E$2&lt;&gt;"Não se aplica",SUMIF(TUSD!$E$57:'TUSD'!$E$103,$I$2,TUSD!$R$57:'TUSD'!$R$103),IF($D$2&lt;&gt;"Não se aplica",SUMIF(TUSD!$D$57:'TUSD'!$D$103,$I$2,TUSD!$R$57:'TUSD'!$R$103),IF($C$2&lt;&gt;"Não se aplica",SUMIF(TUSD!$C$57:'TUSD'!$C$103,$I$2,TUSD!$R$57:'TUSD'!$R$103),IF($B$2&lt;&gt;"Não se aplica",SUMIF(TUSD!$B$57:'TUSD'!$B$103,$I$2,TUSD!$R$57:'TUSD'!$R$103),SUMIF(TUSD!$A$57:'TUSD'!$A$103,$I$2,TUSD!$R$57:'TUSD'!$R$103)))))))</f>
        <v>636994.16466366174</v>
      </c>
      <c r="I9" s="19">
        <f>IF($G$2&lt;&gt;"Não se aplica",SUMIF(TUSD!$G$57:'TUSD'!$G$103,$I$2,TUSD!$S$57:'TUSD'!$S$103),IF($F$2&lt;&gt;"Não se aplica",SUMIF(TUSD!$F$57:'TUSD'!$F$103,$I$2,TUSD!$S$57:'TUSD'!$S$103),IF($E$2&lt;&gt;"Não se aplica",SUMIF(TUSD!$E$57:'TUSD'!$E$103,$I$2,TUSD!$S$57:'TUSD'!$S$103),IF($D$2&lt;&gt;"Não se aplica",SUMIF(TUSD!$D$57:'TUSD'!$D$103,$I$2,TUSD!$S$57:'TUSD'!$S$103),IF($C$2&lt;&gt;"Não se aplica",SUMIF(TUSD!$C$57:'TUSD'!$C$103,$I$2,TUSD!$S$57:'TUSD'!$S$103),IF($B$2&lt;&gt;"Não se aplica",SUMIF(TUSD!$B$57:'TUSD'!$B$103,$I$2,TUSD!$S$57:'TUSD'!$S$103),SUMIF(TUSD!$A$57:'TUSD'!$A$103,$I$2,TUSD!$S$57:'TUSD'!$S$103)))))))</f>
        <v>0</v>
      </c>
      <c r="J9" s="19">
        <f>IF($G$2&lt;&gt;"Não se aplica",SUMIF(TUSD!$G$57:'TUSD'!$G$103,$I$2,TUSD!$T$57:'TUSD'!$T$103),IF($F$2&lt;&gt;"Não se aplica",SUMIF(TUSD!$F$57:'TUSD'!$F$103,$I$2,TUSD!$T$57:'TUSD'!$T$103),IF($E$2&lt;&gt;"Não se aplica",SUMIF(TUSD!$E$57:'TUSD'!$E$103,$I$2,TUSD!$T$57:'TUSD'!$T$103),IF($D$2&lt;&gt;"Não se aplica",SUMIF(TUSD!$D$57:'TUSD'!$D$103,$I$2,TUSD!$T$57:'TUSD'!$T$103),IF($C$2&lt;&gt;"Não se aplica",SUMIF(TUSD!$C$57:'TUSD'!$C$103,$I$2,TUSD!$T$57:'TUSD'!$T$103),IF($B$2&lt;&gt;"Não se aplica",SUMIF(TUSD!$B$57:'TUSD'!$B$103,$I$2,TUSD!$T$57:'TUSD'!$T$103),SUMIF(TUSD!$A$57:'TUSD'!$A$103,$I$2,TUSD!$T$57:'TUSD'!$T$103)))))))</f>
        <v>1202666.6314843222</v>
      </c>
      <c r="K9" s="19">
        <f>IF($G$2&lt;&gt;"Não se aplica",SUMIF(TUSD!$G$57:'TUSD'!$G$103,$I$2,TUSD!$U$57:'TUSD'!$U$103),IF($F$2&lt;&gt;"Não se aplica",SUMIF(TUSD!$F$57:'TUSD'!$F$103,$I$2,TUSD!$U$57:'TUSD'!$U$103),IF($E$2&lt;&gt;"Não se aplica",SUMIF(TUSD!$E$57:'TUSD'!$E$103,$I$2,TUSD!$U$57:'TUSD'!$U$103),IF($D$2&lt;&gt;"Não se aplica",SUMIF(TUSD!$D$57:'TUSD'!$D$103,$I$2,TUSD!$U$57:'TUSD'!$U$103),IF($C$2&lt;&gt;"Não se aplica",SUMIF(TUSD!$C$57:'TUSD'!$C$103,$I$2,TUSD!$U$57:'TUSD'!$U$103),IF($B$2&lt;&gt;"Não se aplica",SUMIF(TUSD!$B$57:'TUSD'!$B$103,$I$2,TUSD!$U$57:'TUSD'!$U$103),SUMIF(TUSD!$A$57:'TUSD'!$A$103,$I$2,TUSD!$U$57:'TUSD'!$U$103)))))))</f>
        <v>1013282.0886842392</v>
      </c>
      <c r="L9" s="19">
        <f>IF($G$2&lt;&gt;"Não se aplica",SUMIF(TUSD!$G$57:'TUSD'!$G$103,$I$2,TUSD!$V$57:'TUSD'!$V$103),IF($F$2&lt;&gt;"Não se aplica",SUMIF(TUSD!$F$57:'TUSD'!$F$103,$I$2,TUSD!$V$57:'TUSD'!$V$103),IF($E$2&lt;&gt;"Não se aplica",SUMIF(TUSD!$E$57:'TUSD'!$E$103,$I$2,TUSD!$V$57:'TUSD'!$V$103),IF($D$2&lt;&gt;"Não se aplica",SUMIF(TUSD!$D$57:'TUSD'!$D$103,$I$2,TUSD!$V$57:'TUSD'!$V$103),IF($C$2&lt;&gt;"Não se aplica",SUMIF(TUSD!$C$57:'TUSD'!$C$103,$I$2,TUSD!$V$57:'TUSD'!$V$103),IF($B$2&lt;&gt;"Não se aplica",SUMIF(TUSD!$B$57:'TUSD'!$B$103,$I$2,TUSD!$V$57:'TUSD'!$V$103),SUMIF(TUSD!$A$57:'TUSD'!$A$103,$I$2,TUSD!$V$57:'TUSD'!$V$103)))))))</f>
        <v>178418.43772921109</v>
      </c>
      <c r="M9" s="19">
        <f>IF($G$2&lt;&gt;"Não se aplica",SUMIF(TUSD!$G$57:'TUSD'!$G$103,$I$2,TUSD!$W$57:'TUSD'!$W$103),IF($F$2&lt;&gt;"Não se aplica",SUMIF(TUSD!$F$57:'TUSD'!$F$103,$I$2,TUSD!$W$57:'TUSD'!$W$103),IF($E$2&lt;&gt;"Não se aplica",SUMIF(TUSD!$E$57:'TUSD'!$E$103,$I$2,TUSD!$W$57:'TUSD'!$W$103),IF($D$2&lt;&gt;"Não se aplica",SUMIF(TUSD!$D$57:'TUSD'!$D$103,$I$2,TUSD!$W$57:'TUSD'!$W$103),IF($C$2&lt;&gt;"Não se aplica",SUMIF(TUSD!$C$57:'TUSD'!$C$103,$I$2,TUSD!$W$57:'TUSD'!$W$103),IF($B$2&lt;&gt;"Não se aplica",SUMIF(TUSD!$B$57:'TUSD'!$B$103,$I$2,TUSD!$W$57:'TUSD'!$W$103),SUMIF(TUSD!$A$57:'TUSD'!$A$103,$I$2,TUSD!$W$57:'TUSD'!$W$103)))))))</f>
        <v>0</v>
      </c>
      <c r="N9" s="19">
        <f>IF($G$2&lt;&gt;"Não se aplica",SUMIF(TUSD!$G$57:'TUSD'!$G$103,$I$2,TUSD!$X$57:'TUSD'!$X$103),IF($F$2&lt;&gt;"Não se aplica",SUMIF(TUSD!$F$57:'TUSD'!$F$103,$I$2,TUSD!$X$57:'TUSD'!$X$103),IF($E$2&lt;&gt;"Não se aplica",SUMIF(TUSD!$E$57:'TUSD'!$E$103,$I$2,TUSD!$X$57:'TUSD'!$X$103),IF($D$2&lt;&gt;"Não se aplica",SUMIF(TUSD!$D$57:'TUSD'!$D$103,$I$2,TUSD!$X$57:'TUSD'!$X$103),IF($C$2&lt;&gt;"Não se aplica",SUMIF(TUSD!$C$57:'TUSD'!$C$103,$I$2,TUSD!$X$57:'TUSD'!$X$103),IF($B$2&lt;&gt;"Não se aplica",SUMIF(TUSD!$B$57:'TUSD'!$B$103,$I$2,TUSD!$X$57:'TUSD'!$X$103),SUMIF(TUSD!$A$57:'TUSD'!$A$103,$I$2,TUSD!$X$57:'TUSD'!$X$103)))))))</f>
        <v>0</v>
      </c>
      <c r="O9" s="19">
        <f>IF($G$2&lt;&gt;"Não se aplica",SUMIF(TUSD!$G$57:'TUSD'!$G$103,$I$2,TUSD!$Y$57:'TUSD'!$Y$103),IF($F$2&lt;&gt;"Não se aplica",SUMIF(TUSD!$F$57:'TUSD'!$F$103,$I$2,TUSD!$Y$57:'TUSD'!$Y$103),IF($E$2&lt;&gt;"Não se aplica",SUMIF(TUSD!$E$57:'TUSD'!$E$103,$I$2,TUSD!$Y$57:'TUSD'!$Y$103),IF($D$2&lt;&gt;"Não se aplica",SUMIF(TUSD!$D$57:'TUSD'!$D$103,$I$2,TUSD!$Y$57:'TUSD'!$Y$103),IF($C$2&lt;&gt;"Não se aplica",SUMIF(TUSD!$C$57:'TUSD'!$C$103,$I$2,TUSD!$Y$57:'TUSD'!$Y$103),IF($B$2&lt;&gt;"Não se aplica",SUMIF(TUSD!$B$57:'TUSD'!$B$103,$I$2,TUSD!$Y$57:'TUSD'!$Y$103),SUMIF(TUSD!$A$57:'TUSD'!$A$103,$I$2,TUSD!$Y$57:'TUSD'!$Y$103)))))))</f>
        <v>0</v>
      </c>
      <c r="P9" s="19">
        <f>IF($G$2&lt;&gt;"Não se aplica",SUMIF(TUSD!$G$57:'TUSD'!$G$103,$I$2,TUSD!$Z$57:'TUSD'!$Z$103),IF($F$2&lt;&gt;"Não se aplica",SUMIF(TUSD!$F$57:'TUSD'!$F$103,$I$2,TUSD!$Z$57:'TUSD'!$Z$103),IF($E$2&lt;&gt;"Não se aplica",SUMIF(TUSD!$E$57:'TUSD'!$E$103,$I$2,TUSD!$Z$57:'TUSD'!$Z$103),IF($D$2&lt;&gt;"Não se aplica",SUMIF(TUSD!$D$57:'TUSD'!$D$103,$I$2,TUSD!$Z$57:'TUSD'!$Z$103),IF($C$2&lt;&gt;"Não se aplica",SUMIF(TUSD!$C$57:'TUSD'!$C$103,$I$2,TUSD!$Z$57:'TUSD'!$Z$103),IF($B$2&lt;&gt;"Não se aplica",SUMIF(TUSD!$B$57:'TUSD'!$B$103,$I$2,TUSD!$Z$57:'TUSD'!$Z$103),SUMIF(TUSD!$A$57:'TUSD'!$A$103,$I$2,TUSD!$Z$57:'TUSD'!$Z$103)))))))</f>
        <v>0</v>
      </c>
      <c r="Q9" s="19">
        <f>IF($G$2&lt;&gt;"Não se aplica",SUMIF(TUSD!$G$57:'TUSD'!$G$103,$I$2,TUSD!$AA$57:'TUSD'!$AA$103),IF($F$2&lt;&gt;"Não se aplica",SUMIF(TUSD!$F$57:'TUSD'!$F$103,$I$2,TUSD!$AA$57:'TUSD'!$AA$103),IF($E$2&lt;&gt;"Não se aplica",SUMIF(TUSD!$E$57:'TUSD'!$E$103,$I$2,TUSD!$AA$57:'TUSD'!$AA$103),IF($D$2&lt;&gt;"Não se aplica",SUMIF(TUSD!$D$57:'TUSD'!$D$103,$I$2,TUSD!$AA$57:'TUSD'!$AA$103),IF($C$2&lt;&gt;"Não se aplica",SUMIF(TUSD!$C$57:'TUSD'!$C$103,$I$2,TUSD!$AA$57:'TUSD'!$AA$103),IF($B$2&lt;&gt;"Não se aplica",SUMIF(TUSD!$B$57:'TUSD'!$B$103,$I$2,TUSD!$AA$57:'TUSD'!$AA$103),SUMIF(TUSD!$A$57:'TUSD'!$A$103,$I$2,TUSD!$AA$57:'TUSD'!$AA$103)))))))</f>
        <v>6601752.1683835704</v>
      </c>
      <c r="R9" s="19">
        <f ca="1">IF($G$2&lt;&gt;"Não se aplica",SUMIF(TUSD!$G$57:'TUSD'!$G$103,$I$2,TUSD!$AB$57:'TUSD'!$AB$103),IF($F$2&lt;&gt;"Não se aplica",SUMIF(TUSD!$F$57:'TUSD'!$F$103,$I$2,TUSD!$AB$57:'TUSD'!$AB$103),IF($E$2&lt;&gt;"Não se aplica",SUMIF(TUSD!$E$57:'TUSD'!$E$103,$I$2,TUSD!$AB$57:'TUSD'!$AB$103),IF($D$2&lt;&gt;"Não se aplica",SUMIF(TUSD!$D$57:'TUSD'!$D$103,$I$2,TUSD!$AB$57:'TUSD'!$AB$103),IF($C$2&lt;&gt;"Não se aplica",SUMIF(TUSD!$C$57:'TUSD'!$C$103,$I$2,TUSD!$AB$57:'TUSD'!$AB$103),IF($B$2&lt;&gt;"Não se aplica",SUMIF(TUSD!$B$57:'TUSD'!$B$103,$I$2,TUSD!$AB$57:'TUSD'!$AB$103),SUMIF(TUSD!$A$57:'TUSD'!$A$103,$I$2,TUSD!$AB$57:'TUSD'!$AB$103)))))))</f>
        <v>-2533214.5404435084</v>
      </c>
      <c r="S9" s="19">
        <f ca="1">IF($G$2&lt;&gt;"Não se aplica",SUMIF(TUSD!$G$57:'TUSD'!$G$103,$I$2,TUSD!$AC$57:'TUSD'!$AC$103),IF($F$2&lt;&gt;"Não se aplica",SUMIF(TUSD!$F$57:'TUSD'!$F$103,$I$2,TUSD!$AC$57:'TUSD'!$AC$103),IF($E$2&lt;&gt;"Não se aplica",SUMIF(TUSD!$E$57:'TUSD'!$E$103,$I$2,TUSD!$AC$57:'TUSD'!$AC$103),IF($D$2&lt;&gt;"Não se aplica",SUMIF(TUSD!$D$57:'TUSD'!$D$103,$I$2,TUSD!$AC$57:'TUSD'!$AC$103),IF($C$2&lt;&gt;"Não se aplica",SUMIF(TUSD!$C$57:'TUSD'!$C$103,$I$2,TUSD!$AC$57:'TUSD'!$AC$103),IF($B$2&lt;&gt;"Não se aplica",SUMIF(TUSD!$B$57:'TUSD'!$B$103,$I$2,TUSD!$AC$57:'TUSD'!$AC$103),SUMIF(TUSD!$A$57:'TUSD'!$A$103,$I$2,TUSD!$AC$57:'TUSD'!$AC$103)))))))</f>
        <v>0</v>
      </c>
      <c r="T9" s="19">
        <f>IF($G$2&lt;&gt;"Não se aplica",SUMIF(TUSD!$G$57:'TUSD'!$G$103,$I$2,TUSD!$AD$57:'TUSD'!$AD$103),IF($F$2&lt;&gt;"Não se aplica",SUMIF(TUSD!$F$57:'TUSD'!$F$103,$I$2,TUSD!$AD$57:'TUSD'!$AD$103),IF($E$2&lt;&gt;"Não se aplica",SUMIF(TUSD!$E$57:'TUSD'!$E$103,$I$2,TUSD!$AD$57:'TUSD'!$AD$103),IF($D$2&lt;&gt;"Não se aplica",SUMIF(TUSD!$D$57:'TUSD'!$D$103,$I$2,TUSD!$AD$57:'TUSD'!$AD$103),IF($C$2&lt;&gt;"Não se aplica",SUMIF(TUSD!$C$57:'TUSD'!$C$103,$I$2,TUSD!$AD$57:'TUSD'!$AD$103),IF($B$2&lt;&gt;"Não se aplica",SUMIF(TUSD!$B$57:'TUSD'!$B$103,$I$2,TUSD!$AD$57:'TUSD'!$AD$103),SUMIF(TUSD!$A$57:'TUSD'!$A$103,$I$2,TUSD!$AD$57:'TUSD'!$AD$103)))))))</f>
        <v>823398.25063740159</v>
      </c>
      <c r="U9" s="19">
        <f>IF($G$2&lt;&gt;"Não se aplica",SUMIF(TUSD!$G$57:'TUSD'!$G$103,$I$2,TUSD!$AE$57:'TUSD'!$AE$103),IF($F$2&lt;&gt;"Não se aplica",SUMIF(TUSD!$F$57:'TUSD'!$F$103,$I$2,TUSD!$AE$57:'TUSD'!$AE$103),IF($E$2&lt;&gt;"Não se aplica",SUMIF(TUSD!$E$57:'TUSD'!$E$103,$I$2,TUSD!$AE$57:'TUSD'!$AE$103),IF($D$2&lt;&gt;"Não se aplica",SUMIF(TUSD!$D$57:'TUSD'!$D$103,$I$2,TUSD!$AE$57:'TUSD'!$AE$103),IF($C$2&lt;&gt;"Não se aplica",SUMIF(TUSD!$C$57:'TUSD'!$C$103,$I$2,TUSD!$AE$57:'TUSD'!$AE$103),IF($B$2&lt;&gt;"Não se aplica",SUMIF(TUSD!$B$57:'TUSD'!$B$103,$I$2,TUSD!$AE$57:'TUSD'!$AE$103),SUMIF(TUSD!$A$57:'TUSD'!$A$103,$I$2,TUSD!$AE$57:'TUSD'!$AE$103)))))))</f>
        <v>0</v>
      </c>
      <c r="V9" s="19">
        <f ca="1">IF($G$2&lt;&gt;"Não se aplica",SUMIF(TUSD!$G$57:'TUSD'!$G$103,$I$2,TUSD!$AF$57:'TUSD'!$AF$103),IF($F$2&lt;&gt;"Não se aplica",SUMIF(TUSD!$F$57:'TUSD'!$F$103,$I$2,TUSD!$AF$57:'TUSD'!$AF$103),IF($E$2&lt;&gt;"Não se aplica",SUMIF(TUSD!$E$57:'TUSD'!$E$103,$I$2,TUSD!$AF$57:'TUSD'!$AF$103),IF($D$2&lt;&gt;"Não se aplica",SUMIF(TUSD!$D$57:'TUSD'!$D$103,$I$2,TUSD!$AF$57:'TUSD'!$AF$103),IF($C$2&lt;&gt;"Não se aplica",SUMIF(TUSD!$C$57:'TUSD'!$C$103,$I$2,TUSD!$AF$57:'TUSD'!$AF$103),IF($B$2&lt;&gt;"Não se aplica",SUMIF(TUSD!$B$57:'TUSD'!$B$103,$I$2,TUSD!$AF$57:'TUSD'!$AF$103),SUMIF(TUSD!$A$57:'TUSD'!$A$103,$I$2,TUSD!$AF$57:'TUSD'!$AF$103)))))))</f>
        <v>29630.611708205903</v>
      </c>
      <c r="W9" s="19">
        <f ca="1">IF($G$2&lt;&gt;"Não se aplica",SUMIF(TUSD!$G$57:'TUSD'!$G$103,$I$2,TUSD!$AG$57:'TUSD'!$AG$103),IF($F$2&lt;&gt;"Não se aplica",SUMIF(TUSD!$F$57:'TUSD'!$F$103,$I$2,TUSD!$AG$57:'TUSD'!$AG$103),IF($E$2&lt;&gt;"Não se aplica",SUMIF(TUSD!$E$57:'TUSD'!$E$103,$I$2,TUSD!$AG$57:'TUSD'!$AG$103),IF($D$2&lt;&gt;"Não se aplica",SUMIF(TUSD!$D$57:'TUSD'!$D$103,$I$2,TUSD!$AG$57:'TUSD'!$AG$103),IF($C$2&lt;&gt;"Não se aplica",SUMIF(TUSD!$C$57:'TUSD'!$C$103,$I$2,TUSD!$AG$57:'TUSD'!$AG$103),IF($B$2&lt;&gt;"Não se aplica",SUMIF(TUSD!$B$57:'TUSD'!$B$103,$I$2,TUSD!$AG$57:'TUSD'!$AG$103),SUMIF(TUSD!$A$57:'TUSD'!$A$103,$I$2,TUSD!$AG$57:'TUSD'!$AG$103)))))))</f>
        <v>17262.115870134941</v>
      </c>
      <c r="X9" s="19">
        <f t="shared" ca="1" si="0"/>
        <v>12157492.769666519</v>
      </c>
      <c r="AD9" s="15" t="s">
        <v>47</v>
      </c>
    </row>
    <row r="10" spans="1:33" x14ac:dyDescent="0.2">
      <c r="A10" s="15" t="s">
        <v>1074</v>
      </c>
      <c r="B10" s="19">
        <f>SUMIF(TUSD!$A$57:'TUSD'!$A$103,$A$2,TUSD!$AI$57:'TUSD'!$AI$103)</f>
        <v>280462.09757341817</v>
      </c>
      <c r="C10" s="19">
        <f>SUMIF(TUSD!$A$57:'TUSD'!$A$103,$A$2,TUSD!$AJ$57:'TUSD'!$AJ$103)</f>
        <v>37566.689894036244</v>
      </c>
      <c r="D10" s="19">
        <f>SUMIF(TUSD!$A$57:'TUSD'!$A$103,$A$2,TUSD!$AK$57:'TUSD'!$AK$103)</f>
        <v>124184.07664618234</v>
      </c>
      <c r="E10" s="19">
        <f>SUMIF(TUSD!$A$57:'TUSD'!$A$103,$A$2,TUSD!$AL$57:'TUSD'!$AL$103)</f>
        <v>0</v>
      </c>
      <c r="F10" s="19">
        <f>SUMIF(TUSD!$A$57:'TUSD'!$A$103,$A$2,TUSD!$AM$57:'TUSD'!$AM$103)</f>
        <v>0</v>
      </c>
      <c r="G10" s="19">
        <f>SUMIF(TUSD!$A$57:'TUSD'!$A$103,$A$2,TUSD!$AN$57:'TUSD'!$AN$103)</f>
        <v>2186968.1425382649</v>
      </c>
      <c r="H10" s="19">
        <f>SUMIF(TUSD!$A$57:'TUSD'!$A$103,$A$2,TUSD!$AO$57:'TUSD'!$AO$103)</f>
        <v>347913.10318797233</v>
      </c>
      <c r="I10" s="19">
        <f>SUMIF(TUSD!$A$57:'TUSD'!$A$103,$A$2,TUSD!$AP$57:'TUSD'!$AP$103)</f>
        <v>0</v>
      </c>
      <c r="J10" s="19">
        <f>SUMIF(TUSD!$A$57:'TUSD'!$A$103,$A$2,TUSD!$AQ$57:'TUSD'!$AQ$103)</f>
        <v>966214.04104480834</v>
      </c>
      <c r="K10" s="19">
        <f>SUMIF(TUSD!$A$57:'TUSD'!$A$103,$A$2,TUSD!$AR$57:'TUSD'!$AR$103)</f>
        <v>704806.06487014354</v>
      </c>
      <c r="L10" s="19">
        <f>SUMIF(TUSD!$A$57:'TUSD'!$A$103,$A$2,TUSD!$AS$57:'TUSD'!$AS$103)</f>
        <v>52049.525264892793</v>
      </c>
      <c r="M10" s="19">
        <f>SUMIF(TUSD!$A$57:'TUSD'!$A$103,$A$2,TUSD!$AT$57:'TUSD'!$AT$103)</f>
        <v>0</v>
      </c>
      <c r="N10" s="19">
        <f>SUMIF(TUSD!$A$57:'TUSD'!$A$103,$A$2,TUSD!$AU$57:'TUSD'!$AU$103)</f>
        <v>0</v>
      </c>
      <c r="O10" s="19">
        <f>SUMIF(TUSD!$A$57:'TUSD'!$A$103,$A$2,TUSD!$AV$57:'TUSD'!$AV$103)</f>
        <v>0</v>
      </c>
      <c r="P10" s="19">
        <f>SUMIF(TUSD!$A$57:'TUSD'!$A$103,$A$2,TUSD!$AW$57:'TUSD'!$AW$103)</f>
        <v>0</v>
      </c>
      <c r="Q10" s="19">
        <f>SUMIF(TUSD!$A$57:'TUSD'!$A$103,$A$2,TUSD!$AX$57:'TUSD'!$AX$103)</f>
        <v>7239382.2991698869</v>
      </c>
      <c r="R10" s="19">
        <f>SUMIF(TUSD!$A$57:'TUSD'!$A$103,$A$2,TUSD!$AY$57:'TUSD'!$AY$103)</f>
        <v>0</v>
      </c>
      <c r="S10" s="19">
        <f>SUMIF(TUSD!$A$57:'TUSD'!$A$103,$A$2,TUSD!$AZ$57:'TUSD'!$AZ$103)</f>
        <v>0</v>
      </c>
      <c r="T10" s="19">
        <f>SUMIF(TUSD!$A$57:'TUSD'!$A$103,$A$2,TUSD!$BA$57:'TUSD'!$BA$103)</f>
        <v>797649.57039594615</v>
      </c>
      <c r="U10" s="19">
        <f>SUMIF(TUSD!$A$57:'TUSD'!$A$103,$A$2,TUSD!$BB$57:'TUSD'!$BB$103)</f>
        <v>0</v>
      </c>
      <c r="V10" s="19">
        <f>SUMIF(TUSD!$A$57:'TUSD'!$A$103,$A$2,TUSD!$BC$57:'TUSD'!$BC$103)</f>
        <v>43785.651130187747</v>
      </c>
      <c r="W10" s="19">
        <f>SUMIF(TUSD!$A$57:'TUSD'!$A$103,$A$2,TUSD!$BD$57:'TUSD'!$BD$103)</f>
        <v>-76846.475884472762</v>
      </c>
      <c r="X10" s="19">
        <f t="shared" si="0"/>
        <v>12704134.785831267</v>
      </c>
      <c r="AD10" s="15" t="s">
        <v>97</v>
      </c>
    </row>
    <row r="11" spans="1:33" x14ac:dyDescent="0.2">
      <c r="A11" s="15" t="s">
        <v>1075</v>
      </c>
      <c r="B11" s="19">
        <f>SUMIF(TUSD!$A$57:'TUSD'!$A$103,$A$2,TUSD!$L$57:'TUSD'!$L$103)</f>
        <v>263743.10028788849</v>
      </c>
      <c r="C11" s="19">
        <f>SUMIF(TUSD!$A$57:'TUSD'!$A$103,$A$2,TUSD!$M$57:'TUSD'!$M$103)</f>
        <v>32970.537171885495</v>
      </c>
      <c r="D11" s="19">
        <f ca="1">SUMIF(TUSD!$A$57:'TUSD'!$A$103,$A$2,TUSD!$N$57:'TUSD'!$N$103)</f>
        <v>87818.253584578313</v>
      </c>
      <c r="E11" s="19">
        <f>SUMIF(TUSD!$A$57:'TUSD'!$A$103,$A$2,TUSD!$O$57:'TUSD'!$O$103)</f>
        <v>0</v>
      </c>
      <c r="F11" s="19">
        <f>SUMIF(TUSD!$A$57:'TUSD'!$A$103,$A$2,TUSD!$P$57:'TUSD'!$P$103)</f>
        <v>0</v>
      </c>
      <c r="G11" s="19">
        <f>SUMIF(TUSD!$A$57:'TUSD'!$A$103,$A$2,TUSD!$Q$57:'TUSD'!$Q$103)</f>
        <v>3805132.0926132649</v>
      </c>
      <c r="H11" s="19">
        <f>SUMIF(TUSD!$A$57:'TUSD'!$A$103,$A$2,TUSD!$R$57:'TUSD'!$R$103)</f>
        <v>637354.64384726947</v>
      </c>
      <c r="I11" s="19">
        <f>SUMIF(TUSD!$A$57:'TUSD'!$A$103,$A$2,TUSD!$S$57:'TUSD'!$S$103)</f>
        <v>0</v>
      </c>
      <c r="J11" s="19">
        <f>SUMIF(TUSD!$A$57:'TUSD'!$A$103,$A$2,TUSD!$T$57:'TUSD'!$T$103)</f>
        <v>1203218.4547811369</v>
      </c>
      <c r="K11" s="19">
        <f>SUMIF(TUSD!$A$57:'TUSD'!$A$103,$A$2,TUSD!$U$57:'TUSD'!$U$103)</f>
        <v>1013747.0140280447</v>
      </c>
      <c r="L11" s="19">
        <f>SUMIF(TUSD!$A$57:'TUSD'!$A$103,$A$2,TUSD!$V$57:'TUSD'!$V$103)</f>
        <v>178500.30129550173</v>
      </c>
      <c r="M11" s="19">
        <f>SUMIF(TUSD!$A$57:'TUSD'!$A$103,$A$2,TUSD!$W$57:'TUSD'!$W$103)</f>
        <v>0</v>
      </c>
      <c r="N11" s="19">
        <f>SUMIF(TUSD!$A$57:'TUSD'!$A$103,$A$2,TUSD!$X$57:'TUSD'!$X$103)</f>
        <v>0</v>
      </c>
      <c r="O11" s="19">
        <f>SUMIF(TUSD!$A$57:'TUSD'!$A$103,$A$2,TUSD!$Y$57:'TUSD'!$Y$103)</f>
        <v>0</v>
      </c>
      <c r="P11" s="19">
        <f>SUMIF(TUSD!$A$57:'TUSD'!$A$103,$A$2,TUSD!$Z$57:'TUSD'!$Z$103)</f>
        <v>0</v>
      </c>
      <c r="Q11" s="19">
        <f>SUMIF(TUSD!$A$57:'TUSD'!$A$103,$A$2,TUSD!$AA$57:'TUSD'!$AA$103)</f>
        <v>6604781.2589391042</v>
      </c>
      <c r="R11" s="19">
        <f ca="1">SUMIF(TUSD!$A$57:'TUSD'!$A$103,$A$2,TUSD!$AB$57:'TUSD'!$AB$103)</f>
        <v>-2534470.8003595886</v>
      </c>
      <c r="S11" s="19">
        <f ca="1">SUMIF(TUSD!$A$57:'TUSD'!$A$103,$A$2,TUSD!$AC$57:'TUSD'!$AC$103)</f>
        <v>0</v>
      </c>
      <c r="T11" s="19">
        <f>SUMIF(TUSD!$A$57:'TUSD'!$A$103,$A$2,TUSD!$AD$57:'TUSD'!$AD$103)</f>
        <v>823852.29966713116</v>
      </c>
      <c r="U11" s="19">
        <f>SUMIF(TUSD!$A$57:'TUSD'!$A$103,$A$2,TUSD!$AE$57:'TUSD'!$AE$103)</f>
        <v>0</v>
      </c>
      <c r="V11" s="19">
        <f ca="1">SUMIF(TUSD!$A$57:'TUSD'!$A$103,$A$2,TUSD!$AF$57:'TUSD'!$AF$103)</f>
        <v>29646.9510075498</v>
      </c>
      <c r="W11" s="19">
        <f ca="1">SUMIF(TUSD!$A$57:'TUSD'!$A$103,$A$2,TUSD!$AG$57:'TUSD'!$AG$103)</f>
        <v>17271.634771779252</v>
      </c>
      <c r="X11" s="19">
        <f t="shared" ca="1" si="0"/>
        <v>12163565.741635548</v>
      </c>
    </row>
    <row r="13" spans="1:33" x14ac:dyDescent="0.2">
      <c r="A13" s="15" t="s">
        <v>1079</v>
      </c>
      <c r="B13" s="30">
        <f t="shared" ref="B13:X13" si="1">IF($X$6&lt;&gt;0,(B$7-B$6)/$X$6,0)</f>
        <v>-2.0664472960789221E-3</v>
      </c>
      <c r="C13" s="30">
        <f t="shared" si="1"/>
        <v>-7.9689713813797867E-5</v>
      </c>
      <c r="D13" s="30">
        <f t="shared" ca="1" si="1"/>
        <v>-2.0573327713769799E-3</v>
      </c>
      <c r="E13" s="30">
        <f t="shared" si="1"/>
        <v>0</v>
      </c>
      <c r="F13" s="30">
        <f t="shared" si="1"/>
        <v>0</v>
      </c>
      <c r="G13" s="30">
        <f t="shared" si="1"/>
        <v>0.15173394828400091</v>
      </c>
      <c r="H13" s="30">
        <f t="shared" si="1"/>
        <v>3.0487845818181879E-2</v>
      </c>
      <c r="I13" s="30">
        <f t="shared" si="1"/>
        <v>0</v>
      </c>
      <c r="J13" s="30">
        <f t="shared" si="1"/>
        <v>4.0778705863739745E-2</v>
      </c>
      <c r="K13" s="30">
        <f t="shared" si="1"/>
        <v>4.4539547979116072E-2</v>
      </c>
      <c r="L13" s="30">
        <f t="shared" si="1"/>
        <v>1.5921614871577772E-2</v>
      </c>
      <c r="M13" s="30">
        <f t="shared" si="1"/>
        <v>0</v>
      </c>
      <c r="N13" s="30">
        <f t="shared" si="1"/>
        <v>0</v>
      </c>
      <c r="O13" s="30">
        <f t="shared" si="1"/>
        <v>0</v>
      </c>
      <c r="P13" s="30">
        <f t="shared" si="1"/>
        <v>0</v>
      </c>
      <c r="Q13" s="30">
        <f t="shared" si="1"/>
        <v>4.3669493152147677E-3</v>
      </c>
      <c r="R13" s="30">
        <f t="shared" ca="1" si="1"/>
        <v>-0.22128284575416718</v>
      </c>
      <c r="S13" s="30">
        <f t="shared" ca="1" si="1"/>
        <v>0</v>
      </c>
      <c r="T13" s="30">
        <f t="shared" si="1"/>
        <v>1.7182188330879884E-3</v>
      </c>
      <c r="U13" s="30">
        <f t="shared" si="1"/>
        <v>0</v>
      </c>
      <c r="V13" s="30">
        <f t="shared" ca="1" si="1"/>
        <v>-8.6315775874299652E-4</v>
      </c>
      <c r="W13" s="30">
        <f t="shared" ca="1" si="1"/>
        <v>7.639905857115303E-3</v>
      </c>
      <c r="X13" s="30">
        <f t="shared" ca="1" si="1"/>
        <v>7.0837263527854494E-2</v>
      </c>
    </row>
    <row r="14" spans="1:33" x14ac:dyDescent="0.2">
      <c r="A14" s="15" t="s">
        <v>1080</v>
      </c>
      <c r="B14" s="30">
        <f t="shared" ref="B14:X14" si="2">IF($X$10&lt;&gt;0,(B$9-B$8)/$X$10,0)</f>
        <v>-1.3152836874001262E-3</v>
      </c>
      <c r="C14" s="30">
        <f t="shared" si="2"/>
        <v>-3.6158461207948435E-4</v>
      </c>
      <c r="D14" s="30">
        <f t="shared" ca="1" si="2"/>
        <v>-2.8613768813062854E-3</v>
      </c>
      <c r="E14" s="30">
        <f t="shared" si="2"/>
        <v>0</v>
      </c>
      <c r="F14" s="30">
        <f t="shared" si="2"/>
        <v>0</v>
      </c>
      <c r="G14" s="30">
        <f t="shared" si="2"/>
        <v>0.12730097449771663</v>
      </c>
      <c r="H14" s="30">
        <f t="shared" si="2"/>
        <v>2.2770368963133315E-2</v>
      </c>
      <c r="I14" s="30">
        <f t="shared" si="2"/>
        <v>0</v>
      </c>
      <c r="J14" s="30">
        <f t="shared" si="2"/>
        <v>1.8645420814628052E-2</v>
      </c>
      <c r="K14" s="30">
        <f t="shared" si="2"/>
        <v>2.4305738506431987E-2</v>
      </c>
      <c r="L14" s="30">
        <f t="shared" si="2"/>
        <v>9.9488561849218997E-3</v>
      </c>
      <c r="M14" s="30">
        <f t="shared" si="2"/>
        <v>0</v>
      </c>
      <c r="N14" s="30">
        <f t="shared" si="2"/>
        <v>0</v>
      </c>
      <c r="O14" s="30">
        <f t="shared" si="2"/>
        <v>0</v>
      </c>
      <c r="P14" s="30">
        <f t="shared" si="2"/>
        <v>0</v>
      </c>
      <c r="Q14" s="30">
        <f t="shared" si="2"/>
        <v>-4.9942257343397967E-2</v>
      </c>
      <c r="R14" s="30">
        <f t="shared" ca="1" si="2"/>
        <v>-0.19940079219474002</v>
      </c>
      <c r="S14" s="30">
        <f t="shared" ca="1" si="2"/>
        <v>0</v>
      </c>
      <c r="T14" s="30">
        <f t="shared" si="2"/>
        <v>2.0613987984523826E-3</v>
      </c>
      <c r="U14" s="30">
        <f t="shared" si="2"/>
        <v>0</v>
      </c>
      <c r="V14" s="30">
        <f t="shared" ca="1" si="2"/>
        <v>-1.1123077730889463E-3</v>
      </c>
      <c r="W14" s="30">
        <f t="shared" ca="1" si="2"/>
        <v>7.40437983430844E-3</v>
      </c>
      <c r="X14" s="30">
        <f t="shared" ca="1" si="2"/>
        <v>-4.2556464892420064E-2</v>
      </c>
    </row>
    <row r="15" spans="1:33" x14ac:dyDescent="0.2">
      <c r="A15" s="15" t="s">
        <v>1081</v>
      </c>
      <c r="B15" s="30">
        <f t="shared" ref="B15:X15" si="3">IF($X$8&lt;&gt;0,(B$9-B$8)/$X$8,0)</f>
        <v>-1.3159050637496126E-3</v>
      </c>
      <c r="C15" s="30">
        <f t="shared" si="3"/>
        <v>-3.617554346392384E-4</v>
      </c>
      <c r="D15" s="30">
        <f t="shared" ca="1" si="3"/>
        <v>-2.8627286747923931E-3</v>
      </c>
      <c r="E15" s="30">
        <f t="shared" si="3"/>
        <v>0</v>
      </c>
      <c r="F15" s="30">
        <f t="shared" si="3"/>
        <v>0</v>
      </c>
      <c r="G15" s="30">
        <f t="shared" si="3"/>
        <v>0.12736111499484074</v>
      </c>
      <c r="H15" s="30">
        <f t="shared" si="3"/>
        <v>2.2781126314477599E-2</v>
      </c>
      <c r="I15" s="30">
        <f t="shared" si="3"/>
        <v>0</v>
      </c>
      <c r="J15" s="30">
        <f t="shared" si="3"/>
        <v>1.8654229426512636E-2</v>
      </c>
      <c r="K15" s="30">
        <f t="shared" si="3"/>
        <v>2.43172212087641E-2</v>
      </c>
      <c r="L15" s="30">
        <f t="shared" si="3"/>
        <v>9.9535562994272127E-3</v>
      </c>
      <c r="M15" s="30">
        <f t="shared" si="3"/>
        <v>0</v>
      </c>
      <c r="N15" s="30">
        <f t="shared" si="3"/>
        <v>0</v>
      </c>
      <c r="O15" s="30">
        <f t="shared" si="3"/>
        <v>0</v>
      </c>
      <c r="P15" s="30">
        <f t="shared" si="3"/>
        <v>0</v>
      </c>
      <c r="Q15" s="30">
        <f t="shared" si="3"/>
        <v>-4.9965851445453999E-2</v>
      </c>
      <c r="R15" s="30">
        <f t="shared" ca="1" si="3"/>
        <v>-0.19949499463754808</v>
      </c>
      <c r="S15" s="30">
        <f t="shared" ca="1" si="3"/>
        <v>0</v>
      </c>
      <c r="T15" s="30">
        <f t="shared" si="3"/>
        <v>2.0623726601922405E-3</v>
      </c>
      <c r="U15" s="30">
        <f t="shared" si="3"/>
        <v>0</v>
      </c>
      <c r="V15" s="30">
        <f t="shared" ca="1" si="3"/>
        <v>-1.1128332580091719E-3</v>
      </c>
      <c r="W15" s="30">
        <f t="shared" ca="1" si="3"/>
        <v>7.407877867892927E-3</v>
      </c>
      <c r="X15" s="30">
        <f t="shared" ca="1" si="3"/>
        <v>-4.2576569742084985E-2</v>
      </c>
    </row>
  </sheetData>
  <dataValidations count="6">
    <dataValidation type="list" allowBlank="1" showInputMessage="1" showErrorMessage="1" error="Deve-se selecionar grupo válido" sqref="A2" xr:uid="{F2D8F797-1F96-40D3-917A-A2EFB8250F6C}">
      <formula1>AA1:AA6</formula1>
    </dataValidation>
    <dataValidation type="list" allowBlank="1" showInputMessage="1" showErrorMessage="1" error="Deve-se selecionar grupo válido" sqref="B2" xr:uid="{EFACEAAA-9890-44FA-9B43-6847461C9C79}">
      <formula1>AB1:AB7</formula1>
    </dataValidation>
    <dataValidation type="list" allowBlank="1" showInputMessage="1" showErrorMessage="1" error="Deve-se selecionar grupo válido" sqref="C2 E2" xr:uid="{19D60EF9-3870-4F81-BA5F-664841380F89}">
      <formula1>AC1:AC4</formula1>
    </dataValidation>
    <dataValidation type="list" allowBlank="1" showInputMessage="1" showErrorMessage="1" error="Deve-se selecionar grupo válido" sqref="D2" xr:uid="{8E8757C4-AA9A-4170-A191-ADEA750A932B}">
      <formula1>AD1:AD10</formula1>
    </dataValidation>
    <dataValidation type="list" allowBlank="1" showInputMessage="1" showErrorMessage="1" error="Deve-se selecionar grupo válido" sqref="F2" xr:uid="{A2608D1B-CB1C-4444-922F-96E26C9EE915}">
      <formula1>AF1:AF1</formula1>
    </dataValidation>
    <dataValidation type="list" allowBlank="1" showInputMessage="1" showErrorMessage="1" error="Deve-se selecionar grupo válido" sqref="G2" xr:uid="{B87B1C37-7A59-47E0-B7C9-436B5DAD89FA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717F8-FF24-4438-898B-0FB59802D406}">
  <dimension ref="A1:AG15"/>
  <sheetViews>
    <sheetView showGridLines="0" topLeftCell="A25" workbookViewId="0">
      <selection activeCell="N35" sqref="N35"/>
    </sheetView>
  </sheetViews>
  <sheetFormatPr defaultRowHeight="11.25" x14ac:dyDescent="0.2"/>
  <cols>
    <col min="1" max="1" width="19.140625" style="15" bestFit="1" customWidth="1"/>
    <col min="2" max="2" width="10.5703125" style="15" bestFit="1" customWidth="1"/>
    <col min="3" max="6" width="10.28515625" style="15" bestFit="1" customWidth="1"/>
    <col min="7" max="7" width="14.85546875" style="15" bestFit="1" customWidth="1"/>
    <col min="8" max="8" width="6" style="15" bestFit="1" customWidth="1"/>
    <col min="9" max="9" width="9.5703125" style="15" bestFit="1" customWidth="1"/>
    <col min="10" max="10" width="6.42578125" style="15" bestFit="1" customWidth="1"/>
    <col min="11" max="11" width="10.5703125" style="15" bestFit="1" customWidth="1"/>
    <col min="12" max="12" width="10.7109375" style="15" bestFit="1" customWidth="1"/>
    <col min="13" max="13" width="10.85546875" style="15" bestFit="1" customWidth="1"/>
    <col min="14" max="26" width="9.140625" style="15"/>
    <col min="27" max="27" width="3" style="15" bestFit="1" customWidth="1"/>
    <col min="28" max="28" width="27.140625" style="15" bestFit="1" customWidth="1"/>
    <col min="29" max="29" width="13.5703125" style="15" bestFit="1" customWidth="1"/>
    <col min="30" max="30" width="25.140625" style="15" bestFit="1" customWidth="1"/>
    <col min="31" max="33" width="10.28515625" style="15" bestFit="1" customWidth="1"/>
    <col min="34" max="16384" width="9.140625" style="15"/>
  </cols>
  <sheetData>
    <row r="1" spans="1:33" x14ac:dyDescent="0.2">
      <c r="A1" s="15" t="s">
        <v>68</v>
      </c>
      <c r="B1" s="15" t="s">
        <v>69</v>
      </c>
      <c r="C1" s="15" t="s">
        <v>70</v>
      </c>
      <c r="D1" s="15" t="s">
        <v>71</v>
      </c>
      <c r="E1" s="15" t="s">
        <v>72</v>
      </c>
      <c r="F1" s="15" t="s">
        <v>15</v>
      </c>
      <c r="G1" s="15" t="s">
        <v>74</v>
      </c>
      <c r="I1" s="15" t="s">
        <v>1078</v>
      </c>
      <c r="AA1" s="15" t="s">
        <v>38</v>
      </c>
      <c r="AB1" s="15" t="s">
        <v>25</v>
      </c>
      <c r="AC1" s="15" t="s">
        <v>25</v>
      </c>
      <c r="AD1" s="15" t="s">
        <v>25</v>
      </c>
      <c r="AE1" s="15" t="s">
        <v>25</v>
      </c>
      <c r="AF1" s="15" t="s">
        <v>25</v>
      </c>
      <c r="AG1" s="15" t="s">
        <v>25</v>
      </c>
    </row>
    <row r="2" spans="1:33" x14ac:dyDescent="0.2">
      <c r="A2" s="15" t="s">
        <v>38</v>
      </c>
      <c r="B2" s="15" t="s">
        <v>25</v>
      </c>
      <c r="C2" s="15" t="s">
        <v>25</v>
      </c>
      <c r="D2" s="15" t="s">
        <v>25</v>
      </c>
      <c r="E2" s="15" t="s">
        <v>25</v>
      </c>
      <c r="F2" s="15" t="s">
        <v>25</v>
      </c>
      <c r="G2" s="15" t="s">
        <v>25</v>
      </c>
      <c r="I2" s="15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5" t="s">
        <v>22</v>
      </c>
      <c r="AB2" s="15" t="s">
        <v>77</v>
      </c>
      <c r="AC2" s="15" t="s">
        <v>24</v>
      </c>
      <c r="AD2" s="15" t="s">
        <v>24</v>
      </c>
      <c r="AE2" s="15" t="s">
        <v>88</v>
      </c>
      <c r="AG2" s="15" t="s">
        <v>79</v>
      </c>
    </row>
    <row r="3" spans="1:33" x14ac:dyDescent="0.2">
      <c r="AA3" s="15" t="s">
        <v>42</v>
      </c>
      <c r="AB3" s="15" t="s">
        <v>81</v>
      </c>
      <c r="AC3" s="15" t="s">
        <v>43</v>
      </c>
      <c r="AD3" s="15" t="s">
        <v>28</v>
      </c>
      <c r="AG3" s="15" t="s">
        <v>80</v>
      </c>
    </row>
    <row r="4" spans="1:33" x14ac:dyDescent="0.2">
      <c r="AA4" s="15" t="s">
        <v>36</v>
      </c>
      <c r="AB4" s="15" t="s">
        <v>87</v>
      </c>
      <c r="AC4" s="15" t="s">
        <v>46</v>
      </c>
      <c r="AD4" s="15" t="s">
        <v>29</v>
      </c>
      <c r="AG4" s="15" t="s">
        <v>82</v>
      </c>
    </row>
    <row r="5" spans="1:33" x14ac:dyDescent="0.2">
      <c r="A5" s="15" t="s">
        <v>1071</v>
      </c>
      <c r="B5" s="15" t="str">
        <f>TE!$X$4</f>
        <v>P&amp;D</v>
      </c>
      <c r="C5" s="15" t="str">
        <f>TE!$Y$4</f>
        <v>ESS/ERR</v>
      </c>
      <c r="D5" s="15" t="str">
        <f>TE!$Z$4</f>
        <v>CFURH</v>
      </c>
      <c r="E5" s="15" t="str">
        <f>TE!$AA$4</f>
        <v>CDE Covid TE</v>
      </c>
      <c r="F5" s="15" t="str">
        <f>TE!$AB$4</f>
        <v>CDE ELET</v>
      </c>
      <c r="G5" s="15" t="str">
        <f>TE!$AC$4</f>
        <v>ENERGIA REVENDA</v>
      </c>
      <c r="H5" s="15" t="str">
        <f>TE!$AD$4</f>
        <v>ITAIPU</v>
      </c>
      <c r="I5" s="15" t="str">
        <f>TE!$AE$4</f>
        <v>TUST ITAIPU</v>
      </c>
      <c r="J5" s="15" t="str">
        <f>TE!$AF$4</f>
        <v>TUST CI</v>
      </c>
      <c r="K5" s="15" t="str">
        <f>TE!$AG$4</f>
        <v>SUBSIDIO</v>
      </c>
      <c r="L5" s="15" t="str">
        <f>TE!$AH$4</f>
        <v>PERDAS RB/C</v>
      </c>
      <c r="M5" s="15" t="s">
        <v>521</v>
      </c>
      <c r="AA5" s="15" t="s">
        <v>45</v>
      </c>
      <c r="AB5" s="15" t="s">
        <v>93</v>
      </c>
      <c r="AD5" s="15" t="s">
        <v>30</v>
      </c>
      <c r="AG5" s="15" t="s">
        <v>92</v>
      </c>
    </row>
    <row r="6" spans="1:33" x14ac:dyDescent="0.2">
      <c r="A6" s="15" t="s">
        <v>1072</v>
      </c>
      <c r="B6" s="19">
        <f>SUM(TE!$X$49:'TE'!$X$87)</f>
        <v>224923.90155291188</v>
      </c>
      <c r="C6" s="19">
        <f>SUM(TE!$Y$49:'TE'!$Y$87)</f>
        <v>0</v>
      </c>
      <c r="D6" s="19">
        <f>SUM(TE!$Z$49:'TE'!$Z$87)</f>
        <v>0</v>
      </c>
      <c r="E6" s="19">
        <f>SUM(TE!$AA$49:'TE'!$AA$87)</f>
        <v>0</v>
      </c>
      <c r="F6" s="19">
        <f>SUM(TE!$AB$49:'TE'!$AB$87)</f>
        <v>0</v>
      </c>
      <c r="G6" s="19">
        <f>SUM(TE!$AC$49:'TE'!$AC$87)</f>
        <v>22253558.110681333</v>
      </c>
      <c r="H6" s="19">
        <f>SUM(TE!$AD$49:'TE'!$AD$87)</f>
        <v>0</v>
      </c>
      <c r="I6" s="19">
        <f>SUM(TE!$AE$49:'TE'!$AE$87)</f>
        <v>0</v>
      </c>
      <c r="J6" s="19">
        <f>SUM(TE!$AF$49:'TE'!$AF$87)</f>
        <v>0</v>
      </c>
      <c r="K6" s="19">
        <f>SUM(TE!$AG$49:'TE'!$AG$87)</f>
        <v>0</v>
      </c>
      <c r="L6" s="19">
        <f>SUM(TE!$AH$49:'TE'!$AH$87)</f>
        <v>0</v>
      </c>
      <c r="M6" s="19">
        <f t="shared" ref="M6:M11" si="0">SUM(B6:L6)</f>
        <v>22478482.012234244</v>
      </c>
      <c r="AD6" s="15" t="s">
        <v>31</v>
      </c>
    </row>
    <row r="7" spans="1:33" x14ac:dyDescent="0.2">
      <c r="A7" s="15" t="s">
        <v>1073</v>
      </c>
      <c r="B7" s="19">
        <f>SUM(TE!$L$49:'TE'!$L$87)</f>
        <v>215798.77115490413</v>
      </c>
      <c r="C7" s="19">
        <f>SUM(TE!$M$49:'TE'!$M$87)</f>
        <v>0</v>
      </c>
      <c r="D7" s="19">
        <f>SUM(TE!$N$49:'TE'!$N$87)</f>
        <v>0</v>
      </c>
      <c r="E7" s="19">
        <f>SUM(TE!$O$49:'TE'!$O$87)</f>
        <v>626439.30546686193</v>
      </c>
      <c r="F7" s="19">
        <f>SUM(TE!$P$49:'TE'!$P$87)</f>
        <v>0</v>
      </c>
      <c r="G7" s="19">
        <f>SUM(TE!$Q$49:'TE'!$Q$87)</f>
        <v>21176685.522044957</v>
      </c>
      <c r="H7" s="19">
        <f>SUM(TE!$R$49:'TE'!$R$87)</f>
        <v>0</v>
      </c>
      <c r="I7" s="19">
        <f>SUM(TE!$S$49:'TE'!$S$87)</f>
        <v>0</v>
      </c>
      <c r="J7" s="19">
        <f>SUM(TE!$T$49:'TE'!$T$87)</f>
        <v>0</v>
      </c>
      <c r="K7" s="19">
        <f>SUM(TE!$U$49:'TE'!$U$87)</f>
        <v>-3774901.1595216622</v>
      </c>
      <c r="L7" s="19">
        <f>SUM(TE!$V$49:'TE'!$V$87)</f>
        <v>0</v>
      </c>
      <c r="M7" s="19">
        <f t="shared" si="0"/>
        <v>18244022.439145062</v>
      </c>
      <c r="AD7" s="15" t="s">
        <v>95</v>
      </c>
    </row>
    <row r="8" spans="1:33" x14ac:dyDescent="0.2">
      <c r="A8" s="15" t="s">
        <v>1076</v>
      </c>
      <c r="B8" s="19">
        <f>IF($G$2&lt;&gt;"Não se aplica",SUMIF(TE!$G$49:'TE'!$G$87,$I$2,TE!$X$49:'TE'!$X$87),IF($F$2&lt;&gt;"Não se aplica",SUMIF(TE!$F$49:'TE'!$F$87,$I$2,TE!$X$49:'TE'!$X$87),IF($E$2&lt;&gt;"Não se aplica",SUMIF(TE!$E$49:'TE'!$E$87,$I$2,TE!$X$49:'TE'!$X$87),IF($D$2&lt;&gt;"Não se aplica",SUMIF(TE!$D$49:'TE'!$D$87,$I$2,TE!$X$49:'TE'!$X$87),IF($C$2&lt;&gt;"Não se aplica",SUMIF(TE!$C$49:'TE'!$C$87,$I$2,TE!$X$49:'TE'!$X$87),IF($B$2&lt;&gt;"Não se aplica",SUMIF(TE!$B$49:'TE'!$B$87,$I$2,TE!$X$49:'TE'!$X$87),SUMIF(TE!$A$49:'TE'!$A$87,$I$2,TE!$X$49:'TE'!$X$87)))))))</f>
        <v>50205.018738920044</v>
      </c>
      <c r="C8" s="19">
        <f>IF($G$2&lt;&gt;"Não se aplica",SUMIF(TE!$G$49:'TE'!$G$87,$I$2,TE!$Y$49:'TE'!$Y$87),IF($F$2&lt;&gt;"Não se aplica",SUMIF(TE!$F$49:'TE'!$F$87,$I$2,TE!$Y$49:'TE'!$Y$87),IF($E$2&lt;&gt;"Não se aplica",SUMIF(TE!$E$49:'TE'!$E$87,$I$2,TE!$Y$49:'TE'!$Y$87),IF($D$2&lt;&gt;"Não se aplica",SUMIF(TE!$D$49:'TE'!$D$87,$I$2,TE!$Y$49:'TE'!$Y$87),IF($C$2&lt;&gt;"Não se aplica",SUMIF(TE!$C$49:'TE'!$C$87,$I$2,TE!$Y$49:'TE'!$Y$87),IF($B$2&lt;&gt;"Não se aplica",SUMIF(TE!$B$49:'TE'!$B$87,$I$2,TE!$Y$49:'TE'!$Y$87),SUMIF(TE!$A$49:'TE'!$A$87,$I$2,TE!$Y$49:'TE'!$Y$87)))))))</f>
        <v>0</v>
      </c>
      <c r="D8" s="19">
        <f>IF($G$2&lt;&gt;"Não se aplica",SUMIF(TE!$G$49:'TE'!$G$87,$I$2,TE!$Z$49:'TE'!$Z$87),IF($F$2&lt;&gt;"Não se aplica",SUMIF(TE!$F$49:'TE'!$F$87,$I$2,TE!$Z$49:'TE'!$Z$87),IF($E$2&lt;&gt;"Não se aplica",SUMIF(TE!$E$49:'TE'!$E$87,$I$2,TE!$Z$49:'TE'!$Z$87),IF($D$2&lt;&gt;"Não se aplica",SUMIF(TE!$D$49:'TE'!$D$87,$I$2,TE!$Z$49:'TE'!$Z$87),IF($C$2&lt;&gt;"Não se aplica",SUMIF(TE!$C$49:'TE'!$C$87,$I$2,TE!$Z$49:'TE'!$Z$87),IF($B$2&lt;&gt;"Não se aplica",SUMIF(TE!$B$49:'TE'!$B$87,$I$2,TE!$Z$49:'TE'!$Z$87),SUMIF(TE!$A$49:'TE'!$A$87,$I$2,TE!$Z$49:'TE'!$Z$87)))))))</f>
        <v>0</v>
      </c>
      <c r="E8" s="19">
        <f>IF($G$2&lt;&gt;"Não se aplica",SUMIF(TE!$G$49:'TE'!$G$87,$I$2,TE!$AA$49:'TE'!$AA$87),IF($F$2&lt;&gt;"Não se aplica",SUMIF(TE!$F$49:'TE'!$F$87,$I$2,TE!$AA$49:'TE'!$AA$87),IF($E$2&lt;&gt;"Não se aplica",SUMIF(TE!$E$49:'TE'!$E$87,$I$2,TE!$AA$49:'TE'!$AA$87),IF($D$2&lt;&gt;"Não se aplica",SUMIF(TE!$D$49:'TE'!$D$87,$I$2,TE!$AA$49:'TE'!$AA$87),IF($C$2&lt;&gt;"Não se aplica",SUMIF(TE!$C$49:'TE'!$C$87,$I$2,TE!$AA$49:'TE'!$AA$87),IF($B$2&lt;&gt;"Não se aplica",SUMIF(TE!$B$49:'TE'!$B$87,$I$2,TE!$AA$49:'TE'!$AA$87),SUMIF(TE!$A$49:'TE'!$A$87,$I$2,TE!$AA$49:'TE'!$AA$87)))))))</f>
        <v>0</v>
      </c>
      <c r="F8" s="19">
        <f>IF($G$2&lt;&gt;"Não se aplica",SUMIF(TE!$G$49:'TE'!$G$87,$I$2,TE!$AB$49:'TE'!$AB$87),IF($F$2&lt;&gt;"Não se aplica",SUMIF(TE!$F$49:'TE'!$F$87,$I$2,TE!$AB$49:'TE'!$AB$87),IF($E$2&lt;&gt;"Não se aplica",SUMIF(TE!$E$49:'TE'!$E$87,$I$2,TE!$AB$49:'TE'!$AB$87),IF($D$2&lt;&gt;"Não se aplica",SUMIF(TE!$D$49:'TE'!$D$87,$I$2,TE!$AB$49:'TE'!$AB$87),IF($C$2&lt;&gt;"Não se aplica",SUMIF(TE!$C$49:'TE'!$C$87,$I$2,TE!$AB$49:'TE'!$AB$87),IF($B$2&lt;&gt;"Não se aplica",SUMIF(TE!$B$49:'TE'!$B$87,$I$2,TE!$AB$49:'TE'!$AB$87),SUMIF(TE!$A$49:'TE'!$A$87,$I$2,TE!$AB$49:'TE'!$AB$87)))))))</f>
        <v>0</v>
      </c>
      <c r="G8" s="19">
        <f>IF($G$2&lt;&gt;"Não se aplica",SUMIF(TE!$G$49:'TE'!$G$87,$I$2,TE!$AC$49:'TE'!$AC$87),IF($F$2&lt;&gt;"Não se aplica",SUMIF(TE!$F$49:'TE'!$F$87,$I$2,TE!$AC$49:'TE'!$AC$87),IF($E$2&lt;&gt;"Não se aplica",SUMIF(TE!$E$49:'TE'!$E$87,$I$2,TE!$AC$49:'TE'!$AC$87),IF($D$2&lt;&gt;"Não se aplica",SUMIF(TE!$D$49:'TE'!$D$87,$I$2,TE!$AC$49:'TE'!$AC$87),IF($C$2&lt;&gt;"Não se aplica",SUMIF(TE!$C$49:'TE'!$C$87,$I$2,TE!$AC$49:'TE'!$AC$87),IF($B$2&lt;&gt;"Não se aplica",SUMIF(TE!$B$49:'TE'!$B$87,$I$2,TE!$AC$49:'TE'!$AC$87),SUMIF(TE!$A$49:'TE'!$A$87,$I$2,TE!$AC$49:'TE'!$AC$87)))))))</f>
        <v>4944736.6286599329</v>
      </c>
      <c r="H8" s="19">
        <f>IF($G$2&lt;&gt;"Não se aplica",SUMIF(TE!$G$49:'TE'!$G$87,$I$2,TE!$AD$49:'TE'!$AD$87),IF($F$2&lt;&gt;"Não se aplica",SUMIF(TE!$F$49:'TE'!$F$87,$I$2,TE!$AD$49:'TE'!$AD$87),IF($E$2&lt;&gt;"Não se aplica",SUMIF(TE!$E$49:'TE'!$E$87,$I$2,TE!$AD$49:'TE'!$AD$87),IF($D$2&lt;&gt;"Não se aplica",SUMIF(TE!$D$49:'TE'!$D$87,$I$2,TE!$AD$49:'TE'!$AD$87),IF($C$2&lt;&gt;"Não se aplica",SUMIF(TE!$C$49:'TE'!$C$87,$I$2,TE!$AD$49:'TE'!$AD$87),IF($B$2&lt;&gt;"Não se aplica",SUMIF(TE!$B$49:'TE'!$B$87,$I$2,TE!$AD$49:'TE'!$AD$87),SUMIF(TE!$A$49:'TE'!$A$87,$I$2,TE!$AD$49:'TE'!$AD$87)))))))</f>
        <v>0</v>
      </c>
      <c r="I8" s="19">
        <f>IF($G$2&lt;&gt;"Não se aplica",SUMIF(TE!$G$49:'TE'!$G$87,$I$2,TE!$AE$49:'TE'!$AE$87),IF($F$2&lt;&gt;"Não se aplica",SUMIF(TE!$F$49:'TE'!$F$87,$I$2,TE!$AE$49:'TE'!$AE$87),IF($E$2&lt;&gt;"Não se aplica",SUMIF(TE!$E$49:'TE'!$E$87,$I$2,TE!$AE$49:'TE'!$AE$87),IF($D$2&lt;&gt;"Não se aplica",SUMIF(TE!$D$49:'TE'!$D$87,$I$2,TE!$AE$49:'TE'!$AE$87),IF($C$2&lt;&gt;"Não se aplica",SUMIF(TE!$C$49:'TE'!$C$87,$I$2,TE!$AE$49:'TE'!$AE$87),IF($B$2&lt;&gt;"Não se aplica",SUMIF(TE!$B$49:'TE'!$B$87,$I$2,TE!$AE$49:'TE'!$AE$87),SUMIF(TE!$A$49:'TE'!$A$87,$I$2,TE!$AE$49:'TE'!$AE$87)))))))</f>
        <v>0</v>
      </c>
      <c r="J8" s="19">
        <f>IF($G$2&lt;&gt;"Não se aplica",SUMIF(TE!$G$49:'TE'!$G$87,$I$2,TE!$AF$49:'TE'!$AF$87),IF($F$2&lt;&gt;"Não se aplica",SUMIF(TE!$F$49:'TE'!$F$87,$I$2,TE!$AF$49:'TE'!$AF$87),IF($E$2&lt;&gt;"Não se aplica",SUMIF(TE!$E$49:'TE'!$E$87,$I$2,TE!$AF$49:'TE'!$AF$87),IF($D$2&lt;&gt;"Não se aplica",SUMIF(TE!$D$49:'TE'!$D$87,$I$2,TE!$AF$49:'TE'!$AF$87),IF($C$2&lt;&gt;"Não se aplica",SUMIF(TE!$C$49:'TE'!$C$87,$I$2,TE!$AF$49:'TE'!$AF$87),IF($B$2&lt;&gt;"Não se aplica",SUMIF(TE!$B$49:'TE'!$B$87,$I$2,TE!$AF$49:'TE'!$AF$87),SUMIF(TE!$A$49:'TE'!$A$87,$I$2,TE!$AF$49:'TE'!$AF$87)))))))</f>
        <v>0</v>
      </c>
      <c r="K8" s="19">
        <f>IF($G$2&lt;&gt;"Não se aplica",SUMIF(TE!$G$49:'TE'!$G$87,$I$2,TE!$AG$49:'TE'!$AG$87),IF($F$2&lt;&gt;"Não se aplica",SUMIF(TE!$F$49:'TE'!$F$87,$I$2,TE!$AG$49:'TE'!$AG$87),IF($E$2&lt;&gt;"Não se aplica",SUMIF(TE!$E$49:'TE'!$E$87,$I$2,TE!$AG$49:'TE'!$AG$87),IF($D$2&lt;&gt;"Não se aplica",SUMIF(TE!$D$49:'TE'!$D$87,$I$2,TE!$AG$49:'TE'!$AG$87),IF($C$2&lt;&gt;"Não se aplica",SUMIF(TE!$C$49:'TE'!$C$87,$I$2,TE!$AG$49:'TE'!$AG$87),IF($B$2&lt;&gt;"Não se aplica",SUMIF(TE!$B$49:'TE'!$B$87,$I$2,TE!$AG$49:'TE'!$AG$87),SUMIF(TE!$A$49:'TE'!$A$87,$I$2,TE!$AG$49:'TE'!$AG$87)))))))</f>
        <v>0</v>
      </c>
      <c r="L8" s="19">
        <f>IF($G$2&lt;&gt;"Não se aplica",SUMIF(TE!$G$49:'TE'!$G$87,$I$2,TE!$AH$49:'TE'!$AH$87),IF($F$2&lt;&gt;"Não se aplica",SUMIF(TE!$F$49:'TE'!$F$87,$I$2,TE!$AH$49:'TE'!$AH$87),IF($E$2&lt;&gt;"Não se aplica",SUMIF(TE!$E$49:'TE'!$E$87,$I$2,TE!$AH$49:'TE'!$AH$87),IF($D$2&lt;&gt;"Não se aplica",SUMIF(TE!$D$49:'TE'!$D$87,$I$2,TE!$AH$49:'TE'!$AH$87),IF($C$2&lt;&gt;"Não se aplica",SUMIF(TE!$C$49:'TE'!$C$87,$I$2,TE!$AH$49:'TE'!$AH$87),IF($B$2&lt;&gt;"Não se aplica",SUMIF(TE!$B$49:'TE'!$B$87,$I$2,TE!$AH$49:'TE'!$AH$87),SUMIF(TE!$A$49:'TE'!$A$87,$I$2,TE!$AH$49:'TE'!$AH$87)))))))</f>
        <v>0</v>
      </c>
      <c r="M8" s="19">
        <f t="shared" si="0"/>
        <v>4994941.6473988527</v>
      </c>
      <c r="AD8" s="15" t="s">
        <v>96</v>
      </c>
    </row>
    <row r="9" spans="1:33" x14ac:dyDescent="0.2">
      <c r="A9" s="15" t="s">
        <v>1077</v>
      </c>
      <c r="B9" s="19">
        <f>IF($G$2&lt;&gt;"Não se aplica",SUMIF(TE!$G$49:'TE'!$G$87,$I$2,TE!$L$49:'TE'!$L$87),IF($F$2&lt;&gt;"Não se aplica",SUMIF(TE!$F$49:'TE'!$F$87,$I$2,TE!$L$49:'TE'!$L$87),IF($E$2&lt;&gt;"Não se aplica",SUMIF(TE!$E$49:'TE'!$E$87,$I$2,TE!$L$49:'TE'!$L$87),IF($D$2&lt;&gt;"Não se aplica",SUMIF(TE!$D$49:'TE'!$D$87,$I$2,TE!$L$49:'TE'!$L$87),IF($C$2&lt;&gt;"Não se aplica",SUMIF(TE!$C$49:'TE'!$C$87,$I$2,TE!$L$49:'TE'!$L$87),IF($B$2&lt;&gt;"Não se aplica",SUMIF(TE!$B$49:'TE'!$B$87,$I$2,TE!$L$49:'TE'!$L$87),SUMIF(TE!$A$49:'TE'!$A$87,$I$2,TE!$L$49:'TE'!$L$87)))))))</f>
        <v>48101.468300233064</v>
      </c>
      <c r="C9" s="19">
        <f>IF($G$2&lt;&gt;"Não se aplica",SUMIF(TE!$G$49:'TE'!$G$87,$I$2,TE!$M$49:'TE'!$M$87),IF($F$2&lt;&gt;"Não se aplica",SUMIF(TE!$F$49:'TE'!$F$87,$I$2,TE!$M$49:'TE'!$M$87),IF($E$2&lt;&gt;"Não se aplica",SUMIF(TE!$E$49:'TE'!$E$87,$I$2,TE!$M$49:'TE'!$M$87),IF($D$2&lt;&gt;"Não se aplica",SUMIF(TE!$D$49:'TE'!$D$87,$I$2,TE!$M$49:'TE'!$M$87),IF($C$2&lt;&gt;"Não se aplica",SUMIF(TE!$C$49:'TE'!$C$87,$I$2,TE!$M$49:'TE'!$M$87),IF($B$2&lt;&gt;"Não se aplica",SUMIF(TE!$B$49:'TE'!$B$87,$I$2,TE!$M$49:'TE'!$M$87),SUMIF(TE!$A$49:'TE'!$A$87,$I$2,TE!$M$49:'TE'!$M$87)))))))</f>
        <v>0</v>
      </c>
      <c r="D9" s="19">
        <f>IF($G$2&lt;&gt;"Não se aplica",SUMIF(TE!$G$49:'TE'!$G$87,$I$2,TE!$N$49:'TE'!$N$87),IF($F$2&lt;&gt;"Não se aplica",SUMIF(TE!$F$49:'TE'!$F$87,$I$2,TE!$N$49:'TE'!$N$87),IF($E$2&lt;&gt;"Não se aplica",SUMIF(TE!$E$49:'TE'!$E$87,$I$2,TE!$N$49:'TE'!$N$87),IF($D$2&lt;&gt;"Não se aplica",SUMIF(TE!$D$49:'TE'!$D$87,$I$2,TE!$N$49:'TE'!$N$87),IF($C$2&lt;&gt;"Não se aplica",SUMIF(TE!$C$49:'TE'!$C$87,$I$2,TE!$N$49:'TE'!$N$87),IF($B$2&lt;&gt;"Não se aplica",SUMIF(TE!$B$49:'TE'!$B$87,$I$2,TE!$N$49:'TE'!$N$87),SUMIF(TE!$A$49:'TE'!$A$87,$I$2,TE!$N$49:'TE'!$N$87)))))))</f>
        <v>0</v>
      </c>
      <c r="E9" s="19">
        <f>IF($G$2&lt;&gt;"Não se aplica",SUMIF(TE!$G$49:'TE'!$G$87,$I$2,TE!$O$49:'TE'!$O$87),IF($F$2&lt;&gt;"Não se aplica",SUMIF(TE!$F$49:'TE'!$F$87,$I$2,TE!$O$49:'TE'!$O$87),IF($E$2&lt;&gt;"Não se aplica",SUMIF(TE!$E$49:'TE'!$E$87,$I$2,TE!$O$49:'TE'!$O$87),IF($D$2&lt;&gt;"Não se aplica",SUMIF(TE!$D$49:'TE'!$D$87,$I$2,TE!$O$49:'TE'!$O$87),IF($C$2&lt;&gt;"Não se aplica",SUMIF(TE!$C$49:'TE'!$C$87,$I$2,TE!$O$49:'TE'!$O$87),IF($B$2&lt;&gt;"Não se aplica",SUMIF(TE!$B$49:'TE'!$B$87,$I$2,TE!$O$49:'TE'!$O$87),SUMIF(TE!$A$49:'TE'!$A$87,$I$2,TE!$O$49:'TE'!$O$87)))))))</f>
        <v>139633.0953724687</v>
      </c>
      <c r="F9" s="19">
        <f>IF($G$2&lt;&gt;"Não se aplica",SUMIF(TE!$G$49:'TE'!$G$87,$I$2,TE!$P$49:'TE'!$P$87),IF($F$2&lt;&gt;"Não se aplica",SUMIF(TE!$F$49:'TE'!$F$87,$I$2,TE!$P$49:'TE'!$P$87),IF($E$2&lt;&gt;"Não se aplica",SUMIF(TE!$E$49:'TE'!$E$87,$I$2,TE!$P$49:'TE'!$P$87),IF($D$2&lt;&gt;"Não se aplica",SUMIF(TE!$D$49:'TE'!$D$87,$I$2,TE!$P$49:'TE'!$P$87),IF($C$2&lt;&gt;"Não se aplica",SUMIF(TE!$C$49:'TE'!$C$87,$I$2,TE!$P$49:'TE'!$P$87),IF($B$2&lt;&gt;"Não se aplica",SUMIF(TE!$B$49:'TE'!$B$87,$I$2,TE!$P$49:'TE'!$P$87),SUMIF(TE!$A$49:'TE'!$A$87,$I$2,TE!$P$49:'TE'!$P$87)))))))</f>
        <v>0</v>
      </c>
      <c r="G9" s="19">
        <f>IF($G$2&lt;&gt;"Não se aplica",SUMIF(TE!$G$49:'TE'!$G$87,$I$2,TE!$Q$49:'TE'!$Q$87),IF($F$2&lt;&gt;"Não se aplica",SUMIF(TE!$F$49:'TE'!$F$87,$I$2,TE!$Q$49:'TE'!$Q$87),IF($E$2&lt;&gt;"Não se aplica",SUMIF(TE!$E$49:'TE'!$E$87,$I$2,TE!$Q$49:'TE'!$Q$87),IF($D$2&lt;&gt;"Não se aplica",SUMIF(TE!$D$49:'TE'!$D$87,$I$2,TE!$Q$49:'TE'!$Q$87),IF($C$2&lt;&gt;"Não se aplica",SUMIF(TE!$C$49:'TE'!$C$87,$I$2,TE!$Q$49:'TE'!$Q$87),IF($B$2&lt;&gt;"Não se aplica",SUMIF(TE!$B$49:'TE'!$B$87,$I$2,TE!$Q$49:'TE'!$Q$87),SUMIF(TE!$A$49:'TE'!$A$87,$I$2,TE!$Q$49:'TE'!$Q$87)))))))</f>
        <v>4698927.6848570146</v>
      </c>
      <c r="H9" s="19">
        <f>IF($G$2&lt;&gt;"Não se aplica",SUMIF(TE!$G$49:'TE'!$G$87,$I$2,TE!$R$49:'TE'!$R$87),IF($F$2&lt;&gt;"Não se aplica",SUMIF(TE!$F$49:'TE'!$F$87,$I$2,TE!$R$49:'TE'!$R$87),IF($E$2&lt;&gt;"Não se aplica",SUMIF(TE!$E$49:'TE'!$E$87,$I$2,TE!$R$49:'TE'!$R$87),IF($D$2&lt;&gt;"Não se aplica",SUMIF(TE!$D$49:'TE'!$D$87,$I$2,TE!$R$49:'TE'!$R$87),IF($C$2&lt;&gt;"Não se aplica",SUMIF(TE!$C$49:'TE'!$C$87,$I$2,TE!$R$49:'TE'!$R$87),IF($B$2&lt;&gt;"Não se aplica",SUMIF(TE!$B$49:'TE'!$B$87,$I$2,TE!$R$49:'TE'!$R$87),SUMIF(TE!$A$49:'TE'!$A$87,$I$2,TE!$R$49:'TE'!$R$87)))))))</f>
        <v>0</v>
      </c>
      <c r="I9" s="19">
        <f>IF($G$2&lt;&gt;"Não se aplica",SUMIF(TE!$G$49:'TE'!$G$87,$I$2,TE!$S$49:'TE'!$S$87),IF($F$2&lt;&gt;"Não se aplica",SUMIF(TE!$F$49:'TE'!$F$87,$I$2,TE!$S$49:'TE'!$S$87),IF($E$2&lt;&gt;"Não se aplica",SUMIF(TE!$E$49:'TE'!$E$87,$I$2,TE!$S$49:'TE'!$S$87),IF($D$2&lt;&gt;"Não se aplica",SUMIF(TE!$D$49:'TE'!$D$87,$I$2,TE!$S$49:'TE'!$S$87),IF($C$2&lt;&gt;"Não se aplica",SUMIF(TE!$C$49:'TE'!$C$87,$I$2,TE!$S$49:'TE'!$S$87),IF($B$2&lt;&gt;"Não se aplica",SUMIF(TE!$B$49:'TE'!$B$87,$I$2,TE!$S$49:'TE'!$S$87),SUMIF(TE!$A$49:'TE'!$A$87,$I$2,TE!$S$49:'TE'!$S$87)))))))</f>
        <v>0</v>
      </c>
      <c r="J9" s="19">
        <f>IF($G$2&lt;&gt;"Não se aplica",SUMIF(TE!$G$49:'TE'!$G$87,$I$2,TE!$T$49:'TE'!$T$87),IF($F$2&lt;&gt;"Não se aplica",SUMIF(TE!$F$49:'TE'!$F$87,$I$2,TE!$T$49:'TE'!$T$87),IF($E$2&lt;&gt;"Não se aplica",SUMIF(TE!$E$49:'TE'!$E$87,$I$2,TE!$T$49:'TE'!$T$87),IF($D$2&lt;&gt;"Não se aplica",SUMIF(TE!$D$49:'TE'!$D$87,$I$2,TE!$T$49:'TE'!$T$87),IF($C$2&lt;&gt;"Não se aplica",SUMIF(TE!$C$49:'TE'!$C$87,$I$2,TE!$T$49:'TE'!$T$87),IF($B$2&lt;&gt;"Não se aplica",SUMIF(TE!$B$49:'TE'!$B$87,$I$2,TE!$T$49:'TE'!$T$87),SUMIF(TE!$A$49:'TE'!$A$87,$I$2,TE!$T$49:'TE'!$T$87)))))))</f>
        <v>0</v>
      </c>
      <c r="K9" s="19">
        <f>IF($G$2&lt;&gt;"Não se aplica",SUMIF(TE!$G$49:'TE'!$G$87,$I$2,TE!$U$49:'TE'!$U$87),IF($F$2&lt;&gt;"Não se aplica",SUMIF(TE!$F$49:'TE'!$F$87,$I$2,TE!$U$49:'TE'!$U$87),IF($E$2&lt;&gt;"Não se aplica",SUMIF(TE!$E$49:'TE'!$E$87,$I$2,TE!$U$49:'TE'!$U$87),IF($D$2&lt;&gt;"Não se aplica",SUMIF(TE!$D$49:'TE'!$D$87,$I$2,TE!$U$49:'TE'!$U$87),IF($C$2&lt;&gt;"Não se aplica",SUMIF(TE!$C$49:'TE'!$C$87,$I$2,TE!$U$49:'TE'!$U$87),IF($B$2&lt;&gt;"Não se aplica",SUMIF(TE!$B$49:'TE'!$B$87,$I$2,TE!$U$49:'TE'!$U$87),SUMIF(TE!$A$49:'TE'!$A$87,$I$2,TE!$U$49:'TE'!$U$87)))))))</f>
        <v>-837772.29588684102</v>
      </c>
      <c r="L9" s="19">
        <f>IF($G$2&lt;&gt;"Não se aplica",SUMIF(TE!$G$49:'TE'!$G$87,$I$2,TE!$V$49:'TE'!$V$87),IF($F$2&lt;&gt;"Não se aplica",SUMIF(TE!$F$49:'TE'!$F$87,$I$2,TE!$V$49:'TE'!$V$87),IF($E$2&lt;&gt;"Não se aplica",SUMIF(TE!$E$49:'TE'!$E$87,$I$2,TE!$V$49:'TE'!$V$87),IF($D$2&lt;&gt;"Não se aplica",SUMIF(TE!$D$49:'TE'!$D$87,$I$2,TE!$V$49:'TE'!$V$87),IF($C$2&lt;&gt;"Não se aplica",SUMIF(TE!$C$49:'TE'!$C$87,$I$2,TE!$V$49:'TE'!$V$87),IF($B$2&lt;&gt;"Não se aplica",SUMIF(TE!$B$49:'TE'!$B$87,$I$2,TE!$V$49:'TE'!$V$87),SUMIF(TE!$A$49:'TE'!$A$87,$I$2,TE!$V$49:'TE'!$V$87)))))))</f>
        <v>0</v>
      </c>
      <c r="M9" s="19">
        <f t="shared" si="0"/>
        <v>4048889.9526428753</v>
      </c>
      <c r="AD9" s="15" t="s">
        <v>47</v>
      </c>
    </row>
    <row r="10" spans="1:33" x14ac:dyDescent="0.2">
      <c r="A10" s="15" t="s">
        <v>1074</v>
      </c>
      <c r="B10" s="19">
        <f>SUMIF(TE!$A$49:'TE'!$A$87,$A$2,TE!$X$49:'TE'!$X$87)</f>
        <v>50205.018738920044</v>
      </c>
      <c r="C10" s="19">
        <f>SUMIF(TE!$A$49:'TE'!$A$87,$A$2,TE!$Y$49:'TE'!$Y$87)</f>
        <v>0</v>
      </c>
      <c r="D10" s="19">
        <f>SUMIF(TE!$A$49:'TE'!$A$87,$A$2,TE!$Z$49:'TE'!$Z$87)</f>
        <v>0</v>
      </c>
      <c r="E10" s="19">
        <f>SUMIF(TE!$A$49:'TE'!$A$87,$A$2,TE!$AA$49:'TE'!$AA$87)</f>
        <v>0</v>
      </c>
      <c r="F10" s="19">
        <f>SUMIF(TE!$A$49:'TE'!$A$87,$A$2,TE!$AB$49:'TE'!$AB$87)</f>
        <v>0</v>
      </c>
      <c r="G10" s="19">
        <f>SUMIF(TE!$A$49:'TE'!$A$87,$A$2,TE!$AC$49:'TE'!$AC$87)</f>
        <v>4944736.6286599329</v>
      </c>
      <c r="H10" s="19">
        <f>SUMIF(TE!$A$49:'TE'!$A$87,$A$2,TE!$AD$49:'TE'!$AD$87)</f>
        <v>0</v>
      </c>
      <c r="I10" s="19">
        <f>SUMIF(TE!$A$49:'TE'!$A$87,$A$2,TE!$AE$49:'TE'!$AE$87)</f>
        <v>0</v>
      </c>
      <c r="J10" s="19">
        <f>SUMIF(TE!$A$49:'TE'!$A$87,$A$2,TE!$AF$49:'TE'!$AF$87)</f>
        <v>0</v>
      </c>
      <c r="K10" s="19">
        <f>SUMIF(TE!$A$49:'TE'!$A$87,$A$2,TE!$AG$49:'TE'!$AG$87)</f>
        <v>0</v>
      </c>
      <c r="L10" s="19">
        <f>SUMIF(TE!$A$49:'TE'!$A$87,$A$2,TE!$AH$49:'TE'!$AH$87)</f>
        <v>0</v>
      </c>
      <c r="M10" s="19">
        <f t="shared" si="0"/>
        <v>4994941.6473988527</v>
      </c>
      <c r="AD10" s="15" t="s">
        <v>97</v>
      </c>
    </row>
    <row r="11" spans="1:33" x14ac:dyDescent="0.2">
      <c r="A11" s="15" t="s">
        <v>1075</v>
      </c>
      <c r="B11" s="19">
        <f>SUMIF(TE!$A$49:'TE'!$A$87,$A$2,TE!$L$49:'TE'!$L$87)</f>
        <v>48101.468300233064</v>
      </c>
      <c r="C11" s="19">
        <f>SUMIF(TE!$A$49:'TE'!$A$87,$A$2,TE!$M$49:'TE'!$M$87)</f>
        <v>0</v>
      </c>
      <c r="D11" s="19">
        <f>SUMIF(TE!$A$49:'TE'!$A$87,$A$2,TE!$N$49:'TE'!$N$87)</f>
        <v>0</v>
      </c>
      <c r="E11" s="19">
        <f>SUMIF(TE!$A$49:'TE'!$A$87,$A$2,TE!$O$49:'TE'!$O$87)</f>
        <v>139633.0953724687</v>
      </c>
      <c r="F11" s="19">
        <f>SUMIF(TE!$A$49:'TE'!$A$87,$A$2,TE!$P$49:'TE'!$P$87)</f>
        <v>0</v>
      </c>
      <c r="G11" s="19">
        <f>SUMIF(TE!$A$49:'TE'!$A$87,$A$2,TE!$Q$49:'TE'!$Q$87)</f>
        <v>4698927.6848570146</v>
      </c>
      <c r="H11" s="19">
        <f>SUMIF(TE!$A$49:'TE'!$A$87,$A$2,TE!$R$49:'TE'!$R$87)</f>
        <v>0</v>
      </c>
      <c r="I11" s="19">
        <f>SUMIF(TE!$A$49:'TE'!$A$87,$A$2,TE!$S$49:'TE'!$S$87)</f>
        <v>0</v>
      </c>
      <c r="J11" s="19">
        <f>SUMIF(TE!$A$49:'TE'!$A$87,$A$2,TE!$T$49:'TE'!$T$87)</f>
        <v>0</v>
      </c>
      <c r="K11" s="19">
        <f>SUMIF(TE!$A$49:'TE'!$A$87,$A$2,TE!$U$49:'TE'!$U$87)</f>
        <v>-837772.29588684102</v>
      </c>
      <c r="L11" s="19">
        <f>SUMIF(TE!$A$49:'TE'!$A$87,$A$2,TE!$V$49:'TE'!$V$87)</f>
        <v>0</v>
      </c>
      <c r="M11" s="19">
        <f t="shared" si="0"/>
        <v>4048889.9526428753</v>
      </c>
    </row>
    <row r="13" spans="1:33" x14ac:dyDescent="0.2">
      <c r="A13" s="15" t="s">
        <v>1079</v>
      </c>
      <c r="B13" s="30">
        <f t="shared" ref="B13:M13" si="1">IF($M$6&lt;&gt;0,(B$7-B$6)/$M$6,0)</f>
        <v>-4.0594958294075476E-4</v>
      </c>
      <c r="C13" s="30">
        <f t="shared" si="1"/>
        <v>0</v>
      </c>
      <c r="D13" s="30">
        <f t="shared" si="1"/>
        <v>0</v>
      </c>
      <c r="E13" s="30">
        <f t="shared" si="1"/>
        <v>2.7868398992686123E-2</v>
      </c>
      <c r="F13" s="30">
        <f t="shared" si="1"/>
        <v>0</v>
      </c>
      <c r="G13" s="30">
        <f t="shared" si="1"/>
        <v>-4.7906819866673923E-2</v>
      </c>
      <c r="H13" s="30">
        <f t="shared" si="1"/>
        <v>0</v>
      </c>
      <c r="I13" s="30">
        <f t="shared" si="1"/>
        <v>0</v>
      </c>
      <c r="J13" s="30">
        <f t="shared" si="1"/>
        <v>0</v>
      </c>
      <c r="K13" s="30">
        <f t="shared" si="1"/>
        <v>-0.16793398938002649</v>
      </c>
      <c r="L13" s="30">
        <f t="shared" si="1"/>
        <v>0</v>
      </c>
      <c r="M13" s="30">
        <f t="shared" si="1"/>
        <v>-0.18837835983695497</v>
      </c>
    </row>
    <row r="14" spans="1:33" x14ac:dyDescent="0.2">
      <c r="A14" s="15" t="s">
        <v>1080</v>
      </c>
      <c r="B14" s="30">
        <f t="shared" ref="B14:M14" si="2">IF($M$10&lt;&gt;0,(B$9-B$8)/$M$10,0)</f>
        <v>-4.2113613875397658E-4</v>
      </c>
      <c r="C14" s="30">
        <f t="shared" si="2"/>
        <v>0</v>
      </c>
      <c r="D14" s="30">
        <f t="shared" si="2"/>
        <v>0</v>
      </c>
      <c r="E14" s="30">
        <f t="shared" si="2"/>
        <v>2.795490022294525E-2</v>
      </c>
      <c r="F14" s="30">
        <f t="shared" si="2"/>
        <v>0</v>
      </c>
      <c r="G14" s="30">
        <f t="shared" si="2"/>
        <v>-4.9211574659921174E-2</v>
      </c>
      <c r="H14" s="30">
        <f t="shared" si="2"/>
        <v>0</v>
      </c>
      <c r="I14" s="30">
        <f t="shared" si="2"/>
        <v>0</v>
      </c>
      <c r="J14" s="30">
        <f t="shared" si="2"/>
        <v>0</v>
      </c>
      <c r="K14" s="30">
        <f t="shared" si="2"/>
        <v>-0.16772414074609185</v>
      </c>
      <c r="L14" s="30">
        <f t="shared" si="2"/>
        <v>0</v>
      </c>
      <c r="M14" s="30">
        <f t="shared" si="2"/>
        <v>-0.18940195132182172</v>
      </c>
    </row>
    <row r="15" spans="1:33" x14ac:dyDescent="0.2">
      <c r="A15" s="15" t="s">
        <v>1081</v>
      </c>
      <c r="B15" s="30">
        <f t="shared" ref="B15:M15" si="3">IF($M$8&lt;&gt;0,(B$9-B$8)/$M$8,0)</f>
        <v>-4.2113613875397658E-4</v>
      </c>
      <c r="C15" s="30">
        <f t="shared" si="3"/>
        <v>0</v>
      </c>
      <c r="D15" s="30">
        <f t="shared" si="3"/>
        <v>0</v>
      </c>
      <c r="E15" s="30">
        <f t="shared" si="3"/>
        <v>2.795490022294525E-2</v>
      </c>
      <c r="F15" s="30">
        <f t="shared" si="3"/>
        <v>0</v>
      </c>
      <c r="G15" s="30">
        <f t="shared" si="3"/>
        <v>-4.9211574659921174E-2</v>
      </c>
      <c r="H15" s="30">
        <f t="shared" si="3"/>
        <v>0</v>
      </c>
      <c r="I15" s="30">
        <f t="shared" si="3"/>
        <v>0</v>
      </c>
      <c r="J15" s="30">
        <f t="shared" si="3"/>
        <v>0</v>
      </c>
      <c r="K15" s="30">
        <f t="shared" si="3"/>
        <v>-0.16772414074609185</v>
      </c>
      <c r="L15" s="30">
        <f t="shared" si="3"/>
        <v>0</v>
      </c>
      <c r="M15" s="30">
        <f t="shared" si="3"/>
        <v>-0.18940195132182172</v>
      </c>
    </row>
  </sheetData>
  <dataValidations count="5">
    <dataValidation type="list" allowBlank="1" showInputMessage="1" showErrorMessage="1" sqref="A2 B2 G2" xr:uid="{61A5BFC4-9F6D-4C30-A6F9-798B3DAB98C2}">
      <formula1>AA1:AA5</formula1>
    </dataValidation>
    <dataValidation type="list" allowBlank="1" showInputMessage="1" showErrorMessage="1" sqref="C2" xr:uid="{52FDEC18-9C7C-4F17-A61D-E28121819FD1}">
      <formula1>AC1:AC4</formula1>
    </dataValidation>
    <dataValidation type="list" allowBlank="1" showInputMessage="1" showErrorMessage="1" sqref="D2" xr:uid="{F59C4BA1-F432-4FB9-BE24-177B4C0F9678}">
      <formula1>AD1:AD10</formula1>
    </dataValidation>
    <dataValidation type="list" allowBlank="1" showInputMessage="1" showErrorMessage="1" sqref="E2" xr:uid="{8BF51D42-ABBD-4E25-9904-238434309984}">
      <formula1>AE1:AE2</formula1>
    </dataValidation>
    <dataValidation type="list" allowBlank="1" showInputMessage="1" showErrorMessage="1" sqref="F2" xr:uid="{839FAAF3-CD82-4638-AC62-25B44523FCE5}">
      <formula1>AF1:AF1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F6D4D-8DFE-459B-A6DE-AB0FB7759991}">
  <sheetPr codeName="Planilha28">
    <tabColor indexed="12" tint="-0.249977111117893"/>
  </sheetPr>
  <dimension ref="A1:BC58"/>
  <sheetViews>
    <sheetView showGridLines="0" topLeftCell="AH45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7.85546875" style="9" bestFit="1" customWidth="1"/>
    <col min="14" max="14" width="8.7109375" style="9" bestFit="1" customWidth="1"/>
    <col min="15" max="15" width="4.140625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0" width="10.85546875" style="9" bestFit="1" customWidth="1"/>
    <col min="21" max="22" width="10" style="9" bestFit="1" customWidth="1"/>
    <col min="23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29" width="11.7109375" style="9" bestFit="1" customWidth="1"/>
    <col min="30" max="30" width="10.85546875" style="9" bestFit="1" customWidth="1"/>
    <col min="31" max="31" width="10.5703125" style="9" bestFit="1" customWidth="1"/>
    <col min="32" max="32" width="7.28515625" style="9" bestFit="1" customWidth="1"/>
    <col min="33" max="33" width="10.57031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7.85546875" style="9" bestFit="1" customWidth="1"/>
    <col min="38" max="38" width="10" style="9" bestFit="1" customWidth="1"/>
    <col min="39" max="39" width="10.85546875" style="9" bestFit="1" customWidth="1"/>
    <col min="40" max="40" width="9.140625" style="9"/>
    <col min="41" max="41" width="11.140625" style="9" bestFit="1" customWidth="1"/>
    <col min="42" max="42" width="10.85546875" style="9" bestFit="1" customWidth="1"/>
    <col min="43" max="16384" width="9.140625" style="9"/>
  </cols>
  <sheetData>
    <row r="1" spans="1:55" ht="11.25" customHeight="1" x14ac:dyDescent="0.25">
      <c r="A1" s="167" t="s">
        <v>68</v>
      </c>
      <c r="B1" s="167" t="s">
        <v>69</v>
      </c>
      <c r="C1" s="167" t="s">
        <v>70</v>
      </c>
      <c r="D1" s="167" t="s">
        <v>71</v>
      </c>
      <c r="E1" s="167" t="s">
        <v>72</v>
      </c>
      <c r="F1" s="167" t="s">
        <v>15</v>
      </c>
      <c r="G1" s="167" t="s">
        <v>74</v>
      </c>
      <c r="H1" s="167" t="s">
        <v>75</v>
      </c>
      <c r="I1" s="167" t="s">
        <v>573</v>
      </c>
      <c r="J1" s="155"/>
      <c r="L1" s="168" t="s">
        <v>584</v>
      </c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  <c r="AC1" s="168"/>
      <c r="AD1" s="168"/>
      <c r="AE1" s="168"/>
      <c r="AF1" s="168"/>
      <c r="AG1" s="168"/>
      <c r="AH1" s="168"/>
      <c r="AI1" s="168"/>
      <c r="AJ1" s="168"/>
      <c r="AK1" s="168"/>
      <c r="AL1" s="168"/>
      <c r="AM1" s="168"/>
      <c r="AO1" s="64"/>
      <c r="AP1" s="171" t="s">
        <v>575</v>
      </c>
      <c r="AQ1" s="185" t="s">
        <v>1</v>
      </c>
      <c r="AR1" s="187" t="s">
        <v>2</v>
      </c>
      <c r="AS1" s="187" t="s">
        <v>3</v>
      </c>
      <c r="AT1" s="187" t="s">
        <v>4</v>
      </c>
      <c r="AU1" s="187" t="s">
        <v>5</v>
      </c>
      <c r="AV1" s="187" t="s">
        <v>1138</v>
      </c>
      <c r="AW1" s="187" t="s">
        <v>1139</v>
      </c>
      <c r="AX1" s="187" t="s">
        <v>1140</v>
      </c>
      <c r="AY1" s="187" t="s">
        <v>1141</v>
      </c>
      <c r="AZ1" s="187" t="s">
        <v>1142</v>
      </c>
      <c r="BC1" s="187" t="s">
        <v>1143</v>
      </c>
    </row>
    <row r="2" spans="1:55" ht="11.25" customHeight="1" x14ac:dyDescent="0.25">
      <c r="A2" s="167"/>
      <c r="B2" s="167"/>
      <c r="C2" s="167"/>
      <c r="D2" s="167"/>
      <c r="E2" s="167"/>
      <c r="F2" s="167"/>
      <c r="G2" s="167"/>
      <c r="H2" s="167"/>
      <c r="I2" s="167"/>
      <c r="J2" s="155"/>
      <c r="L2" s="168" t="s">
        <v>483</v>
      </c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H2" s="168"/>
      <c r="AI2" s="168"/>
      <c r="AJ2" s="168"/>
      <c r="AK2" s="168"/>
      <c r="AL2" s="168"/>
      <c r="AM2" s="168"/>
      <c r="AO2" s="64"/>
      <c r="AP2" s="172"/>
      <c r="AQ2" s="186"/>
      <c r="AR2" s="188"/>
      <c r="AS2" s="188"/>
      <c r="AT2" s="188"/>
      <c r="AU2" s="188"/>
      <c r="AV2" s="188"/>
      <c r="AW2" s="188"/>
      <c r="AX2" s="188"/>
      <c r="AY2" s="188"/>
      <c r="AZ2" s="188"/>
      <c r="BC2" s="188"/>
    </row>
    <row r="3" spans="1:55" ht="11.25" customHeight="1" x14ac:dyDescent="0.25">
      <c r="A3" s="167"/>
      <c r="B3" s="167"/>
      <c r="C3" s="167"/>
      <c r="D3" s="167"/>
      <c r="E3" s="167"/>
      <c r="F3" s="167"/>
      <c r="G3" s="167"/>
      <c r="H3" s="167"/>
      <c r="I3" s="167"/>
      <c r="J3" s="155"/>
      <c r="L3" s="168" t="s">
        <v>484</v>
      </c>
      <c r="M3" s="168"/>
      <c r="N3" s="168"/>
      <c r="O3" s="168"/>
      <c r="P3" s="168"/>
      <c r="Q3" s="168"/>
      <c r="R3" s="168"/>
      <c r="S3" s="168"/>
      <c r="T3" s="168"/>
      <c r="U3" s="168" t="s">
        <v>493</v>
      </c>
      <c r="V3" s="168"/>
      <c r="W3" s="168"/>
      <c r="X3" s="168"/>
      <c r="Y3" s="168"/>
      <c r="Z3" s="168"/>
      <c r="AA3" s="168"/>
      <c r="AB3" s="168"/>
      <c r="AC3" s="168" t="s">
        <v>501</v>
      </c>
      <c r="AD3" s="168"/>
      <c r="AE3" s="168" t="s">
        <v>503</v>
      </c>
      <c r="AF3" s="168"/>
      <c r="AG3" s="168"/>
      <c r="AH3" s="168" t="s">
        <v>506</v>
      </c>
      <c r="AI3" s="168"/>
      <c r="AJ3" s="168"/>
      <c r="AK3" s="168"/>
      <c r="AL3" s="168"/>
      <c r="AM3" s="168" t="s">
        <v>492</v>
      </c>
      <c r="AO3" s="64"/>
      <c r="AP3" s="172"/>
      <c r="AQ3" s="186"/>
      <c r="AR3" s="188"/>
      <c r="AS3" s="188"/>
      <c r="AT3" s="188"/>
      <c r="AU3" s="188"/>
      <c r="AV3" s="188"/>
      <c r="AW3" s="188"/>
      <c r="AX3" s="188"/>
      <c r="AY3" s="188"/>
      <c r="AZ3" s="188"/>
      <c r="BC3" s="188"/>
    </row>
    <row r="4" spans="1:55" ht="11.25" customHeight="1" x14ac:dyDescent="0.25">
      <c r="A4" s="167"/>
      <c r="B4" s="167"/>
      <c r="C4" s="167"/>
      <c r="D4" s="167"/>
      <c r="E4" s="167"/>
      <c r="F4" s="167"/>
      <c r="G4" s="167"/>
      <c r="H4" s="167"/>
      <c r="I4" s="167"/>
      <c r="J4" s="155"/>
      <c r="L4" s="98" t="s">
        <v>569</v>
      </c>
      <c r="M4" s="98" t="s">
        <v>485</v>
      </c>
      <c r="N4" s="98" t="s">
        <v>486</v>
      </c>
      <c r="O4" s="98" t="s">
        <v>487</v>
      </c>
      <c r="P4" s="98" t="s">
        <v>488</v>
      </c>
      <c r="Q4" s="98" t="s">
        <v>489</v>
      </c>
      <c r="R4" s="98" t="s">
        <v>490</v>
      </c>
      <c r="S4" s="98" t="s">
        <v>491</v>
      </c>
      <c r="T4" s="98" t="s">
        <v>492</v>
      </c>
      <c r="U4" s="98" t="s">
        <v>494</v>
      </c>
      <c r="V4" s="98" t="s">
        <v>495</v>
      </c>
      <c r="W4" s="98" t="s">
        <v>496</v>
      </c>
      <c r="X4" s="98" t="s">
        <v>497</v>
      </c>
      <c r="Y4" s="98" t="s">
        <v>498</v>
      </c>
      <c r="Z4" s="98" t="s">
        <v>499</v>
      </c>
      <c r="AA4" s="98" t="s">
        <v>500</v>
      </c>
      <c r="AB4" s="98" t="s">
        <v>492</v>
      </c>
      <c r="AC4" s="98" t="s">
        <v>502</v>
      </c>
      <c r="AD4" s="98" t="s">
        <v>492</v>
      </c>
      <c r="AE4" s="98" t="s">
        <v>504</v>
      </c>
      <c r="AF4" s="98" t="s">
        <v>505</v>
      </c>
      <c r="AG4" s="98" t="s">
        <v>492</v>
      </c>
      <c r="AH4" s="98" t="s">
        <v>507</v>
      </c>
      <c r="AI4" s="98" t="s">
        <v>508</v>
      </c>
      <c r="AJ4" s="98" t="s">
        <v>509</v>
      </c>
      <c r="AK4" s="98" t="s">
        <v>510</v>
      </c>
      <c r="AL4" s="98" t="s">
        <v>492</v>
      </c>
      <c r="AM4" s="170"/>
      <c r="AO4" s="65" t="s">
        <v>586</v>
      </c>
      <c r="AP4" s="173"/>
      <c r="AQ4" s="186"/>
      <c r="AR4" s="188"/>
      <c r="AS4" s="188"/>
      <c r="AT4" s="188"/>
      <c r="AU4" s="188"/>
      <c r="AV4" s="188"/>
      <c r="AW4" s="188"/>
      <c r="AX4" s="188"/>
      <c r="AY4" s="188"/>
      <c r="AZ4" s="188"/>
      <c r="BC4" s="188"/>
    </row>
    <row r="5" spans="1:55" ht="11.25" customHeight="1" x14ac:dyDescent="0.25">
      <c r="A5" s="166" t="s">
        <v>38</v>
      </c>
      <c r="B5" s="166" t="s">
        <v>50</v>
      </c>
      <c r="C5" s="166" t="s">
        <v>25</v>
      </c>
      <c r="D5" s="166" t="s">
        <v>25</v>
      </c>
      <c r="E5" s="166" t="s">
        <v>25</v>
      </c>
      <c r="F5" s="166" t="s">
        <v>25</v>
      </c>
      <c r="G5" s="57" t="s">
        <v>84</v>
      </c>
      <c r="H5" s="57" t="s">
        <v>83</v>
      </c>
      <c r="I5" s="57">
        <f>'MERCADO TUSD'!$U$2</f>
        <v>2940</v>
      </c>
      <c r="J5" s="16"/>
      <c r="L5" s="17">
        <f>'TUSD BE'!$L$5*'TUSD BE'!$L$58</f>
        <v>0</v>
      </c>
      <c r="M5" s="17">
        <f>'TUSD BE'!$M$5*'TUSD BE'!$M$58</f>
        <v>0</v>
      </c>
      <c r="N5" s="17">
        <f ca="1">'TUSD BE'!$N$5*'TUSD BE'!$N$58</f>
        <v>0</v>
      </c>
      <c r="O5" s="17">
        <f>'TUSD BE'!$O$5*'TUSD BE'!$O$58</f>
        <v>0</v>
      </c>
      <c r="P5" s="17">
        <f>'TUSD BE'!$P$5*'TUSD BE'!$P$58</f>
        <v>0</v>
      </c>
      <c r="Q5" s="17">
        <f>'TUSD BE'!$Q$5*'TUSD BE'!$Q$58</f>
        <v>0</v>
      </c>
      <c r="R5" s="17">
        <f>'TUSD BE'!$R$5*'TUSD BE'!$R$58</f>
        <v>0</v>
      </c>
      <c r="S5" s="17">
        <f>'TUSD BE'!$R$5*'TUSD BE'!$S$58</f>
        <v>0</v>
      </c>
      <c r="T5" s="17">
        <f ca="1">SUM($L$5:$S$5)</f>
        <v>0</v>
      </c>
      <c r="U5" s="17">
        <f>'TUSD BE'!$U$5*'TUSD BE'!$U$58</f>
        <v>-0.20911365937693677</v>
      </c>
      <c r="V5" s="17">
        <f>'TUSD BE'!$V$5*'TUSD BE'!$V$58</f>
        <v>-0.15482243164854143</v>
      </c>
      <c r="W5" s="17">
        <f>'TUSD BE'!$W$5*'TUSD BE'!$W$58</f>
        <v>-1.4976049763205754E-2</v>
      </c>
      <c r="X5" s="17">
        <f>'TUSD BE'!$X$5*'TUSD BE'!$X$58</f>
        <v>0</v>
      </c>
      <c r="Y5" s="17">
        <f>'TUSD BE'!$Y$5*'TUSD BE'!$Y$58</f>
        <v>0</v>
      </c>
      <c r="Z5" s="17">
        <f>'TUSD BE'!$Z$5*'TUSD BE'!$Z$58</f>
        <v>0</v>
      </c>
      <c r="AA5" s="17">
        <f>'TUSD BE'!$AA$5*'TUSD BE'!$AA$58</f>
        <v>0</v>
      </c>
      <c r="AB5" s="17">
        <f>SUM($U$5:$AA$5)</f>
        <v>-0.37891214078868396</v>
      </c>
      <c r="AC5" s="17">
        <f>'TUSD BE'!$AC$5*'TUSD BE'!$AC$58</f>
        <v>-0.23789104352270876</v>
      </c>
      <c r="AD5" s="17">
        <f>SUM($AC$5:$AC$5)</f>
        <v>-0.23789104352270876</v>
      </c>
      <c r="AE5" s="17">
        <f ca="1">$AO$5*$AO$55</f>
        <v>-4.7425810949930094</v>
      </c>
      <c r="AF5" s="17">
        <f ca="1">$AP$5*$AP$55</f>
        <v>0</v>
      </c>
      <c r="AG5" s="17">
        <f ca="1">SUM($AE$5:$AF$5)</f>
        <v>-4.7425810949930094</v>
      </c>
      <c r="AH5" s="17">
        <f>'TUSD BE'!$AH$5*'TUSD BE'!$AH$58</f>
        <v>0</v>
      </c>
      <c r="AI5" s="17">
        <f>'TUSD BE'!$AI$5*'TUSD BE'!$AI$58</f>
        <v>0</v>
      </c>
      <c r="AJ5" s="17">
        <f ca="1">'TUSD BE'!$AJ$5*'TUSD BE'!$AJ$58</f>
        <v>0</v>
      </c>
      <c r="AK5" s="17">
        <f ca="1">'TUSD BE'!$AK$5*'TUSD BE'!$AK$58</f>
        <v>0</v>
      </c>
      <c r="AL5" s="17">
        <f ca="1">SUM($AH$5:$AK$5)</f>
        <v>0</v>
      </c>
      <c r="AM5" s="17">
        <f ca="1">SUMIF($L$4:$AL$4,"SUBTOTAL",$L$5:$AL$5)+AZ5</f>
        <v>-5.3593842793044022</v>
      </c>
      <c r="AO5" s="64">
        <f ca="1">+'TUSD BE'!$T$5+'TUSD BE'!$AB$5+'TUSD BE'!$AD$5+'TUSD BE'!$AL$5</f>
        <v>26.498814555257638</v>
      </c>
      <c r="AP5" s="64">
        <f ca="1">+'TUSD BE'!$T$5+'TUSD BE'!$AB$5+'TUSD BE'!$AD$5+'TUSD BE'!$AL$5</f>
        <v>26.498814555257638</v>
      </c>
      <c r="AQ5" s="9" t="str">
        <f t="shared" ref="AQ5:AQ51" si="0">IF($A5="",AQ4,$A5)</f>
        <v>A4</v>
      </c>
      <c r="AR5" s="9" t="str">
        <f t="shared" ref="AR5:AR51" si="1">IF($B5="",AR4,$B5)</f>
        <v>Azul</v>
      </c>
      <c r="AS5" s="9" t="str">
        <f t="shared" ref="AS5:AS51" si="2">IF($C5="",AS4,$C5)</f>
        <v>Não se aplica</v>
      </c>
      <c r="AT5" s="9" t="str">
        <f t="shared" ref="AT5:AT51" si="3">IF($D5="",AT4,$D5)</f>
        <v>Não se aplica</v>
      </c>
      <c r="AU5" s="9" t="str">
        <f t="shared" ref="AU5:AU51" si="4">IF($E5="",AU4,$E5)</f>
        <v>Não se aplica</v>
      </c>
      <c r="AV5" s="9">
        <f t="shared" ref="AV5:AV51" si="5">IF(OR(AR5="Distribuição",AR5="Geração"),0,1)</f>
        <v>1</v>
      </c>
      <c r="AW5" s="9">
        <f ca="1">IFERROR(VLOOKUP(AQ5,TarifaMedia!$C$17:$G$17,5,0),0)</f>
        <v>0</v>
      </c>
      <c r="AX5" s="16">
        <f ca="1">'TUSD BE'!$AM5+'TUSD BF'!$AM5+'TUSD CVA'!$AM5</f>
        <v>21.872529606029175</v>
      </c>
      <c r="AY5" s="9">
        <v>47.94</v>
      </c>
      <c r="AZ5" s="9">
        <f t="shared" ref="AZ5:AZ51" ca="1" si="6">(AY5-AX5)*AW5*AV5</f>
        <v>0</v>
      </c>
      <c r="BC5" s="106" t="s">
        <v>1144</v>
      </c>
    </row>
    <row r="6" spans="1:55" ht="11.25" customHeight="1" x14ac:dyDescent="0.25">
      <c r="A6" s="166"/>
      <c r="B6" s="166"/>
      <c r="C6" s="166"/>
      <c r="D6" s="166"/>
      <c r="E6" s="166"/>
      <c r="F6" s="166"/>
      <c r="G6" s="57" t="s">
        <v>85</v>
      </c>
      <c r="H6" s="57" t="s">
        <v>83</v>
      </c>
      <c r="I6" s="57">
        <f>'MERCADO TUSD'!$U$3</f>
        <v>2940</v>
      </c>
      <c r="J6" s="16"/>
      <c r="L6" s="17">
        <f>'TUSD BE'!$L$6*'TUSD BE'!$L$58</f>
        <v>0</v>
      </c>
      <c r="M6" s="17">
        <f>'TUSD BE'!$M$6*'TUSD BE'!$M$58</f>
        <v>0</v>
      </c>
      <c r="N6" s="17">
        <f ca="1">'TUSD BE'!$N$6*'TUSD BE'!$N$58</f>
        <v>0</v>
      </c>
      <c r="O6" s="17">
        <f>'TUSD BE'!$O$6*'TUSD BE'!$O$58</f>
        <v>0</v>
      </c>
      <c r="P6" s="17">
        <f>'TUSD BE'!$P$6*'TUSD BE'!$P$58</f>
        <v>0</v>
      </c>
      <c r="Q6" s="17">
        <f>'TUSD BE'!$Q$6*'TUSD BE'!$Q$58</f>
        <v>0</v>
      </c>
      <c r="R6" s="17">
        <f>'TUSD BE'!$R$6*'TUSD BE'!$R$58</f>
        <v>0</v>
      </c>
      <c r="S6" s="17">
        <f>'TUSD BE'!$R$6*'TUSD BE'!$S$58</f>
        <v>0</v>
      </c>
      <c r="T6" s="17">
        <f ca="1">SUM($L$6:$S$6)</f>
        <v>0</v>
      </c>
      <c r="U6" s="17">
        <f>'TUSD BE'!$U$6*'TUSD BE'!$U$58</f>
        <v>-0.20915052140181428</v>
      </c>
      <c r="V6" s="17">
        <f>'TUSD BE'!$V$6*'TUSD BE'!$V$58</f>
        <v>-0.13365336948833179</v>
      </c>
      <c r="W6" s="17">
        <f>'TUSD BE'!$W$6*'TUSD BE'!$W$58</f>
        <v>-1.4298668401556271E-2</v>
      </c>
      <c r="X6" s="17">
        <f>'TUSD BE'!$X$6*'TUSD BE'!$X$58</f>
        <v>0</v>
      </c>
      <c r="Y6" s="17">
        <f>'TUSD BE'!$Y$6*'TUSD BE'!$Y$58</f>
        <v>0</v>
      </c>
      <c r="Z6" s="17">
        <f>'TUSD BE'!$Z$6*'TUSD BE'!$Z$58</f>
        <v>0</v>
      </c>
      <c r="AA6" s="17">
        <f>'TUSD BE'!$AA$6*'TUSD BE'!$AA$58</f>
        <v>0</v>
      </c>
      <c r="AB6" s="17">
        <f>SUM($U$6:$AA$6)</f>
        <v>-0.35710255929170232</v>
      </c>
      <c r="AC6" s="17">
        <f>'TUSD BE'!$AC$6*'TUSD BE'!$AC$58</f>
        <v>-0.23789104352270876</v>
      </c>
      <c r="AD6" s="17">
        <f>SUM($AC$6:$AC$6)</f>
        <v>-0.23789104352270876</v>
      </c>
      <c r="AE6" s="17">
        <f ca="1">$AO$6*$AO$55</f>
        <v>-4.5883503212995524</v>
      </c>
      <c r="AF6" s="17">
        <f ca="1">$AP$6*$AP$55</f>
        <v>0</v>
      </c>
      <c r="AG6" s="17">
        <f ca="1">SUM($AE$6:$AF$6)</f>
        <v>-4.5883503212995524</v>
      </c>
      <c r="AH6" s="17">
        <f>'TUSD BE'!$AH$6*'TUSD BE'!$AH$58</f>
        <v>0</v>
      </c>
      <c r="AI6" s="17">
        <f>'TUSD BE'!$AI$6*'TUSD BE'!$AI$58</f>
        <v>0</v>
      </c>
      <c r="AJ6" s="17">
        <f ca="1">'TUSD BE'!$AJ$6*'TUSD BE'!$AJ$58</f>
        <v>0</v>
      </c>
      <c r="AK6" s="17">
        <f ca="1">'TUSD BE'!$AK$6*'TUSD BE'!$AK$58</f>
        <v>0</v>
      </c>
      <c r="AL6" s="17">
        <f ca="1">SUM($AH$6:$AK$6)</f>
        <v>0</v>
      </c>
      <c r="AM6" s="17">
        <f ca="1">SUMIF($L$4:$AL$4,"SUBTOTAL",$L$6:$AL$6)+AZ6</f>
        <v>-5.1833439241139638</v>
      </c>
      <c r="AO6" s="64">
        <f ca="1">+'TUSD BE'!$T$6+'TUSD BE'!$AB$6+'TUSD BE'!$AD$6+'TUSD BE'!$AL$6</f>
        <v>25.637061727218157</v>
      </c>
      <c r="AP6" s="64">
        <f ca="1">+'TUSD BE'!$T$6+'TUSD BE'!$AB$6+'TUSD BE'!$AD$6+'TUSD BE'!$AL$6</f>
        <v>25.637061727218157</v>
      </c>
      <c r="AQ6" s="9" t="str">
        <f t="shared" si="0"/>
        <v>A4</v>
      </c>
      <c r="AR6" s="9" t="str">
        <f t="shared" si="1"/>
        <v>Azul</v>
      </c>
      <c r="AS6" s="9" t="str">
        <f t="shared" si="2"/>
        <v>Não se aplica</v>
      </c>
      <c r="AT6" s="9" t="str">
        <f t="shared" si="3"/>
        <v>Não se aplica</v>
      </c>
      <c r="AU6" s="9" t="str">
        <f t="shared" si="4"/>
        <v>Não se aplica</v>
      </c>
      <c r="AV6" s="9">
        <f t="shared" si="5"/>
        <v>1</v>
      </c>
      <c r="AW6" s="9">
        <f ca="1">IFERROR(VLOOKUP(AQ6,TarifaMedia!$C$17:$G$17,5,0),0)</f>
        <v>0</v>
      </c>
      <c r="AX6" s="16">
        <f ca="1">'TUSD BE'!$AM6+'TUSD BF'!$AM6+'TUSD CVA'!$AM6</f>
        <v>21.139573525578484</v>
      </c>
      <c r="AY6" s="9">
        <v>32.31</v>
      </c>
      <c r="AZ6" s="9">
        <f t="shared" ca="1" si="6"/>
        <v>0</v>
      </c>
      <c r="BC6" s="106" t="s">
        <v>1145</v>
      </c>
    </row>
    <row r="7" spans="1:55" ht="11.25" customHeight="1" x14ac:dyDescent="0.25">
      <c r="A7" s="166"/>
      <c r="B7" s="166"/>
      <c r="C7" s="166"/>
      <c r="D7" s="166"/>
      <c r="E7" s="166"/>
      <c r="F7" s="166"/>
      <c r="G7" s="57" t="s">
        <v>82</v>
      </c>
      <c r="H7" s="57" t="s">
        <v>78</v>
      </c>
      <c r="I7" s="57">
        <f>'MERCADO TUSD'!$U$4</f>
        <v>1433.7980000000002</v>
      </c>
      <c r="J7" s="16"/>
      <c r="L7" s="17">
        <f>'TUSD BE'!$L$7*'TUSD BE'!$L$58</f>
        <v>-0.51546794567633081</v>
      </c>
      <c r="M7" s="17">
        <f>'TUSD BE'!$M$7*'TUSD BE'!$M$58</f>
        <v>-1.9223303064930697E-2</v>
      </c>
      <c r="N7" s="17">
        <f ca="1">'TUSD BE'!$N$7*'TUSD BE'!$N$58</f>
        <v>-5.2539788556983754E-9</v>
      </c>
      <c r="O7" s="17">
        <f>'TUSD BE'!$O$7*'TUSD BE'!$O$58</f>
        <v>0</v>
      </c>
      <c r="P7" s="17">
        <f>'TUSD BE'!$P$7*'TUSD BE'!$P$58</f>
        <v>0</v>
      </c>
      <c r="Q7" s="17">
        <f>'TUSD BE'!$Q$7*'TUSD BE'!$Q$58</f>
        <v>-2.782261384740023</v>
      </c>
      <c r="R7" s="17">
        <f>'TUSD BE'!$R$7*'TUSD BE'!$R$58</f>
        <v>-0.5290859729511026</v>
      </c>
      <c r="S7" s="17">
        <f>'TUSD BE'!$R$7*'TUSD BE'!$S$58</f>
        <v>0</v>
      </c>
      <c r="T7" s="17">
        <f ca="1">SUM($L$7:$S$7)</f>
        <v>-3.8460386116863661</v>
      </c>
      <c r="U7" s="17">
        <f>'TUSD BE'!$U$7*'TUSD BE'!$U$58</f>
        <v>0</v>
      </c>
      <c r="V7" s="17">
        <f>'TUSD BE'!$V$7*'TUSD BE'!$V$58</f>
        <v>0</v>
      </c>
      <c r="W7" s="17">
        <f>'TUSD BE'!$W$7*'TUSD BE'!$W$58</f>
        <v>0</v>
      </c>
      <c r="X7" s="17">
        <f>'TUSD BE'!$X$7*'TUSD BE'!$X$58</f>
        <v>0</v>
      </c>
      <c r="Y7" s="17">
        <f>'TUSD BE'!$Y$7*'TUSD BE'!$Y$58</f>
        <v>0</v>
      </c>
      <c r="Z7" s="17">
        <f>'TUSD BE'!$Z$7*'TUSD BE'!$Z$58</f>
        <v>0</v>
      </c>
      <c r="AA7" s="17">
        <f>'TUSD BE'!$AA$7*'TUSD BE'!$AA$58</f>
        <v>0</v>
      </c>
      <c r="AB7" s="17">
        <f>SUM($U$7:$AA$7)</f>
        <v>0</v>
      </c>
      <c r="AC7" s="17">
        <f>'TUSD BE'!$AC$7*'TUSD BE'!$AC$58</f>
        <v>0</v>
      </c>
      <c r="AD7" s="17">
        <f>SUM($AC$7:$AC$7)</f>
        <v>0</v>
      </c>
      <c r="AE7" s="17">
        <f ca="1">$AO$7*$AO$55</f>
        <v>-18.013314834326135</v>
      </c>
      <c r="AF7" s="17">
        <f ca="1">$AP$7*$AP$55</f>
        <v>0</v>
      </c>
      <c r="AG7" s="17">
        <f ca="1">SUM($AE$7:$AF$7)</f>
        <v>-18.013314834326135</v>
      </c>
      <c r="AH7" s="17">
        <f>'TUSD BE'!$AH$7*'TUSD BE'!$AH$58</f>
        <v>2.0909956964107763E-2</v>
      </c>
      <c r="AI7" s="17">
        <f>'TUSD BE'!$AI$7*'TUSD BE'!$AI$58</f>
        <v>0</v>
      </c>
      <c r="AJ7" s="17">
        <f ca="1">'TUSD BE'!$AJ$7*'TUSD BE'!$AJ$58</f>
        <v>1.9523518920193234E-3</v>
      </c>
      <c r="AK7" s="17">
        <f ca="1">'TUSD BE'!$AK$7*'TUSD BE'!$AK$58</f>
        <v>0.10346740821665014</v>
      </c>
      <c r="AL7" s="17">
        <f ca="1">SUM($AH$7:$AK$7)</f>
        <v>0.12632971707277724</v>
      </c>
      <c r="AM7" s="17">
        <f ca="1">SUMIF($L$4:$AL$4,"SUBTOTAL",$L$7:$AL$7)+AZ7</f>
        <v>-21.733023728939724</v>
      </c>
      <c r="AO7" s="64">
        <f ca="1">+'TUSD BE'!$T$7+'TUSD BE'!$AB$7+'TUSD BE'!$AD$7+'TUSD BE'!$AL$7</f>
        <v>100.64803948723693</v>
      </c>
      <c r="AP7" s="64">
        <f ca="1">+'TUSD BE'!$T$7+'TUSD BE'!$AB$7+'TUSD BE'!$AD$7+'TUSD BE'!$AL$7</f>
        <v>100.64803948723693</v>
      </c>
      <c r="AQ7" s="9" t="str">
        <f t="shared" si="0"/>
        <v>A4</v>
      </c>
      <c r="AR7" s="9" t="str">
        <f t="shared" si="1"/>
        <v>Azul</v>
      </c>
      <c r="AS7" s="9" t="str">
        <f t="shared" si="2"/>
        <v>Não se aplica</v>
      </c>
      <c r="AT7" s="9" t="str">
        <f t="shared" si="3"/>
        <v>Não se aplica</v>
      </c>
      <c r="AU7" s="9" t="str">
        <f t="shared" si="4"/>
        <v>Não se aplica</v>
      </c>
      <c r="AV7" s="9">
        <f t="shared" si="5"/>
        <v>1</v>
      </c>
      <c r="AW7" s="9">
        <f ca="1">IFERROR(VLOOKUP(AQ7,TarifaMedia!$C$17:$G$17,5,0),0)</f>
        <v>0</v>
      </c>
      <c r="AX7" s="16">
        <f ca="1">'TUSD BE'!$AM7+'TUSD BF'!$AM7+'TUSD CVA'!$AM7</f>
        <v>95.815448102611441</v>
      </c>
      <c r="AY7" s="9">
        <v>116.79</v>
      </c>
      <c r="AZ7" s="9">
        <f t="shared" ca="1" si="6"/>
        <v>0</v>
      </c>
      <c r="BC7" s="106" t="s">
        <v>1146</v>
      </c>
    </row>
    <row r="8" spans="1:55" ht="11.25" customHeight="1" x14ac:dyDescent="0.25">
      <c r="A8" s="166"/>
      <c r="B8" s="166"/>
      <c r="C8" s="166"/>
      <c r="D8" s="166"/>
      <c r="E8" s="100" t="s">
        <v>86</v>
      </c>
      <c r="F8" s="100" t="s">
        <v>25</v>
      </c>
      <c r="G8" s="57" t="s">
        <v>82</v>
      </c>
      <c r="H8" s="57" t="s">
        <v>78</v>
      </c>
      <c r="I8" s="57">
        <f>'MERCADO TUSD'!$U$5</f>
        <v>0</v>
      </c>
      <c r="J8" s="16"/>
      <c r="L8" s="17">
        <f>'TUSD BE'!$L$8*'TUSD BE'!$L$58</f>
        <v>0</v>
      </c>
      <c r="M8" s="17">
        <f>'TUSD BE'!$M$8*'TUSD BE'!$M$58</f>
        <v>-1.9223303064930697E-2</v>
      </c>
      <c r="N8" s="17">
        <f ca="1">'TUSD BE'!$N$8*'TUSD BE'!$N$58</f>
        <v>-4.8908019517517017E-9</v>
      </c>
      <c r="O8" s="17">
        <f>'TUSD BE'!$O$8*'TUSD BE'!$O$58</f>
        <v>0</v>
      </c>
      <c r="P8" s="17">
        <f>'TUSD BE'!$P$8*'TUSD BE'!$P$58</f>
        <v>0</v>
      </c>
      <c r="Q8" s="17">
        <f>'TUSD BE'!$Q$8*'TUSD BE'!$Q$58</f>
        <v>0</v>
      </c>
      <c r="R8" s="17">
        <f>'TUSD BE'!$R$8*'TUSD BE'!$R$58</f>
        <v>0</v>
      </c>
      <c r="S8" s="17">
        <f>'TUSD BE'!$R$8*'TUSD BE'!$S$58</f>
        <v>0</v>
      </c>
      <c r="T8" s="17">
        <f ca="1">SUM($L$8:$S$8)</f>
        <v>-1.9223307955732648E-2</v>
      </c>
      <c r="U8" s="17">
        <f>'TUSD BE'!$U$8*'TUSD BE'!$U$58</f>
        <v>0</v>
      </c>
      <c r="V8" s="17">
        <f>'TUSD BE'!$V$8*'TUSD BE'!$V$58</f>
        <v>0</v>
      </c>
      <c r="W8" s="17">
        <f>'TUSD BE'!$W$8*'TUSD BE'!$W$58</f>
        <v>0</v>
      </c>
      <c r="X8" s="17">
        <f>'TUSD BE'!$X$8*'TUSD BE'!$X$58</f>
        <v>0</v>
      </c>
      <c r="Y8" s="17">
        <f>'TUSD BE'!$Y$8*'TUSD BE'!$Y$58</f>
        <v>0</v>
      </c>
      <c r="Z8" s="17">
        <f>'TUSD BE'!$Z$8*'TUSD BE'!$Z$58</f>
        <v>0</v>
      </c>
      <c r="AA8" s="17">
        <f>'TUSD BE'!$AA$8*'TUSD BE'!$AA$58</f>
        <v>0</v>
      </c>
      <c r="AB8" s="17">
        <f>SUM($U$8:$AA$8)</f>
        <v>0</v>
      </c>
      <c r="AC8" s="17">
        <f>'TUSD BE'!$AC$8*'TUSD BE'!$AC$58</f>
        <v>0</v>
      </c>
      <c r="AD8" s="17">
        <f>SUM($AC$8:$AC$8)</f>
        <v>0</v>
      </c>
      <c r="AE8" s="17">
        <f ca="1">$AO$8*$AO$55</f>
        <v>-1.2461857100869504</v>
      </c>
      <c r="AF8" s="17">
        <f ca="1">$AP$8*$AP$55</f>
        <v>0</v>
      </c>
      <c r="AG8" s="17">
        <f ca="1">SUM($AE$8:$AF$8)</f>
        <v>-1.2461857100869504</v>
      </c>
      <c r="AH8" s="17">
        <f>'TUSD BE'!$AH$8*'TUSD BE'!$AH$58</f>
        <v>2.0909956964107763E-2</v>
      </c>
      <c r="AI8" s="17">
        <f>'TUSD BE'!$AI$8*'TUSD BE'!$AI$58</f>
        <v>0</v>
      </c>
      <c r="AJ8" s="17">
        <f ca="1">'TUSD BE'!$AJ$8*'TUSD BE'!$AJ$58</f>
        <v>1.9523518920193234E-3</v>
      </c>
      <c r="AK8" s="17">
        <f ca="1">'TUSD BE'!$AK$8*'TUSD BE'!$AK$58</f>
        <v>0.10346740821665014</v>
      </c>
      <c r="AL8" s="17">
        <f ca="1">SUM($AH$8:$AK$8)</f>
        <v>0.12632971707277724</v>
      </c>
      <c r="AM8" s="17">
        <f ca="1">SUMIF($L$4:$AL$4,"SUBTOTAL",$L$8:$AL$8)+AZ8</f>
        <v>-1.1390793009699058</v>
      </c>
      <c r="AO8" s="64">
        <f ca="1">+'TUSD BE'!$T$8+'TUSD BE'!$AB$8+'TUSD BE'!$AD$8+'TUSD BE'!$AL$8</f>
        <v>6.962968765651615</v>
      </c>
      <c r="AP8" s="64">
        <f ca="1">+'TUSD BE'!$T$8+'TUSD BE'!$AB$8+'TUSD BE'!$AD$8+'TUSD BE'!$AL$8</f>
        <v>6.962968765651615</v>
      </c>
      <c r="AQ8" s="9" t="str">
        <f t="shared" si="0"/>
        <v>A4</v>
      </c>
      <c r="AR8" s="9" t="str">
        <f t="shared" si="1"/>
        <v>Azul</v>
      </c>
      <c r="AS8" s="9" t="str">
        <f t="shared" si="2"/>
        <v>Não se aplica</v>
      </c>
      <c r="AT8" s="9" t="str">
        <f t="shared" si="3"/>
        <v>Não se aplica</v>
      </c>
      <c r="AU8" s="9" t="str">
        <f t="shared" si="4"/>
        <v>APE</v>
      </c>
      <c r="AV8" s="9">
        <f t="shared" si="5"/>
        <v>1</v>
      </c>
      <c r="AW8" s="9">
        <f ca="1">IFERROR(VLOOKUP(AQ8,TarifaMedia!$C$17:$G$17,5,0),0)</f>
        <v>0</v>
      </c>
      <c r="AX8" s="16">
        <f ca="1">'TUSD BE'!$AM8+'TUSD BF'!$AM8+'TUSD CVA'!$AM8</f>
        <v>6.0890888881519691</v>
      </c>
      <c r="AY8" s="9">
        <v>17.61</v>
      </c>
      <c r="AZ8" s="9">
        <f t="shared" ca="1" si="6"/>
        <v>0</v>
      </c>
      <c r="BC8" s="106" t="s">
        <v>1147</v>
      </c>
    </row>
    <row r="9" spans="1:55" ht="11.25" customHeight="1" x14ac:dyDescent="0.25">
      <c r="A9" s="166"/>
      <c r="B9" s="100" t="s">
        <v>58</v>
      </c>
      <c r="C9" s="100" t="s">
        <v>25</v>
      </c>
      <c r="D9" s="100" t="s">
        <v>25</v>
      </c>
      <c r="E9" s="100" t="s">
        <v>25</v>
      </c>
      <c r="F9" s="100" t="s">
        <v>25</v>
      </c>
      <c r="G9" s="57" t="s">
        <v>9</v>
      </c>
      <c r="H9" s="57" t="s">
        <v>83</v>
      </c>
      <c r="I9" s="57">
        <f>'MERCADO TUSD'!$U$6</f>
        <v>20731</v>
      </c>
      <c r="J9" s="16"/>
      <c r="L9" s="17">
        <f>'TUSD BE'!$L$9*'TUSD BE'!$L$58</f>
        <v>0</v>
      </c>
      <c r="M9" s="17">
        <f>'TUSD BE'!$M$9*'TUSD BE'!$M$58</f>
        <v>-1.3405949198572382E-3</v>
      </c>
      <c r="N9" s="17">
        <f ca="1">'TUSD BE'!$N$9*'TUSD BE'!$N$58</f>
        <v>-2.462339408758447E-9</v>
      </c>
      <c r="O9" s="17">
        <f>'TUSD BE'!$O$9*'TUSD BE'!$O$58</f>
        <v>0</v>
      </c>
      <c r="P9" s="17">
        <f>'TUSD BE'!$P$9*'TUSD BE'!$P$58</f>
        <v>0</v>
      </c>
      <c r="Q9" s="17">
        <f>'TUSD BE'!$Q$9*'TUSD BE'!$Q$58</f>
        <v>0</v>
      </c>
      <c r="R9" s="17">
        <f>'TUSD BE'!$R$9*'TUSD BE'!$R$58</f>
        <v>0</v>
      </c>
      <c r="S9" s="17">
        <f>'TUSD BE'!$R$9*'TUSD BE'!$S$58</f>
        <v>0</v>
      </c>
      <c r="T9" s="17">
        <f ca="1">SUM($L$9:$S$9)</f>
        <v>-1.340597382196647E-3</v>
      </c>
      <c r="U9" s="17">
        <f>'TUSD BE'!$U$9*'TUSD BE'!$U$58</f>
        <v>0</v>
      </c>
      <c r="V9" s="17">
        <f>'TUSD BE'!$V$9*'TUSD BE'!$V$58</f>
        <v>0</v>
      </c>
      <c r="W9" s="17">
        <f>'TUSD BE'!$W$9*'TUSD BE'!$W$58</f>
        <v>0</v>
      </c>
      <c r="X9" s="17">
        <f>'TUSD BE'!$X$9*'TUSD BE'!$X$58</f>
        <v>0</v>
      </c>
      <c r="Y9" s="17">
        <f>'TUSD BE'!$Y$9*'TUSD BE'!$Y$58</f>
        <v>0</v>
      </c>
      <c r="Z9" s="17">
        <f>'TUSD BE'!$Z$9*'TUSD BE'!$Z$58</f>
        <v>0</v>
      </c>
      <c r="AA9" s="17">
        <f>'TUSD BE'!$AA$9*'TUSD BE'!$AA$58</f>
        <v>0</v>
      </c>
      <c r="AB9" s="17">
        <f>SUM($U$9:$AA$9)</f>
        <v>0</v>
      </c>
      <c r="AC9" s="17">
        <f>'TUSD BE'!$AC$9*'TUSD BE'!$AC$58</f>
        <v>-0.12742183040503255</v>
      </c>
      <c r="AD9" s="17">
        <f>SUM($AC$9:$AC$9)</f>
        <v>-0.12742183040503255</v>
      </c>
      <c r="AE9" s="17">
        <f ca="1">$AO$9*$AO$55</f>
        <v>-1.2439832558100161</v>
      </c>
      <c r="AF9" s="17">
        <f ca="1">$AP$9*$AP$55</f>
        <v>0</v>
      </c>
      <c r="AG9" s="17">
        <f ca="1">SUM($AE$9:$AF$9)</f>
        <v>-1.2439832558100161</v>
      </c>
      <c r="AH9" s="17">
        <f>'TUSD BE'!$AH$9*'TUSD BE'!$AH$58</f>
        <v>0</v>
      </c>
      <c r="AI9" s="17">
        <f>'TUSD BE'!$AI$9*'TUSD BE'!$AI$58</f>
        <v>0</v>
      </c>
      <c r="AJ9" s="17">
        <f ca="1">'TUSD BE'!$AJ$9*'TUSD BE'!$AJ$58</f>
        <v>0</v>
      </c>
      <c r="AK9" s="17">
        <f ca="1">'TUSD BE'!$AK$9*'TUSD BE'!$AK$58</f>
        <v>0</v>
      </c>
      <c r="AL9" s="17">
        <f ca="1">SUM($AH$9:$AK$9)</f>
        <v>0</v>
      </c>
      <c r="AM9" s="17">
        <f ca="1">SUMIF($L$4:$AL$4,"SUBTOTAL",$L$9:$AL$9)+AZ9</f>
        <v>-1.3727456835972454</v>
      </c>
      <c r="AO9" s="64">
        <f ca="1">+'TUSD BE'!$T$9+'TUSD BE'!$AB$9+'TUSD BE'!$AD$9+'TUSD BE'!$AL$9</f>
        <v>6.9506627183153809</v>
      </c>
      <c r="AP9" s="64">
        <f ca="1">+'TUSD BE'!$T$9+'TUSD BE'!$AB$9+'TUSD BE'!$AD$9+'TUSD BE'!$AL$9</f>
        <v>6.9506627183153809</v>
      </c>
      <c r="AQ9" s="9" t="str">
        <f t="shared" si="0"/>
        <v>A4</v>
      </c>
      <c r="AR9" s="9" t="str">
        <f t="shared" si="1"/>
        <v>Geração</v>
      </c>
      <c r="AS9" s="9" t="str">
        <f t="shared" si="2"/>
        <v>Não se aplica</v>
      </c>
      <c r="AT9" s="9" t="str">
        <f t="shared" si="3"/>
        <v>Não se aplica</v>
      </c>
      <c r="AU9" s="9" t="str">
        <f t="shared" si="4"/>
        <v>Não se aplica</v>
      </c>
      <c r="AV9" s="9">
        <f t="shared" si="5"/>
        <v>0</v>
      </c>
      <c r="AW9" s="9">
        <f ca="1">IFERROR(VLOOKUP(AQ9,TarifaMedia!$C$17:$G$17,5,0),0)</f>
        <v>0</v>
      </c>
      <c r="AX9" s="16">
        <f ca="1">'TUSD BE'!$AM9+'TUSD BF'!$AM9+'TUSD CVA'!$AM9</f>
        <v>5.5779170347181353</v>
      </c>
      <c r="AY9" s="9">
        <v>8.82</v>
      </c>
      <c r="AZ9" s="9">
        <f t="shared" ca="1" si="6"/>
        <v>0</v>
      </c>
      <c r="BC9" s="106" t="s">
        <v>1148</v>
      </c>
    </row>
    <row r="10" spans="1:55" ht="11.25" customHeight="1" x14ac:dyDescent="0.25">
      <c r="A10" s="166"/>
      <c r="B10" s="166" t="s">
        <v>39</v>
      </c>
      <c r="C10" s="166" t="s">
        <v>25</v>
      </c>
      <c r="D10" s="166" t="s">
        <v>25</v>
      </c>
      <c r="E10" s="166" t="s">
        <v>25</v>
      </c>
      <c r="F10" s="166" t="s">
        <v>25</v>
      </c>
      <c r="G10" s="57" t="s">
        <v>9</v>
      </c>
      <c r="H10" s="57" t="s">
        <v>83</v>
      </c>
      <c r="I10" s="57">
        <f>'MERCADO TUSD'!$U$7</f>
        <v>252451</v>
      </c>
      <c r="J10" s="16"/>
      <c r="L10" s="17">
        <f>'TUSD BE'!$L$10*'TUSD BE'!$L$58</f>
        <v>0</v>
      </c>
      <c r="M10" s="17">
        <f>'TUSD BE'!$M$10*'TUSD BE'!$M$58</f>
        <v>0</v>
      </c>
      <c r="N10" s="17">
        <f ca="1">'TUSD BE'!$N$10*'TUSD BE'!$N$58</f>
        <v>0</v>
      </c>
      <c r="O10" s="17">
        <f>'TUSD BE'!$O$10*'TUSD BE'!$O$58</f>
        <v>0</v>
      </c>
      <c r="P10" s="17">
        <f>'TUSD BE'!$P$10*'TUSD BE'!$P$58</f>
        <v>0</v>
      </c>
      <c r="Q10" s="17">
        <f>'TUSD BE'!$Q$10*'TUSD BE'!$Q$58</f>
        <v>0</v>
      </c>
      <c r="R10" s="17">
        <f>'TUSD BE'!$R$10*'TUSD BE'!$R$58</f>
        <v>0</v>
      </c>
      <c r="S10" s="17">
        <f>'TUSD BE'!$R$10*'TUSD BE'!$S$58</f>
        <v>0</v>
      </c>
      <c r="T10" s="17">
        <f ca="1">SUM($L$10:$S$10)</f>
        <v>0</v>
      </c>
      <c r="U10" s="17">
        <f>'TUSD BE'!$U$10*'TUSD BE'!$U$58</f>
        <v>-0.20915052140181428</v>
      </c>
      <c r="V10" s="17">
        <f>'TUSD BE'!$V$10*'TUSD BE'!$V$58</f>
        <v>-0.13365336948833179</v>
      </c>
      <c r="W10" s="17">
        <f>'TUSD BE'!$W$10*'TUSD BE'!$W$58</f>
        <v>-1.4298668401556271E-2</v>
      </c>
      <c r="X10" s="17">
        <f>'TUSD BE'!$X$10*'TUSD BE'!$X$58</f>
        <v>0</v>
      </c>
      <c r="Y10" s="17">
        <f>'TUSD BE'!$Y$10*'TUSD BE'!$Y$58</f>
        <v>0</v>
      </c>
      <c r="Z10" s="17">
        <f>'TUSD BE'!$Z$10*'TUSD BE'!$Z$58</f>
        <v>0</v>
      </c>
      <c r="AA10" s="17">
        <f>'TUSD BE'!$AA$10*'TUSD BE'!$AA$58</f>
        <v>0</v>
      </c>
      <c r="AB10" s="17">
        <f>SUM($U$10:$AA$10)</f>
        <v>-0.35710255929170232</v>
      </c>
      <c r="AC10" s="17">
        <f>'TUSD BE'!$AC$10*'TUSD BE'!$AC$58</f>
        <v>-0.23789104352270876</v>
      </c>
      <c r="AD10" s="17">
        <f>SUM($AC$10:$AC$10)</f>
        <v>-0.23789104352270876</v>
      </c>
      <c r="AE10" s="17">
        <f ca="1">$AO$10*$AO$55</f>
        <v>-4.5883503212995524</v>
      </c>
      <c r="AF10" s="17">
        <f ca="1">$AP$10*$AP$55</f>
        <v>0</v>
      </c>
      <c r="AG10" s="17">
        <f ca="1">SUM($AE$10:$AF$10)</f>
        <v>-4.5883503212995524</v>
      </c>
      <c r="AH10" s="17">
        <f>'TUSD BE'!$AH$10*'TUSD BE'!$AH$58</f>
        <v>0</v>
      </c>
      <c r="AI10" s="17">
        <f>'TUSD BE'!$AI$10*'TUSD BE'!$AI$58</f>
        <v>0</v>
      </c>
      <c r="AJ10" s="17">
        <f ca="1">'TUSD BE'!$AJ$10*'TUSD BE'!$AJ$58</f>
        <v>0</v>
      </c>
      <c r="AK10" s="17">
        <f ca="1">'TUSD BE'!$AK$10*'TUSD BE'!$AK$58</f>
        <v>0</v>
      </c>
      <c r="AL10" s="17">
        <f ca="1">SUM($AH$10:$AK$10)</f>
        <v>0</v>
      </c>
      <c r="AM10" s="17">
        <f ca="1">SUMIF($L$4:$AL$4,"SUBTOTAL",$L$10:$AL$10)+AZ10</f>
        <v>-5.1833439241139638</v>
      </c>
      <c r="AO10" s="64">
        <f ca="1">+'TUSD BE'!$T$10+'TUSD BE'!$AB$10+'TUSD BE'!$AD$10+'TUSD BE'!$AL$10</f>
        <v>25.637061727218157</v>
      </c>
      <c r="AP10" s="64">
        <f ca="1">+'TUSD BE'!$T$10+'TUSD BE'!$AB$10+'TUSD BE'!$AD$10+'TUSD BE'!$AL$10</f>
        <v>25.637061727218157</v>
      </c>
      <c r="AQ10" s="9" t="str">
        <f t="shared" si="0"/>
        <v>A4</v>
      </c>
      <c r="AR10" s="9" t="str">
        <f t="shared" si="1"/>
        <v>Verde</v>
      </c>
      <c r="AS10" s="9" t="str">
        <f t="shared" si="2"/>
        <v>Não se aplica</v>
      </c>
      <c r="AT10" s="9" t="str">
        <f t="shared" si="3"/>
        <v>Não se aplica</v>
      </c>
      <c r="AU10" s="9" t="str">
        <f t="shared" si="4"/>
        <v>Não se aplica</v>
      </c>
      <c r="AV10" s="9">
        <f t="shared" si="5"/>
        <v>1</v>
      </c>
      <c r="AW10" s="9">
        <f ca="1">IFERROR(VLOOKUP(AQ10,TarifaMedia!$C$17:$G$17,5,0),0)</f>
        <v>0</v>
      </c>
      <c r="AX10" s="16">
        <f ca="1">'TUSD BE'!$AM10+'TUSD BF'!$AM10+'TUSD CVA'!$AM10</f>
        <v>21.139573525578484</v>
      </c>
      <c r="AY10" s="9">
        <v>32.31</v>
      </c>
      <c r="AZ10" s="9">
        <f t="shared" ca="1" si="6"/>
        <v>0</v>
      </c>
      <c r="BC10" s="106" t="s">
        <v>1149</v>
      </c>
    </row>
    <row r="11" spans="1:55" ht="11.25" customHeight="1" x14ac:dyDescent="0.25">
      <c r="A11" s="166"/>
      <c r="B11" s="166"/>
      <c r="C11" s="166"/>
      <c r="D11" s="166"/>
      <c r="E11" s="166"/>
      <c r="F11" s="166"/>
      <c r="G11" s="57" t="s">
        <v>79</v>
      </c>
      <c r="H11" s="57" t="s">
        <v>78</v>
      </c>
      <c r="I11" s="57">
        <f>'MERCADO TUSD'!$U$8</f>
        <v>6165.058</v>
      </c>
      <c r="J11" s="16"/>
      <c r="L11" s="17">
        <f>'TUSD BE'!$L$11*'TUSD BE'!$L$58</f>
        <v>-0.51546794567633081</v>
      </c>
      <c r="M11" s="17">
        <f>'TUSD BE'!$M$11*'TUSD BE'!$M$58</f>
        <v>-1.9223303064930697E-2</v>
      </c>
      <c r="N11" s="17">
        <f ca="1">'TUSD BE'!$N$11*'TUSD BE'!$N$58</f>
        <v>-1.9556670273333259E-7</v>
      </c>
      <c r="O11" s="17">
        <f>'TUSD BE'!$O$11*'TUSD BE'!$O$58</f>
        <v>0</v>
      </c>
      <c r="P11" s="17">
        <f>'TUSD BE'!$P$11*'TUSD BE'!$P$58</f>
        <v>0</v>
      </c>
      <c r="Q11" s="17">
        <f>'TUSD BE'!$Q$11*'TUSD BE'!$Q$58</f>
        <v>-2.782261384740023</v>
      </c>
      <c r="R11" s="17">
        <f>'TUSD BE'!$R$11*'TUSD BE'!$R$58</f>
        <v>-0.5290859729511026</v>
      </c>
      <c r="S11" s="17">
        <f>'TUSD BE'!$R$11*'TUSD BE'!$S$58</f>
        <v>0</v>
      </c>
      <c r="T11" s="17">
        <f ca="1">SUM($L$11:$S$11)</f>
        <v>-3.8460388019990899</v>
      </c>
      <c r="U11" s="17">
        <f>'TUSD BE'!$U$11*'TUSD BE'!$U$58</f>
        <v>-5.0291413470743764</v>
      </c>
      <c r="V11" s="17">
        <f>'TUSD BE'!$V$11*'TUSD BE'!$V$58</f>
        <v>-3.7234960463688274</v>
      </c>
      <c r="W11" s="17">
        <f>'TUSD BE'!$W$11*'TUSD BE'!$W$58</f>
        <v>-0.36017479117556517</v>
      </c>
      <c r="X11" s="17">
        <f>'TUSD BE'!$X$11*'TUSD BE'!$X$58</f>
        <v>0</v>
      </c>
      <c r="Y11" s="17">
        <f>'TUSD BE'!$Y$11*'TUSD BE'!$Y$58</f>
        <v>0</v>
      </c>
      <c r="Z11" s="17">
        <f>'TUSD BE'!$Z$11*'TUSD BE'!$Z$58</f>
        <v>0</v>
      </c>
      <c r="AA11" s="17">
        <f>'TUSD BE'!$AA$11*'TUSD BE'!$AA$58</f>
        <v>0</v>
      </c>
      <c r="AB11" s="17">
        <f>SUM($U$11:$AA$11)</f>
        <v>-9.1128121846187682</v>
      </c>
      <c r="AC11" s="17">
        <f>'TUSD BE'!$AC$11*'TUSD BE'!$AC$58</f>
        <v>-5.7212707338400284</v>
      </c>
      <c r="AD11" s="17">
        <f>SUM($AC$11:$AC$11)</f>
        <v>-5.7212707338400284</v>
      </c>
      <c r="AE11" s="17">
        <f ca="1">$AO$11*$AO$55</f>
        <v>-132.90522387551769</v>
      </c>
      <c r="AF11" s="17">
        <f ca="1">$AP$11*$AP$55</f>
        <v>0</v>
      </c>
      <c r="AG11" s="17">
        <f ca="1">SUM($AE$11:$AF$11)</f>
        <v>-132.90522387551769</v>
      </c>
      <c r="AH11" s="17">
        <f>'TUSD BE'!$AH$11*'TUSD BE'!$AH$58</f>
        <v>2.0909956964107763E-2</v>
      </c>
      <c r="AI11" s="17">
        <f>'TUSD BE'!$AI$11*'TUSD BE'!$AI$58</f>
        <v>0</v>
      </c>
      <c r="AJ11" s="17">
        <f ca="1">'TUSD BE'!$AJ$11*'TUSD BE'!$AJ$58</f>
        <v>1.9523518920193234E-3</v>
      </c>
      <c r="AK11" s="17">
        <f ca="1">'TUSD BE'!$AK$11*'TUSD BE'!$AK$58</f>
        <v>0.10346740821665014</v>
      </c>
      <c r="AL11" s="17">
        <f ca="1">SUM($AH$11:$AK$11)</f>
        <v>0.12632971707277724</v>
      </c>
      <c r="AM11" s="17">
        <f ca="1">SUMIF($L$4:$AL$4,"SUBTOTAL",$L$11:$AL$11)+AZ11</f>
        <v>-151.45901587890282</v>
      </c>
      <c r="AO11" s="64">
        <f ca="1">+'TUSD BE'!$T$11+'TUSD BE'!$AB$11+'TUSD BE'!$AD$11+'TUSD BE'!$AL$11</f>
        <v>742.59792512995182</v>
      </c>
      <c r="AP11" s="64">
        <f ca="1">+'TUSD BE'!$T$11+'TUSD BE'!$AB$11+'TUSD BE'!$AD$11+'TUSD BE'!$AL$11</f>
        <v>742.59792512995182</v>
      </c>
      <c r="AQ11" s="9" t="str">
        <f t="shared" si="0"/>
        <v>A4</v>
      </c>
      <c r="AR11" s="9" t="str">
        <f t="shared" si="1"/>
        <v>Verde</v>
      </c>
      <c r="AS11" s="9" t="str">
        <f t="shared" si="2"/>
        <v>Não se aplica</v>
      </c>
      <c r="AT11" s="9" t="str">
        <f t="shared" si="3"/>
        <v>Não se aplica</v>
      </c>
      <c r="AU11" s="9" t="str">
        <f t="shared" si="4"/>
        <v>Não se aplica</v>
      </c>
      <c r="AV11" s="9">
        <f t="shared" si="5"/>
        <v>1</v>
      </c>
      <c r="AW11" s="9">
        <f ca="1">IFERROR(VLOOKUP(AQ11,TarifaMedia!$C$17:$G$17,5,0),0)</f>
        <v>0</v>
      </c>
      <c r="AX11" s="16">
        <f ca="1">'TUSD BE'!$AM11+'TUSD BF'!$AM11+'TUSD CVA'!$AM11</f>
        <v>625.67033946440574</v>
      </c>
      <c r="AY11" s="9">
        <v>1283.23</v>
      </c>
      <c r="AZ11" s="9">
        <f t="shared" ca="1" si="6"/>
        <v>0</v>
      </c>
      <c r="BC11" s="106" t="s">
        <v>1150</v>
      </c>
    </row>
    <row r="12" spans="1:55" ht="11.25" customHeight="1" x14ac:dyDescent="0.25">
      <c r="A12" s="166"/>
      <c r="B12" s="166"/>
      <c r="C12" s="166"/>
      <c r="D12" s="166"/>
      <c r="E12" s="166"/>
      <c r="F12" s="166"/>
      <c r="G12" s="57" t="s">
        <v>80</v>
      </c>
      <c r="H12" s="57" t="s">
        <v>78</v>
      </c>
      <c r="I12" s="57">
        <f>'MERCADO TUSD'!$U$9</f>
        <v>60495.598999999995</v>
      </c>
      <c r="J12" s="16"/>
      <c r="L12" s="17">
        <f>'TUSD BE'!$L$12*'TUSD BE'!$L$58</f>
        <v>-0.51546794567633081</v>
      </c>
      <c r="M12" s="17">
        <f>'TUSD BE'!$M$12*'TUSD BE'!$M$58</f>
        <v>-1.9223303064930697E-2</v>
      </c>
      <c r="N12" s="17">
        <f ca="1">'TUSD BE'!$N$12*'TUSD BE'!$N$58</f>
        <v>-5.2539788556983754E-9</v>
      </c>
      <c r="O12" s="17">
        <f>'TUSD BE'!$O$12*'TUSD BE'!$O$58</f>
        <v>0</v>
      </c>
      <c r="P12" s="17">
        <f>'TUSD BE'!$P$12*'TUSD BE'!$P$58</f>
        <v>0</v>
      </c>
      <c r="Q12" s="17">
        <f>'TUSD BE'!$Q$12*'TUSD BE'!$Q$58</f>
        <v>-2.782261384740023</v>
      </c>
      <c r="R12" s="17">
        <f>'TUSD BE'!$R$12*'TUSD BE'!$R$58</f>
        <v>-0.5290859729511026</v>
      </c>
      <c r="S12" s="17">
        <f>'TUSD BE'!$R$12*'TUSD BE'!$S$58</f>
        <v>0</v>
      </c>
      <c r="T12" s="17">
        <f ca="1">SUM($L$12:$S$12)</f>
        <v>-3.8460386116863661</v>
      </c>
      <c r="U12" s="17">
        <f>'TUSD BE'!$U$12*'TUSD BE'!$U$58</f>
        <v>0</v>
      </c>
      <c r="V12" s="17">
        <f>'TUSD BE'!$V$12*'TUSD BE'!$V$58</f>
        <v>0</v>
      </c>
      <c r="W12" s="17">
        <f>'TUSD BE'!$W$12*'TUSD BE'!$W$58</f>
        <v>0</v>
      </c>
      <c r="X12" s="17">
        <f>'TUSD BE'!$X$12*'TUSD BE'!$X$58</f>
        <v>0</v>
      </c>
      <c r="Y12" s="17">
        <f>'TUSD BE'!$Y$12*'TUSD BE'!$Y$58</f>
        <v>0</v>
      </c>
      <c r="Z12" s="17">
        <f>'TUSD BE'!$Z$12*'TUSD BE'!$Z$58</f>
        <v>0</v>
      </c>
      <c r="AA12" s="17">
        <f>'TUSD BE'!$AA$12*'TUSD BE'!$AA$58</f>
        <v>0</v>
      </c>
      <c r="AB12" s="17">
        <f>SUM($U$12:$AA$12)</f>
        <v>0</v>
      </c>
      <c r="AC12" s="17">
        <f>'TUSD BE'!$AC$12*'TUSD BE'!$AC$58</f>
        <v>0</v>
      </c>
      <c r="AD12" s="17">
        <f>SUM($AC$12:$AC$12)</f>
        <v>0</v>
      </c>
      <c r="AE12" s="17">
        <f ca="1">$AO$12*$AO$55</f>
        <v>-18.013314834326135</v>
      </c>
      <c r="AF12" s="17">
        <f ca="1">$AP$12*$AP$55</f>
        <v>0</v>
      </c>
      <c r="AG12" s="17">
        <f ca="1">SUM($AE$12:$AF$12)</f>
        <v>-18.013314834326135</v>
      </c>
      <c r="AH12" s="17">
        <f>'TUSD BE'!$AH$12*'TUSD BE'!$AH$58</f>
        <v>2.0909956964107763E-2</v>
      </c>
      <c r="AI12" s="17">
        <f>'TUSD BE'!$AI$12*'TUSD BE'!$AI$58</f>
        <v>0</v>
      </c>
      <c r="AJ12" s="17">
        <f ca="1">'TUSD BE'!$AJ$12*'TUSD BE'!$AJ$58</f>
        <v>1.9523518920193234E-3</v>
      </c>
      <c r="AK12" s="17">
        <f ca="1">'TUSD BE'!$AK$12*'TUSD BE'!$AK$58</f>
        <v>0.10346740821665014</v>
      </c>
      <c r="AL12" s="17">
        <f ca="1">SUM($AH$12:$AK$12)</f>
        <v>0.12632971707277724</v>
      </c>
      <c r="AM12" s="17">
        <f ca="1">SUMIF($L$4:$AL$4,"SUBTOTAL",$L$12:$AL$12)+AZ12</f>
        <v>-21.733023728939724</v>
      </c>
      <c r="AO12" s="64">
        <f ca="1">+'TUSD BE'!$T$12+'TUSD BE'!$AB$12+'TUSD BE'!$AD$12+'TUSD BE'!$AL$12</f>
        <v>100.64803948723693</v>
      </c>
      <c r="AP12" s="64">
        <f ca="1">+'TUSD BE'!$T$12+'TUSD BE'!$AB$12+'TUSD BE'!$AD$12+'TUSD BE'!$AL$12</f>
        <v>100.64803948723693</v>
      </c>
      <c r="AQ12" s="9" t="str">
        <f t="shared" si="0"/>
        <v>A4</v>
      </c>
      <c r="AR12" s="9" t="str">
        <f t="shared" si="1"/>
        <v>Verde</v>
      </c>
      <c r="AS12" s="9" t="str">
        <f t="shared" si="2"/>
        <v>Não se aplica</v>
      </c>
      <c r="AT12" s="9" t="str">
        <f t="shared" si="3"/>
        <v>Não se aplica</v>
      </c>
      <c r="AU12" s="9" t="str">
        <f t="shared" si="4"/>
        <v>Não se aplica</v>
      </c>
      <c r="AV12" s="9">
        <f t="shared" si="5"/>
        <v>1</v>
      </c>
      <c r="AW12" s="9">
        <f ca="1">IFERROR(VLOOKUP(AQ12,TarifaMedia!$C$17:$G$17,5,0),0)</f>
        <v>0</v>
      </c>
      <c r="AX12" s="16">
        <f ca="1">'TUSD BE'!$AM12+'TUSD BF'!$AM12+'TUSD CVA'!$AM12</f>
        <v>95.815448102611441</v>
      </c>
      <c r="AY12" s="9">
        <v>116.79</v>
      </c>
      <c r="AZ12" s="9">
        <f t="shared" ca="1" si="6"/>
        <v>0</v>
      </c>
      <c r="BC12" s="106" t="s">
        <v>1151</v>
      </c>
    </row>
    <row r="13" spans="1:55" ht="11.25" customHeight="1" x14ac:dyDescent="0.25">
      <c r="A13" s="166"/>
      <c r="B13" s="166"/>
      <c r="C13" s="166"/>
      <c r="D13" s="166"/>
      <c r="E13" s="166" t="s">
        <v>86</v>
      </c>
      <c r="F13" s="166" t="s">
        <v>25</v>
      </c>
      <c r="G13" s="57" t="s">
        <v>79</v>
      </c>
      <c r="H13" s="57" t="s">
        <v>78</v>
      </c>
      <c r="I13" s="57">
        <f>'MERCADO TUSD'!$U$10</f>
        <v>0</v>
      </c>
      <c r="J13" s="16"/>
      <c r="L13" s="17">
        <f>'TUSD BE'!$L$13*'TUSD BE'!$L$58</f>
        <v>0</v>
      </c>
      <c r="M13" s="17">
        <f>'TUSD BE'!$M$13*'TUSD BE'!$M$58</f>
        <v>-1.9223303064930697E-2</v>
      </c>
      <c r="N13" s="17">
        <f ca="1">'TUSD BE'!$N$13*'TUSD BE'!$N$58</f>
        <v>-1.9520352582938592E-7</v>
      </c>
      <c r="O13" s="17">
        <f>'TUSD BE'!$O$13*'TUSD BE'!$O$58</f>
        <v>0</v>
      </c>
      <c r="P13" s="17">
        <f>'TUSD BE'!$P$13*'TUSD BE'!$P$58</f>
        <v>0</v>
      </c>
      <c r="Q13" s="17">
        <f>'TUSD BE'!$Q$13*'TUSD BE'!$Q$58</f>
        <v>0</v>
      </c>
      <c r="R13" s="17">
        <f>'TUSD BE'!$R$13*'TUSD BE'!$R$58</f>
        <v>0</v>
      </c>
      <c r="S13" s="17">
        <f>'TUSD BE'!$R$13*'TUSD BE'!$S$58</f>
        <v>0</v>
      </c>
      <c r="T13" s="17">
        <f ca="1">SUM($L$13:$S$13)</f>
        <v>-1.9223498268456526E-2</v>
      </c>
      <c r="U13" s="17">
        <f>'TUSD BE'!$U$13*'TUSD BE'!$U$58</f>
        <v>-5.0291413470743764</v>
      </c>
      <c r="V13" s="17">
        <f>'TUSD BE'!$V$13*'TUSD BE'!$V$58</f>
        <v>-3.7234960463688274</v>
      </c>
      <c r="W13" s="17">
        <f>'TUSD BE'!$W$13*'TUSD BE'!$W$58</f>
        <v>-0.36017479117556517</v>
      </c>
      <c r="X13" s="17">
        <f>'TUSD BE'!$X$13*'TUSD BE'!$X$58</f>
        <v>0</v>
      </c>
      <c r="Y13" s="17">
        <f>'TUSD BE'!$Y$13*'TUSD BE'!$Y$58</f>
        <v>0</v>
      </c>
      <c r="Z13" s="17">
        <f>'TUSD BE'!$Z$13*'TUSD BE'!$Z$58</f>
        <v>0</v>
      </c>
      <c r="AA13" s="17">
        <f>'TUSD BE'!$AA$13*'TUSD BE'!$AA$58</f>
        <v>0</v>
      </c>
      <c r="AB13" s="17">
        <f>SUM($U$13:$AA$13)</f>
        <v>-9.1128121846187682</v>
      </c>
      <c r="AC13" s="17">
        <f>'TUSD BE'!$AC$13*'TUSD BE'!$AC$58</f>
        <v>-5.7212707338400284</v>
      </c>
      <c r="AD13" s="17">
        <f>SUM($AC$13:$AC$13)</f>
        <v>-5.7212707338400284</v>
      </c>
      <c r="AE13" s="17">
        <f ca="1">$AO$13*$AO$55</f>
        <v>-116.13809475127852</v>
      </c>
      <c r="AF13" s="17">
        <f ca="1">$AP$13*$AP$55</f>
        <v>0</v>
      </c>
      <c r="AG13" s="17">
        <f ca="1">SUM($AE$13:$AF$13)</f>
        <v>-116.13809475127852</v>
      </c>
      <c r="AH13" s="17">
        <f>'TUSD BE'!$AH$13*'TUSD BE'!$AH$58</f>
        <v>2.0909956964107763E-2</v>
      </c>
      <c r="AI13" s="17">
        <f>'TUSD BE'!$AI$13*'TUSD BE'!$AI$58</f>
        <v>0</v>
      </c>
      <c r="AJ13" s="17">
        <f ca="1">'TUSD BE'!$AJ$13*'TUSD BE'!$AJ$58</f>
        <v>1.9523518920193234E-3</v>
      </c>
      <c r="AK13" s="17">
        <f ca="1">'TUSD BE'!$AK$13*'TUSD BE'!$AK$58</f>
        <v>0.10346740821665014</v>
      </c>
      <c r="AL13" s="17">
        <f ca="1">SUM($AH$13:$AK$13)</f>
        <v>0.12632971707277724</v>
      </c>
      <c r="AM13" s="17">
        <f ca="1">SUMIF($L$4:$AL$4,"SUBTOTAL",$L$13:$AL$13)+AZ13</f>
        <v>-130.86507145093302</v>
      </c>
      <c r="AO13" s="64">
        <f ca="1">+'TUSD BE'!$T$13+'TUSD BE'!$AB$13+'TUSD BE'!$AD$13+'TUSD BE'!$AL$13</f>
        <v>648.91285440836646</v>
      </c>
      <c r="AP13" s="64">
        <f ca="1">+'TUSD BE'!$T$13+'TUSD BE'!$AB$13+'TUSD BE'!$AD$13+'TUSD BE'!$AL$13</f>
        <v>648.91285440836646</v>
      </c>
      <c r="AQ13" s="9" t="str">
        <f t="shared" si="0"/>
        <v>A4</v>
      </c>
      <c r="AR13" s="9" t="str">
        <f t="shared" si="1"/>
        <v>Verde</v>
      </c>
      <c r="AS13" s="9" t="str">
        <f t="shared" si="2"/>
        <v>Não se aplica</v>
      </c>
      <c r="AT13" s="9" t="str">
        <f t="shared" si="3"/>
        <v>Não se aplica</v>
      </c>
      <c r="AU13" s="9" t="str">
        <f t="shared" si="4"/>
        <v>APE</v>
      </c>
      <c r="AV13" s="9">
        <f t="shared" si="5"/>
        <v>1</v>
      </c>
      <c r="AW13" s="9">
        <f ca="1">IFERROR(VLOOKUP(AQ13,TarifaMedia!$C$17:$G$17,5,0),0)</f>
        <v>0</v>
      </c>
      <c r="AX13" s="16">
        <f ca="1">'TUSD BE'!$AM13+'TUSD BF'!$AM13+'TUSD CVA'!$AM13</f>
        <v>535.94398024994621</v>
      </c>
      <c r="AY13" s="9">
        <v>1184.06</v>
      </c>
      <c r="AZ13" s="9">
        <f t="shared" ca="1" si="6"/>
        <v>0</v>
      </c>
      <c r="BC13" s="106" t="s">
        <v>1152</v>
      </c>
    </row>
    <row r="14" spans="1:55" ht="11.25" customHeight="1" x14ac:dyDescent="0.25">
      <c r="A14" s="166"/>
      <c r="B14" s="166"/>
      <c r="C14" s="166"/>
      <c r="D14" s="166"/>
      <c r="E14" s="166"/>
      <c r="F14" s="166"/>
      <c r="G14" s="57" t="s">
        <v>80</v>
      </c>
      <c r="H14" s="57" t="s">
        <v>78</v>
      </c>
      <c r="I14" s="57">
        <f>'MERCADO TUSD'!$U$11</f>
        <v>0</v>
      </c>
      <c r="J14" s="16"/>
      <c r="L14" s="17">
        <f>'TUSD BE'!$L$14*'TUSD BE'!$L$58</f>
        <v>0</v>
      </c>
      <c r="M14" s="17">
        <f>'TUSD BE'!$M$14*'TUSD BE'!$M$58</f>
        <v>-1.9223303064930697E-2</v>
      </c>
      <c r="N14" s="17">
        <f ca="1">'TUSD BE'!$N$14*'TUSD BE'!$N$58</f>
        <v>-4.8908019517517017E-9</v>
      </c>
      <c r="O14" s="17">
        <f>'TUSD BE'!$O$14*'TUSD BE'!$O$58</f>
        <v>0</v>
      </c>
      <c r="P14" s="17">
        <f>'TUSD BE'!$P$14*'TUSD BE'!$P$58</f>
        <v>0</v>
      </c>
      <c r="Q14" s="17">
        <f>'TUSD BE'!$Q$14*'TUSD BE'!$Q$58</f>
        <v>0</v>
      </c>
      <c r="R14" s="17">
        <f>'TUSD BE'!$R$14*'TUSD BE'!$R$58</f>
        <v>0</v>
      </c>
      <c r="S14" s="17">
        <f>'TUSD BE'!$R$14*'TUSD BE'!$S$58</f>
        <v>0</v>
      </c>
      <c r="T14" s="17">
        <f ca="1">SUM($L$14:$S$14)</f>
        <v>-1.9223307955732648E-2</v>
      </c>
      <c r="U14" s="17">
        <f>'TUSD BE'!$U$14*'TUSD BE'!$U$58</f>
        <v>0</v>
      </c>
      <c r="V14" s="17">
        <f>'TUSD BE'!$V$14*'TUSD BE'!$V$58</f>
        <v>0</v>
      </c>
      <c r="W14" s="17">
        <f>'TUSD BE'!$W$14*'TUSD BE'!$W$58</f>
        <v>0</v>
      </c>
      <c r="X14" s="17">
        <f>'TUSD BE'!$X$14*'TUSD BE'!$X$58</f>
        <v>0</v>
      </c>
      <c r="Y14" s="17">
        <f>'TUSD BE'!$Y$14*'TUSD BE'!$Y$58</f>
        <v>0</v>
      </c>
      <c r="Z14" s="17">
        <f>'TUSD BE'!$Z$14*'TUSD BE'!$Z$58</f>
        <v>0</v>
      </c>
      <c r="AA14" s="17">
        <f>'TUSD BE'!$AA$14*'TUSD BE'!$AA$58</f>
        <v>0</v>
      </c>
      <c r="AB14" s="17">
        <f>SUM($U$14:$AA$14)</f>
        <v>0</v>
      </c>
      <c r="AC14" s="17">
        <f>'TUSD BE'!$AC$14*'TUSD BE'!$AC$58</f>
        <v>0</v>
      </c>
      <c r="AD14" s="17">
        <f>SUM($AC$14:$AC$14)</f>
        <v>0</v>
      </c>
      <c r="AE14" s="17">
        <f ca="1">$AO$14*$AO$55</f>
        <v>-1.2461857100869504</v>
      </c>
      <c r="AF14" s="17">
        <f ca="1">$AP$14*$AP$55</f>
        <v>0</v>
      </c>
      <c r="AG14" s="17">
        <f ca="1">SUM($AE$14:$AF$14)</f>
        <v>-1.2461857100869504</v>
      </c>
      <c r="AH14" s="17">
        <f>'TUSD BE'!$AH$14*'TUSD BE'!$AH$58</f>
        <v>2.0909956964107763E-2</v>
      </c>
      <c r="AI14" s="17">
        <f>'TUSD BE'!$AI$14*'TUSD BE'!$AI$58</f>
        <v>0</v>
      </c>
      <c r="AJ14" s="17">
        <f ca="1">'TUSD BE'!$AJ$14*'TUSD BE'!$AJ$58</f>
        <v>1.9523518920193234E-3</v>
      </c>
      <c r="AK14" s="17">
        <f ca="1">'TUSD BE'!$AK$14*'TUSD BE'!$AK$58</f>
        <v>0.10346740821665014</v>
      </c>
      <c r="AL14" s="17">
        <f ca="1">SUM($AH$14:$AK$14)</f>
        <v>0.12632971707277724</v>
      </c>
      <c r="AM14" s="17">
        <f ca="1">SUMIF($L$4:$AL$4,"SUBTOTAL",$L$14:$AL$14)+AZ14</f>
        <v>-1.1390793009699058</v>
      </c>
      <c r="AO14" s="64">
        <f ca="1">+'TUSD BE'!$T$14+'TUSD BE'!$AB$14+'TUSD BE'!$AD$14+'TUSD BE'!$AL$14</f>
        <v>6.962968765651615</v>
      </c>
      <c r="AP14" s="64">
        <f ca="1">+'TUSD BE'!$T$14+'TUSD BE'!$AB$14+'TUSD BE'!$AD$14+'TUSD BE'!$AL$14</f>
        <v>6.962968765651615</v>
      </c>
      <c r="AQ14" s="9" t="str">
        <f t="shared" si="0"/>
        <v>A4</v>
      </c>
      <c r="AR14" s="9" t="str">
        <f t="shared" si="1"/>
        <v>Verde</v>
      </c>
      <c r="AS14" s="9" t="str">
        <f t="shared" si="2"/>
        <v>Não se aplica</v>
      </c>
      <c r="AT14" s="9" t="str">
        <f t="shared" si="3"/>
        <v>Não se aplica</v>
      </c>
      <c r="AU14" s="9" t="str">
        <f t="shared" si="4"/>
        <v>APE</v>
      </c>
      <c r="AV14" s="9">
        <f t="shared" si="5"/>
        <v>1</v>
      </c>
      <c r="AW14" s="9">
        <f ca="1">IFERROR(VLOOKUP(AQ14,TarifaMedia!$C$17:$G$17,5,0),0)</f>
        <v>0</v>
      </c>
      <c r="AX14" s="16">
        <f ca="1">'TUSD BE'!$AM14+'TUSD BF'!$AM14+'TUSD CVA'!$AM14</f>
        <v>6.0890888881519691</v>
      </c>
      <c r="AY14" s="9">
        <v>17.61</v>
      </c>
      <c r="AZ14" s="9">
        <f t="shared" ca="1" si="6"/>
        <v>0</v>
      </c>
      <c r="BC14" s="106" t="s">
        <v>1153</v>
      </c>
    </row>
    <row r="15" spans="1:55" ht="11.25" customHeight="1" x14ac:dyDescent="0.25">
      <c r="A15" s="166" t="s">
        <v>89</v>
      </c>
      <c r="B15" s="166" t="s">
        <v>58</v>
      </c>
      <c r="C15" s="166" t="s">
        <v>25</v>
      </c>
      <c r="D15" s="166" t="s">
        <v>25</v>
      </c>
      <c r="E15" s="100" t="s">
        <v>90</v>
      </c>
      <c r="F15" s="100" t="s">
        <v>25</v>
      </c>
      <c r="G15" s="57" t="s">
        <v>9</v>
      </c>
      <c r="H15" s="57" t="s">
        <v>83</v>
      </c>
      <c r="I15" s="57">
        <f>'MERCADO TUSD'!$U$12+0.00000001</f>
        <v>1E-8</v>
      </c>
      <c r="J15" s="16"/>
      <c r="L15" s="17">
        <f>'TUSD BE'!$L$15*'TUSD BE'!$L$58</f>
        <v>0</v>
      </c>
      <c r="M15" s="17">
        <f>'TUSD BE'!$M$15*'TUSD BE'!$M$58</f>
        <v>-1.1320579323238901E-3</v>
      </c>
      <c r="N15" s="17">
        <f ca="1">'TUSD BE'!$N$15*'TUSD BE'!$N$58</f>
        <v>-2.0810036596144399E-9</v>
      </c>
      <c r="O15" s="17">
        <f>'TUSD BE'!$O$15*'TUSD BE'!$O$58</f>
        <v>0</v>
      </c>
      <c r="P15" s="17">
        <f>'TUSD BE'!$P$15*'TUSD BE'!$P$58</f>
        <v>0</v>
      </c>
      <c r="Q15" s="17">
        <f>'TUSD BE'!$Q$15*'TUSD BE'!$Q$58</f>
        <v>0</v>
      </c>
      <c r="R15" s="17">
        <f>'TUSD BE'!$R$15*'TUSD BE'!$R$58</f>
        <v>0</v>
      </c>
      <c r="S15" s="17">
        <f>'TUSD BE'!$R$15*'TUSD BE'!$S$58</f>
        <v>0</v>
      </c>
      <c r="T15" s="17">
        <f ca="1">SUM($L$15:$S$15)</f>
        <v>-1.1320600133275496E-3</v>
      </c>
      <c r="U15" s="17">
        <f>'TUSD BE'!$U$15*'TUSD BE'!$U$58</f>
        <v>0</v>
      </c>
      <c r="V15" s="17">
        <f>'TUSD BE'!$V$15*'TUSD BE'!$V$58</f>
        <v>0</v>
      </c>
      <c r="W15" s="17">
        <f>'TUSD BE'!$W$15*'TUSD BE'!$W$58</f>
        <v>0</v>
      </c>
      <c r="X15" s="17">
        <f>'TUSD BE'!$X$15*'TUSD BE'!$X$58</f>
        <v>0</v>
      </c>
      <c r="Y15" s="17">
        <f>'TUSD BE'!$Y$15*'TUSD BE'!$Y$58</f>
        <v>0</v>
      </c>
      <c r="Z15" s="17">
        <f>'TUSD BE'!$Z$15*'TUSD BE'!$Z$58</f>
        <v>0</v>
      </c>
      <c r="AA15" s="17">
        <f>'TUSD BE'!$AA$15*'TUSD BE'!$AA$58</f>
        <v>0</v>
      </c>
      <c r="AB15" s="17">
        <f>SUM($U$15:$AA$15)</f>
        <v>0</v>
      </c>
      <c r="AC15" s="17">
        <f>'TUSD BE'!$AC$15*'TUSD BE'!$AC$58</f>
        <v>-0.1076010339303493</v>
      </c>
      <c r="AD15" s="17">
        <f>SUM($AC$15:$AC$15)</f>
        <v>-0.1076010339303493</v>
      </c>
      <c r="AE15" s="17">
        <f ca="1">$AO$15*$AO$55</f>
        <v>-1.0504858034219009</v>
      </c>
      <c r="AF15" s="17">
        <f ca="1">$AP$15*$AP$55</f>
        <v>0</v>
      </c>
      <c r="AG15" s="17">
        <f ca="1">SUM($AE$15:$AF$15)</f>
        <v>-1.0504858034219009</v>
      </c>
      <c r="AH15" s="17">
        <f>'TUSD BE'!$AH$15*'TUSD BE'!$AH$58</f>
        <v>0</v>
      </c>
      <c r="AI15" s="17">
        <f>'TUSD BE'!$AI$15*'TUSD BE'!$AI$58</f>
        <v>0</v>
      </c>
      <c r="AJ15" s="17">
        <f ca="1">'TUSD BE'!$AJ$15*'TUSD BE'!$AJ$58</f>
        <v>0</v>
      </c>
      <c r="AK15" s="17">
        <f ca="1">'TUSD BE'!$AK$15*'TUSD BE'!$AK$58</f>
        <v>0</v>
      </c>
      <c r="AL15" s="17">
        <f ca="1">SUM($AH$15:$AK$15)</f>
        <v>0</v>
      </c>
      <c r="AM15" s="17">
        <f ca="1">SUMIF($L$4:$AL$4,"SUBTOTAL",$L$15:$AL$15)+AZ15</f>
        <v>-1.1592188973655777</v>
      </c>
      <c r="AO15" s="64">
        <f ca="1">+'TUSD BE'!$T$15+'TUSD BE'!$AB$15+'TUSD BE'!$AD$15+'TUSD BE'!$AL$15</f>
        <v>5.8695102814786591</v>
      </c>
      <c r="AP15" s="64">
        <f ca="1">+'TUSD BE'!$T$15+'TUSD BE'!$AB$15+'TUSD BE'!$AD$15+'TUSD BE'!$AL$15</f>
        <v>5.8695102814786591</v>
      </c>
      <c r="AQ15" s="9" t="str">
        <f t="shared" si="0"/>
        <v>B</v>
      </c>
      <c r="AR15" s="9" t="str">
        <f t="shared" si="1"/>
        <v>Geração</v>
      </c>
      <c r="AS15" s="9" t="str">
        <f t="shared" si="2"/>
        <v>Não se aplica</v>
      </c>
      <c r="AT15" s="9" t="str">
        <f t="shared" si="3"/>
        <v>Não se aplica</v>
      </c>
      <c r="AU15" s="9" t="str">
        <f t="shared" si="4"/>
        <v>TIPO 01</v>
      </c>
      <c r="AV15" s="9">
        <f t="shared" si="5"/>
        <v>0</v>
      </c>
      <c r="AW15" s="9">
        <f ca="1">TarifaMedia!$G$20</f>
        <v>0</v>
      </c>
      <c r="AX15" s="16">
        <f ca="1">'TUSD BE'!$AM15+'TUSD BF'!$AM15+'TUSD CVA'!$AM15</f>
        <v>4.7102913841130816</v>
      </c>
      <c r="AY15" s="9">
        <v>5.23</v>
      </c>
      <c r="AZ15" s="9">
        <f t="shared" ca="1" si="6"/>
        <v>0</v>
      </c>
      <c r="BC15" s="106" t="s">
        <v>1154</v>
      </c>
    </row>
    <row r="16" spans="1:55" ht="11.25" customHeight="1" x14ac:dyDescent="0.25">
      <c r="A16" s="166"/>
      <c r="B16" s="166"/>
      <c r="C16" s="166"/>
      <c r="D16" s="166"/>
      <c r="E16" s="100" t="s">
        <v>91</v>
      </c>
      <c r="F16" s="100" t="s">
        <v>25</v>
      </c>
      <c r="G16" s="57" t="s">
        <v>9</v>
      </c>
      <c r="H16" s="57" t="s">
        <v>83</v>
      </c>
      <c r="I16" s="57">
        <f>'MERCADO TUSD'!$U$13+0.00000001</f>
        <v>1E-8</v>
      </c>
      <c r="J16" s="16"/>
      <c r="L16" s="17">
        <f>'TUSD BE'!$L$16*'TUSD BE'!$L$58</f>
        <v>0</v>
      </c>
      <c r="M16" s="17">
        <f>'TUSD BE'!$M$16*'TUSD BE'!$M$58</f>
        <v>-1.1320579323238901E-3</v>
      </c>
      <c r="N16" s="17">
        <f ca="1">'TUSD BE'!$N$16*'TUSD BE'!$N$58</f>
        <v>-2.0810036596144399E-9</v>
      </c>
      <c r="O16" s="17">
        <f>'TUSD BE'!$O$16*'TUSD BE'!$O$58</f>
        <v>0</v>
      </c>
      <c r="P16" s="17">
        <f>'TUSD BE'!$P$16*'TUSD BE'!$P$58</f>
        <v>0</v>
      </c>
      <c r="Q16" s="17">
        <f>'TUSD BE'!$Q$16*'TUSD BE'!$Q$58</f>
        <v>0</v>
      </c>
      <c r="R16" s="17">
        <f>'TUSD BE'!$R$16*'TUSD BE'!$R$58</f>
        <v>0</v>
      </c>
      <c r="S16" s="17">
        <f>'TUSD BE'!$R$16*'TUSD BE'!$S$58</f>
        <v>0</v>
      </c>
      <c r="T16" s="17">
        <f ca="1">SUM($L$16:$S$16)</f>
        <v>-1.1320600133275496E-3</v>
      </c>
      <c r="U16" s="17">
        <f>'TUSD BE'!$U$16*'TUSD BE'!$U$58</f>
        <v>0</v>
      </c>
      <c r="V16" s="17">
        <f>'TUSD BE'!$V$16*'TUSD BE'!$V$58</f>
        <v>0</v>
      </c>
      <c r="W16" s="17">
        <f>'TUSD BE'!$W$16*'TUSD BE'!$W$58</f>
        <v>0</v>
      </c>
      <c r="X16" s="17">
        <f>'TUSD BE'!$X$16*'TUSD BE'!$X$58</f>
        <v>0</v>
      </c>
      <c r="Y16" s="17">
        <f>'TUSD BE'!$Y$16*'TUSD BE'!$Y$58</f>
        <v>0</v>
      </c>
      <c r="Z16" s="17">
        <f>'TUSD BE'!$Z$16*'TUSD BE'!$Z$58</f>
        <v>0</v>
      </c>
      <c r="AA16" s="17">
        <f>'TUSD BE'!$AA$16*'TUSD BE'!$AA$58</f>
        <v>0</v>
      </c>
      <c r="AB16" s="17">
        <f>SUM($U$16:$AA$16)</f>
        <v>0</v>
      </c>
      <c r="AC16" s="17">
        <f>'TUSD BE'!$AC$16*'TUSD BE'!$AC$58</f>
        <v>-0.17991648669484633</v>
      </c>
      <c r="AD16" s="17">
        <f>SUM($AC$16:$AC$16)</f>
        <v>-0.17991648669484633</v>
      </c>
      <c r="AE16" s="17">
        <f ca="1">$AO$16*$AO$55</f>
        <v>-1.7475731078938566</v>
      </c>
      <c r="AF16" s="17">
        <f ca="1">$AP$16*$AP$55</f>
        <v>0</v>
      </c>
      <c r="AG16" s="17">
        <f ca="1">SUM($AE$16:$AF$16)</f>
        <v>-1.7475731078938566</v>
      </c>
      <c r="AH16" s="17">
        <f>'TUSD BE'!$AH$16*'TUSD BE'!$AH$58</f>
        <v>0</v>
      </c>
      <c r="AI16" s="17">
        <f>'TUSD BE'!$AI$16*'TUSD BE'!$AI$58</f>
        <v>0</v>
      </c>
      <c r="AJ16" s="17">
        <f ca="1">'TUSD BE'!$AJ$16*'TUSD BE'!$AJ$58</f>
        <v>0</v>
      </c>
      <c r="AK16" s="17">
        <f ca="1">'TUSD BE'!$AK$16*'TUSD BE'!$AK$58</f>
        <v>0</v>
      </c>
      <c r="AL16" s="17">
        <f ca="1">SUM($AH$16:$AK$16)</f>
        <v>0</v>
      </c>
      <c r="AM16" s="17">
        <f ca="1">SUMIF($L$4:$AL$4,"SUBTOTAL",$L$16:$AL$16)+AZ16</f>
        <v>-1.9286216546020305</v>
      </c>
      <c r="AO16" s="64">
        <f ca="1">+'TUSD BE'!$T$16+'TUSD BE'!$AB$16+'TUSD BE'!$AD$16+'TUSD BE'!$AL$16</f>
        <v>9.7644330756357505</v>
      </c>
      <c r="AP16" s="64">
        <f ca="1">+'TUSD BE'!$T$16+'TUSD BE'!$AB$16+'TUSD BE'!$AD$16+'TUSD BE'!$AL$16</f>
        <v>9.7644330756357505</v>
      </c>
      <c r="AQ16" s="9" t="str">
        <f t="shared" si="0"/>
        <v>B</v>
      </c>
      <c r="AR16" s="9" t="str">
        <f t="shared" si="1"/>
        <v>Geração</v>
      </c>
      <c r="AS16" s="9" t="str">
        <f t="shared" si="2"/>
        <v>Não se aplica</v>
      </c>
      <c r="AT16" s="9" t="str">
        <f t="shared" si="3"/>
        <v>Não se aplica</v>
      </c>
      <c r="AU16" s="9" t="str">
        <f t="shared" si="4"/>
        <v>TIPO 02</v>
      </c>
      <c r="AV16" s="9">
        <f t="shared" si="5"/>
        <v>0</v>
      </c>
      <c r="AW16" s="9">
        <f ca="1">TarifaMedia!$G$20</f>
        <v>0</v>
      </c>
      <c r="AX16" s="16">
        <f ca="1">'TUSD BE'!$AM16+'TUSD BF'!$AM16+'TUSD CVA'!$AM16</f>
        <v>7.8358114210337195</v>
      </c>
      <c r="AY16" s="9">
        <v>13.5</v>
      </c>
      <c r="AZ16" s="9">
        <f t="shared" ca="1" si="6"/>
        <v>0</v>
      </c>
      <c r="BC16" s="106" t="s">
        <v>1155</v>
      </c>
    </row>
    <row r="17" spans="1:55" ht="11.25" customHeight="1" x14ac:dyDescent="0.25">
      <c r="A17" s="166" t="s">
        <v>22</v>
      </c>
      <c r="B17" s="166" t="s">
        <v>32</v>
      </c>
      <c r="C17" s="166" t="s">
        <v>24</v>
      </c>
      <c r="D17" s="166" t="s">
        <v>24</v>
      </c>
      <c r="E17" s="166" t="s">
        <v>25</v>
      </c>
      <c r="F17" s="166" t="s">
        <v>25</v>
      </c>
      <c r="G17" s="57" t="s">
        <v>79</v>
      </c>
      <c r="H17" s="57" t="s">
        <v>78</v>
      </c>
      <c r="I17" s="57">
        <f>'MERCADO TUSD'!$U$14</f>
        <v>2.7580000000000005</v>
      </c>
      <c r="J17" s="16"/>
      <c r="L17" s="17">
        <f>'TUSD BE'!$L$17*'TUSD BE'!$L$58</f>
        <v>-0.61365231628134631</v>
      </c>
      <c r="M17" s="17">
        <f>'TUSD BE'!$M$17*'TUSD BE'!$M$58</f>
        <v>-4.3268773577844089E-2</v>
      </c>
      <c r="N17" s="17">
        <f ca="1">'TUSD BE'!$N$17*'TUSD BE'!$N$58</f>
        <v>-2.6705343535791744E-7</v>
      </c>
      <c r="O17" s="17">
        <f>'TUSD BE'!$O$17*'TUSD BE'!$O$58</f>
        <v>0</v>
      </c>
      <c r="P17" s="17">
        <f>'TUSD BE'!$P$17*'TUSD BE'!$P$58</f>
        <v>0</v>
      </c>
      <c r="Q17" s="17">
        <f>'TUSD BE'!$Q$17*'TUSD BE'!$Q$58</f>
        <v>-3.3122159342143132</v>
      </c>
      <c r="R17" s="17">
        <f>'TUSD BE'!$R$17*'TUSD BE'!$R$58</f>
        <v>-0.5290859729511026</v>
      </c>
      <c r="S17" s="17">
        <f>'TUSD BE'!$R$17*'TUSD BE'!$S$58</f>
        <v>0</v>
      </c>
      <c r="T17" s="17">
        <f ca="1">SUM($L$17:$S$17)</f>
        <v>-4.4982232640780415</v>
      </c>
      <c r="U17" s="17">
        <f>'TUSD BE'!$U$17*'TUSD BE'!$U$58</f>
        <v>-3.1025245780863919</v>
      </c>
      <c r="V17" s="17">
        <f>'TUSD BE'!$V$17*'TUSD BE'!$V$58</f>
        <v>-2.1536551916124997</v>
      </c>
      <c r="W17" s="17">
        <f>'TUSD BE'!$W$17*'TUSD BE'!$W$58</f>
        <v>-0.21758673670331855</v>
      </c>
      <c r="X17" s="17">
        <f>'TUSD BE'!$X$17*'TUSD BE'!$X$58</f>
        <v>0</v>
      </c>
      <c r="Y17" s="17">
        <f>'TUSD BE'!$Y$17*'TUSD BE'!$Y$58</f>
        <v>0</v>
      </c>
      <c r="Z17" s="17">
        <f>'TUSD BE'!$Z$17*'TUSD BE'!$Z$58</f>
        <v>0</v>
      </c>
      <c r="AA17" s="17">
        <f>'TUSD BE'!$AA$17*'TUSD BE'!$AA$58</f>
        <v>0</v>
      </c>
      <c r="AB17" s="17">
        <f>SUM($U$17:$AA$17)</f>
        <v>-5.4737665064022103</v>
      </c>
      <c r="AC17" s="17">
        <f>'TUSD BE'!$AC$17*'TUSD BE'!$AC$58</f>
        <v>-10.551441000007662</v>
      </c>
      <c r="AD17" s="17">
        <f>SUM($AC$17:$AC$17)</f>
        <v>-10.551441000007662</v>
      </c>
      <c r="AE17" s="17">
        <f ca="1">$AO$17*$AO$55</f>
        <v>-161.60830589734135</v>
      </c>
      <c r="AF17" s="17">
        <f ca="1">$AP$17*$AP$55</f>
        <v>0</v>
      </c>
      <c r="AG17" s="17">
        <f ca="1">SUM($AE$17:$AF$17)</f>
        <v>-161.60830589734135</v>
      </c>
      <c r="AH17" s="17">
        <f>'TUSD BE'!$AH$17*'TUSD BE'!$AH$58</f>
        <v>7.3955910194548197E-2</v>
      </c>
      <c r="AI17" s="17">
        <f>'TUSD BE'!$AI$17*'TUSD BE'!$AI$58</f>
        <v>0</v>
      </c>
      <c r="AJ17" s="17">
        <f ca="1">'TUSD BE'!$AJ$17*'TUSD BE'!$AJ$58</f>
        <v>2.661359623736446E-3</v>
      </c>
      <c r="AK17" s="17">
        <f ca="1">'TUSD BE'!$AK$17*'TUSD BE'!$AK$58</f>
        <v>0.14104218800210214</v>
      </c>
      <c r="AL17" s="17">
        <f ca="1">SUM($AH$17:$AK$17)</f>
        <v>0.21765945782038676</v>
      </c>
      <c r="AM17" s="17">
        <f ca="1">SUMIF($L$4:$AL$4,"SUBTOTAL",$L$17:$AL$17)+AZ17</f>
        <v>-181.91407721000888</v>
      </c>
      <c r="AO17" s="64">
        <f ca="1">+'TUSD BE'!$T$17+'TUSD BE'!$AB$17+'TUSD BE'!$AD$17+'TUSD BE'!$AL$17</f>
        <v>902.97423339459215</v>
      </c>
      <c r="AP17" s="64">
        <f ca="1">+'TUSD BE'!$T$17+'TUSD BE'!$AB$17+'TUSD BE'!$AD$17+'TUSD BE'!$AL$17</f>
        <v>902.97423339459215</v>
      </c>
      <c r="AQ17" s="9" t="str">
        <f t="shared" si="0"/>
        <v>B1</v>
      </c>
      <c r="AR17" s="9" t="str">
        <f t="shared" si="1"/>
        <v>Branca</v>
      </c>
      <c r="AS17" s="9" t="str">
        <f t="shared" si="2"/>
        <v>Residencial</v>
      </c>
      <c r="AT17" s="9" t="str">
        <f t="shared" si="3"/>
        <v>Residencial</v>
      </c>
      <c r="AU17" s="9" t="str">
        <f t="shared" si="4"/>
        <v>Não se aplica</v>
      </c>
      <c r="AV17" s="9">
        <f t="shared" si="5"/>
        <v>1</v>
      </c>
      <c r="AW17" s="9">
        <f ca="1">TarifaMedia!$G$20</f>
        <v>0</v>
      </c>
      <c r="AX17" s="16">
        <f ca="1">'TUSD BE'!$AM17+'TUSD BF'!$AM17+'TUSD CVA'!$AM17</f>
        <v>751.66721126633001</v>
      </c>
      <c r="AY17" s="9">
        <v>871.05</v>
      </c>
      <c r="AZ17" s="9">
        <f t="shared" ca="1" si="6"/>
        <v>0</v>
      </c>
      <c r="BC17" s="106" t="s">
        <v>1156</v>
      </c>
    </row>
    <row r="18" spans="1:55" ht="11.25" customHeight="1" x14ac:dyDescent="0.25">
      <c r="A18" s="166"/>
      <c r="B18" s="166"/>
      <c r="C18" s="166"/>
      <c r="D18" s="166"/>
      <c r="E18" s="166"/>
      <c r="F18" s="166"/>
      <c r="G18" s="57" t="s">
        <v>92</v>
      </c>
      <c r="H18" s="57" t="s">
        <v>78</v>
      </c>
      <c r="I18" s="57">
        <f>'MERCADO TUSD'!$U$15</f>
        <v>1.9870000000000001</v>
      </c>
      <c r="J18" s="16"/>
      <c r="L18" s="17">
        <f>'TUSD BE'!$L$18*'TUSD BE'!$L$58</f>
        <v>-0.61365231628134631</v>
      </c>
      <c r="M18" s="17">
        <f>'TUSD BE'!$M$18*'TUSD BE'!$M$58</f>
        <v>-4.3268773577844089E-2</v>
      </c>
      <c r="N18" s="17">
        <f ca="1">'TUSD BE'!$N$18*'TUSD BE'!$N$58</f>
        <v>-1.4139488031079549E-7</v>
      </c>
      <c r="O18" s="17">
        <f>'TUSD BE'!$O$18*'TUSD BE'!$O$58</f>
        <v>0</v>
      </c>
      <c r="P18" s="17">
        <f>'TUSD BE'!$P$18*'TUSD BE'!$P$58</f>
        <v>0</v>
      </c>
      <c r="Q18" s="17">
        <f>'TUSD BE'!$Q$18*'TUSD BE'!$Q$58</f>
        <v>-3.3122159342143132</v>
      </c>
      <c r="R18" s="17">
        <f>'TUSD BE'!$R$18*'TUSD BE'!$R$58</f>
        <v>-0.5290859729511026</v>
      </c>
      <c r="S18" s="17">
        <f>'TUSD BE'!$R$18*'TUSD BE'!$S$58</f>
        <v>0</v>
      </c>
      <c r="T18" s="17">
        <f ca="1">SUM($L$18:$S$18)</f>
        <v>-4.4982231384194868</v>
      </c>
      <c r="U18" s="17">
        <f>'TUSD BE'!$U$18*'TUSD BE'!$U$58</f>
        <v>-1.5512645929197508</v>
      </c>
      <c r="V18" s="17">
        <f>'TUSD BE'!$V$18*'TUSD BE'!$V$58</f>
        <v>-1.0768254444787946</v>
      </c>
      <c r="W18" s="17">
        <f>'TUSD BE'!$W$18*'TUSD BE'!$W$58</f>
        <v>-0.10879409050662907</v>
      </c>
      <c r="X18" s="17">
        <f>'TUSD BE'!$X$18*'TUSD BE'!$X$58</f>
        <v>0</v>
      </c>
      <c r="Y18" s="17">
        <f>'TUSD BE'!$Y$18*'TUSD BE'!$Y$58</f>
        <v>0</v>
      </c>
      <c r="Z18" s="17">
        <f>'TUSD BE'!$Z$18*'TUSD BE'!$Z$58</f>
        <v>0</v>
      </c>
      <c r="AA18" s="17">
        <f>'TUSD BE'!$AA$18*'TUSD BE'!$AA$58</f>
        <v>0</v>
      </c>
      <c r="AB18" s="17">
        <f>SUM($U$18:$AA$18)</f>
        <v>-2.7368841279051743</v>
      </c>
      <c r="AC18" s="17">
        <f>'TUSD BE'!$AC$18*'TUSD BE'!$AC$58</f>
        <v>-5.275720500003831</v>
      </c>
      <c r="AD18" s="17">
        <f>SUM($AC$18:$AC$18)</f>
        <v>-5.275720500003831</v>
      </c>
      <c r="AE18" s="17">
        <f ca="1">$AO$18*$AO$55</f>
        <v>-92.555427717865925</v>
      </c>
      <c r="AF18" s="17">
        <f ca="1">$AP$18*$AP$55</f>
        <v>0</v>
      </c>
      <c r="AG18" s="17">
        <f ca="1">SUM($AE$18:$AF$18)</f>
        <v>-92.555427717865925</v>
      </c>
      <c r="AH18" s="17">
        <f>'TUSD BE'!$AH$18*'TUSD BE'!$AH$58</f>
        <v>7.3955910194548197E-2</v>
      </c>
      <c r="AI18" s="17">
        <f>'TUSD BE'!$AI$18*'TUSD BE'!$AI$58</f>
        <v>0</v>
      </c>
      <c r="AJ18" s="17">
        <f ca="1">'TUSD BE'!$AJ$18*'TUSD BE'!$AJ$58</f>
        <v>2.661359623736446E-3</v>
      </c>
      <c r="AK18" s="17">
        <f ca="1">'TUSD BE'!$AK$18*'TUSD BE'!$AK$58</f>
        <v>0.14104218800210214</v>
      </c>
      <c r="AL18" s="17">
        <f ca="1">SUM($AH$18:$AK$18)</f>
        <v>0.21765945782038676</v>
      </c>
      <c r="AM18" s="17">
        <f ca="1">SUMIF($L$4:$AL$4,"SUBTOTAL",$L$18:$AL$18)+AZ18</f>
        <v>-104.84859602637403</v>
      </c>
      <c r="AO18" s="64">
        <f ca="1">+'TUSD BE'!$T$18+'TUSD BE'!$AB$18+'TUSD BE'!$AD$18+'TUSD BE'!$AL$18</f>
        <v>517.14647911189741</v>
      </c>
      <c r="AP18" s="64">
        <f ca="1">+'TUSD BE'!$T$18+'TUSD BE'!$AB$18+'TUSD BE'!$AD$18+'TUSD BE'!$AL$18</f>
        <v>517.14647911189741</v>
      </c>
      <c r="AQ18" s="9" t="str">
        <f t="shared" si="0"/>
        <v>B1</v>
      </c>
      <c r="AR18" s="9" t="str">
        <f t="shared" si="1"/>
        <v>Branca</v>
      </c>
      <c r="AS18" s="9" t="str">
        <f t="shared" si="2"/>
        <v>Residencial</v>
      </c>
      <c r="AT18" s="9" t="str">
        <f t="shared" si="3"/>
        <v>Residencial</v>
      </c>
      <c r="AU18" s="9" t="str">
        <f t="shared" si="4"/>
        <v>Não se aplica</v>
      </c>
      <c r="AV18" s="9">
        <f t="shared" si="5"/>
        <v>1</v>
      </c>
      <c r="AW18" s="9">
        <f ca="1">TarifaMedia!$G$20</f>
        <v>0</v>
      </c>
      <c r="AX18" s="16">
        <f ca="1">'TUSD BE'!$AM18+'TUSD BF'!$AM18+'TUSD CVA'!$AM18</f>
        <v>437.62682457863491</v>
      </c>
      <c r="AY18" s="9">
        <v>582.04</v>
      </c>
      <c r="AZ18" s="9">
        <f t="shared" ca="1" si="6"/>
        <v>0</v>
      </c>
      <c r="BC18" s="106" t="s">
        <v>1157</v>
      </c>
    </row>
    <row r="19" spans="1:55" ht="11.25" customHeight="1" x14ac:dyDescent="0.25">
      <c r="A19" s="166"/>
      <c r="B19" s="166"/>
      <c r="C19" s="166"/>
      <c r="D19" s="166"/>
      <c r="E19" s="166"/>
      <c r="F19" s="166"/>
      <c r="G19" s="57" t="s">
        <v>80</v>
      </c>
      <c r="H19" s="57" t="s">
        <v>78</v>
      </c>
      <c r="I19" s="57">
        <f>'MERCADO TUSD'!$U$16</f>
        <v>16.794</v>
      </c>
      <c r="J19" s="16"/>
      <c r="L19" s="17">
        <f>'TUSD BE'!$L$19*'TUSD BE'!$L$58</f>
        <v>-0.61365231628134631</v>
      </c>
      <c r="M19" s="17">
        <f>'TUSD BE'!$M$19*'TUSD BE'!$M$58</f>
        <v>-4.3268773577844089E-2</v>
      </c>
      <c r="N19" s="17">
        <f ca="1">'TUSD BE'!$N$19*'TUSD BE'!$N$58</f>
        <v>-4.0868021746021743E-8</v>
      </c>
      <c r="O19" s="17">
        <f>'TUSD BE'!$O$19*'TUSD BE'!$O$58</f>
        <v>0</v>
      </c>
      <c r="P19" s="17">
        <f>'TUSD BE'!$P$19*'TUSD BE'!$P$58</f>
        <v>0</v>
      </c>
      <c r="Q19" s="17">
        <f>'TUSD BE'!$Q$19*'TUSD BE'!$Q$58</f>
        <v>-3.3122159342143132</v>
      </c>
      <c r="R19" s="17">
        <f>'TUSD BE'!$R$19*'TUSD BE'!$R$58</f>
        <v>-0.5290859729511026</v>
      </c>
      <c r="S19" s="17">
        <f>'TUSD BE'!$R$19*'TUSD BE'!$S$58</f>
        <v>0</v>
      </c>
      <c r="T19" s="17">
        <f ca="1">SUM($L$19:$S$19)</f>
        <v>-4.498223037892628</v>
      </c>
      <c r="U19" s="17">
        <f>'TUSD BE'!$U$19*'TUSD BE'!$U$58</f>
        <v>-0.31025384013457208</v>
      </c>
      <c r="V19" s="17">
        <f>'TUSD BE'!$V$19*'TUSD BE'!$V$58</f>
        <v>-0.21536508889575889</v>
      </c>
      <c r="W19" s="17">
        <f>'TUSD BE'!$W$19*'TUSD BE'!$W$58</f>
        <v>-2.1758529239337902E-2</v>
      </c>
      <c r="X19" s="17">
        <f>'TUSD BE'!$X$19*'TUSD BE'!$X$58</f>
        <v>0</v>
      </c>
      <c r="Y19" s="17">
        <f>'TUSD BE'!$Y$19*'TUSD BE'!$Y$58</f>
        <v>0</v>
      </c>
      <c r="Z19" s="17">
        <f>'TUSD BE'!$Z$19*'TUSD BE'!$Z$58</f>
        <v>0</v>
      </c>
      <c r="AA19" s="17">
        <f>'TUSD BE'!$AA$19*'TUSD BE'!$AA$58</f>
        <v>0</v>
      </c>
      <c r="AB19" s="17">
        <f>SUM($U$19:$AA$19)</f>
        <v>-0.54737745826966888</v>
      </c>
      <c r="AC19" s="17">
        <f>'TUSD BE'!$AC$19*'TUSD BE'!$AC$58</f>
        <v>-1.0551448542885211</v>
      </c>
      <c r="AD19" s="17">
        <f>SUM($AC$19:$AC$19)</f>
        <v>-1.0551448542885211</v>
      </c>
      <c r="AE19" s="17">
        <f ca="1">$AO$19*$AO$55</f>
        <v>-37.313122159108744</v>
      </c>
      <c r="AF19" s="17">
        <f ca="1">$AP$19*$AP$55</f>
        <v>0</v>
      </c>
      <c r="AG19" s="17">
        <f ca="1">SUM($AE$19:$AF$19)</f>
        <v>-37.313122159108744</v>
      </c>
      <c r="AH19" s="17">
        <f>'TUSD BE'!$AH$19*'TUSD BE'!$AH$58</f>
        <v>7.3955910194548197E-2</v>
      </c>
      <c r="AI19" s="17">
        <f>'TUSD BE'!$AI$19*'TUSD BE'!$AI$58</f>
        <v>0</v>
      </c>
      <c r="AJ19" s="17">
        <f ca="1">'TUSD BE'!$AJ$19*'TUSD BE'!$AJ$58</f>
        <v>2.661359623736446E-3</v>
      </c>
      <c r="AK19" s="17">
        <f ca="1">'TUSD BE'!$AK$19*'TUSD BE'!$AK$58</f>
        <v>0.14104218800210214</v>
      </c>
      <c r="AL19" s="17">
        <f ca="1">SUM($AH$19:$AK$19)</f>
        <v>0.21765945782038676</v>
      </c>
      <c r="AM19" s="17">
        <f ca="1">SUMIF($L$4:$AL$4,"SUBTOTAL",$L$19:$AL$19)+AZ19</f>
        <v>-43.196208051739177</v>
      </c>
      <c r="AO19" s="64">
        <f ca="1">+'TUSD BE'!$T$19+'TUSD BE'!$AB$19+'TUSD BE'!$AD$19+'TUSD BE'!$AL$19</f>
        <v>208.48425883866824</v>
      </c>
      <c r="AP19" s="64">
        <f ca="1">+'TUSD BE'!$T$19+'TUSD BE'!$AB$19+'TUSD BE'!$AD$19+'TUSD BE'!$AL$19</f>
        <v>208.48425883866824</v>
      </c>
      <c r="AQ19" s="9" t="str">
        <f t="shared" si="0"/>
        <v>B1</v>
      </c>
      <c r="AR19" s="9" t="str">
        <f t="shared" si="1"/>
        <v>Branca</v>
      </c>
      <c r="AS19" s="9" t="str">
        <f t="shared" si="2"/>
        <v>Residencial</v>
      </c>
      <c r="AT19" s="9" t="str">
        <f t="shared" si="3"/>
        <v>Residencial</v>
      </c>
      <c r="AU19" s="9" t="str">
        <f t="shared" si="4"/>
        <v>Não se aplica</v>
      </c>
      <c r="AV19" s="9">
        <f t="shared" si="5"/>
        <v>1</v>
      </c>
      <c r="AW19" s="9">
        <f ca="1">TarifaMedia!$G$20</f>
        <v>0</v>
      </c>
      <c r="AX19" s="16">
        <f ca="1">'TUSD BE'!$AM19+'TUSD BF'!$AM19+'TUSD CVA'!$AM19</f>
        <v>186.39450398462222</v>
      </c>
      <c r="AY19" s="9">
        <v>293.04000000000002</v>
      </c>
      <c r="AZ19" s="9">
        <f t="shared" ca="1" si="6"/>
        <v>0</v>
      </c>
      <c r="BC19" s="106" t="s">
        <v>1158</v>
      </c>
    </row>
    <row r="20" spans="1:55" ht="11.25" customHeight="1" x14ac:dyDescent="0.25">
      <c r="A20" s="166"/>
      <c r="B20" s="166" t="s">
        <v>23</v>
      </c>
      <c r="C20" s="166" t="s">
        <v>24</v>
      </c>
      <c r="D20" s="100" t="s">
        <v>24</v>
      </c>
      <c r="E20" s="100" t="s">
        <v>25</v>
      </c>
      <c r="F20" s="100" t="s">
        <v>25</v>
      </c>
      <c r="G20" s="57" t="s">
        <v>82</v>
      </c>
      <c r="H20" s="57" t="s">
        <v>78</v>
      </c>
      <c r="I20" s="57">
        <f>'MERCADO TUSD'!$U$17</f>
        <v>38061.052999999993</v>
      </c>
      <c r="J20" s="16"/>
      <c r="L20" s="17">
        <f>'TUSD BE'!$L$20*'TUSD BE'!$L$58</f>
        <v>-0.61365231628134631</v>
      </c>
      <c r="M20" s="17">
        <f>'TUSD BE'!$M$20*'TUSD BE'!$M$58</f>
        <v>-4.3268773577844089E-2</v>
      </c>
      <c r="N20" s="17">
        <f ca="1">'TUSD BE'!$N$20*'TUSD BE'!$N$58</f>
        <v>-9.1892996678294415E-8</v>
      </c>
      <c r="O20" s="17">
        <f>'TUSD BE'!$O$20*'TUSD BE'!$O$58</f>
        <v>0</v>
      </c>
      <c r="P20" s="17">
        <f>'TUSD BE'!$P$20*'TUSD BE'!$P$58</f>
        <v>0</v>
      </c>
      <c r="Q20" s="17">
        <f>'TUSD BE'!$Q$20*'TUSD BE'!$Q$58</f>
        <v>-3.3122159342143132</v>
      </c>
      <c r="R20" s="17">
        <f>'TUSD BE'!$R$20*'TUSD BE'!$R$58</f>
        <v>-0.5290859729511026</v>
      </c>
      <c r="S20" s="17">
        <f>'TUSD BE'!$R$20*'TUSD BE'!$S$58</f>
        <v>0</v>
      </c>
      <c r="T20" s="17">
        <f ca="1">SUM($L$20:$S$20)</f>
        <v>-4.4982230889176034</v>
      </c>
      <c r="U20" s="17">
        <f>'TUSD BE'!$U$20*'TUSD BE'!$U$58</f>
        <v>-0.94015672899436853</v>
      </c>
      <c r="V20" s="17">
        <f>'TUSD BE'!$V$20*'TUSD BE'!$V$58</f>
        <v>-0.65262239418667467</v>
      </c>
      <c r="W20" s="17">
        <f>'TUSD BE'!$W$20*'TUSD BE'!$W$58</f>
        <v>-6.5935637360388571E-2</v>
      </c>
      <c r="X20" s="17">
        <f>'TUSD BE'!$X$20*'TUSD BE'!$X$58</f>
        <v>0</v>
      </c>
      <c r="Y20" s="17">
        <f>'TUSD BE'!$Y$20*'TUSD BE'!$Y$58</f>
        <v>0</v>
      </c>
      <c r="Z20" s="17">
        <f>'TUSD BE'!$Z$20*'TUSD BE'!$Z$58</f>
        <v>0</v>
      </c>
      <c r="AA20" s="17">
        <f>'TUSD BE'!$AA$20*'TUSD BE'!$AA$58</f>
        <v>0</v>
      </c>
      <c r="AB20" s="17">
        <f>SUM($U$20:$AA$20)</f>
        <v>-1.6587147605414319</v>
      </c>
      <c r="AC20" s="17">
        <f>'TUSD BE'!$AC$20*'TUSD BE'!$AC$58</f>
        <v>-3.1974069350688032</v>
      </c>
      <c r="AD20" s="17">
        <f>SUM($AC$20:$AC$20)</f>
        <v>-3.1974069350688032</v>
      </c>
      <c r="AE20" s="17">
        <f ca="1">$AO$20*$AO$55</f>
        <v>-65.352761649010233</v>
      </c>
      <c r="AF20" s="17">
        <f ca="1">$AP$20*$AP$55</f>
        <v>0</v>
      </c>
      <c r="AG20" s="17">
        <f ca="1">SUM($AE$20:$AF$20)</f>
        <v>-65.352761649010233</v>
      </c>
      <c r="AH20" s="17">
        <f>'TUSD BE'!$AH$20*'TUSD BE'!$AH$58</f>
        <v>7.3955910194548197E-2</v>
      </c>
      <c r="AI20" s="17">
        <f>'TUSD BE'!$AI$20*'TUSD BE'!$AI$58</f>
        <v>0</v>
      </c>
      <c r="AJ20" s="17">
        <f ca="1">'TUSD BE'!$AJ$20*'TUSD BE'!$AJ$58</f>
        <v>2.661359623736446E-3</v>
      </c>
      <c r="AK20" s="17">
        <f ca="1">'TUSD BE'!$AK$20*'TUSD BE'!$AK$58</f>
        <v>0.14104218800210214</v>
      </c>
      <c r="AL20" s="17">
        <f ca="1">SUM($AH$20:$AK$20)</f>
        <v>0.21765945782038676</v>
      </c>
      <c r="AM20" s="17">
        <f ca="1">SUMIF($L$4:$AL$4,"SUBTOTAL",$L$20:$AL$20)+AZ20</f>
        <v>-74.489446975717684</v>
      </c>
      <c r="AO20" s="64">
        <f ca="1">+'TUSD BE'!$T$20+'TUSD BE'!$AB$20+'TUSD BE'!$AD$20+'TUSD BE'!$AL$20</f>
        <v>365.15363194092691</v>
      </c>
      <c r="AP20" s="64">
        <f ca="1">+'TUSD BE'!$T$20+'TUSD BE'!$AB$20+'TUSD BE'!$AD$20+'TUSD BE'!$AL$20</f>
        <v>365.15363194092691</v>
      </c>
      <c r="AQ20" s="9" t="str">
        <f t="shared" si="0"/>
        <v>B1</v>
      </c>
      <c r="AR20" s="9" t="str">
        <f t="shared" si="1"/>
        <v>Convencional</v>
      </c>
      <c r="AS20" s="9" t="str">
        <f t="shared" si="2"/>
        <v>Residencial</v>
      </c>
      <c r="AT20" s="9" t="str">
        <f t="shared" si="3"/>
        <v>Residencial</v>
      </c>
      <c r="AU20" s="9" t="str">
        <f t="shared" si="4"/>
        <v>Não se aplica</v>
      </c>
      <c r="AV20" s="9">
        <f t="shared" si="5"/>
        <v>1</v>
      </c>
      <c r="AW20" s="9">
        <f ca="1">TarifaMedia!$G$20</f>
        <v>0</v>
      </c>
      <c r="AX20" s="16">
        <f ca="1">'TUSD BE'!$AM20+'TUSD BF'!$AM20+'TUSD CVA'!$AM20</f>
        <v>313.91386533817797</v>
      </c>
      <c r="AY20" s="9">
        <v>437.54</v>
      </c>
      <c r="AZ20" s="9">
        <f t="shared" ca="1" si="6"/>
        <v>0</v>
      </c>
      <c r="BC20" s="106" t="s">
        <v>1159</v>
      </c>
    </row>
    <row r="21" spans="1:55" ht="11.25" customHeight="1" x14ac:dyDescent="0.25">
      <c r="A21" s="166"/>
      <c r="B21" s="166"/>
      <c r="C21" s="166"/>
      <c r="D21" s="100" t="s">
        <v>28</v>
      </c>
      <c r="E21" s="100" t="s">
        <v>25</v>
      </c>
      <c r="F21" s="100" t="s">
        <v>25</v>
      </c>
      <c r="G21" s="57" t="s">
        <v>82</v>
      </c>
      <c r="H21" s="57" t="s">
        <v>78</v>
      </c>
      <c r="I21" s="57">
        <f>'MERCADO TUSD'!$U$18</f>
        <v>264.92899999999997</v>
      </c>
      <c r="J21" s="16"/>
      <c r="L21" s="17">
        <f>'TUSD BE'!$L$21*'TUSD BE'!$L$58</f>
        <v>0</v>
      </c>
      <c r="M21" s="17">
        <f>'TUSD BE'!$M$21*'TUSD BE'!$M$58</f>
        <v>-4.3268773577844089E-2</v>
      </c>
      <c r="N21" s="17">
        <f ca="1">'TUSD BE'!$N$21*'TUSD BE'!$N$58</f>
        <v>-9.1529819774347705E-8</v>
      </c>
      <c r="O21" s="17">
        <f>'TUSD BE'!$O$21*'TUSD BE'!$O$58</f>
        <v>0</v>
      </c>
      <c r="P21" s="17">
        <f>'TUSD BE'!$P$21*'TUSD BE'!$P$58</f>
        <v>0</v>
      </c>
      <c r="Q21" s="17">
        <f>'TUSD BE'!$Q$21*'TUSD BE'!$Q$58</f>
        <v>0</v>
      </c>
      <c r="R21" s="17">
        <f>'TUSD BE'!$R$21*'TUSD BE'!$R$58</f>
        <v>0</v>
      </c>
      <c r="S21" s="17">
        <f>'TUSD BE'!$R$21*'TUSD BE'!$S$58</f>
        <v>0</v>
      </c>
      <c r="T21" s="17">
        <f ca="1">SUM($L$21:$S$21)</f>
        <v>-4.3268865107663861E-2</v>
      </c>
      <c r="U21" s="17">
        <f>'TUSD BE'!$U$21*'TUSD BE'!$U$58</f>
        <v>-0.94015672899436853</v>
      </c>
      <c r="V21" s="17">
        <f>'TUSD BE'!$V$21*'TUSD BE'!$V$58</f>
        <v>-0.65262239418667467</v>
      </c>
      <c r="W21" s="17">
        <f>'TUSD BE'!$W$21*'TUSD BE'!$W$58</f>
        <v>-6.5935637360388571E-2</v>
      </c>
      <c r="X21" s="17">
        <f>'TUSD BE'!$X$21*'TUSD BE'!$X$58</f>
        <v>0</v>
      </c>
      <c r="Y21" s="17">
        <f>'TUSD BE'!$Y$21*'TUSD BE'!$Y$58</f>
        <v>0</v>
      </c>
      <c r="Z21" s="17">
        <f>'TUSD BE'!$Z$21*'TUSD BE'!$Z$58</f>
        <v>0</v>
      </c>
      <c r="AA21" s="17">
        <f>'TUSD BE'!$AA$21*'TUSD BE'!$AA$58</f>
        <v>0</v>
      </c>
      <c r="AB21" s="17">
        <f>SUM($U$21:$AA$21)</f>
        <v>-1.6587147605414319</v>
      </c>
      <c r="AC21" s="17">
        <f>'TUSD BE'!$AC$21*'TUSD BE'!$AC$58</f>
        <v>-3.1974069350688032</v>
      </c>
      <c r="AD21" s="17">
        <f>SUM($AC$21:$AC$21)</f>
        <v>-3.1974069350688032</v>
      </c>
      <c r="AE21" s="17">
        <f ca="1">$AO$21*$AO$55</f>
        <v>-45.865910380805602</v>
      </c>
      <c r="AF21" s="17">
        <f ca="1">$AP$21*$AP$55</f>
        <v>0</v>
      </c>
      <c r="AG21" s="17">
        <f ca="1">SUM($AE$21:$AF$21)</f>
        <v>-45.865910380805602</v>
      </c>
      <c r="AH21" s="17">
        <f>'TUSD BE'!$AH$21*'TUSD BE'!$AH$58</f>
        <v>7.3955910194548197E-2</v>
      </c>
      <c r="AI21" s="17">
        <f>'TUSD BE'!$AI$21*'TUSD BE'!$AI$58</f>
        <v>0</v>
      </c>
      <c r="AJ21" s="17">
        <f ca="1">'TUSD BE'!$AJ$21*'TUSD BE'!$AJ$58</f>
        <v>2.661359623736446E-3</v>
      </c>
      <c r="AK21" s="17">
        <f ca="1">'TUSD BE'!$AK$21*'TUSD BE'!$AK$58</f>
        <v>0.14104218800210214</v>
      </c>
      <c r="AL21" s="17">
        <f ca="1">SUM($AH$21:$AK$21)</f>
        <v>0.21765945782038676</v>
      </c>
      <c r="AM21" s="17">
        <f ca="1">SUMIF($L$4:$AL$4,"SUBTOTAL",$L$21:$AL$21)+AZ21</f>
        <v>-50.54764148370311</v>
      </c>
      <c r="AO21" s="64">
        <f ca="1">+'TUSD BE'!$T$21+'TUSD BE'!$AB$21+'TUSD BE'!$AD$21+'TUSD BE'!$AL$21</f>
        <v>256.27231864779014</v>
      </c>
      <c r="AP21" s="64">
        <f ca="1">+'TUSD BE'!$T$21+'TUSD BE'!$AB$21+'TUSD BE'!$AD$21+'TUSD BE'!$AL$21</f>
        <v>256.27231864779014</v>
      </c>
      <c r="AQ21" s="9" t="str">
        <f t="shared" si="0"/>
        <v>B1</v>
      </c>
      <c r="AR21" s="9" t="str">
        <f t="shared" si="1"/>
        <v>Convencional</v>
      </c>
      <c r="AS21" s="9" t="str">
        <f t="shared" si="2"/>
        <v>Residencial</v>
      </c>
      <c r="AT21" s="9" t="str">
        <f t="shared" si="3"/>
        <v>Residencial baixa renda – faixa 01</v>
      </c>
      <c r="AU21" s="9" t="str">
        <f t="shared" si="4"/>
        <v>Não se aplica</v>
      </c>
      <c r="AV21" s="9">
        <f t="shared" si="5"/>
        <v>1</v>
      </c>
      <c r="AW21" s="9">
        <f ca="1">TarifaMedia!$G$20</f>
        <v>0</v>
      </c>
      <c r="AX21" s="16">
        <f ca="1">'TUSD BE'!$AM21+'TUSD BF'!$AM21+'TUSD CVA'!$AM21</f>
        <v>209.8122776176813</v>
      </c>
      <c r="AY21" s="9">
        <v>322.51</v>
      </c>
      <c r="AZ21" s="9">
        <f t="shared" ca="1" si="6"/>
        <v>0</v>
      </c>
      <c r="BC21" s="106" t="s">
        <v>1160</v>
      </c>
    </row>
    <row r="22" spans="1:55" ht="11.25" customHeight="1" x14ac:dyDescent="0.25">
      <c r="A22" s="166"/>
      <c r="B22" s="166"/>
      <c r="C22" s="166"/>
      <c r="D22" s="100" t="s">
        <v>29</v>
      </c>
      <c r="E22" s="100" t="s">
        <v>25</v>
      </c>
      <c r="F22" s="100" t="s">
        <v>25</v>
      </c>
      <c r="G22" s="57" t="s">
        <v>82</v>
      </c>
      <c r="H22" s="57" t="s">
        <v>78</v>
      </c>
      <c r="I22" s="57">
        <f>'MERCADO TUSD'!$U$19</f>
        <v>546.98300000000006</v>
      </c>
      <c r="J22" s="16"/>
      <c r="L22" s="17">
        <f>'TUSD BE'!$L$22*'TUSD BE'!$L$58</f>
        <v>0</v>
      </c>
      <c r="M22" s="17">
        <f>'TUSD BE'!$M$22*'TUSD BE'!$M$58</f>
        <v>-4.3268773577844089E-2</v>
      </c>
      <c r="N22" s="17">
        <f ca="1">'TUSD BE'!$N$22*'TUSD BE'!$N$58</f>
        <v>-9.1529819774347705E-8</v>
      </c>
      <c r="O22" s="17">
        <f>'TUSD BE'!$O$22*'TUSD BE'!$O$58</f>
        <v>0</v>
      </c>
      <c r="P22" s="17">
        <f>'TUSD BE'!$P$22*'TUSD BE'!$P$58</f>
        <v>0</v>
      </c>
      <c r="Q22" s="17">
        <f>'TUSD BE'!$Q$22*'TUSD BE'!$Q$58</f>
        <v>0</v>
      </c>
      <c r="R22" s="17">
        <f>'TUSD BE'!$R$22*'TUSD BE'!$R$58</f>
        <v>0</v>
      </c>
      <c r="S22" s="17">
        <f>'TUSD BE'!$R$22*'TUSD BE'!$S$58</f>
        <v>0</v>
      </c>
      <c r="T22" s="17">
        <f ca="1">SUM($L$22:$S$22)</f>
        <v>-4.3268865107663861E-2</v>
      </c>
      <c r="U22" s="17">
        <f>'TUSD BE'!$U$22*'TUSD BE'!$U$58</f>
        <v>-0.94015672899436853</v>
      </c>
      <c r="V22" s="17">
        <f>'TUSD BE'!$V$22*'TUSD BE'!$V$58</f>
        <v>-0.65262239418667467</v>
      </c>
      <c r="W22" s="17">
        <f>'TUSD BE'!$W$22*'TUSD BE'!$W$58</f>
        <v>-6.5935637360388571E-2</v>
      </c>
      <c r="X22" s="17">
        <f>'TUSD BE'!$X$22*'TUSD BE'!$X$58</f>
        <v>0</v>
      </c>
      <c r="Y22" s="17">
        <f>'TUSD BE'!$Y$22*'TUSD BE'!$Y$58</f>
        <v>0</v>
      </c>
      <c r="Z22" s="17">
        <f>'TUSD BE'!$Z$22*'TUSD BE'!$Z$58</f>
        <v>0</v>
      </c>
      <c r="AA22" s="17">
        <f>'TUSD BE'!$AA$22*'TUSD BE'!$AA$58</f>
        <v>0</v>
      </c>
      <c r="AB22" s="17">
        <f>SUM($U$22:$AA$22)</f>
        <v>-1.6587147605414319</v>
      </c>
      <c r="AC22" s="17">
        <f>'TUSD BE'!$AC$22*'TUSD BE'!$AC$58</f>
        <v>-3.1974069350688032</v>
      </c>
      <c r="AD22" s="17">
        <f>SUM($AC$22:$AC$22)</f>
        <v>-3.1974069350688032</v>
      </c>
      <c r="AE22" s="17">
        <f ca="1">$AO$22*$AO$55</f>
        <v>-45.865910380805602</v>
      </c>
      <c r="AF22" s="17">
        <f ca="1">$AP$22*$AP$55</f>
        <v>0</v>
      </c>
      <c r="AG22" s="17">
        <f ca="1">SUM($AE$22:$AF$22)</f>
        <v>-45.865910380805602</v>
      </c>
      <c r="AH22" s="17">
        <f>'TUSD BE'!$AH$22*'TUSD BE'!$AH$58</f>
        <v>7.3955910194548197E-2</v>
      </c>
      <c r="AI22" s="17">
        <f>'TUSD BE'!$AI$22*'TUSD BE'!$AI$58</f>
        <v>0</v>
      </c>
      <c r="AJ22" s="17">
        <f ca="1">'TUSD BE'!$AJ$22*'TUSD BE'!$AJ$58</f>
        <v>2.661359623736446E-3</v>
      </c>
      <c r="AK22" s="17">
        <f ca="1">'TUSD BE'!$AK$22*'TUSD BE'!$AK$58</f>
        <v>0.14104218800210214</v>
      </c>
      <c r="AL22" s="17">
        <f ca="1">SUM($AH$22:$AK$22)</f>
        <v>0.21765945782038676</v>
      </c>
      <c r="AM22" s="17">
        <f ca="1">SUMIF($L$4:$AL$4,"SUBTOTAL",$L$22:$AL$22)+AZ22</f>
        <v>-50.54764148370311</v>
      </c>
      <c r="AO22" s="64">
        <f ca="1">+'TUSD BE'!$T$22+'TUSD BE'!$AB$22+'TUSD BE'!$AD$22+'TUSD BE'!$AL$22</f>
        <v>256.27231864779014</v>
      </c>
      <c r="AP22" s="64">
        <f ca="1">+'TUSD BE'!$T$22+'TUSD BE'!$AB$22+'TUSD BE'!$AD$22+'TUSD BE'!$AL$22</f>
        <v>256.27231864779014</v>
      </c>
      <c r="AQ22" s="9" t="str">
        <f t="shared" si="0"/>
        <v>B1</v>
      </c>
      <c r="AR22" s="9" t="str">
        <f t="shared" si="1"/>
        <v>Convencional</v>
      </c>
      <c r="AS22" s="9" t="str">
        <f t="shared" si="2"/>
        <v>Residencial</v>
      </c>
      <c r="AT22" s="9" t="str">
        <f t="shared" si="3"/>
        <v>Residencial baixa renda – faixa 02</v>
      </c>
      <c r="AU22" s="9" t="str">
        <f t="shared" si="4"/>
        <v>Não se aplica</v>
      </c>
      <c r="AV22" s="9">
        <f t="shared" si="5"/>
        <v>1</v>
      </c>
      <c r="AW22" s="9">
        <f ca="1">TarifaMedia!$G$20</f>
        <v>0</v>
      </c>
      <c r="AX22" s="16">
        <f ca="1">'TUSD BE'!$AM22+'TUSD BF'!$AM22+'TUSD CVA'!$AM22</f>
        <v>209.8122776176813</v>
      </c>
      <c r="AY22" s="9">
        <v>322.51</v>
      </c>
      <c r="AZ22" s="9">
        <f t="shared" ca="1" si="6"/>
        <v>0</v>
      </c>
      <c r="BC22" s="106" t="s">
        <v>1160</v>
      </c>
    </row>
    <row r="23" spans="1:55" ht="11.25" customHeight="1" x14ac:dyDescent="0.25">
      <c r="A23" s="166"/>
      <c r="B23" s="166"/>
      <c r="C23" s="166"/>
      <c r="D23" s="100" t="s">
        <v>30</v>
      </c>
      <c r="E23" s="100" t="s">
        <v>25</v>
      </c>
      <c r="F23" s="100" t="s">
        <v>25</v>
      </c>
      <c r="G23" s="57" t="s">
        <v>82</v>
      </c>
      <c r="H23" s="57" t="s">
        <v>78</v>
      </c>
      <c r="I23" s="57">
        <f>'MERCADO TUSD'!$U$20</f>
        <v>480.18299999999999</v>
      </c>
      <c r="J23" s="16"/>
      <c r="L23" s="17">
        <f>'TUSD BE'!$L$23*'TUSD BE'!$L$58</f>
        <v>0</v>
      </c>
      <c r="M23" s="17">
        <f>'TUSD BE'!$M$23*'TUSD BE'!$M$58</f>
        <v>-4.3268773577844089E-2</v>
      </c>
      <c r="N23" s="17">
        <f ca="1">'TUSD BE'!$N$23*'TUSD BE'!$N$58</f>
        <v>-9.1529819774347705E-8</v>
      </c>
      <c r="O23" s="17">
        <f>'TUSD BE'!$O$23*'TUSD BE'!$O$58</f>
        <v>0</v>
      </c>
      <c r="P23" s="17">
        <f>'TUSD BE'!$P$23*'TUSD BE'!$P$58</f>
        <v>0</v>
      </c>
      <c r="Q23" s="17">
        <f>'TUSD BE'!$Q$23*'TUSD BE'!$Q$58</f>
        <v>0</v>
      </c>
      <c r="R23" s="17">
        <f>'TUSD BE'!$R$23*'TUSD BE'!$R$58</f>
        <v>0</v>
      </c>
      <c r="S23" s="17">
        <f>'TUSD BE'!$R$23*'TUSD BE'!$S$58</f>
        <v>0</v>
      </c>
      <c r="T23" s="17">
        <f ca="1">SUM($L$23:$S$23)</f>
        <v>-4.3268865107663861E-2</v>
      </c>
      <c r="U23" s="17">
        <f>'TUSD BE'!$U$23*'TUSD BE'!$U$58</f>
        <v>-0.94015672899436853</v>
      </c>
      <c r="V23" s="17">
        <f>'TUSD BE'!$V$23*'TUSD BE'!$V$58</f>
        <v>-0.65262239418667467</v>
      </c>
      <c r="W23" s="17">
        <f>'TUSD BE'!$W$23*'TUSD BE'!$W$58</f>
        <v>-6.5935637360388571E-2</v>
      </c>
      <c r="X23" s="17">
        <f>'TUSD BE'!$X$23*'TUSD BE'!$X$58</f>
        <v>0</v>
      </c>
      <c r="Y23" s="17">
        <f>'TUSD BE'!$Y$23*'TUSD BE'!$Y$58</f>
        <v>0</v>
      </c>
      <c r="Z23" s="17">
        <f>'TUSD BE'!$Z$23*'TUSD BE'!$Z$58</f>
        <v>0</v>
      </c>
      <c r="AA23" s="17">
        <f>'TUSD BE'!$AA$23*'TUSD BE'!$AA$58</f>
        <v>0</v>
      </c>
      <c r="AB23" s="17">
        <f>SUM($U$23:$AA$23)</f>
        <v>-1.6587147605414319</v>
      </c>
      <c r="AC23" s="17">
        <f>'TUSD BE'!$AC$23*'TUSD BE'!$AC$58</f>
        <v>-3.1974069350688032</v>
      </c>
      <c r="AD23" s="17">
        <f>SUM($AC$23:$AC$23)</f>
        <v>-3.1974069350688032</v>
      </c>
      <c r="AE23" s="17">
        <f ca="1">$AO$23*$AO$55</f>
        <v>-45.865910380805602</v>
      </c>
      <c r="AF23" s="17">
        <f ca="1">$AP$23*$AP$55</f>
        <v>0</v>
      </c>
      <c r="AG23" s="17">
        <f ca="1">SUM($AE$23:$AF$23)</f>
        <v>-45.865910380805602</v>
      </c>
      <c r="AH23" s="17">
        <f>'TUSD BE'!$AH$23*'TUSD BE'!$AH$58</f>
        <v>7.3955910194548197E-2</v>
      </c>
      <c r="AI23" s="17">
        <f>'TUSD BE'!$AI$23*'TUSD BE'!$AI$58</f>
        <v>0</v>
      </c>
      <c r="AJ23" s="17">
        <f ca="1">'TUSD BE'!$AJ$23*'TUSD BE'!$AJ$58</f>
        <v>2.661359623736446E-3</v>
      </c>
      <c r="AK23" s="17">
        <f ca="1">'TUSD BE'!$AK$23*'TUSD BE'!$AK$58</f>
        <v>0.14104218800210214</v>
      </c>
      <c r="AL23" s="17">
        <f ca="1">SUM($AH$23:$AK$23)</f>
        <v>0.21765945782038676</v>
      </c>
      <c r="AM23" s="17">
        <f ca="1">SUMIF($L$4:$AL$4,"SUBTOTAL",$L$23:$AL$23)+AZ23</f>
        <v>-50.54764148370311</v>
      </c>
      <c r="AO23" s="64">
        <f ca="1">+'TUSD BE'!$T$23+'TUSD BE'!$AB$23+'TUSD BE'!$AD$23+'TUSD BE'!$AL$23</f>
        <v>256.27231864779014</v>
      </c>
      <c r="AP23" s="64">
        <f ca="1">+'TUSD BE'!$T$23+'TUSD BE'!$AB$23+'TUSD BE'!$AD$23+'TUSD BE'!$AL$23</f>
        <v>256.27231864779014</v>
      </c>
      <c r="AQ23" s="9" t="str">
        <f t="shared" si="0"/>
        <v>B1</v>
      </c>
      <c r="AR23" s="9" t="str">
        <f t="shared" si="1"/>
        <v>Convencional</v>
      </c>
      <c r="AS23" s="9" t="str">
        <f t="shared" si="2"/>
        <v>Residencial</v>
      </c>
      <c r="AT23" s="9" t="str">
        <f t="shared" si="3"/>
        <v>Residencial baixa renda – faixa 03</v>
      </c>
      <c r="AU23" s="9" t="str">
        <f t="shared" si="4"/>
        <v>Não se aplica</v>
      </c>
      <c r="AV23" s="9">
        <f t="shared" si="5"/>
        <v>1</v>
      </c>
      <c r="AW23" s="9">
        <f ca="1">TarifaMedia!$G$20</f>
        <v>0</v>
      </c>
      <c r="AX23" s="16">
        <f ca="1">'TUSD BE'!$AM23+'TUSD BF'!$AM23+'TUSD CVA'!$AM23</f>
        <v>209.8122776176813</v>
      </c>
      <c r="AY23" s="9">
        <v>322.51</v>
      </c>
      <c r="AZ23" s="9">
        <f t="shared" ca="1" si="6"/>
        <v>0</v>
      </c>
      <c r="BC23" s="106" t="s">
        <v>1160</v>
      </c>
    </row>
    <row r="24" spans="1:55" ht="11.25" customHeight="1" x14ac:dyDescent="0.25">
      <c r="A24" s="166"/>
      <c r="B24" s="166"/>
      <c r="C24" s="166"/>
      <c r="D24" s="100" t="s">
        <v>31</v>
      </c>
      <c r="E24" s="100" t="s">
        <v>25</v>
      </c>
      <c r="F24" s="100" t="s">
        <v>25</v>
      </c>
      <c r="G24" s="57" t="s">
        <v>82</v>
      </c>
      <c r="H24" s="57" t="s">
        <v>78</v>
      </c>
      <c r="I24" s="57">
        <f>'MERCADO TUSD'!$U$21</f>
        <v>145.91099999999997</v>
      </c>
      <c r="J24" s="16"/>
      <c r="L24" s="17">
        <f>'TUSD BE'!$L$24*'TUSD BE'!$L$58</f>
        <v>0</v>
      </c>
      <c r="M24" s="17">
        <f>'TUSD BE'!$M$24*'TUSD BE'!$M$58</f>
        <v>-4.3268773577844089E-2</v>
      </c>
      <c r="N24" s="17">
        <f ca="1">'TUSD BE'!$N$24*'TUSD BE'!$N$58</f>
        <v>-9.1529819774347705E-8</v>
      </c>
      <c r="O24" s="17">
        <f>'TUSD BE'!$O$24*'TUSD BE'!$O$58</f>
        <v>0</v>
      </c>
      <c r="P24" s="17">
        <f>'TUSD BE'!$P$24*'TUSD BE'!$P$58</f>
        <v>0</v>
      </c>
      <c r="Q24" s="17">
        <f>'TUSD BE'!$Q$24*'TUSD BE'!$Q$58</f>
        <v>0</v>
      </c>
      <c r="R24" s="17">
        <f>'TUSD BE'!$R$24*'TUSD BE'!$R$58</f>
        <v>0</v>
      </c>
      <c r="S24" s="17">
        <f>'TUSD BE'!$R$24*'TUSD BE'!$S$58</f>
        <v>0</v>
      </c>
      <c r="T24" s="17">
        <f ca="1">SUM($L$24:$S$24)</f>
        <v>-4.3268865107663861E-2</v>
      </c>
      <c r="U24" s="17">
        <f>'TUSD BE'!$U$24*'TUSD BE'!$U$58</f>
        <v>-0.94015672899436853</v>
      </c>
      <c r="V24" s="17">
        <f>'TUSD BE'!$V$24*'TUSD BE'!$V$58</f>
        <v>-0.65262239418667467</v>
      </c>
      <c r="W24" s="17">
        <f>'TUSD BE'!$W$24*'TUSD BE'!$W$58</f>
        <v>-6.5935637360388571E-2</v>
      </c>
      <c r="X24" s="17">
        <f>'TUSD BE'!$X$24*'TUSD BE'!$X$58</f>
        <v>0</v>
      </c>
      <c r="Y24" s="17">
        <f>'TUSD BE'!$Y$24*'TUSD BE'!$Y$58</f>
        <v>0</v>
      </c>
      <c r="Z24" s="17">
        <f>'TUSD BE'!$Z$24*'TUSD BE'!$Z$58</f>
        <v>0</v>
      </c>
      <c r="AA24" s="17">
        <f>'TUSD BE'!$AA$24*'TUSD BE'!$AA$58</f>
        <v>0</v>
      </c>
      <c r="AB24" s="17">
        <f>SUM($U$24:$AA$24)</f>
        <v>-1.6587147605414319</v>
      </c>
      <c r="AC24" s="17">
        <f>'TUSD BE'!$AC$24*'TUSD BE'!$AC$58</f>
        <v>-3.1974069350688032</v>
      </c>
      <c r="AD24" s="17">
        <f>SUM($AC$24:$AC$24)</f>
        <v>-3.1974069350688032</v>
      </c>
      <c r="AE24" s="17">
        <f ca="1">$AO$24*$AO$55</f>
        <v>-45.865910380805602</v>
      </c>
      <c r="AF24" s="17">
        <f ca="1">$AP$24*$AP$55</f>
        <v>0</v>
      </c>
      <c r="AG24" s="17">
        <f ca="1">SUM($AE$24:$AF$24)</f>
        <v>-45.865910380805602</v>
      </c>
      <c r="AH24" s="17">
        <f>'TUSD BE'!$AH$24*'TUSD BE'!$AH$58</f>
        <v>7.3955910194548197E-2</v>
      </c>
      <c r="AI24" s="17">
        <f>'TUSD BE'!$AI$24*'TUSD BE'!$AI$58</f>
        <v>0</v>
      </c>
      <c r="AJ24" s="17">
        <f ca="1">'TUSD BE'!$AJ$24*'TUSD BE'!$AJ$58</f>
        <v>2.661359623736446E-3</v>
      </c>
      <c r="AK24" s="17">
        <f ca="1">'TUSD BE'!$AK$24*'TUSD BE'!$AK$58</f>
        <v>0.14104218800210214</v>
      </c>
      <c r="AL24" s="17">
        <f ca="1">SUM($AH$24:$AK$24)</f>
        <v>0.21765945782038676</v>
      </c>
      <c r="AM24" s="17">
        <f ca="1">SUMIF($L$4:$AL$4,"SUBTOTAL",$L$24:$AL$24)+AZ24</f>
        <v>-50.54764148370311</v>
      </c>
      <c r="AO24" s="64">
        <f ca="1">+'TUSD BE'!$T$24+'TUSD BE'!$AB$24+'TUSD BE'!$AD$24+'TUSD BE'!$AL$24</f>
        <v>256.27231864779014</v>
      </c>
      <c r="AP24" s="64">
        <f ca="1">+'TUSD BE'!$T$24+'TUSD BE'!$AB$24+'TUSD BE'!$AD$24+'TUSD BE'!$AL$24</f>
        <v>256.27231864779014</v>
      </c>
      <c r="AQ24" s="9" t="str">
        <f t="shared" si="0"/>
        <v>B1</v>
      </c>
      <c r="AR24" s="9" t="str">
        <f t="shared" si="1"/>
        <v>Convencional</v>
      </c>
      <c r="AS24" s="9" t="str">
        <f t="shared" si="2"/>
        <v>Residencial</v>
      </c>
      <c r="AT24" s="9" t="str">
        <f t="shared" si="3"/>
        <v>Residencial baixa renda – faixa 04</v>
      </c>
      <c r="AU24" s="9" t="str">
        <f t="shared" si="4"/>
        <v>Não se aplica</v>
      </c>
      <c r="AV24" s="9">
        <f t="shared" si="5"/>
        <v>1</v>
      </c>
      <c r="AW24" s="9">
        <f ca="1">TarifaMedia!$G$20</f>
        <v>0</v>
      </c>
      <c r="AX24" s="16">
        <f ca="1">'TUSD BE'!$AM24+'TUSD BF'!$AM24+'TUSD CVA'!$AM24</f>
        <v>209.8122776176813</v>
      </c>
      <c r="AY24" s="9">
        <v>322.51</v>
      </c>
      <c r="AZ24" s="9">
        <f t="shared" ca="1" si="6"/>
        <v>0</v>
      </c>
      <c r="BC24" s="106" t="s">
        <v>1160</v>
      </c>
    </row>
    <row r="25" spans="1:55" ht="11.25" customHeight="1" x14ac:dyDescent="0.25">
      <c r="A25" s="166"/>
      <c r="B25" s="166" t="s">
        <v>94</v>
      </c>
      <c r="C25" s="166" t="s">
        <v>24</v>
      </c>
      <c r="D25" s="100" t="s">
        <v>24</v>
      </c>
      <c r="E25" s="100" t="s">
        <v>25</v>
      </c>
      <c r="F25" s="100" t="s">
        <v>25</v>
      </c>
      <c r="G25" s="57" t="s">
        <v>82</v>
      </c>
      <c r="H25" s="57" t="s">
        <v>78</v>
      </c>
      <c r="I25" s="57">
        <f>'MERCADO TUSD'!$U$22</f>
        <v>0</v>
      </c>
      <c r="J25" s="16"/>
      <c r="L25" s="17">
        <f>'TUSD BE'!$L$25*'TUSD BE'!$L$58</f>
        <v>-0.61365231628134631</v>
      </c>
      <c r="M25" s="17">
        <f>'TUSD BE'!$M$25*'TUSD BE'!$M$58</f>
        <v>-4.3268773577844089E-2</v>
      </c>
      <c r="N25" s="17">
        <f ca="1">'TUSD BE'!$N$25*'TUSD BE'!$N$58</f>
        <v>-9.1892996678294415E-8</v>
      </c>
      <c r="O25" s="17">
        <f>'TUSD BE'!$O$25*'TUSD BE'!$O$58</f>
        <v>0</v>
      </c>
      <c r="P25" s="17">
        <f>'TUSD BE'!$P$25*'TUSD BE'!$P$58</f>
        <v>0</v>
      </c>
      <c r="Q25" s="17">
        <f>'TUSD BE'!$Q$25*'TUSD BE'!$Q$58</f>
        <v>-3.3122159342143132</v>
      </c>
      <c r="R25" s="17">
        <f>'TUSD BE'!$R$25*'TUSD BE'!$R$58</f>
        <v>-0.5290859729511026</v>
      </c>
      <c r="S25" s="17">
        <f>'TUSD BE'!$R$25*'TUSD BE'!$S$58</f>
        <v>0</v>
      </c>
      <c r="T25" s="17">
        <f ca="1">SUM($L$25:$S$25)</f>
        <v>-4.4982230889176034</v>
      </c>
      <c r="U25" s="17">
        <f>'TUSD BE'!$U$25*'TUSD BE'!$U$58</f>
        <v>-0.94015672899436853</v>
      </c>
      <c r="V25" s="17">
        <f>'TUSD BE'!$V$25*'TUSD BE'!$V$58</f>
        <v>-0.65262239418667467</v>
      </c>
      <c r="W25" s="17">
        <f>'TUSD BE'!$W$25*'TUSD BE'!$W$58</f>
        <v>-6.5935637360388571E-2</v>
      </c>
      <c r="X25" s="17">
        <f>'TUSD BE'!$X$25*'TUSD BE'!$X$58</f>
        <v>0</v>
      </c>
      <c r="Y25" s="17">
        <f>'TUSD BE'!$Y$25*'TUSD BE'!$Y$58</f>
        <v>0</v>
      </c>
      <c r="Z25" s="17">
        <f>'TUSD BE'!$Z$25*'TUSD BE'!$Z$58</f>
        <v>0</v>
      </c>
      <c r="AA25" s="17">
        <f>'TUSD BE'!$AA$25*'TUSD BE'!$AA$58</f>
        <v>0</v>
      </c>
      <c r="AB25" s="17">
        <f>SUM($U$25:$AA$25)</f>
        <v>-1.6587147605414319</v>
      </c>
      <c r="AC25" s="17">
        <f>'TUSD BE'!$AC$25*'TUSD BE'!$AC$58</f>
        <v>-3.1974069350688032</v>
      </c>
      <c r="AD25" s="17">
        <f>SUM($AC$25:$AC$25)</f>
        <v>-3.1974069350688032</v>
      </c>
      <c r="AE25" s="17">
        <f ca="1">$AO$25*$AO$55</f>
        <v>-65.352761649010233</v>
      </c>
      <c r="AF25" s="17">
        <f ca="1">$AP$25*$AP$55</f>
        <v>0</v>
      </c>
      <c r="AG25" s="17">
        <f ca="1">SUM($AE$25:$AF$25)</f>
        <v>-65.352761649010233</v>
      </c>
      <c r="AH25" s="17">
        <f>'TUSD BE'!$AH$25*'TUSD BE'!$AH$58</f>
        <v>7.3955910194548197E-2</v>
      </c>
      <c r="AI25" s="17">
        <f>'TUSD BE'!$AI$25*'TUSD BE'!$AI$58</f>
        <v>0</v>
      </c>
      <c r="AJ25" s="17">
        <f ca="1">'TUSD BE'!$AJ$25*'TUSD BE'!$AJ$58</f>
        <v>2.661359623736446E-3</v>
      </c>
      <c r="AK25" s="17">
        <f ca="1">'TUSD BE'!$AK$25*'TUSD BE'!$AK$58</f>
        <v>0.14104218800210214</v>
      </c>
      <c r="AL25" s="17">
        <f ca="1">SUM($AH$25:$AK$25)</f>
        <v>0.21765945782038676</v>
      </c>
      <c r="AM25" s="17">
        <f ca="1">SUMIF($L$4:$AL$4,"SUBTOTAL",$L$25:$AL$25)+AZ25</f>
        <v>-74.489446975717684</v>
      </c>
      <c r="AO25" s="64">
        <f ca="1">+'TUSD BE'!$T$25+'TUSD BE'!$AB$25+'TUSD BE'!$AD$25+'TUSD BE'!$AL$25</f>
        <v>365.15363194092691</v>
      </c>
      <c r="AP25" s="64">
        <f ca="1">+'TUSD BE'!$T$25+'TUSD BE'!$AB$25+'TUSD BE'!$AD$25+'TUSD BE'!$AL$25</f>
        <v>365.15363194092691</v>
      </c>
      <c r="AQ25" s="9" t="str">
        <f t="shared" si="0"/>
        <v>B1</v>
      </c>
      <c r="AR25" s="9" t="str">
        <f t="shared" si="1"/>
        <v>Convencional pré-pagamento</v>
      </c>
      <c r="AS25" s="9" t="str">
        <f t="shared" si="2"/>
        <v>Residencial</v>
      </c>
      <c r="AT25" s="9" t="str">
        <f t="shared" si="3"/>
        <v>Residencial</v>
      </c>
      <c r="AU25" s="9" t="str">
        <f t="shared" si="4"/>
        <v>Não se aplica</v>
      </c>
      <c r="AV25" s="9">
        <f t="shared" si="5"/>
        <v>1</v>
      </c>
      <c r="AW25" s="9">
        <f ca="1">TarifaMedia!$G$20</f>
        <v>0</v>
      </c>
      <c r="AX25" s="16">
        <f ca="1">'TUSD BE'!$AM25+'TUSD BF'!$AM25+'TUSD CVA'!$AM25</f>
        <v>313.91386533817797</v>
      </c>
      <c r="AY25" s="9">
        <v>437.54</v>
      </c>
      <c r="AZ25" s="9">
        <f t="shared" ca="1" si="6"/>
        <v>0</v>
      </c>
      <c r="BC25" s="106" t="s">
        <v>1161</v>
      </c>
    </row>
    <row r="26" spans="1:55" ht="11.25" customHeight="1" x14ac:dyDescent="0.25">
      <c r="A26" s="166"/>
      <c r="B26" s="166"/>
      <c r="C26" s="166"/>
      <c r="D26" s="100" t="s">
        <v>28</v>
      </c>
      <c r="E26" s="100" t="s">
        <v>25</v>
      </c>
      <c r="F26" s="100" t="s">
        <v>25</v>
      </c>
      <c r="G26" s="57" t="s">
        <v>82</v>
      </c>
      <c r="H26" s="57" t="s">
        <v>78</v>
      </c>
      <c r="I26" s="57">
        <f>'MERCADO TUSD'!$U$23</f>
        <v>0</v>
      </c>
      <c r="J26" s="16"/>
      <c r="L26" s="17">
        <f>'TUSD BE'!$L$26*'TUSD BE'!$L$58</f>
        <v>0</v>
      </c>
      <c r="M26" s="17">
        <f>'TUSD BE'!$M$26*'TUSD BE'!$M$58</f>
        <v>-4.3268773577844089E-2</v>
      </c>
      <c r="N26" s="17">
        <f ca="1">'TUSD BE'!$N$26*'TUSD BE'!$N$58</f>
        <v>-9.1529819774347705E-8</v>
      </c>
      <c r="O26" s="17">
        <f>'TUSD BE'!$O$26*'TUSD BE'!$O$58</f>
        <v>0</v>
      </c>
      <c r="P26" s="17">
        <f>'TUSD BE'!$P$26*'TUSD BE'!$P$58</f>
        <v>0</v>
      </c>
      <c r="Q26" s="17">
        <f>'TUSD BE'!$Q$26*'TUSD BE'!$Q$58</f>
        <v>0</v>
      </c>
      <c r="R26" s="17">
        <f>'TUSD BE'!$R$26*'TUSD BE'!$R$58</f>
        <v>0</v>
      </c>
      <c r="S26" s="17">
        <f>'TUSD BE'!$R$26*'TUSD BE'!$S$58</f>
        <v>0</v>
      </c>
      <c r="T26" s="17">
        <f ca="1">SUM($L$26:$S$26)</f>
        <v>-4.3268865107663861E-2</v>
      </c>
      <c r="U26" s="17">
        <f>'TUSD BE'!$U$26*'TUSD BE'!$U$58</f>
        <v>-0.94015672899436853</v>
      </c>
      <c r="V26" s="17">
        <f>'TUSD BE'!$V$26*'TUSD BE'!$V$58</f>
        <v>-0.65262239418667467</v>
      </c>
      <c r="W26" s="17">
        <f>'TUSD BE'!$W$26*'TUSD BE'!$W$58</f>
        <v>-6.5935637360388571E-2</v>
      </c>
      <c r="X26" s="17">
        <f>'TUSD BE'!$X$26*'TUSD BE'!$X$58</f>
        <v>0</v>
      </c>
      <c r="Y26" s="17">
        <f>'TUSD BE'!$Y$26*'TUSD BE'!$Y$58</f>
        <v>0</v>
      </c>
      <c r="Z26" s="17">
        <f>'TUSD BE'!$Z$26*'TUSD BE'!$Z$58</f>
        <v>0</v>
      </c>
      <c r="AA26" s="17">
        <f>'TUSD BE'!$AA$26*'TUSD BE'!$AA$58</f>
        <v>0</v>
      </c>
      <c r="AB26" s="17">
        <f>SUM($U$26:$AA$26)</f>
        <v>-1.6587147605414319</v>
      </c>
      <c r="AC26" s="17">
        <f>'TUSD BE'!$AC$26*'TUSD BE'!$AC$58</f>
        <v>-3.1974069350688032</v>
      </c>
      <c r="AD26" s="17">
        <f>SUM($AC$26:$AC$26)</f>
        <v>-3.1974069350688032</v>
      </c>
      <c r="AE26" s="17">
        <f ca="1">$AO$26*$AO$55</f>
        <v>-45.865910380805602</v>
      </c>
      <c r="AF26" s="17">
        <f ca="1">$AP$26*$AP$55</f>
        <v>0</v>
      </c>
      <c r="AG26" s="17">
        <f ca="1">SUM($AE$26:$AF$26)</f>
        <v>-45.865910380805602</v>
      </c>
      <c r="AH26" s="17">
        <f>'TUSD BE'!$AH$26*'TUSD BE'!$AH$58</f>
        <v>7.3955910194548197E-2</v>
      </c>
      <c r="AI26" s="17">
        <f>'TUSD BE'!$AI$26*'TUSD BE'!$AI$58</f>
        <v>0</v>
      </c>
      <c r="AJ26" s="17">
        <f ca="1">'TUSD BE'!$AJ$26*'TUSD BE'!$AJ$58</f>
        <v>2.661359623736446E-3</v>
      </c>
      <c r="AK26" s="17">
        <f ca="1">'TUSD BE'!$AK$26*'TUSD BE'!$AK$58</f>
        <v>0.14104218800210214</v>
      </c>
      <c r="AL26" s="17">
        <f ca="1">SUM($AH$26:$AK$26)</f>
        <v>0.21765945782038676</v>
      </c>
      <c r="AM26" s="17">
        <f ca="1">SUMIF($L$4:$AL$4,"SUBTOTAL",$L$26:$AL$26)+AZ26</f>
        <v>-50.54764148370311</v>
      </c>
      <c r="AO26" s="64">
        <f ca="1">+'TUSD BE'!$T$26+'TUSD BE'!$AB$26+'TUSD BE'!$AD$26+'TUSD BE'!$AL$26</f>
        <v>256.27231864779014</v>
      </c>
      <c r="AP26" s="64">
        <f ca="1">+'TUSD BE'!$T$26+'TUSD BE'!$AB$26+'TUSD BE'!$AD$26+'TUSD BE'!$AL$26</f>
        <v>256.27231864779014</v>
      </c>
      <c r="AQ26" s="9" t="str">
        <f t="shared" si="0"/>
        <v>B1</v>
      </c>
      <c r="AR26" s="9" t="str">
        <f t="shared" si="1"/>
        <v>Convencional pré-pagamento</v>
      </c>
      <c r="AS26" s="9" t="str">
        <f t="shared" si="2"/>
        <v>Residencial</v>
      </c>
      <c r="AT26" s="9" t="str">
        <f t="shared" si="3"/>
        <v>Residencial baixa renda – faixa 01</v>
      </c>
      <c r="AU26" s="9" t="str">
        <f t="shared" si="4"/>
        <v>Não se aplica</v>
      </c>
      <c r="AV26" s="9">
        <f t="shared" si="5"/>
        <v>1</v>
      </c>
      <c r="AW26" s="9">
        <f ca="1">TarifaMedia!$G$20</f>
        <v>0</v>
      </c>
      <c r="AX26" s="16">
        <f ca="1">'TUSD BE'!$AM26+'TUSD BF'!$AM26+'TUSD CVA'!$AM26</f>
        <v>209.8122776176813</v>
      </c>
      <c r="AY26" s="9">
        <v>322.51</v>
      </c>
      <c r="AZ26" s="9">
        <f t="shared" ca="1" si="6"/>
        <v>0</v>
      </c>
      <c r="BC26" s="106" t="s">
        <v>1162</v>
      </c>
    </row>
    <row r="27" spans="1:55" ht="11.25" customHeight="1" x14ac:dyDescent="0.25">
      <c r="A27" s="166"/>
      <c r="B27" s="166"/>
      <c r="C27" s="166"/>
      <c r="D27" s="100" t="s">
        <v>29</v>
      </c>
      <c r="E27" s="100" t="s">
        <v>25</v>
      </c>
      <c r="F27" s="100" t="s">
        <v>25</v>
      </c>
      <c r="G27" s="57" t="s">
        <v>82</v>
      </c>
      <c r="H27" s="57" t="s">
        <v>78</v>
      </c>
      <c r="I27" s="57">
        <f>'MERCADO TUSD'!$U$24</f>
        <v>0</v>
      </c>
      <c r="J27" s="16"/>
      <c r="L27" s="17">
        <f>'TUSD BE'!$L$27*'TUSD BE'!$L$58</f>
        <v>0</v>
      </c>
      <c r="M27" s="17">
        <f>'TUSD BE'!$M$27*'TUSD BE'!$M$58</f>
        <v>-4.3268773577844089E-2</v>
      </c>
      <c r="N27" s="17">
        <f ca="1">'TUSD BE'!$N$27*'TUSD BE'!$N$58</f>
        <v>-9.1529819774347705E-8</v>
      </c>
      <c r="O27" s="17">
        <f>'TUSD BE'!$O$27*'TUSD BE'!$O$58</f>
        <v>0</v>
      </c>
      <c r="P27" s="17">
        <f>'TUSD BE'!$P$27*'TUSD BE'!$P$58</f>
        <v>0</v>
      </c>
      <c r="Q27" s="17">
        <f>'TUSD BE'!$Q$27*'TUSD BE'!$Q$58</f>
        <v>0</v>
      </c>
      <c r="R27" s="17">
        <f>'TUSD BE'!$R$27*'TUSD BE'!$R$58</f>
        <v>0</v>
      </c>
      <c r="S27" s="17">
        <f>'TUSD BE'!$R$27*'TUSD BE'!$S$58</f>
        <v>0</v>
      </c>
      <c r="T27" s="17">
        <f ca="1">SUM($L$27:$S$27)</f>
        <v>-4.3268865107663861E-2</v>
      </c>
      <c r="U27" s="17">
        <f>'TUSD BE'!$U$27*'TUSD BE'!$U$58</f>
        <v>-0.94015672899436853</v>
      </c>
      <c r="V27" s="17">
        <f>'TUSD BE'!$V$27*'TUSD BE'!$V$58</f>
        <v>-0.65262239418667467</v>
      </c>
      <c r="W27" s="17">
        <f>'TUSD BE'!$W$27*'TUSD BE'!$W$58</f>
        <v>-6.5935637360388571E-2</v>
      </c>
      <c r="X27" s="17">
        <f>'TUSD BE'!$X$27*'TUSD BE'!$X$58</f>
        <v>0</v>
      </c>
      <c r="Y27" s="17">
        <f>'TUSD BE'!$Y$27*'TUSD BE'!$Y$58</f>
        <v>0</v>
      </c>
      <c r="Z27" s="17">
        <f>'TUSD BE'!$Z$27*'TUSD BE'!$Z$58</f>
        <v>0</v>
      </c>
      <c r="AA27" s="17">
        <f>'TUSD BE'!$AA$27*'TUSD BE'!$AA$58</f>
        <v>0</v>
      </c>
      <c r="AB27" s="17">
        <f>SUM($U$27:$AA$27)</f>
        <v>-1.6587147605414319</v>
      </c>
      <c r="AC27" s="17">
        <f>'TUSD BE'!$AC$27*'TUSD BE'!$AC$58</f>
        <v>-3.1974069350688032</v>
      </c>
      <c r="AD27" s="17">
        <f>SUM($AC$27:$AC$27)</f>
        <v>-3.1974069350688032</v>
      </c>
      <c r="AE27" s="17">
        <f ca="1">$AO$27*$AO$55</f>
        <v>-45.865910380805602</v>
      </c>
      <c r="AF27" s="17">
        <f ca="1">$AP$27*$AP$55</f>
        <v>0</v>
      </c>
      <c r="AG27" s="17">
        <f ca="1">SUM($AE$27:$AF$27)</f>
        <v>-45.865910380805602</v>
      </c>
      <c r="AH27" s="17">
        <f>'TUSD BE'!$AH$27*'TUSD BE'!$AH$58</f>
        <v>7.3955910194548197E-2</v>
      </c>
      <c r="AI27" s="17">
        <f>'TUSD BE'!$AI$27*'TUSD BE'!$AI$58</f>
        <v>0</v>
      </c>
      <c r="AJ27" s="17">
        <f ca="1">'TUSD BE'!$AJ$27*'TUSD BE'!$AJ$58</f>
        <v>2.661359623736446E-3</v>
      </c>
      <c r="AK27" s="17">
        <f ca="1">'TUSD BE'!$AK$27*'TUSD BE'!$AK$58</f>
        <v>0.14104218800210214</v>
      </c>
      <c r="AL27" s="17">
        <f ca="1">SUM($AH$27:$AK$27)</f>
        <v>0.21765945782038676</v>
      </c>
      <c r="AM27" s="17">
        <f ca="1">SUMIF($L$4:$AL$4,"SUBTOTAL",$L$27:$AL$27)+AZ27</f>
        <v>-50.54764148370311</v>
      </c>
      <c r="AO27" s="64">
        <f ca="1">+'TUSD BE'!$T$27+'TUSD BE'!$AB$27+'TUSD BE'!$AD$27+'TUSD BE'!$AL$27</f>
        <v>256.27231864779014</v>
      </c>
      <c r="AP27" s="64">
        <f ca="1">+'TUSD BE'!$T$27+'TUSD BE'!$AB$27+'TUSD BE'!$AD$27+'TUSD BE'!$AL$27</f>
        <v>256.27231864779014</v>
      </c>
      <c r="AQ27" s="9" t="str">
        <f t="shared" si="0"/>
        <v>B1</v>
      </c>
      <c r="AR27" s="9" t="str">
        <f t="shared" si="1"/>
        <v>Convencional pré-pagamento</v>
      </c>
      <c r="AS27" s="9" t="str">
        <f t="shared" si="2"/>
        <v>Residencial</v>
      </c>
      <c r="AT27" s="9" t="str">
        <f t="shared" si="3"/>
        <v>Residencial baixa renda – faixa 02</v>
      </c>
      <c r="AU27" s="9" t="str">
        <f t="shared" si="4"/>
        <v>Não se aplica</v>
      </c>
      <c r="AV27" s="9">
        <f t="shared" si="5"/>
        <v>1</v>
      </c>
      <c r="AW27" s="9">
        <f ca="1">TarifaMedia!$G$20</f>
        <v>0</v>
      </c>
      <c r="AX27" s="16">
        <f ca="1">'TUSD BE'!$AM27+'TUSD BF'!$AM27+'TUSD CVA'!$AM27</f>
        <v>209.8122776176813</v>
      </c>
      <c r="AY27" s="9">
        <v>322.51</v>
      </c>
      <c r="AZ27" s="9">
        <f t="shared" ca="1" si="6"/>
        <v>0</v>
      </c>
      <c r="BC27" s="106" t="s">
        <v>1162</v>
      </c>
    </row>
    <row r="28" spans="1:55" ht="11.25" customHeight="1" x14ac:dyDescent="0.25">
      <c r="A28" s="166"/>
      <c r="B28" s="166"/>
      <c r="C28" s="166"/>
      <c r="D28" s="100" t="s">
        <v>30</v>
      </c>
      <c r="E28" s="100" t="s">
        <v>25</v>
      </c>
      <c r="F28" s="100" t="s">
        <v>25</v>
      </c>
      <c r="G28" s="57" t="s">
        <v>82</v>
      </c>
      <c r="H28" s="57" t="s">
        <v>78</v>
      </c>
      <c r="I28" s="57">
        <f>'MERCADO TUSD'!$U$25</f>
        <v>0</v>
      </c>
      <c r="J28" s="16"/>
      <c r="L28" s="17">
        <f>'TUSD BE'!$L$28*'TUSD BE'!$L$58</f>
        <v>0</v>
      </c>
      <c r="M28" s="17">
        <f>'TUSD BE'!$M$28*'TUSD BE'!$M$58</f>
        <v>-4.3268773577844089E-2</v>
      </c>
      <c r="N28" s="17">
        <f ca="1">'TUSD BE'!$N$28*'TUSD BE'!$N$58</f>
        <v>-9.1529819774347705E-8</v>
      </c>
      <c r="O28" s="17">
        <f>'TUSD BE'!$O$28*'TUSD BE'!$O$58</f>
        <v>0</v>
      </c>
      <c r="P28" s="17">
        <f>'TUSD BE'!$P$28*'TUSD BE'!$P$58</f>
        <v>0</v>
      </c>
      <c r="Q28" s="17">
        <f>'TUSD BE'!$Q$28*'TUSD BE'!$Q$58</f>
        <v>0</v>
      </c>
      <c r="R28" s="17">
        <f>'TUSD BE'!$R$28*'TUSD BE'!$R$58</f>
        <v>0</v>
      </c>
      <c r="S28" s="17">
        <f>'TUSD BE'!$R$28*'TUSD BE'!$S$58</f>
        <v>0</v>
      </c>
      <c r="T28" s="17">
        <f ca="1">SUM($L$28:$S$28)</f>
        <v>-4.3268865107663861E-2</v>
      </c>
      <c r="U28" s="17">
        <f>'TUSD BE'!$U$28*'TUSD BE'!$U$58</f>
        <v>-0.94015672899436853</v>
      </c>
      <c r="V28" s="17">
        <f>'TUSD BE'!$V$28*'TUSD BE'!$V$58</f>
        <v>-0.65262239418667467</v>
      </c>
      <c r="W28" s="17">
        <f>'TUSD BE'!$W$28*'TUSD BE'!$W$58</f>
        <v>-6.5935637360388571E-2</v>
      </c>
      <c r="X28" s="17">
        <f>'TUSD BE'!$X$28*'TUSD BE'!$X$58</f>
        <v>0</v>
      </c>
      <c r="Y28" s="17">
        <f>'TUSD BE'!$Y$28*'TUSD BE'!$Y$58</f>
        <v>0</v>
      </c>
      <c r="Z28" s="17">
        <f>'TUSD BE'!$Z$28*'TUSD BE'!$Z$58</f>
        <v>0</v>
      </c>
      <c r="AA28" s="17">
        <f>'TUSD BE'!$AA$28*'TUSD BE'!$AA$58</f>
        <v>0</v>
      </c>
      <c r="AB28" s="17">
        <f>SUM($U$28:$AA$28)</f>
        <v>-1.6587147605414319</v>
      </c>
      <c r="AC28" s="17">
        <f>'TUSD BE'!$AC$28*'TUSD BE'!$AC$58</f>
        <v>-3.1974069350688032</v>
      </c>
      <c r="AD28" s="17">
        <f>SUM($AC$28:$AC$28)</f>
        <v>-3.1974069350688032</v>
      </c>
      <c r="AE28" s="17">
        <f ca="1">$AO$28*$AO$55</f>
        <v>-45.865910380805602</v>
      </c>
      <c r="AF28" s="17">
        <f ca="1">$AP$28*$AP$55</f>
        <v>0</v>
      </c>
      <c r="AG28" s="17">
        <f ca="1">SUM($AE$28:$AF$28)</f>
        <v>-45.865910380805602</v>
      </c>
      <c r="AH28" s="17">
        <f>'TUSD BE'!$AH$28*'TUSD BE'!$AH$58</f>
        <v>7.3955910194548197E-2</v>
      </c>
      <c r="AI28" s="17">
        <f>'TUSD BE'!$AI$28*'TUSD BE'!$AI$58</f>
        <v>0</v>
      </c>
      <c r="AJ28" s="17">
        <f ca="1">'TUSD BE'!$AJ$28*'TUSD BE'!$AJ$58</f>
        <v>2.661359623736446E-3</v>
      </c>
      <c r="AK28" s="17">
        <f ca="1">'TUSD BE'!$AK$28*'TUSD BE'!$AK$58</f>
        <v>0.14104218800210214</v>
      </c>
      <c r="AL28" s="17">
        <f ca="1">SUM($AH$28:$AK$28)</f>
        <v>0.21765945782038676</v>
      </c>
      <c r="AM28" s="17">
        <f ca="1">SUMIF($L$4:$AL$4,"SUBTOTAL",$L$28:$AL$28)+AZ28</f>
        <v>-50.54764148370311</v>
      </c>
      <c r="AO28" s="64">
        <f ca="1">+'TUSD BE'!$T$28+'TUSD BE'!$AB$28+'TUSD BE'!$AD$28+'TUSD BE'!$AL$28</f>
        <v>256.27231864779014</v>
      </c>
      <c r="AP28" s="64">
        <f ca="1">+'TUSD BE'!$T$28+'TUSD BE'!$AB$28+'TUSD BE'!$AD$28+'TUSD BE'!$AL$28</f>
        <v>256.27231864779014</v>
      </c>
      <c r="AQ28" s="9" t="str">
        <f t="shared" si="0"/>
        <v>B1</v>
      </c>
      <c r="AR28" s="9" t="str">
        <f t="shared" si="1"/>
        <v>Convencional pré-pagamento</v>
      </c>
      <c r="AS28" s="9" t="str">
        <f t="shared" si="2"/>
        <v>Residencial</v>
      </c>
      <c r="AT28" s="9" t="str">
        <f t="shared" si="3"/>
        <v>Residencial baixa renda – faixa 03</v>
      </c>
      <c r="AU28" s="9" t="str">
        <f t="shared" si="4"/>
        <v>Não se aplica</v>
      </c>
      <c r="AV28" s="9">
        <f t="shared" si="5"/>
        <v>1</v>
      </c>
      <c r="AW28" s="9">
        <f ca="1">TarifaMedia!$G$20</f>
        <v>0</v>
      </c>
      <c r="AX28" s="16">
        <f ca="1">'TUSD BE'!$AM28+'TUSD BF'!$AM28+'TUSD CVA'!$AM28</f>
        <v>209.8122776176813</v>
      </c>
      <c r="AY28" s="9">
        <v>322.51</v>
      </c>
      <c r="AZ28" s="9">
        <f t="shared" ca="1" si="6"/>
        <v>0</v>
      </c>
      <c r="BC28" s="106" t="s">
        <v>1162</v>
      </c>
    </row>
    <row r="29" spans="1:55" ht="11.25" customHeight="1" x14ac:dyDescent="0.25">
      <c r="A29" s="166"/>
      <c r="B29" s="166"/>
      <c r="C29" s="166"/>
      <c r="D29" s="100" t="s">
        <v>31</v>
      </c>
      <c r="E29" s="100" t="s">
        <v>25</v>
      </c>
      <c r="F29" s="100" t="s">
        <v>25</v>
      </c>
      <c r="G29" s="57" t="s">
        <v>82</v>
      </c>
      <c r="H29" s="57" t="s">
        <v>78</v>
      </c>
      <c r="I29" s="57">
        <f>'MERCADO TUSD'!$U$26</f>
        <v>0</v>
      </c>
      <c r="J29" s="16"/>
      <c r="L29" s="17">
        <f>'TUSD BE'!$L$29*'TUSD BE'!$L$58</f>
        <v>0</v>
      </c>
      <c r="M29" s="17">
        <f>'TUSD BE'!$M$29*'TUSD BE'!$M$58</f>
        <v>-4.3268773577844089E-2</v>
      </c>
      <c r="N29" s="17">
        <f ca="1">'TUSD BE'!$N$29*'TUSD BE'!$N$58</f>
        <v>-9.1529819774347705E-8</v>
      </c>
      <c r="O29" s="17">
        <f>'TUSD BE'!$O$29*'TUSD BE'!$O$58</f>
        <v>0</v>
      </c>
      <c r="P29" s="17">
        <f>'TUSD BE'!$P$29*'TUSD BE'!$P$58</f>
        <v>0</v>
      </c>
      <c r="Q29" s="17">
        <f>'TUSD BE'!$Q$29*'TUSD BE'!$Q$58</f>
        <v>0</v>
      </c>
      <c r="R29" s="17">
        <f>'TUSD BE'!$R$29*'TUSD BE'!$R$58</f>
        <v>0</v>
      </c>
      <c r="S29" s="17">
        <f>'TUSD BE'!$R$29*'TUSD BE'!$S$58</f>
        <v>0</v>
      </c>
      <c r="T29" s="17">
        <f ca="1">SUM($L$29:$S$29)</f>
        <v>-4.3268865107663861E-2</v>
      </c>
      <c r="U29" s="17">
        <f>'TUSD BE'!$U$29*'TUSD BE'!$U$58</f>
        <v>-0.94015672899436853</v>
      </c>
      <c r="V29" s="17">
        <f>'TUSD BE'!$V$29*'TUSD BE'!$V$58</f>
        <v>-0.65262239418667467</v>
      </c>
      <c r="W29" s="17">
        <f>'TUSD BE'!$W$29*'TUSD BE'!$W$58</f>
        <v>-6.5935637360388571E-2</v>
      </c>
      <c r="X29" s="17">
        <f>'TUSD BE'!$X$29*'TUSD BE'!$X$58</f>
        <v>0</v>
      </c>
      <c r="Y29" s="17">
        <f>'TUSD BE'!$Y$29*'TUSD BE'!$Y$58</f>
        <v>0</v>
      </c>
      <c r="Z29" s="17">
        <f>'TUSD BE'!$Z$29*'TUSD BE'!$Z$58</f>
        <v>0</v>
      </c>
      <c r="AA29" s="17">
        <f>'TUSD BE'!$AA$29*'TUSD BE'!$AA$58</f>
        <v>0</v>
      </c>
      <c r="AB29" s="17">
        <f>SUM($U$29:$AA$29)</f>
        <v>-1.6587147605414319</v>
      </c>
      <c r="AC29" s="17">
        <f>'TUSD BE'!$AC$29*'TUSD BE'!$AC$58</f>
        <v>-3.1974069350688032</v>
      </c>
      <c r="AD29" s="17">
        <f>SUM($AC$29:$AC$29)</f>
        <v>-3.1974069350688032</v>
      </c>
      <c r="AE29" s="17">
        <f ca="1">$AO$29*$AO$55</f>
        <v>-45.865910380805602</v>
      </c>
      <c r="AF29" s="17">
        <f ca="1">$AP$29*$AP$55</f>
        <v>0</v>
      </c>
      <c r="AG29" s="17">
        <f ca="1">SUM($AE$29:$AF$29)</f>
        <v>-45.865910380805602</v>
      </c>
      <c r="AH29" s="17">
        <f>'TUSD BE'!$AH$29*'TUSD BE'!$AH$58</f>
        <v>7.3955910194548197E-2</v>
      </c>
      <c r="AI29" s="17">
        <f>'TUSD BE'!$AI$29*'TUSD BE'!$AI$58</f>
        <v>0</v>
      </c>
      <c r="AJ29" s="17">
        <f ca="1">'TUSD BE'!$AJ$29*'TUSD BE'!$AJ$58</f>
        <v>2.661359623736446E-3</v>
      </c>
      <c r="AK29" s="17">
        <f ca="1">'TUSD BE'!$AK$29*'TUSD BE'!$AK$58</f>
        <v>0.14104218800210214</v>
      </c>
      <c r="AL29" s="17">
        <f ca="1">SUM($AH$29:$AK$29)</f>
        <v>0.21765945782038676</v>
      </c>
      <c r="AM29" s="17">
        <f ca="1">SUMIF($L$4:$AL$4,"SUBTOTAL",$L$29:$AL$29)+AZ29</f>
        <v>-50.54764148370311</v>
      </c>
      <c r="AO29" s="64">
        <f ca="1">+'TUSD BE'!$T$29+'TUSD BE'!$AB$29+'TUSD BE'!$AD$29+'TUSD BE'!$AL$29</f>
        <v>256.27231864779014</v>
      </c>
      <c r="AP29" s="64">
        <f ca="1">+'TUSD BE'!$T$29+'TUSD BE'!$AB$29+'TUSD BE'!$AD$29+'TUSD BE'!$AL$29</f>
        <v>256.27231864779014</v>
      </c>
      <c r="AQ29" s="9" t="str">
        <f t="shared" si="0"/>
        <v>B1</v>
      </c>
      <c r="AR29" s="9" t="str">
        <f t="shared" si="1"/>
        <v>Convencional pré-pagamento</v>
      </c>
      <c r="AS29" s="9" t="str">
        <f t="shared" si="2"/>
        <v>Residencial</v>
      </c>
      <c r="AT29" s="9" t="str">
        <f t="shared" si="3"/>
        <v>Residencial baixa renda – faixa 04</v>
      </c>
      <c r="AU29" s="9" t="str">
        <f t="shared" si="4"/>
        <v>Não se aplica</v>
      </c>
      <c r="AV29" s="9">
        <f t="shared" si="5"/>
        <v>1</v>
      </c>
      <c r="AW29" s="9">
        <f ca="1">TarifaMedia!$G$20</f>
        <v>0</v>
      </c>
      <c r="AX29" s="16">
        <f ca="1">'TUSD BE'!$AM29+'TUSD BF'!$AM29+'TUSD CVA'!$AM29</f>
        <v>209.8122776176813</v>
      </c>
      <c r="AY29" s="9">
        <v>322.51</v>
      </c>
      <c r="AZ29" s="9">
        <f t="shared" ca="1" si="6"/>
        <v>0</v>
      </c>
      <c r="BC29" s="106" t="s">
        <v>1162</v>
      </c>
    </row>
    <row r="30" spans="1:55" ht="11.25" customHeight="1" x14ac:dyDescent="0.25">
      <c r="A30" s="166" t="s">
        <v>42</v>
      </c>
      <c r="B30" s="166" t="s">
        <v>32</v>
      </c>
      <c r="C30" s="166" t="s">
        <v>43</v>
      </c>
      <c r="D30" s="166" t="s">
        <v>25</v>
      </c>
      <c r="E30" s="166" t="s">
        <v>25</v>
      </c>
      <c r="F30" s="166" t="s">
        <v>25</v>
      </c>
      <c r="G30" s="57" t="s">
        <v>79</v>
      </c>
      <c r="H30" s="57" t="s">
        <v>78</v>
      </c>
      <c r="I30" s="57">
        <f>'MERCADO TUSD'!$U$27</f>
        <v>0</v>
      </c>
      <c r="J30" s="16"/>
      <c r="L30" s="17">
        <f>'TUSD BE'!$L$30*'TUSD BE'!$L$58</f>
        <v>-0.61365231628134631</v>
      </c>
      <c r="M30" s="17">
        <f>'TUSD BE'!$M$30*'TUSD BE'!$M$58</f>
        <v>-4.3268773577844089E-2</v>
      </c>
      <c r="N30" s="17">
        <f ca="1">'TUSD BE'!$N$30*'TUSD BE'!$N$58</f>
        <v>-2.6705343535791744E-7</v>
      </c>
      <c r="O30" s="17">
        <f>'TUSD BE'!$O$30*'TUSD BE'!$O$58</f>
        <v>0</v>
      </c>
      <c r="P30" s="17">
        <f>'TUSD BE'!$P$30*'TUSD BE'!$P$58</f>
        <v>0</v>
      </c>
      <c r="Q30" s="17">
        <f>'TUSD BE'!$Q$30*'TUSD BE'!$Q$58</f>
        <v>-3.3122159342143132</v>
      </c>
      <c r="R30" s="17">
        <f>'TUSD BE'!$R$30*'TUSD BE'!$R$58</f>
        <v>-0.5290859729511026</v>
      </c>
      <c r="S30" s="17">
        <f>'TUSD BE'!$R$30*'TUSD BE'!$S$58</f>
        <v>0</v>
      </c>
      <c r="T30" s="17">
        <f ca="1">SUM($L$30:$S$30)</f>
        <v>-4.4982232640780415</v>
      </c>
      <c r="U30" s="17">
        <f>'TUSD BE'!$U$30*'TUSD BE'!$U$58</f>
        <v>-3.1025245780863919</v>
      </c>
      <c r="V30" s="17">
        <f>'TUSD BE'!$V$30*'TUSD BE'!$V$58</f>
        <v>-2.1536551916124997</v>
      </c>
      <c r="W30" s="17">
        <f>'TUSD BE'!$W$30*'TUSD BE'!$W$58</f>
        <v>-0.21758673670331855</v>
      </c>
      <c r="X30" s="17">
        <f>'TUSD BE'!$X$30*'TUSD BE'!$X$58</f>
        <v>0</v>
      </c>
      <c r="Y30" s="17">
        <f>'TUSD BE'!$Y$30*'TUSD BE'!$Y$58</f>
        <v>0</v>
      </c>
      <c r="Z30" s="17">
        <f>'TUSD BE'!$Z$30*'TUSD BE'!$Z$58</f>
        <v>0</v>
      </c>
      <c r="AA30" s="17">
        <f>'TUSD BE'!$AA$30*'TUSD BE'!$AA$58</f>
        <v>0</v>
      </c>
      <c r="AB30" s="17">
        <f>SUM($U$30:$AA$30)</f>
        <v>-5.4737665064022103</v>
      </c>
      <c r="AC30" s="17">
        <f>'TUSD BE'!$AC$30*'TUSD BE'!$AC$58</f>
        <v>-10.551441000007662</v>
      </c>
      <c r="AD30" s="17">
        <f>SUM($AC$30:$AC$30)</f>
        <v>-10.551441000007662</v>
      </c>
      <c r="AE30" s="17">
        <f ca="1">$AO$30*$AO$55</f>
        <v>-161.60830589734135</v>
      </c>
      <c r="AF30" s="17">
        <f ca="1">$AP$30*$AP$55</f>
        <v>0</v>
      </c>
      <c r="AG30" s="17">
        <f ca="1">SUM($AE$30:$AF$30)</f>
        <v>-161.60830589734135</v>
      </c>
      <c r="AH30" s="17">
        <f>'TUSD BE'!$AH$30*'TUSD BE'!$AH$58</f>
        <v>7.3955910194548197E-2</v>
      </c>
      <c r="AI30" s="17">
        <f>'TUSD BE'!$AI$30*'TUSD BE'!$AI$58</f>
        <v>0</v>
      </c>
      <c r="AJ30" s="17">
        <f ca="1">'TUSD BE'!$AJ$30*'TUSD BE'!$AJ$58</f>
        <v>2.661359623736446E-3</v>
      </c>
      <c r="AK30" s="17">
        <f ca="1">'TUSD BE'!$AK$30*'TUSD BE'!$AK$58</f>
        <v>0.14104218800210214</v>
      </c>
      <c r="AL30" s="17">
        <f ca="1">SUM($AH$30:$AK$30)</f>
        <v>0.21765945782038676</v>
      </c>
      <c r="AM30" s="17">
        <f ca="1">SUMIF($L$4:$AL$4,"SUBTOTAL",$L$30:$AL$30)+AZ30</f>
        <v>-181.91407721000888</v>
      </c>
      <c r="AO30" s="64">
        <f ca="1">+'TUSD BE'!$T$30+'TUSD BE'!$AB$30+'TUSD BE'!$AD$30+'TUSD BE'!$AL$30</f>
        <v>902.97423339459215</v>
      </c>
      <c r="AP30" s="64">
        <f ca="1">+'TUSD BE'!$T$30+'TUSD BE'!$AB$30+'TUSD BE'!$AD$30+'TUSD BE'!$AL$30</f>
        <v>902.97423339459215</v>
      </c>
      <c r="AQ30" s="9" t="str">
        <f t="shared" si="0"/>
        <v>B2</v>
      </c>
      <c r="AR30" s="9" t="str">
        <f t="shared" si="1"/>
        <v>Branca</v>
      </c>
      <c r="AS30" s="9" t="str">
        <f t="shared" si="2"/>
        <v>Rural</v>
      </c>
      <c r="AT30" s="9" t="str">
        <f t="shared" si="3"/>
        <v>Não se aplica</v>
      </c>
      <c r="AU30" s="9" t="str">
        <f t="shared" si="4"/>
        <v>Não se aplica</v>
      </c>
      <c r="AV30" s="9">
        <f t="shared" si="5"/>
        <v>1</v>
      </c>
      <c r="AW30" s="9">
        <f ca="1">TarifaMedia!$G$20</f>
        <v>0</v>
      </c>
      <c r="AX30" s="16">
        <f ca="1">'TUSD BE'!$AM30+'TUSD BF'!$AM30+'TUSD CVA'!$AM30</f>
        <v>751.66721126633001</v>
      </c>
      <c r="AY30" s="9">
        <f>ROUND(845.96/(1-CUSTOS!$M$38),2)</f>
        <v>899.96</v>
      </c>
      <c r="AZ30" s="9">
        <f t="shared" ca="1" si="6"/>
        <v>0</v>
      </c>
      <c r="BC30" s="106" t="s">
        <v>1163</v>
      </c>
    </row>
    <row r="31" spans="1:55" ht="11.25" customHeight="1" x14ac:dyDescent="0.25">
      <c r="A31" s="166"/>
      <c r="B31" s="166"/>
      <c r="C31" s="166"/>
      <c r="D31" s="166"/>
      <c r="E31" s="166"/>
      <c r="F31" s="166"/>
      <c r="G31" s="57" t="s">
        <v>92</v>
      </c>
      <c r="H31" s="57" t="s">
        <v>78</v>
      </c>
      <c r="I31" s="57">
        <f>'MERCADO TUSD'!$U$28</f>
        <v>0</v>
      </c>
      <c r="J31" s="16"/>
      <c r="L31" s="17">
        <f>'TUSD BE'!$L$31*'TUSD BE'!$L$58</f>
        <v>-0.61365231628134631</v>
      </c>
      <c r="M31" s="17">
        <f>'TUSD BE'!$M$31*'TUSD BE'!$M$58</f>
        <v>-4.3268773577844089E-2</v>
      </c>
      <c r="N31" s="17">
        <f ca="1">'TUSD BE'!$N$31*'TUSD BE'!$N$58</f>
        <v>-1.1626314751075686E-7</v>
      </c>
      <c r="O31" s="17">
        <f>'TUSD BE'!$O$31*'TUSD BE'!$O$58</f>
        <v>0</v>
      </c>
      <c r="P31" s="17">
        <f>'TUSD BE'!$P$31*'TUSD BE'!$P$58</f>
        <v>0</v>
      </c>
      <c r="Q31" s="17">
        <f>'TUSD BE'!$Q$31*'TUSD BE'!$Q$58</f>
        <v>-3.3122159342143132</v>
      </c>
      <c r="R31" s="17">
        <f>'TUSD BE'!$R$31*'TUSD BE'!$R$58</f>
        <v>-0.5290859729511026</v>
      </c>
      <c r="S31" s="17">
        <f>'TUSD BE'!$R$31*'TUSD BE'!$S$58</f>
        <v>0</v>
      </c>
      <c r="T31" s="17">
        <f ca="1">SUM($L$31:$S$31)</f>
        <v>-4.4982231132877537</v>
      </c>
      <c r="U31" s="17">
        <f>'TUSD BE'!$U$31*'TUSD BE'!$U$58</f>
        <v>-1.2410107527851786</v>
      </c>
      <c r="V31" s="17">
        <f>'TUSD BE'!$V$31*'TUSD BE'!$V$58</f>
        <v>-0.86146035558303558</v>
      </c>
      <c r="W31" s="17">
        <f>'TUSD BE'!$W$31*'TUSD BE'!$W$58</f>
        <v>-8.7035561267291145E-2</v>
      </c>
      <c r="X31" s="17">
        <f>'TUSD BE'!$X$31*'TUSD BE'!$X$58</f>
        <v>0</v>
      </c>
      <c r="Y31" s="17">
        <f>'TUSD BE'!$Y$31*'TUSD BE'!$Y$58</f>
        <v>0</v>
      </c>
      <c r="Z31" s="17">
        <f>'TUSD BE'!$Z$31*'TUSD BE'!$Z$58</f>
        <v>0</v>
      </c>
      <c r="AA31" s="17">
        <f>'TUSD BE'!$AA$31*'TUSD BE'!$AA$58</f>
        <v>0</v>
      </c>
      <c r="AB31" s="17">
        <f>SUM($U$31:$AA$31)</f>
        <v>-2.1895066696355054</v>
      </c>
      <c r="AC31" s="17">
        <f>'TUSD BE'!$AC$31*'TUSD BE'!$AC$58</f>
        <v>-4.2205756457153107</v>
      </c>
      <c r="AD31" s="17">
        <f>SUM($AC$31:$AC$31)</f>
        <v>-4.2205756457153107</v>
      </c>
      <c r="AE31" s="17">
        <f ca="1">$AO$31*$AO$55</f>
        <v>-78.744840124964654</v>
      </c>
      <c r="AF31" s="17">
        <f ca="1">$AP$31*$AP$55</f>
        <v>0</v>
      </c>
      <c r="AG31" s="17">
        <f ca="1">SUM($AE$31:$AF$31)</f>
        <v>-78.744840124964654</v>
      </c>
      <c r="AH31" s="17">
        <f>'TUSD BE'!$AH$31*'TUSD BE'!$AH$58</f>
        <v>7.3955910194548197E-2</v>
      </c>
      <c r="AI31" s="17">
        <f>'TUSD BE'!$AI$31*'TUSD BE'!$AI$58</f>
        <v>0</v>
      </c>
      <c r="AJ31" s="17">
        <f ca="1">'TUSD BE'!$AJ$31*'TUSD BE'!$AJ$58</f>
        <v>2.661359623736446E-3</v>
      </c>
      <c r="AK31" s="17">
        <f ca="1">'TUSD BE'!$AK$31*'TUSD BE'!$AK$58</f>
        <v>0.14104218800210214</v>
      </c>
      <c r="AL31" s="17">
        <f ca="1">SUM($AH$31:$AK$31)</f>
        <v>0.21765945782038676</v>
      </c>
      <c r="AM31" s="17">
        <f ca="1">SUMIF($L$4:$AL$4,"SUBTOTAL",$L$31:$AL$31)+AZ31</f>
        <v>-89.435486095782835</v>
      </c>
      <c r="AO31" s="64">
        <f ca="1">+'TUSD BE'!$T$31+'TUSD BE'!$AB$31+'TUSD BE'!$AD$31+'TUSD BE'!$AL$31</f>
        <v>439.98086144648727</v>
      </c>
      <c r="AP31" s="64">
        <f ca="1">+'TUSD BE'!$T$31+'TUSD BE'!$AB$31+'TUSD BE'!$AD$31+'TUSD BE'!$AL$31</f>
        <v>439.98086144648727</v>
      </c>
      <c r="AQ31" s="9" t="str">
        <f t="shared" si="0"/>
        <v>B2</v>
      </c>
      <c r="AR31" s="9" t="str">
        <f t="shared" si="1"/>
        <v>Branca</v>
      </c>
      <c r="AS31" s="9" t="str">
        <f t="shared" si="2"/>
        <v>Rural</v>
      </c>
      <c r="AT31" s="9" t="str">
        <f t="shared" si="3"/>
        <v>Não se aplica</v>
      </c>
      <c r="AU31" s="9" t="str">
        <f t="shared" si="4"/>
        <v>Não se aplica</v>
      </c>
      <c r="AV31" s="9">
        <f t="shared" si="5"/>
        <v>1</v>
      </c>
      <c r="AW31" s="9">
        <f ca="1">TarifaMedia!$G$20</f>
        <v>0</v>
      </c>
      <c r="AX31" s="16">
        <f ca="1">'TUSD BE'!$AM31+'TUSD BF'!$AM31+'TUSD CVA'!$AM31</f>
        <v>374.81869263767283</v>
      </c>
      <c r="AY31" s="9">
        <f>ROUND(563.42/(1-CUSTOS!$M$38),2)</f>
        <v>599.38</v>
      </c>
      <c r="AZ31" s="9">
        <f t="shared" ca="1" si="6"/>
        <v>0</v>
      </c>
      <c r="BC31" s="106" t="s">
        <v>1164</v>
      </c>
    </row>
    <row r="32" spans="1:55" ht="11.25" customHeight="1" x14ac:dyDescent="0.25">
      <c r="A32" s="166"/>
      <c r="B32" s="166"/>
      <c r="C32" s="166"/>
      <c r="D32" s="166"/>
      <c r="E32" s="166"/>
      <c r="F32" s="166"/>
      <c r="G32" s="57" t="s">
        <v>80</v>
      </c>
      <c r="H32" s="57" t="s">
        <v>78</v>
      </c>
      <c r="I32" s="57">
        <f>'MERCADO TUSD'!$U$29</f>
        <v>0</v>
      </c>
      <c r="J32" s="16"/>
      <c r="L32" s="17">
        <f>'TUSD BE'!$L$32*'TUSD BE'!$L$58</f>
        <v>-0.61365231628134631</v>
      </c>
      <c r="M32" s="17">
        <f>'TUSD BE'!$M$32*'TUSD BE'!$M$58</f>
        <v>-4.3268773577844089E-2</v>
      </c>
      <c r="N32" s="17">
        <f ca="1">'TUSD BE'!$N$32*'TUSD BE'!$N$58</f>
        <v>-6.5999681910679601E-8</v>
      </c>
      <c r="O32" s="17">
        <f>'TUSD BE'!$O$32*'TUSD BE'!$O$58</f>
        <v>0</v>
      </c>
      <c r="P32" s="17">
        <f>'TUSD BE'!$P$32*'TUSD BE'!$P$58</f>
        <v>0</v>
      </c>
      <c r="Q32" s="17">
        <f>'TUSD BE'!$Q$32*'TUSD BE'!$Q$58</f>
        <v>-3.3122159342143132</v>
      </c>
      <c r="R32" s="17">
        <f>'TUSD BE'!$R$32*'TUSD BE'!$R$58</f>
        <v>-0.5290859729511026</v>
      </c>
      <c r="S32" s="17">
        <f>'TUSD BE'!$R$32*'TUSD BE'!$S$58</f>
        <v>0</v>
      </c>
      <c r="T32" s="17">
        <f ca="1">SUM($L$32:$S$32)</f>
        <v>-4.4982230630242874</v>
      </c>
      <c r="U32" s="17">
        <f>'TUSD BE'!$U$32*'TUSD BE'!$U$58</f>
        <v>-0.62050307251603443</v>
      </c>
      <c r="V32" s="17">
        <f>'TUSD BE'!$V$32*'TUSD BE'!$V$58</f>
        <v>-0.43073017779151779</v>
      </c>
      <c r="W32" s="17">
        <f>'TUSD BE'!$W$32*'TUSD BE'!$W$58</f>
        <v>-4.3517058478675805E-2</v>
      </c>
      <c r="X32" s="17">
        <f>'TUSD BE'!$X$32*'TUSD BE'!$X$58</f>
        <v>0</v>
      </c>
      <c r="Y32" s="17">
        <f>'TUSD BE'!$Y$32*'TUSD BE'!$Y$58</f>
        <v>0</v>
      </c>
      <c r="Z32" s="17">
        <f>'TUSD BE'!$Z$32*'TUSD BE'!$Z$58</f>
        <v>0</v>
      </c>
      <c r="AA32" s="17">
        <f>'TUSD BE'!$AA$32*'TUSD BE'!$AA$58</f>
        <v>0</v>
      </c>
      <c r="AB32" s="17">
        <f>SUM($U$32:$AA$32)</f>
        <v>-1.094750308786228</v>
      </c>
      <c r="AC32" s="17">
        <f>'TUSD BE'!$AC$32*'TUSD BE'!$AC$58</f>
        <v>-2.1102878228576554</v>
      </c>
      <c r="AD32" s="17">
        <f>SUM($AC$32:$AC$32)</f>
        <v>-2.1102878228576554</v>
      </c>
      <c r="AE32" s="17">
        <f ca="1">$AO$32*$AO$55</f>
        <v>-51.123664950603235</v>
      </c>
      <c r="AF32" s="17">
        <f ca="1">$AP$32*$AP$55</f>
        <v>0</v>
      </c>
      <c r="AG32" s="17">
        <f ca="1">SUM($AE$32:$AF$32)</f>
        <v>-51.123664950603235</v>
      </c>
      <c r="AH32" s="17">
        <f>'TUSD BE'!$AH$32*'TUSD BE'!$AH$58</f>
        <v>7.3955910194548197E-2</v>
      </c>
      <c r="AI32" s="17">
        <f>'TUSD BE'!$AI$32*'TUSD BE'!$AI$58</f>
        <v>0</v>
      </c>
      <c r="AJ32" s="17">
        <f ca="1">'TUSD BE'!$AJ$32*'TUSD BE'!$AJ$58</f>
        <v>2.661359623736446E-3</v>
      </c>
      <c r="AK32" s="17">
        <f ca="1">'TUSD BE'!$AK$32*'TUSD BE'!$AK$58</f>
        <v>0.14104218800210214</v>
      </c>
      <c r="AL32" s="17">
        <f ca="1">SUM($AH$32:$AK$32)</f>
        <v>0.21765945782038676</v>
      </c>
      <c r="AM32" s="17">
        <f ca="1">SUMIF($L$4:$AL$4,"SUBTOTAL",$L$32:$AL$32)+AZ32</f>
        <v>-58.609266687451019</v>
      </c>
      <c r="AO32" s="64">
        <f ca="1">+'TUSD BE'!$T$32+'TUSD BE'!$AB$32+'TUSD BE'!$AD$32+'TUSD BE'!$AL$32</f>
        <v>285.64962617959338</v>
      </c>
      <c r="AP32" s="64">
        <f ca="1">+'TUSD BE'!$T$32+'TUSD BE'!$AB$32+'TUSD BE'!$AD$32+'TUSD BE'!$AL$32</f>
        <v>285.64962617959338</v>
      </c>
      <c r="AQ32" s="9" t="str">
        <f t="shared" si="0"/>
        <v>B2</v>
      </c>
      <c r="AR32" s="9" t="str">
        <f t="shared" si="1"/>
        <v>Branca</v>
      </c>
      <c r="AS32" s="9" t="str">
        <f t="shared" si="2"/>
        <v>Rural</v>
      </c>
      <c r="AT32" s="9" t="str">
        <f t="shared" si="3"/>
        <v>Não se aplica</v>
      </c>
      <c r="AU32" s="9" t="str">
        <f t="shared" si="4"/>
        <v>Não se aplica</v>
      </c>
      <c r="AV32" s="9">
        <f t="shared" si="5"/>
        <v>1</v>
      </c>
      <c r="AW32" s="9">
        <f ca="1">TarifaMedia!$G$20</f>
        <v>0</v>
      </c>
      <c r="AX32" s="16">
        <f ca="1">'TUSD BE'!$AM32+'TUSD BF'!$AM32+'TUSD CVA'!$AM32</f>
        <v>249.20242836682448</v>
      </c>
      <c r="AY32" s="9">
        <f>ROUND(280.89/(1-CUSTOS!$M$38),2)</f>
        <v>298.82</v>
      </c>
      <c r="AZ32" s="9">
        <f t="shared" ca="1" si="6"/>
        <v>0</v>
      </c>
      <c r="BC32" s="106" t="s">
        <v>1165</v>
      </c>
    </row>
    <row r="33" spans="1:55" ht="11.25" customHeight="1" x14ac:dyDescent="0.25">
      <c r="A33" s="166"/>
      <c r="B33" s="100" t="s">
        <v>23</v>
      </c>
      <c r="C33" s="100" t="s">
        <v>43</v>
      </c>
      <c r="D33" s="100" t="s">
        <v>25</v>
      </c>
      <c r="E33" s="100" t="s">
        <v>25</v>
      </c>
      <c r="F33" s="100" t="s">
        <v>25</v>
      </c>
      <c r="G33" s="57" t="s">
        <v>82</v>
      </c>
      <c r="H33" s="57" t="s">
        <v>78</v>
      </c>
      <c r="I33" s="57">
        <f>'MERCADO TUSD'!$U$30</f>
        <v>1694.7730000000001</v>
      </c>
      <c r="J33" s="16"/>
      <c r="L33" s="17">
        <f>'TUSD BE'!$L$33*'TUSD BE'!$L$58</f>
        <v>-0.61365231628134631</v>
      </c>
      <c r="M33" s="17">
        <f>'TUSD BE'!$M$33*'TUSD BE'!$M$58</f>
        <v>-4.3268773577844089E-2</v>
      </c>
      <c r="N33" s="17">
        <f ca="1">'TUSD BE'!$N$33*'TUSD BE'!$N$58</f>
        <v>-9.1892996678294415E-8</v>
      </c>
      <c r="O33" s="17">
        <f>'TUSD BE'!$O$33*'TUSD BE'!$O$58</f>
        <v>0</v>
      </c>
      <c r="P33" s="17">
        <f>'TUSD BE'!$P$33*'TUSD BE'!$P$58</f>
        <v>0</v>
      </c>
      <c r="Q33" s="17">
        <f>'TUSD BE'!$Q$33*'TUSD BE'!$Q$58</f>
        <v>-3.3122159342143132</v>
      </c>
      <c r="R33" s="17">
        <f>'TUSD BE'!$R$33*'TUSD BE'!$R$58</f>
        <v>-0.5290859729511026</v>
      </c>
      <c r="S33" s="17">
        <f>'TUSD BE'!$R$33*'TUSD BE'!$S$58</f>
        <v>0</v>
      </c>
      <c r="T33" s="17">
        <f ca="1">SUM($L$33:$S$33)</f>
        <v>-4.4982230889176034</v>
      </c>
      <c r="U33" s="17">
        <f>'TUSD BE'!$U$33*'TUSD BE'!$U$58</f>
        <v>-0.94015672899436853</v>
      </c>
      <c r="V33" s="17">
        <f>'TUSD BE'!$V$33*'TUSD BE'!$V$58</f>
        <v>-0.65262239418667467</v>
      </c>
      <c r="W33" s="17">
        <f>'TUSD BE'!$W$33*'TUSD BE'!$W$58</f>
        <v>-6.5935637360388571E-2</v>
      </c>
      <c r="X33" s="17">
        <f>'TUSD BE'!$X$33*'TUSD BE'!$X$58</f>
        <v>0</v>
      </c>
      <c r="Y33" s="17">
        <f>'TUSD BE'!$Y$33*'TUSD BE'!$Y$58</f>
        <v>0</v>
      </c>
      <c r="Z33" s="17">
        <f>'TUSD BE'!$Z$33*'TUSD BE'!$Z$58</f>
        <v>0</v>
      </c>
      <c r="AA33" s="17">
        <f>'TUSD BE'!$AA$33*'TUSD BE'!$AA$58</f>
        <v>0</v>
      </c>
      <c r="AB33" s="17">
        <f>SUM($U$33:$AA$33)</f>
        <v>-1.6587147605414319</v>
      </c>
      <c r="AC33" s="17">
        <f>'TUSD BE'!$AC$33*'TUSD BE'!$AC$58</f>
        <v>-3.1974069350688032</v>
      </c>
      <c r="AD33" s="17">
        <f>SUM($AC$33:$AC$33)</f>
        <v>-3.1974069350688032</v>
      </c>
      <c r="AE33" s="17">
        <f ca="1">$AO$33*$AO$55</f>
        <v>-65.352761649010233</v>
      </c>
      <c r="AF33" s="17">
        <f ca="1">$AP$33*$AP$55</f>
        <v>0</v>
      </c>
      <c r="AG33" s="17">
        <f ca="1">SUM($AE$33:$AF$33)</f>
        <v>-65.352761649010233</v>
      </c>
      <c r="AH33" s="17">
        <f>'TUSD BE'!$AH$33*'TUSD BE'!$AH$58</f>
        <v>7.3955910194548197E-2</v>
      </c>
      <c r="AI33" s="17">
        <f>'TUSD BE'!$AI$33*'TUSD BE'!$AI$58</f>
        <v>0</v>
      </c>
      <c r="AJ33" s="17">
        <f ca="1">'TUSD BE'!$AJ$33*'TUSD BE'!$AJ$58</f>
        <v>2.661359623736446E-3</v>
      </c>
      <c r="AK33" s="17">
        <f ca="1">'TUSD BE'!$AK$33*'TUSD BE'!$AK$58</f>
        <v>0.14104218800210214</v>
      </c>
      <c r="AL33" s="17">
        <f ca="1">SUM($AH$33:$AK$33)</f>
        <v>0.21765945782038676</v>
      </c>
      <c r="AM33" s="17">
        <f ca="1">SUMIF($L$4:$AL$4,"SUBTOTAL",$L$33:$AL$33)+AZ33</f>
        <v>-74.489446975717684</v>
      </c>
      <c r="AO33" s="64">
        <f ca="1">+'TUSD BE'!$T$33+'TUSD BE'!$AB$33+'TUSD BE'!$AD$33+'TUSD BE'!$AL$33</f>
        <v>365.15363194092691</v>
      </c>
      <c r="AP33" s="64">
        <f ca="1">+'TUSD BE'!$T$33+'TUSD BE'!$AB$33+'TUSD BE'!$AD$33+'TUSD BE'!$AL$33</f>
        <v>365.15363194092691</v>
      </c>
      <c r="AQ33" s="9" t="str">
        <f t="shared" si="0"/>
        <v>B2</v>
      </c>
      <c r="AR33" s="9" t="str">
        <f t="shared" si="1"/>
        <v>Convencional</v>
      </c>
      <c r="AS33" s="9" t="str">
        <f t="shared" si="2"/>
        <v>Rural</v>
      </c>
      <c r="AT33" s="9" t="str">
        <f t="shared" si="3"/>
        <v>Não se aplica</v>
      </c>
      <c r="AU33" s="9" t="str">
        <f t="shared" si="4"/>
        <v>Não se aplica</v>
      </c>
      <c r="AV33" s="9">
        <f t="shared" si="5"/>
        <v>1</v>
      </c>
      <c r="AW33" s="9">
        <f ca="1">TarifaMedia!$G$20</f>
        <v>0</v>
      </c>
      <c r="AX33" s="16">
        <f ca="1">'TUSD BE'!$AM33+'TUSD BF'!$AM33+'TUSD CVA'!$AM33</f>
        <v>313.91386533817797</v>
      </c>
      <c r="AY33" s="9">
        <v>437.54</v>
      </c>
      <c r="AZ33" s="9">
        <f t="shared" ca="1" si="6"/>
        <v>0</v>
      </c>
      <c r="BC33" s="106" t="s">
        <v>1159</v>
      </c>
    </row>
    <row r="34" spans="1:55" ht="11.25" customHeight="1" x14ac:dyDescent="0.25">
      <c r="A34" s="166"/>
      <c r="B34" s="166" t="s">
        <v>32</v>
      </c>
      <c r="C34" s="166" t="s">
        <v>43</v>
      </c>
      <c r="D34" s="166" t="s">
        <v>95</v>
      </c>
      <c r="E34" s="166" t="s">
        <v>25</v>
      </c>
      <c r="F34" s="166" t="s">
        <v>25</v>
      </c>
      <c r="G34" s="57" t="s">
        <v>79</v>
      </c>
      <c r="H34" s="57" t="s">
        <v>78</v>
      </c>
      <c r="I34" s="57">
        <f>'MERCADO TUSD'!$U$31</f>
        <v>0</v>
      </c>
      <c r="J34" s="16"/>
      <c r="L34" s="17">
        <f>'TUSD BE'!$L$34*'TUSD BE'!$L$58</f>
        <v>-0.61365231628134631</v>
      </c>
      <c r="M34" s="17">
        <f>'TUSD BE'!$M$34*'TUSD BE'!$M$58</f>
        <v>-4.3268773577844089E-2</v>
      </c>
      <c r="N34" s="17">
        <f ca="1">'TUSD BE'!$N$34*'TUSD BE'!$N$58</f>
        <v>-2.6705343535791744E-7</v>
      </c>
      <c r="O34" s="17">
        <f>'TUSD BE'!$O$34*'TUSD BE'!$O$58</f>
        <v>0</v>
      </c>
      <c r="P34" s="17">
        <f>'TUSD BE'!$P$34*'TUSD BE'!$P$58</f>
        <v>0</v>
      </c>
      <c r="Q34" s="17">
        <f>'TUSD BE'!$Q$34*'TUSD BE'!$Q$58</f>
        <v>-3.3122159342143132</v>
      </c>
      <c r="R34" s="17">
        <f>'TUSD BE'!$R$34*'TUSD BE'!$R$58</f>
        <v>-0.5290859729511026</v>
      </c>
      <c r="S34" s="17">
        <f>'TUSD BE'!$R$34*'TUSD BE'!$S$58</f>
        <v>0</v>
      </c>
      <c r="T34" s="17">
        <f ca="1">SUM($L$34:$S$34)</f>
        <v>-4.4982232640780415</v>
      </c>
      <c r="U34" s="17">
        <f>'TUSD BE'!$U$34*'TUSD BE'!$U$58</f>
        <v>-3.1025245780863919</v>
      </c>
      <c r="V34" s="17">
        <f>'TUSD BE'!$V$34*'TUSD BE'!$V$58</f>
        <v>-2.1536551916124997</v>
      </c>
      <c r="W34" s="17">
        <f>'TUSD BE'!$W$34*'TUSD BE'!$W$58</f>
        <v>-0.21758673670331855</v>
      </c>
      <c r="X34" s="17">
        <f>'TUSD BE'!$X$34*'TUSD BE'!$X$58</f>
        <v>0</v>
      </c>
      <c r="Y34" s="17">
        <f>'TUSD BE'!$Y$34*'TUSD BE'!$Y$58</f>
        <v>0</v>
      </c>
      <c r="Z34" s="17">
        <f>'TUSD BE'!$Z$34*'TUSD BE'!$Z$58</f>
        <v>0</v>
      </c>
      <c r="AA34" s="17">
        <f>'TUSD BE'!$AA$34*'TUSD BE'!$AA$58</f>
        <v>0</v>
      </c>
      <c r="AB34" s="17">
        <f>SUM($U$34:$AA$34)</f>
        <v>-5.4737665064022103</v>
      </c>
      <c r="AC34" s="17">
        <f>'TUSD BE'!$AC$34*'TUSD BE'!$AC$58</f>
        <v>-10.551441000007662</v>
      </c>
      <c r="AD34" s="17">
        <f>SUM($AC$34:$AC$34)</f>
        <v>-10.551441000007662</v>
      </c>
      <c r="AE34" s="17">
        <f ca="1">$AO$34*$AO$55</f>
        <v>-161.60830589734135</v>
      </c>
      <c r="AF34" s="17">
        <f ca="1">$AP$34*$AP$55</f>
        <v>0</v>
      </c>
      <c r="AG34" s="17">
        <f ca="1">SUM($AE$34:$AF$34)</f>
        <v>-161.60830589734135</v>
      </c>
      <c r="AH34" s="17">
        <f>'TUSD BE'!$AH$34*'TUSD BE'!$AH$58</f>
        <v>7.3955910194548197E-2</v>
      </c>
      <c r="AI34" s="17">
        <f>'TUSD BE'!$AI$34*'TUSD BE'!$AI$58</f>
        <v>0</v>
      </c>
      <c r="AJ34" s="17">
        <f ca="1">'TUSD BE'!$AJ$34*'TUSD BE'!$AJ$58</f>
        <v>2.661359623736446E-3</v>
      </c>
      <c r="AK34" s="17">
        <f ca="1">'TUSD BE'!$AK$34*'TUSD BE'!$AK$58</f>
        <v>0.14104218800210214</v>
      </c>
      <c r="AL34" s="17">
        <f ca="1">SUM($AH$34:$AK$34)</f>
        <v>0.21765945782038676</v>
      </c>
      <c r="AM34" s="17">
        <f ca="1">SUMIF($L$4:$AL$4,"SUBTOTAL",$L$34:$AL$34)+AZ34</f>
        <v>-181.91407721000888</v>
      </c>
      <c r="AO34" s="64">
        <f ca="1">+'TUSD BE'!$T$34+'TUSD BE'!$AB$34+'TUSD BE'!$AD$34+'TUSD BE'!$AL$34</f>
        <v>902.97423339459215</v>
      </c>
      <c r="AP34" s="64">
        <f ca="1">+'TUSD BE'!$T$34+'TUSD BE'!$AB$34+'TUSD BE'!$AD$34+'TUSD BE'!$AL$34</f>
        <v>902.97423339459215</v>
      </c>
      <c r="AQ34" s="9" t="str">
        <f t="shared" si="0"/>
        <v>B2</v>
      </c>
      <c r="AR34" s="9" t="str">
        <f t="shared" si="1"/>
        <v>Branca</v>
      </c>
      <c r="AS34" s="9" t="str">
        <f t="shared" si="2"/>
        <v>Rural</v>
      </c>
      <c r="AT34" s="9" t="str">
        <f t="shared" si="3"/>
        <v>Cooperativa de eletrificação rural</v>
      </c>
      <c r="AU34" s="9" t="str">
        <f t="shared" si="4"/>
        <v>Não se aplica</v>
      </c>
      <c r="AV34" s="9">
        <f t="shared" si="5"/>
        <v>1</v>
      </c>
      <c r="AW34" s="9">
        <f ca="1">TarifaMedia!$G$20</f>
        <v>0</v>
      </c>
      <c r="AX34" s="16">
        <f ca="1">'TUSD BE'!$AM34+'TUSD BF'!$AM34+'TUSD CVA'!$AM34</f>
        <v>751.66721126633001</v>
      </c>
      <c r="AY34" s="9">
        <f>ROUND(845.96/(1-CUSTOS!$M$38),2)</f>
        <v>899.96</v>
      </c>
      <c r="AZ34" s="9">
        <f t="shared" ca="1" si="6"/>
        <v>0</v>
      </c>
      <c r="BC34" s="106" t="s">
        <v>1163</v>
      </c>
    </row>
    <row r="35" spans="1:55" ht="11.25" customHeight="1" x14ac:dyDescent="0.25">
      <c r="A35" s="166"/>
      <c r="B35" s="166"/>
      <c r="C35" s="166"/>
      <c r="D35" s="166"/>
      <c r="E35" s="166"/>
      <c r="F35" s="166"/>
      <c r="G35" s="57" t="s">
        <v>92</v>
      </c>
      <c r="H35" s="57" t="s">
        <v>78</v>
      </c>
      <c r="I35" s="57">
        <f>'MERCADO TUSD'!$U$32</f>
        <v>0</v>
      </c>
      <c r="J35" s="16"/>
      <c r="L35" s="17">
        <f>'TUSD BE'!$L$35*'TUSD BE'!$L$58</f>
        <v>-0.61365231628134631</v>
      </c>
      <c r="M35" s="17">
        <f>'TUSD BE'!$M$35*'TUSD BE'!$M$58</f>
        <v>-4.3268773577844089E-2</v>
      </c>
      <c r="N35" s="17">
        <f ca="1">'TUSD BE'!$N$35*'TUSD BE'!$N$58</f>
        <v>-1.1626314751075686E-7</v>
      </c>
      <c r="O35" s="17">
        <f>'TUSD BE'!$O$35*'TUSD BE'!$O$58</f>
        <v>0</v>
      </c>
      <c r="P35" s="17">
        <f>'TUSD BE'!$P$35*'TUSD BE'!$P$58</f>
        <v>0</v>
      </c>
      <c r="Q35" s="17">
        <f>'TUSD BE'!$Q$35*'TUSD BE'!$Q$58</f>
        <v>-3.3122159342143132</v>
      </c>
      <c r="R35" s="17">
        <f>'TUSD BE'!$R$35*'TUSD BE'!$R$58</f>
        <v>-0.5290859729511026</v>
      </c>
      <c r="S35" s="17">
        <f>'TUSD BE'!$R$35*'TUSD BE'!$S$58</f>
        <v>0</v>
      </c>
      <c r="T35" s="17">
        <f ca="1">SUM($L$35:$S$35)</f>
        <v>-4.4982231132877537</v>
      </c>
      <c r="U35" s="17">
        <f>'TUSD BE'!$U$35*'TUSD BE'!$U$58</f>
        <v>-1.2410107527851786</v>
      </c>
      <c r="V35" s="17">
        <f>'TUSD BE'!$V$35*'TUSD BE'!$V$58</f>
        <v>-0.86146035558303558</v>
      </c>
      <c r="W35" s="17">
        <f>'TUSD BE'!$W$35*'TUSD BE'!$W$58</f>
        <v>-8.7035561267291145E-2</v>
      </c>
      <c r="X35" s="17">
        <f>'TUSD BE'!$X$35*'TUSD BE'!$X$58</f>
        <v>0</v>
      </c>
      <c r="Y35" s="17">
        <f>'TUSD BE'!$Y$35*'TUSD BE'!$Y$58</f>
        <v>0</v>
      </c>
      <c r="Z35" s="17">
        <f>'TUSD BE'!$Z$35*'TUSD BE'!$Z$58</f>
        <v>0</v>
      </c>
      <c r="AA35" s="17">
        <f>'TUSD BE'!$AA$35*'TUSD BE'!$AA$58</f>
        <v>0</v>
      </c>
      <c r="AB35" s="17">
        <f>SUM($U$35:$AA$35)</f>
        <v>-2.1895066696355054</v>
      </c>
      <c r="AC35" s="17">
        <f>'TUSD BE'!$AC$35*'TUSD BE'!$AC$58</f>
        <v>-4.2205756457153107</v>
      </c>
      <c r="AD35" s="17">
        <f>SUM($AC$35:$AC$35)</f>
        <v>-4.2205756457153107</v>
      </c>
      <c r="AE35" s="17">
        <f ca="1">$AO$35*$AO$55</f>
        <v>-78.744840124964654</v>
      </c>
      <c r="AF35" s="17">
        <f ca="1">$AP$35*$AP$55</f>
        <v>0</v>
      </c>
      <c r="AG35" s="17">
        <f ca="1">SUM($AE$35:$AF$35)</f>
        <v>-78.744840124964654</v>
      </c>
      <c r="AH35" s="17">
        <f>'TUSD BE'!$AH$35*'TUSD BE'!$AH$58</f>
        <v>7.3955910194548197E-2</v>
      </c>
      <c r="AI35" s="17">
        <f>'TUSD BE'!$AI$35*'TUSD BE'!$AI$58</f>
        <v>0</v>
      </c>
      <c r="AJ35" s="17">
        <f ca="1">'TUSD BE'!$AJ$35*'TUSD BE'!$AJ$58</f>
        <v>2.661359623736446E-3</v>
      </c>
      <c r="AK35" s="17">
        <f ca="1">'TUSD BE'!$AK$35*'TUSD BE'!$AK$58</f>
        <v>0.14104218800210214</v>
      </c>
      <c r="AL35" s="17">
        <f ca="1">SUM($AH$35:$AK$35)</f>
        <v>0.21765945782038676</v>
      </c>
      <c r="AM35" s="17">
        <f ca="1">SUMIF($L$4:$AL$4,"SUBTOTAL",$L$35:$AL$35)+AZ35</f>
        <v>-89.435486095782835</v>
      </c>
      <c r="AO35" s="64">
        <f ca="1">+'TUSD BE'!$T$35+'TUSD BE'!$AB$35+'TUSD BE'!$AD$35+'TUSD BE'!$AL$35</f>
        <v>439.98086144648727</v>
      </c>
      <c r="AP35" s="64">
        <f ca="1">+'TUSD BE'!$T$35+'TUSD BE'!$AB$35+'TUSD BE'!$AD$35+'TUSD BE'!$AL$35</f>
        <v>439.98086144648727</v>
      </c>
      <c r="AQ35" s="9" t="str">
        <f t="shared" si="0"/>
        <v>B2</v>
      </c>
      <c r="AR35" s="9" t="str">
        <f t="shared" si="1"/>
        <v>Branca</v>
      </c>
      <c r="AS35" s="9" t="str">
        <f t="shared" si="2"/>
        <v>Rural</v>
      </c>
      <c r="AT35" s="9" t="str">
        <f t="shared" si="3"/>
        <v>Cooperativa de eletrificação rural</v>
      </c>
      <c r="AU35" s="9" t="str">
        <f t="shared" si="4"/>
        <v>Não se aplica</v>
      </c>
      <c r="AV35" s="9">
        <f t="shared" si="5"/>
        <v>1</v>
      </c>
      <c r="AW35" s="9">
        <f ca="1">TarifaMedia!$G$20</f>
        <v>0</v>
      </c>
      <c r="AX35" s="16">
        <f ca="1">'TUSD BE'!$AM35+'TUSD BF'!$AM35+'TUSD CVA'!$AM35</f>
        <v>374.81869263767283</v>
      </c>
      <c r="AY35" s="9">
        <f>ROUND(563.42/(1-CUSTOS!$M$38),2)</f>
        <v>599.38</v>
      </c>
      <c r="AZ35" s="9">
        <f t="shared" ca="1" si="6"/>
        <v>0</v>
      </c>
      <c r="BC35" s="106" t="s">
        <v>1164</v>
      </c>
    </row>
    <row r="36" spans="1:55" ht="11.25" customHeight="1" x14ac:dyDescent="0.25">
      <c r="A36" s="166"/>
      <c r="B36" s="166"/>
      <c r="C36" s="166"/>
      <c r="D36" s="166"/>
      <c r="E36" s="166"/>
      <c r="F36" s="166"/>
      <c r="G36" s="57" t="s">
        <v>80</v>
      </c>
      <c r="H36" s="57" t="s">
        <v>78</v>
      </c>
      <c r="I36" s="57">
        <f>'MERCADO TUSD'!$U$33</f>
        <v>0</v>
      </c>
      <c r="J36" s="16"/>
      <c r="L36" s="17">
        <f>'TUSD BE'!$L$36*'TUSD BE'!$L$58</f>
        <v>-0.61365231628134631</v>
      </c>
      <c r="M36" s="17">
        <f>'TUSD BE'!$M$36*'TUSD BE'!$M$58</f>
        <v>-4.3268773577844089E-2</v>
      </c>
      <c r="N36" s="17">
        <f ca="1">'TUSD BE'!$N$36*'TUSD BE'!$N$58</f>
        <v>-6.5999681910679601E-8</v>
      </c>
      <c r="O36" s="17">
        <f>'TUSD BE'!$O$36*'TUSD BE'!$O$58</f>
        <v>0</v>
      </c>
      <c r="P36" s="17">
        <f>'TUSD BE'!$P$36*'TUSD BE'!$P$58</f>
        <v>0</v>
      </c>
      <c r="Q36" s="17">
        <f>'TUSD BE'!$Q$36*'TUSD BE'!$Q$58</f>
        <v>-3.3122159342143132</v>
      </c>
      <c r="R36" s="17">
        <f>'TUSD BE'!$R$36*'TUSD BE'!$R$58</f>
        <v>-0.5290859729511026</v>
      </c>
      <c r="S36" s="17">
        <f>'TUSD BE'!$R$36*'TUSD BE'!$S$58</f>
        <v>0</v>
      </c>
      <c r="T36" s="17">
        <f ca="1">SUM($L$36:$S$36)</f>
        <v>-4.4982230630242874</v>
      </c>
      <c r="U36" s="17">
        <f>'TUSD BE'!$U$36*'TUSD BE'!$U$58</f>
        <v>-0.62050307251603443</v>
      </c>
      <c r="V36" s="17">
        <f>'TUSD BE'!$V$36*'TUSD BE'!$V$58</f>
        <v>-0.43073017779151779</v>
      </c>
      <c r="W36" s="17">
        <f>'TUSD BE'!$W$36*'TUSD BE'!$W$58</f>
        <v>-4.3517058478675805E-2</v>
      </c>
      <c r="X36" s="17">
        <f>'TUSD BE'!$X$36*'TUSD BE'!$X$58</f>
        <v>0</v>
      </c>
      <c r="Y36" s="17">
        <f>'TUSD BE'!$Y$36*'TUSD BE'!$Y$58</f>
        <v>0</v>
      </c>
      <c r="Z36" s="17">
        <f>'TUSD BE'!$Z$36*'TUSD BE'!$Z$58</f>
        <v>0</v>
      </c>
      <c r="AA36" s="17">
        <f>'TUSD BE'!$AA$36*'TUSD BE'!$AA$58</f>
        <v>0</v>
      </c>
      <c r="AB36" s="17">
        <f>SUM($U$36:$AA$36)</f>
        <v>-1.094750308786228</v>
      </c>
      <c r="AC36" s="17">
        <f>'TUSD BE'!$AC$36*'TUSD BE'!$AC$58</f>
        <v>-2.1102878228576554</v>
      </c>
      <c r="AD36" s="17">
        <f>SUM($AC$36:$AC$36)</f>
        <v>-2.1102878228576554</v>
      </c>
      <c r="AE36" s="17">
        <f ca="1">$AO$36*$AO$55</f>
        <v>-51.123664950603235</v>
      </c>
      <c r="AF36" s="17">
        <f ca="1">$AP$36*$AP$55</f>
        <v>0</v>
      </c>
      <c r="AG36" s="17">
        <f ca="1">SUM($AE$36:$AF$36)</f>
        <v>-51.123664950603235</v>
      </c>
      <c r="AH36" s="17">
        <f>'TUSD BE'!$AH$36*'TUSD BE'!$AH$58</f>
        <v>7.3955910194548197E-2</v>
      </c>
      <c r="AI36" s="17">
        <f>'TUSD BE'!$AI$36*'TUSD BE'!$AI$58</f>
        <v>0</v>
      </c>
      <c r="AJ36" s="17">
        <f ca="1">'TUSD BE'!$AJ$36*'TUSD BE'!$AJ$58</f>
        <v>2.661359623736446E-3</v>
      </c>
      <c r="AK36" s="17">
        <f ca="1">'TUSD BE'!$AK$36*'TUSD BE'!$AK$58</f>
        <v>0.14104218800210214</v>
      </c>
      <c r="AL36" s="17">
        <f ca="1">SUM($AH$36:$AK$36)</f>
        <v>0.21765945782038676</v>
      </c>
      <c r="AM36" s="17">
        <f ca="1">SUMIF($L$4:$AL$4,"SUBTOTAL",$L$36:$AL$36)+AZ36</f>
        <v>-58.609266687451019</v>
      </c>
      <c r="AO36" s="64">
        <f ca="1">+'TUSD BE'!$T$36+'TUSD BE'!$AB$36+'TUSD BE'!$AD$36+'TUSD BE'!$AL$36</f>
        <v>285.64962617959338</v>
      </c>
      <c r="AP36" s="64">
        <f ca="1">+'TUSD BE'!$T$36+'TUSD BE'!$AB$36+'TUSD BE'!$AD$36+'TUSD BE'!$AL$36</f>
        <v>285.64962617959338</v>
      </c>
      <c r="AQ36" s="9" t="str">
        <f t="shared" si="0"/>
        <v>B2</v>
      </c>
      <c r="AR36" s="9" t="str">
        <f t="shared" si="1"/>
        <v>Branca</v>
      </c>
      <c r="AS36" s="9" t="str">
        <f t="shared" si="2"/>
        <v>Rural</v>
      </c>
      <c r="AT36" s="9" t="str">
        <f t="shared" si="3"/>
        <v>Cooperativa de eletrificação rural</v>
      </c>
      <c r="AU36" s="9" t="str">
        <f t="shared" si="4"/>
        <v>Não se aplica</v>
      </c>
      <c r="AV36" s="9">
        <f t="shared" si="5"/>
        <v>1</v>
      </c>
      <c r="AW36" s="9">
        <f ca="1">TarifaMedia!$G$20</f>
        <v>0</v>
      </c>
      <c r="AX36" s="16">
        <f ca="1">'TUSD BE'!$AM36+'TUSD BF'!$AM36+'TUSD CVA'!$AM36</f>
        <v>249.20242836682448</v>
      </c>
      <c r="AY36" s="9">
        <f>ROUND(280.89/(1-CUSTOS!$M$38),2)</f>
        <v>298.82</v>
      </c>
      <c r="AZ36" s="9">
        <f t="shared" ca="1" si="6"/>
        <v>0</v>
      </c>
      <c r="BC36" s="106" t="s">
        <v>1165</v>
      </c>
    </row>
    <row r="37" spans="1:55" ht="11.25" customHeight="1" x14ac:dyDescent="0.25">
      <c r="A37" s="166"/>
      <c r="B37" s="100" t="s">
        <v>23</v>
      </c>
      <c r="C37" s="100" t="s">
        <v>43</v>
      </c>
      <c r="D37" s="100" t="s">
        <v>95</v>
      </c>
      <c r="E37" s="100" t="s">
        <v>25</v>
      </c>
      <c r="F37" s="100" t="s">
        <v>25</v>
      </c>
      <c r="G37" s="57" t="s">
        <v>82</v>
      </c>
      <c r="H37" s="57" t="s">
        <v>78</v>
      </c>
      <c r="I37" s="57">
        <f>'MERCADO TUSD'!$U$34</f>
        <v>0</v>
      </c>
      <c r="J37" s="16"/>
      <c r="L37" s="17">
        <f>'TUSD BE'!$L$37*'TUSD BE'!$L$58</f>
        <v>-0.61365231628134631</v>
      </c>
      <c r="M37" s="17">
        <f>'TUSD BE'!$M$37*'TUSD BE'!$M$58</f>
        <v>-4.3268773577844089E-2</v>
      </c>
      <c r="N37" s="17">
        <f ca="1">'TUSD BE'!$N$37*'TUSD BE'!$N$58</f>
        <v>-9.1892996678294415E-8</v>
      </c>
      <c r="O37" s="17">
        <f>'TUSD BE'!$O$37*'TUSD BE'!$O$58</f>
        <v>0</v>
      </c>
      <c r="P37" s="17">
        <f>'TUSD BE'!$P$37*'TUSD BE'!$P$58</f>
        <v>0</v>
      </c>
      <c r="Q37" s="17">
        <f>'TUSD BE'!$Q$37*'TUSD BE'!$Q$58</f>
        <v>-3.3122159342143132</v>
      </c>
      <c r="R37" s="17">
        <f>'TUSD BE'!$R$37*'TUSD BE'!$R$58</f>
        <v>-0.5290859729511026</v>
      </c>
      <c r="S37" s="17">
        <f>'TUSD BE'!$R$37*'TUSD BE'!$S$58</f>
        <v>0</v>
      </c>
      <c r="T37" s="17">
        <f ca="1">SUM($L$37:$S$37)</f>
        <v>-4.4982230889176034</v>
      </c>
      <c r="U37" s="17">
        <f>'TUSD BE'!$U$37*'TUSD BE'!$U$58</f>
        <v>-0.94015672899436853</v>
      </c>
      <c r="V37" s="17">
        <f>'TUSD BE'!$V$37*'TUSD BE'!$V$58</f>
        <v>-0.65262239418667467</v>
      </c>
      <c r="W37" s="17">
        <f>'TUSD BE'!$W$37*'TUSD BE'!$W$58</f>
        <v>-6.5935637360388571E-2</v>
      </c>
      <c r="X37" s="17">
        <f>'TUSD BE'!$X$37*'TUSD BE'!$X$58</f>
        <v>0</v>
      </c>
      <c r="Y37" s="17">
        <f>'TUSD BE'!$Y$37*'TUSD BE'!$Y$58</f>
        <v>0</v>
      </c>
      <c r="Z37" s="17">
        <f>'TUSD BE'!$Z$37*'TUSD BE'!$Z$58</f>
        <v>0</v>
      </c>
      <c r="AA37" s="17">
        <f>'TUSD BE'!$AA$37*'TUSD BE'!$AA$58</f>
        <v>0</v>
      </c>
      <c r="AB37" s="17">
        <f>SUM($U$37:$AA$37)</f>
        <v>-1.6587147605414319</v>
      </c>
      <c r="AC37" s="17">
        <f>'TUSD BE'!$AC$37*'TUSD BE'!$AC$58</f>
        <v>-3.1974069350688032</v>
      </c>
      <c r="AD37" s="17">
        <f>SUM($AC$37:$AC$37)</f>
        <v>-3.1974069350688032</v>
      </c>
      <c r="AE37" s="17">
        <f ca="1">$AO$37*$AO$55</f>
        <v>-65.352761649010233</v>
      </c>
      <c r="AF37" s="17">
        <f ca="1">$AP$37*$AP$55</f>
        <v>0</v>
      </c>
      <c r="AG37" s="17">
        <f ca="1">SUM($AE$37:$AF$37)</f>
        <v>-65.352761649010233</v>
      </c>
      <c r="AH37" s="17">
        <f>'TUSD BE'!$AH$37*'TUSD BE'!$AH$58</f>
        <v>7.3955910194548197E-2</v>
      </c>
      <c r="AI37" s="17">
        <f>'TUSD BE'!$AI$37*'TUSD BE'!$AI$58</f>
        <v>0</v>
      </c>
      <c r="AJ37" s="17">
        <f ca="1">'TUSD BE'!$AJ$37*'TUSD BE'!$AJ$58</f>
        <v>2.661359623736446E-3</v>
      </c>
      <c r="AK37" s="17">
        <f ca="1">'TUSD BE'!$AK$37*'TUSD BE'!$AK$58</f>
        <v>0.14104218800210214</v>
      </c>
      <c r="AL37" s="17">
        <f ca="1">SUM($AH$37:$AK$37)</f>
        <v>0.21765945782038676</v>
      </c>
      <c r="AM37" s="17">
        <f ca="1">SUMIF($L$4:$AL$4,"SUBTOTAL",$L$37:$AL$37)+AZ37</f>
        <v>-74.489446975717684</v>
      </c>
      <c r="AO37" s="64">
        <f ca="1">+'TUSD BE'!$T$37+'TUSD BE'!$AB$37+'TUSD BE'!$AD$37+'TUSD BE'!$AL$37</f>
        <v>365.15363194092691</v>
      </c>
      <c r="AP37" s="64">
        <f ca="1">+'TUSD BE'!$T$37+'TUSD BE'!$AB$37+'TUSD BE'!$AD$37+'TUSD BE'!$AL$37</f>
        <v>365.15363194092691</v>
      </c>
      <c r="AQ37" s="9" t="str">
        <f t="shared" si="0"/>
        <v>B2</v>
      </c>
      <c r="AR37" s="9" t="str">
        <f t="shared" si="1"/>
        <v>Convencional</v>
      </c>
      <c r="AS37" s="9" t="str">
        <f t="shared" si="2"/>
        <v>Rural</v>
      </c>
      <c r="AT37" s="9" t="str">
        <f t="shared" si="3"/>
        <v>Cooperativa de eletrificação rural</v>
      </c>
      <c r="AU37" s="9" t="str">
        <f t="shared" si="4"/>
        <v>Não se aplica</v>
      </c>
      <c r="AV37" s="9">
        <f t="shared" si="5"/>
        <v>1</v>
      </c>
      <c r="AW37" s="9">
        <f ca="1">TarifaMedia!$G$20</f>
        <v>0</v>
      </c>
      <c r="AX37" s="16">
        <f ca="1">'TUSD BE'!$AM37+'TUSD BF'!$AM37+'TUSD CVA'!$AM37</f>
        <v>313.91386533817797</v>
      </c>
      <c r="AY37" s="9">
        <v>437.54</v>
      </c>
      <c r="AZ37" s="9">
        <f t="shared" ca="1" si="6"/>
        <v>0</v>
      </c>
      <c r="BC37" s="106" t="s">
        <v>1159</v>
      </c>
    </row>
    <row r="38" spans="1:55" ht="11.25" customHeight="1" x14ac:dyDescent="0.25">
      <c r="A38" s="166"/>
      <c r="B38" s="166" t="s">
        <v>32</v>
      </c>
      <c r="C38" s="166" t="s">
        <v>43</v>
      </c>
      <c r="D38" s="166" t="s">
        <v>96</v>
      </c>
      <c r="E38" s="166" t="s">
        <v>25</v>
      </c>
      <c r="F38" s="166" t="s">
        <v>25</v>
      </c>
      <c r="G38" s="57" t="s">
        <v>79</v>
      </c>
      <c r="H38" s="57" t="s">
        <v>78</v>
      </c>
      <c r="I38" s="57">
        <f>'MERCADO TUSD'!$U$35</f>
        <v>0</v>
      </c>
      <c r="J38" s="16"/>
      <c r="L38" s="17">
        <f>'TUSD BE'!$L$38*'TUSD BE'!$L$58</f>
        <v>-0.61365231628134631</v>
      </c>
      <c r="M38" s="17">
        <f>'TUSD BE'!$M$38*'TUSD BE'!$M$58</f>
        <v>-4.3268773577844089E-2</v>
      </c>
      <c r="N38" s="17">
        <f ca="1">'TUSD BE'!$N$38*'TUSD BE'!$N$58</f>
        <v>-2.6705343535791744E-7</v>
      </c>
      <c r="O38" s="17">
        <f>'TUSD BE'!$O$38*'TUSD BE'!$O$58</f>
        <v>0</v>
      </c>
      <c r="P38" s="17">
        <f>'TUSD BE'!$P$38*'TUSD BE'!$P$58</f>
        <v>0</v>
      </c>
      <c r="Q38" s="17">
        <f>'TUSD BE'!$Q$38*'TUSD BE'!$Q$58</f>
        <v>-3.3122159342143132</v>
      </c>
      <c r="R38" s="17">
        <f>'TUSD BE'!$R$38*'TUSD BE'!$R$58</f>
        <v>-0.5290859729511026</v>
      </c>
      <c r="S38" s="17">
        <f>'TUSD BE'!$R$38*'TUSD BE'!$S$58</f>
        <v>0</v>
      </c>
      <c r="T38" s="17">
        <f ca="1">SUM($L$38:$S$38)</f>
        <v>-4.4982232640780415</v>
      </c>
      <c r="U38" s="17">
        <f>'TUSD BE'!$U$38*'TUSD BE'!$U$58</f>
        <v>-3.1025245780863919</v>
      </c>
      <c r="V38" s="17">
        <f>'TUSD BE'!$V$38*'TUSD BE'!$V$58</f>
        <v>-2.1536551916124997</v>
      </c>
      <c r="W38" s="17">
        <f>'TUSD BE'!$W$38*'TUSD BE'!$W$58</f>
        <v>-0.21758673670331855</v>
      </c>
      <c r="X38" s="17">
        <f>'TUSD BE'!$X$38*'TUSD BE'!$X$58</f>
        <v>0</v>
      </c>
      <c r="Y38" s="17">
        <f>'TUSD BE'!$Y$38*'TUSD BE'!$Y$58</f>
        <v>0</v>
      </c>
      <c r="Z38" s="17">
        <f>'TUSD BE'!$Z$38*'TUSD BE'!$Z$58</f>
        <v>0</v>
      </c>
      <c r="AA38" s="17">
        <f>'TUSD BE'!$AA$38*'TUSD BE'!$AA$58</f>
        <v>0</v>
      </c>
      <c r="AB38" s="17">
        <f>SUM($U$38:$AA$38)</f>
        <v>-5.4737665064022103</v>
      </c>
      <c r="AC38" s="17">
        <f>'TUSD BE'!$AC$38*'TUSD BE'!$AC$58</f>
        <v>-10.551441000007662</v>
      </c>
      <c r="AD38" s="17">
        <f>SUM($AC$38:$AC$38)</f>
        <v>-10.551441000007662</v>
      </c>
      <c r="AE38" s="17">
        <f ca="1">$AO$38*$AO$55</f>
        <v>-161.60830589734135</v>
      </c>
      <c r="AF38" s="17">
        <f ca="1">$AP$38*$AP$55</f>
        <v>0</v>
      </c>
      <c r="AG38" s="17">
        <f ca="1">SUM($AE$38:$AF$38)</f>
        <v>-161.60830589734135</v>
      </c>
      <c r="AH38" s="17">
        <f>'TUSD BE'!$AH$38*'TUSD BE'!$AH$58</f>
        <v>7.3955910194548197E-2</v>
      </c>
      <c r="AI38" s="17">
        <f>'TUSD BE'!$AI$38*'TUSD BE'!$AI$58</f>
        <v>0</v>
      </c>
      <c r="AJ38" s="17">
        <f ca="1">'TUSD BE'!$AJ$38*'TUSD BE'!$AJ$58</f>
        <v>2.661359623736446E-3</v>
      </c>
      <c r="AK38" s="17">
        <f ca="1">'TUSD BE'!$AK$38*'TUSD BE'!$AK$58</f>
        <v>0.14104218800210214</v>
      </c>
      <c r="AL38" s="17">
        <f ca="1">SUM($AH$38:$AK$38)</f>
        <v>0.21765945782038676</v>
      </c>
      <c r="AM38" s="17">
        <f ca="1">SUMIF($L$4:$AL$4,"SUBTOTAL",$L$38:$AL$38)+AZ38</f>
        <v>-181.91407721000888</v>
      </c>
      <c r="AO38" s="64">
        <f ca="1">+'TUSD BE'!$T$38+'TUSD BE'!$AB$38+'TUSD BE'!$AD$38+'TUSD BE'!$AL$38</f>
        <v>902.97423339459215</v>
      </c>
      <c r="AP38" s="64">
        <f ca="1">+'TUSD BE'!$T$38+'TUSD BE'!$AB$38+'TUSD BE'!$AD$38+'TUSD BE'!$AL$38</f>
        <v>902.97423339459215</v>
      </c>
      <c r="AQ38" s="9" t="str">
        <f t="shared" si="0"/>
        <v>B2</v>
      </c>
      <c r="AR38" s="9" t="str">
        <f t="shared" si="1"/>
        <v>Branca</v>
      </c>
      <c r="AS38" s="9" t="str">
        <f t="shared" si="2"/>
        <v>Rural</v>
      </c>
      <c r="AT38" s="9" t="str">
        <f t="shared" si="3"/>
        <v>Serviço público de irrigação rural</v>
      </c>
      <c r="AU38" s="9" t="str">
        <f t="shared" si="4"/>
        <v>Não se aplica</v>
      </c>
      <c r="AV38" s="9">
        <f t="shared" si="5"/>
        <v>1</v>
      </c>
      <c r="AW38" s="9">
        <f ca="1">TarifaMedia!$G$20</f>
        <v>0</v>
      </c>
      <c r="AX38" s="16">
        <f ca="1">'TUSD BE'!$AM38+'TUSD BF'!$AM38+'TUSD CVA'!$AM38</f>
        <v>751.66721126633001</v>
      </c>
      <c r="AY38" s="9">
        <f>ROUND(845.96/(1-CUSTOS!$M$38),2)</f>
        <v>899.96</v>
      </c>
      <c r="AZ38" s="9">
        <f t="shared" ca="1" si="6"/>
        <v>0</v>
      </c>
      <c r="BC38" s="106" t="s">
        <v>1163</v>
      </c>
    </row>
    <row r="39" spans="1:55" ht="11.25" customHeight="1" x14ac:dyDescent="0.25">
      <c r="A39" s="166"/>
      <c r="B39" s="166"/>
      <c r="C39" s="166"/>
      <c r="D39" s="166"/>
      <c r="E39" s="166"/>
      <c r="F39" s="166"/>
      <c r="G39" s="57" t="s">
        <v>92</v>
      </c>
      <c r="H39" s="57" t="s">
        <v>78</v>
      </c>
      <c r="I39" s="57">
        <f>'MERCADO TUSD'!$U$36</f>
        <v>0</v>
      </c>
      <c r="J39" s="16"/>
      <c r="L39" s="17">
        <f>'TUSD BE'!$L$39*'TUSD BE'!$L$58</f>
        <v>-0.61365231628134631</v>
      </c>
      <c r="M39" s="17">
        <f>'TUSD BE'!$M$39*'TUSD BE'!$M$58</f>
        <v>-4.3268773577844089E-2</v>
      </c>
      <c r="N39" s="17">
        <f ca="1">'TUSD BE'!$N$39*'TUSD BE'!$N$58</f>
        <v>-1.1626314751075686E-7</v>
      </c>
      <c r="O39" s="17">
        <f>'TUSD BE'!$O$39*'TUSD BE'!$O$58</f>
        <v>0</v>
      </c>
      <c r="P39" s="17">
        <f>'TUSD BE'!$P$39*'TUSD BE'!$P$58</f>
        <v>0</v>
      </c>
      <c r="Q39" s="17">
        <f>'TUSD BE'!$Q$39*'TUSD BE'!$Q$58</f>
        <v>-3.3122159342143132</v>
      </c>
      <c r="R39" s="17">
        <f>'TUSD BE'!$R$39*'TUSD BE'!$R$58</f>
        <v>-0.5290859729511026</v>
      </c>
      <c r="S39" s="17">
        <f>'TUSD BE'!$R$39*'TUSD BE'!$S$58</f>
        <v>0</v>
      </c>
      <c r="T39" s="17">
        <f ca="1">SUM($L$39:$S$39)</f>
        <v>-4.4982231132877537</v>
      </c>
      <c r="U39" s="17">
        <f>'TUSD BE'!$U$39*'TUSD BE'!$U$58</f>
        <v>-1.2410107527851786</v>
      </c>
      <c r="V39" s="17">
        <f>'TUSD BE'!$V$39*'TUSD BE'!$V$58</f>
        <v>-0.86146035558303558</v>
      </c>
      <c r="W39" s="17">
        <f>'TUSD BE'!$W$39*'TUSD BE'!$W$58</f>
        <v>-8.7035561267291145E-2</v>
      </c>
      <c r="X39" s="17">
        <f>'TUSD BE'!$X$39*'TUSD BE'!$X$58</f>
        <v>0</v>
      </c>
      <c r="Y39" s="17">
        <f>'TUSD BE'!$Y$39*'TUSD BE'!$Y$58</f>
        <v>0</v>
      </c>
      <c r="Z39" s="17">
        <f>'TUSD BE'!$Z$39*'TUSD BE'!$Z$58</f>
        <v>0</v>
      </c>
      <c r="AA39" s="17">
        <f>'TUSD BE'!$AA$39*'TUSD BE'!$AA$58</f>
        <v>0</v>
      </c>
      <c r="AB39" s="17">
        <f>SUM($U$39:$AA$39)</f>
        <v>-2.1895066696355054</v>
      </c>
      <c r="AC39" s="17">
        <f>'TUSD BE'!$AC$39*'TUSD BE'!$AC$58</f>
        <v>-4.2205756457153107</v>
      </c>
      <c r="AD39" s="17">
        <f>SUM($AC$39:$AC$39)</f>
        <v>-4.2205756457153107</v>
      </c>
      <c r="AE39" s="17">
        <f ca="1">$AO$39*$AO$55</f>
        <v>-78.744840124964654</v>
      </c>
      <c r="AF39" s="17">
        <f ca="1">$AP$39*$AP$55</f>
        <v>0</v>
      </c>
      <c r="AG39" s="17">
        <f ca="1">SUM($AE$39:$AF$39)</f>
        <v>-78.744840124964654</v>
      </c>
      <c r="AH39" s="17">
        <f>'TUSD BE'!$AH$39*'TUSD BE'!$AH$58</f>
        <v>7.3955910194548197E-2</v>
      </c>
      <c r="AI39" s="17">
        <f>'TUSD BE'!$AI$39*'TUSD BE'!$AI$58</f>
        <v>0</v>
      </c>
      <c r="AJ39" s="17">
        <f ca="1">'TUSD BE'!$AJ$39*'TUSD BE'!$AJ$58</f>
        <v>2.661359623736446E-3</v>
      </c>
      <c r="AK39" s="17">
        <f ca="1">'TUSD BE'!$AK$39*'TUSD BE'!$AK$58</f>
        <v>0.14104218800210214</v>
      </c>
      <c r="AL39" s="17">
        <f ca="1">SUM($AH$39:$AK$39)</f>
        <v>0.21765945782038676</v>
      </c>
      <c r="AM39" s="17">
        <f ca="1">SUMIF($L$4:$AL$4,"SUBTOTAL",$L$39:$AL$39)+AZ39</f>
        <v>-89.435486095782835</v>
      </c>
      <c r="AO39" s="64">
        <f ca="1">+'TUSD BE'!$T$39+'TUSD BE'!$AB$39+'TUSD BE'!$AD$39+'TUSD BE'!$AL$39</f>
        <v>439.98086144648727</v>
      </c>
      <c r="AP39" s="64">
        <f ca="1">+'TUSD BE'!$T$39+'TUSD BE'!$AB$39+'TUSD BE'!$AD$39+'TUSD BE'!$AL$39</f>
        <v>439.98086144648727</v>
      </c>
      <c r="AQ39" s="9" t="str">
        <f t="shared" si="0"/>
        <v>B2</v>
      </c>
      <c r="AR39" s="9" t="str">
        <f t="shared" si="1"/>
        <v>Branca</v>
      </c>
      <c r="AS39" s="9" t="str">
        <f t="shared" si="2"/>
        <v>Rural</v>
      </c>
      <c r="AT39" s="9" t="str">
        <f t="shared" si="3"/>
        <v>Serviço público de irrigação rural</v>
      </c>
      <c r="AU39" s="9" t="str">
        <f t="shared" si="4"/>
        <v>Não se aplica</v>
      </c>
      <c r="AV39" s="9">
        <f t="shared" si="5"/>
        <v>1</v>
      </c>
      <c r="AW39" s="9">
        <f ca="1">TarifaMedia!$G$20</f>
        <v>0</v>
      </c>
      <c r="AX39" s="16">
        <f ca="1">'TUSD BE'!$AM39+'TUSD BF'!$AM39+'TUSD CVA'!$AM39</f>
        <v>374.81869263767283</v>
      </c>
      <c r="AY39" s="9">
        <f>ROUND(563.42/(1-CUSTOS!$M$38),2)</f>
        <v>599.38</v>
      </c>
      <c r="AZ39" s="9">
        <f t="shared" ca="1" si="6"/>
        <v>0</v>
      </c>
      <c r="BC39" s="106" t="s">
        <v>1164</v>
      </c>
    </row>
    <row r="40" spans="1:55" ht="11.25" customHeight="1" x14ac:dyDescent="0.25">
      <c r="A40" s="166"/>
      <c r="B40" s="166"/>
      <c r="C40" s="166"/>
      <c r="D40" s="166"/>
      <c r="E40" s="166"/>
      <c r="F40" s="166"/>
      <c r="G40" s="57" t="s">
        <v>80</v>
      </c>
      <c r="H40" s="57" t="s">
        <v>78</v>
      </c>
      <c r="I40" s="57">
        <f>'MERCADO TUSD'!$U$37</f>
        <v>0</v>
      </c>
      <c r="J40" s="16"/>
      <c r="L40" s="17">
        <f>'TUSD BE'!$L$40*'TUSD BE'!$L$58</f>
        <v>-0.61365231628134631</v>
      </c>
      <c r="M40" s="17">
        <f>'TUSD BE'!$M$40*'TUSD BE'!$M$58</f>
        <v>-4.3268773577844089E-2</v>
      </c>
      <c r="N40" s="17">
        <f ca="1">'TUSD BE'!$N$40*'TUSD BE'!$N$58</f>
        <v>-6.5999681910679601E-8</v>
      </c>
      <c r="O40" s="17">
        <f>'TUSD BE'!$O$40*'TUSD BE'!$O$58</f>
        <v>0</v>
      </c>
      <c r="P40" s="17">
        <f>'TUSD BE'!$P$40*'TUSD BE'!$P$58</f>
        <v>0</v>
      </c>
      <c r="Q40" s="17">
        <f>'TUSD BE'!$Q$40*'TUSD BE'!$Q$58</f>
        <v>-3.3122159342143132</v>
      </c>
      <c r="R40" s="17">
        <f>'TUSD BE'!$R$40*'TUSD BE'!$R$58</f>
        <v>-0.5290859729511026</v>
      </c>
      <c r="S40" s="17">
        <f>'TUSD BE'!$R$40*'TUSD BE'!$S$58</f>
        <v>0</v>
      </c>
      <c r="T40" s="17">
        <f ca="1">SUM($L$40:$S$40)</f>
        <v>-4.4982230630242874</v>
      </c>
      <c r="U40" s="17">
        <f>'TUSD BE'!$U$40*'TUSD BE'!$U$58</f>
        <v>-0.62050307251603443</v>
      </c>
      <c r="V40" s="17">
        <f>'TUSD BE'!$V$40*'TUSD BE'!$V$58</f>
        <v>-0.43073017779151779</v>
      </c>
      <c r="W40" s="17">
        <f>'TUSD BE'!$W$40*'TUSD BE'!$W$58</f>
        <v>-4.3517058478675805E-2</v>
      </c>
      <c r="X40" s="17">
        <f>'TUSD BE'!$X$40*'TUSD BE'!$X$58</f>
        <v>0</v>
      </c>
      <c r="Y40" s="17">
        <f>'TUSD BE'!$Y$40*'TUSD BE'!$Y$58</f>
        <v>0</v>
      </c>
      <c r="Z40" s="17">
        <f>'TUSD BE'!$Z$40*'TUSD BE'!$Z$58</f>
        <v>0</v>
      </c>
      <c r="AA40" s="17">
        <f>'TUSD BE'!$AA$40*'TUSD BE'!$AA$58</f>
        <v>0</v>
      </c>
      <c r="AB40" s="17">
        <f>SUM($U$40:$AA$40)</f>
        <v>-1.094750308786228</v>
      </c>
      <c r="AC40" s="17">
        <f>'TUSD BE'!$AC$40*'TUSD BE'!$AC$58</f>
        <v>-2.1102878228576554</v>
      </c>
      <c r="AD40" s="17">
        <f>SUM($AC$40:$AC$40)</f>
        <v>-2.1102878228576554</v>
      </c>
      <c r="AE40" s="17">
        <f ca="1">$AO$40*$AO$55</f>
        <v>-51.123664950603235</v>
      </c>
      <c r="AF40" s="17">
        <f ca="1">$AP$40*$AP$55</f>
        <v>0</v>
      </c>
      <c r="AG40" s="17">
        <f ca="1">SUM($AE$40:$AF$40)</f>
        <v>-51.123664950603235</v>
      </c>
      <c r="AH40" s="17">
        <f>'TUSD BE'!$AH$40*'TUSD BE'!$AH$58</f>
        <v>7.3955910194548197E-2</v>
      </c>
      <c r="AI40" s="17">
        <f>'TUSD BE'!$AI$40*'TUSD BE'!$AI$58</f>
        <v>0</v>
      </c>
      <c r="AJ40" s="17">
        <f ca="1">'TUSD BE'!$AJ$40*'TUSD BE'!$AJ$58</f>
        <v>2.661359623736446E-3</v>
      </c>
      <c r="AK40" s="17">
        <f ca="1">'TUSD BE'!$AK$40*'TUSD BE'!$AK$58</f>
        <v>0.14104218800210214</v>
      </c>
      <c r="AL40" s="17">
        <f ca="1">SUM($AH$40:$AK$40)</f>
        <v>0.21765945782038676</v>
      </c>
      <c r="AM40" s="17">
        <f ca="1">SUMIF($L$4:$AL$4,"SUBTOTAL",$L$40:$AL$40)+AZ40</f>
        <v>-58.609266687451019</v>
      </c>
      <c r="AO40" s="64">
        <f ca="1">+'TUSD BE'!$T$40+'TUSD BE'!$AB$40+'TUSD BE'!$AD$40+'TUSD BE'!$AL$40</f>
        <v>285.64962617959338</v>
      </c>
      <c r="AP40" s="64">
        <f ca="1">+'TUSD BE'!$T$40+'TUSD BE'!$AB$40+'TUSD BE'!$AD$40+'TUSD BE'!$AL$40</f>
        <v>285.64962617959338</v>
      </c>
      <c r="AQ40" s="9" t="str">
        <f t="shared" si="0"/>
        <v>B2</v>
      </c>
      <c r="AR40" s="9" t="str">
        <f t="shared" si="1"/>
        <v>Branca</v>
      </c>
      <c r="AS40" s="9" t="str">
        <f t="shared" si="2"/>
        <v>Rural</v>
      </c>
      <c r="AT40" s="9" t="str">
        <f t="shared" si="3"/>
        <v>Serviço público de irrigação rural</v>
      </c>
      <c r="AU40" s="9" t="str">
        <f t="shared" si="4"/>
        <v>Não se aplica</v>
      </c>
      <c r="AV40" s="9">
        <f t="shared" si="5"/>
        <v>1</v>
      </c>
      <c r="AW40" s="9">
        <f ca="1">TarifaMedia!$G$20</f>
        <v>0</v>
      </c>
      <c r="AX40" s="16">
        <f ca="1">'TUSD BE'!$AM40+'TUSD BF'!$AM40+'TUSD CVA'!$AM40</f>
        <v>249.20242836682448</v>
      </c>
      <c r="AY40" s="9">
        <f>ROUND(280.89/(1-CUSTOS!$M$38),2)</f>
        <v>298.82</v>
      </c>
      <c r="AZ40" s="9">
        <f t="shared" ca="1" si="6"/>
        <v>0</v>
      </c>
      <c r="BC40" s="106" t="s">
        <v>1165</v>
      </c>
    </row>
    <row r="41" spans="1:55" ht="11.25" customHeight="1" x14ac:dyDescent="0.25">
      <c r="A41" s="166"/>
      <c r="B41" s="100" t="s">
        <v>23</v>
      </c>
      <c r="C41" s="100" t="s">
        <v>43</v>
      </c>
      <c r="D41" s="100" t="s">
        <v>96</v>
      </c>
      <c r="E41" s="100" t="s">
        <v>25</v>
      </c>
      <c r="F41" s="100" t="s">
        <v>25</v>
      </c>
      <c r="G41" s="57" t="s">
        <v>82</v>
      </c>
      <c r="H41" s="57" t="s">
        <v>78</v>
      </c>
      <c r="I41" s="57">
        <f>'MERCADO TUSD'!$U$38</f>
        <v>0</v>
      </c>
      <c r="J41" s="16"/>
      <c r="L41" s="17">
        <f>'TUSD BE'!$L$41*'TUSD BE'!$L$58</f>
        <v>-0.61365231628134631</v>
      </c>
      <c r="M41" s="17">
        <f>'TUSD BE'!$M$41*'TUSD BE'!$M$58</f>
        <v>-4.3268773577844089E-2</v>
      </c>
      <c r="N41" s="17">
        <f ca="1">'TUSD BE'!$N$41*'TUSD BE'!$N$58</f>
        <v>-9.1892996678294415E-8</v>
      </c>
      <c r="O41" s="17">
        <f>'TUSD BE'!$O$41*'TUSD BE'!$O$58</f>
        <v>0</v>
      </c>
      <c r="P41" s="17">
        <f>'TUSD BE'!$P$41*'TUSD BE'!$P$58</f>
        <v>0</v>
      </c>
      <c r="Q41" s="17">
        <f>'TUSD BE'!$Q$41*'TUSD BE'!$Q$58</f>
        <v>-3.3122159342143132</v>
      </c>
      <c r="R41" s="17">
        <f>'TUSD BE'!$R$41*'TUSD BE'!$R$58</f>
        <v>-0.5290859729511026</v>
      </c>
      <c r="S41" s="17">
        <f>'TUSD BE'!$R$41*'TUSD BE'!$S$58</f>
        <v>0</v>
      </c>
      <c r="T41" s="17">
        <f ca="1">SUM($L$41:$S$41)</f>
        <v>-4.4982230889176034</v>
      </c>
      <c r="U41" s="17">
        <f>'TUSD BE'!$U$41*'TUSD BE'!$U$58</f>
        <v>-0.94015672899436853</v>
      </c>
      <c r="V41" s="17">
        <f>'TUSD BE'!$V$41*'TUSD BE'!$V$58</f>
        <v>-0.65262239418667467</v>
      </c>
      <c r="W41" s="17">
        <f>'TUSD BE'!$W$41*'TUSD BE'!$W$58</f>
        <v>-6.5935637360388571E-2</v>
      </c>
      <c r="X41" s="17">
        <f>'TUSD BE'!$X$41*'TUSD BE'!$X$58</f>
        <v>0</v>
      </c>
      <c r="Y41" s="17">
        <f>'TUSD BE'!$Y$41*'TUSD BE'!$Y$58</f>
        <v>0</v>
      </c>
      <c r="Z41" s="17">
        <f>'TUSD BE'!$Z$41*'TUSD BE'!$Z$58</f>
        <v>0</v>
      </c>
      <c r="AA41" s="17">
        <f>'TUSD BE'!$AA$41*'TUSD BE'!$AA$58</f>
        <v>0</v>
      </c>
      <c r="AB41" s="17">
        <f>SUM($U$41:$AA$41)</f>
        <v>-1.6587147605414319</v>
      </c>
      <c r="AC41" s="17">
        <f>'TUSD BE'!$AC$41*'TUSD BE'!$AC$58</f>
        <v>-3.1974069350688032</v>
      </c>
      <c r="AD41" s="17">
        <f>SUM($AC$41:$AC$41)</f>
        <v>-3.1974069350688032</v>
      </c>
      <c r="AE41" s="17">
        <f ca="1">$AO$41*$AO$55</f>
        <v>-65.352761649010233</v>
      </c>
      <c r="AF41" s="17">
        <f ca="1">$AP$41*$AP$55</f>
        <v>0</v>
      </c>
      <c r="AG41" s="17">
        <f ca="1">SUM($AE$41:$AF$41)</f>
        <v>-65.352761649010233</v>
      </c>
      <c r="AH41" s="17">
        <f>'TUSD BE'!$AH$41*'TUSD BE'!$AH$58</f>
        <v>7.3955910194548197E-2</v>
      </c>
      <c r="AI41" s="17">
        <f>'TUSD BE'!$AI$41*'TUSD BE'!$AI$58</f>
        <v>0</v>
      </c>
      <c r="AJ41" s="17">
        <f ca="1">'TUSD BE'!$AJ$41*'TUSD BE'!$AJ$58</f>
        <v>2.661359623736446E-3</v>
      </c>
      <c r="AK41" s="17">
        <f ca="1">'TUSD BE'!$AK$41*'TUSD BE'!$AK$58</f>
        <v>0.14104218800210214</v>
      </c>
      <c r="AL41" s="17">
        <f ca="1">SUM($AH$41:$AK$41)</f>
        <v>0.21765945782038676</v>
      </c>
      <c r="AM41" s="17">
        <f ca="1">SUMIF($L$4:$AL$4,"SUBTOTAL",$L$41:$AL$41)+AZ41</f>
        <v>-74.489446975717684</v>
      </c>
      <c r="AO41" s="64">
        <f ca="1">+'TUSD BE'!$T$41+'TUSD BE'!$AB$41+'TUSD BE'!$AD$41+'TUSD BE'!$AL$41</f>
        <v>365.15363194092691</v>
      </c>
      <c r="AP41" s="64">
        <f ca="1">+'TUSD BE'!$T$41+'TUSD BE'!$AB$41+'TUSD BE'!$AD$41+'TUSD BE'!$AL$41</f>
        <v>365.15363194092691</v>
      </c>
      <c r="AQ41" s="9" t="str">
        <f t="shared" si="0"/>
        <v>B2</v>
      </c>
      <c r="AR41" s="9" t="str">
        <f t="shared" si="1"/>
        <v>Convencional</v>
      </c>
      <c r="AS41" s="9" t="str">
        <f t="shared" si="2"/>
        <v>Rural</v>
      </c>
      <c r="AT41" s="9" t="str">
        <f t="shared" si="3"/>
        <v>Serviço público de irrigação rural</v>
      </c>
      <c r="AU41" s="9" t="str">
        <f t="shared" si="4"/>
        <v>Não se aplica</v>
      </c>
      <c r="AV41" s="9">
        <f t="shared" si="5"/>
        <v>1</v>
      </c>
      <c r="AW41" s="9">
        <f ca="1">TarifaMedia!$G$20</f>
        <v>0</v>
      </c>
      <c r="AX41" s="16">
        <f ca="1">'TUSD BE'!$AM41+'TUSD BF'!$AM41+'TUSD CVA'!$AM41</f>
        <v>313.91386533817797</v>
      </c>
      <c r="AY41" s="9">
        <v>437.54</v>
      </c>
      <c r="AZ41" s="9">
        <f t="shared" ca="1" si="6"/>
        <v>0</v>
      </c>
      <c r="BC41" s="106" t="s">
        <v>1159</v>
      </c>
    </row>
    <row r="42" spans="1:55" ht="11.25" customHeight="1" x14ac:dyDescent="0.25">
      <c r="A42" s="166"/>
      <c r="B42" s="166" t="s">
        <v>94</v>
      </c>
      <c r="C42" s="166" t="s">
        <v>43</v>
      </c>
      <c r="D42" s="100" t="s">
        <v>25</v>
      </c>
      <c r="E42" s="100" t="s">
        <v>25</v>
      </c>
      <c r="F42" s="100" t="s">
        <v>25</v>
      </c>
      <c r="G42" s="57" t="s">
        <v>82</v>
      </c>
      <c r="H42" s="57" t="s">
        <v>78</v>
      </c>
      <c r="I42" s="57">
        <f>'MERCADO TUSD'!$U$39</f>
        <v>0</v>
      </c>
      <c r="J42" s="16"/>
      <c r="L42" s="17">
        <f>'TUSD BE'!$L$42*'TUSD BE'!$L$58</f>
        <v>-0.61365231628134631</v>
      </c>
      <c r="M42" s="17">
        <f>'TUSD BE'!$M$42*'TUSD BE'!$M$58</f>
        <v>-4.3268773577844089E-2</v>
      </c>
      <c r="N42" s="17">
        <f ca="1">'TUSD BE'!$N$42*'TUSD BE'!$N$58</f>
        <v>-9.1892996678294415E-8</v>
      </c>
      <c r="O42" s="17">
        <f>'TUSD BE'!$O$42*'TUSD BE'!$O$58</f>
        <v>0</v>
      </c>
      <c r="P42" s="17">
        <f>'TUSD BE'!$P$42*'TUSD BE'!$P$58</f>
        <v>0</v>
      </c>
      <c r="Q42" s="17">
        <f>'TUSD BE'!$Q$42*'TUSD BE'!$Q$58</f>
        <v>-3.3122159342143132</v>
      </c>
      <c r="R42" s="17">
        <f>'TUSD BE'!$R$42*'TUSD BE'!$R$58</f>
        <v>-0.5290859729511026</v>
      </c>
      <c r="S42" s="17">
        <f>'TUSD BE'!$R$42*'TUSD BE'!$S$58</f>
        <v>0</v>
      </c>
      <c r="T42" s="17">
        <f ca="1">SUM($L$42:$S$42)</f>
        <v>-4.4982230889176034</v>
      </c>
      <c r="U42" s="17">
        <f>'TUSD BE'!$U$42*'TUSD BE'!$U$58</f>
        <v>-0.94015672899436853</v>
      </c>
      <c r="V42" s="17">
        <f>'TUSD BE'!$V$42*'TUSD BE'!$V$58</f>
        <v>-0.65262239418667467</v>
      </c>
      <c r="W42" s="17">
        <f>'TUSD BE'!$W$42*'TUSD BE'!$W$58</f>
        <v>-6.5935637360388571E-2</v>
      </c>
      <c r="X42" s="17">
        <f>'TUSD BE'!$X$42*'TUSD BE'!$X$58</f>
        <v>0</v>
      </c>
      <c r="Y42" s="17">
        <f>'TUSD BE'!$Y$42*'TUSD BE'!$Y$58</f>
        <v>0</v>
      </c>
      <c r="Z42" s="17">
        <f>'TUSD BE'!$Z$42*'TUSD BE'!$Z$58</f>
        <v>0</v>
      </c>
      <c r="AA42" s="17">
        <f>'TUSD BE'!$AA$42*'TUSD BE'!$AA$58</f>
        <v>0</v>
      </c>
      <c r="AB42" s="17">
        <f>SUM($U$42:$AA$42)</f>
        <v>-1.6587147605414319</v>
      </c>
      <c r="AC42" s="17">
        <f>'TUSD BE'!$AC$42*'TUSD BE'!$AC$58</f>
        <v>-3.1974069350688032</v>
      </c>
      <c r="AD42" s="17">
        <f>SUM($AC$42:$AC$42)</f>
        <v>-3.1974069350688032</v>
      </c>
      <c r="AE42" s="17">
        <f ca="1">$AO$42*$AO$55</f>
        <v>-65.352761649010233</v>
      </c>
      <c r="AF42" s="17">
        <f ca="1">$AP$42*$AP$55</f>
        <v>0</v>
      </c>
      <c r="AG42" s="17">
        <f ca="1">SUM($AE$42:$AF$42)</f>
        <v>-65.352761649010233</v>
      </c>
      <c r="AH42" s="17">
        <f>'TUSD BE'!$AH$42*'TUSD BE'!$AH$58</f>
        <v>7.3955910194548197E-2</v>
      </c>
      <c r="AI42" s="17">
        <f>'TUSD BE'!$AI$42*'TUSD BE'!$AI$58</f>
        <v>0</v>
      </c>
      <c r="AJ42" s="17">
        <f ca="1">'TUSD BE'!$AJ$42*'TUSD BE'!$AJ$58</f>
        <v>2.661359623736446E-3</v>
      </c>
      <c r="AK42" s="17">
        <f ca="1">'TUSD BE'!$AK$42*'TUSD BE'!$AK$58</f>
        <v>0.14104218800210214</v>
      </c>
      <c r="AL42" s="17">
        <f ca="1">SUM($AH$42:$AK$42)</f>
        <v>0.21765945782038676</v>
      </c>
      <c r="AM42" s="17">
        <f ca="1">SUMIF($L$4:$AL$4,"SUBTOTAL",$L$42:$AL$42)+AZ42</f>
        <v>-74.489446975717684</v>
      </c>
      <c r="AO42" s="64">
        <f ca="1">+'TUSD BE'!$T$42+'TUSD BE'!$AB$42+'TUSD BE'!$AD$42+'TUSD BE'!$AL$42</f>
        <v>365.15363194092691</v>
      </c>
      <c r="AP42" s="64">
        <f ca="1">+'TUSD BE'!$T$42+'TUSD BE'!$AB$42+'TUSD BE'!$AD$42+'TUSD BE'!$AL$42</f>
        <v>365.15363194092691</v>
      </c>
      <c r="AQ42" s="9" t="str">
        <f t="shared" si="0"/>
        <v>B2</v>
      </c>
      <c r="AR42" s="9" t="str">
        <f t="shared" si="1"/>
        <v>Convencional pré-pagamento</v>
      </c>
      <c r="AS42" s="9" t="str">
        <f t="shared" si="2"/>
        <v>Rural</v>
      </c>
      <c r="AT42" s="9" t="str">
        <f t="shared" si="3"/>
        <v>Não se aplica</v>
      </c>
      <c r="AU42" s="9" t="str">
        <f t="shared" si="4"/>
        <v>Não se aplica</v>
      </c>
      <c r="AV42" s="9">
        <f t="shared" si="5"/>
        <v>1</v>
      </c>
      <c r="AW42" s="9">
        <f ca="1">TarifaMedia!$G$20</f>
        <v>0</v>
      </c>
      <c r="AX42" s="16">
        <f ca="1">'TUSD BE'!$AM42+'TUSD BF'!$AM42+'TUSD CVA'!$AM42</f>
        <v>313.91386533817797</v>
      </c>
      <c r="AY42" s="9">
        <v>437.54</v>
      </c>
      <c r="AZ42" s="9">
        <f t="shared" ca="1" si="6"/>
        <v>0</v>
      </c>
      <c r="BC42" s="106" t="s">
        <v>1159</v>
      </c>
    </row>
    <row r="43" spans="1:55" ht="11.25" customHeight="1" x14ac:dyDescent="0.25">
      <c r="A43" s="166"/>
      <c r="B43" s="166"/>
      <c r="C43" s="166"/>
      <c r="D43" s="100" t="s">
        <v>95</v>
      </c>
      <c r="E43" s="100" t="s">
        <v>25</v>
      </c>
      <c r="F43" s="100" t="s">
        <v>25</v>
      </c>
      <c r="G43" s="57" t="s">
        <v>82</v>
      </c>
      <c r="H43" s="57" t="s">
        <v>78</v>
      </c>
      <c r="I43" s="57">
        <f>'MERCADO TUSD'!$U$40</f>
        <v>0</v>
      </c>
      <c r="J43" s="16"/>
      <c r="L43" s="17">
        <f>'TUSD BE'!$L$43*'TUSD BE'!$L$58</f>
        <v>-0.61365231628134631</v>
      </c>
      <c r="M43" s="17">
        <f>'TUSD BE'!$M$43*'TUSD BE'!$M$58</f>
        <v>-4.3268773577844089E-2</v>
      </c>
      <c r="N43" s="17">
        <f ca="1">'TUSD BE'!$N$43*'TUSD BE'!$N$58</f>
        <v>-9.1892996678294415E-8</v>
      </c>
      <c r="O43" s="17">
        <f>'TUSD BE'!$O$43*'TUSD BE'!$O$58</f>
        <v>0</v>
      </c>
      <c r="P43" s="17">
        <f>'TUSD BE'!$P$43*'TUSD BE'!$P$58</f>
        <v>0</v>
      </c>
      <c r="Q43" s="17">
        <f>'TUSD BE'!$Q$43*'TUSD BE'!$Q$58</f>
        <v>-3.3122159342143132</v>
      </c>
      <c r="R43" s="17">
        <f>'TUSD BE'!$R$43*'TUSD BE'!$R$58</f>
        <v>-0.5290859729511026</v>
      </c>
      <c r="S43" s="17">
        <f>'TUSD BE'!$R$43*'TUSD BE'!$S$58</f>
        <v>0</v>
      </c>
      <c r="T43" s="17">
        <f ca="1">SUM($L$43:$S$43)</f>
        <v>-4.4982230889176034</v>
      </c>
      <c r="U43" s="17">
        <f>'TUSD BE'!$U$43*'TUSD BE'!$U$58</f>
        <v>-0.94015672899436853</v>
      </c>
      <c r="V43" s="17">
        <f>'TUSD BE'!$V$43*'TUSD BE'!$V$58</f>
        <v>-0.65262239418667467</v>
      </c>
      <c r="W43" s="17">
        <f>'TUSD BE'!$W$43*'TUSD BE'!$W$58</f>
        <v>-6.5935637360388571E-2</v>
      </c>
      <c r="X43" s="17">
        <f>'TUSD BE'!$X$43*'TUSD BE'!$X$58</f>
        <v>0</v>
      </c>
      <c r="Y43" s="17">
        <f>'TUSD BE'!$Y$43*'TUSD BE'!$Y$58</f>
        <v>0</v>
      </c>
      <c r="Z43" s="17">
        <f>'TUSD BE'!$Z$43*'TUSD BE'!$Z$58</f>
        <v>0</v>
      </c>
      <c r="AA43" s="17">
        <f>'TUSD BE'!$AA$43*'TUSD BE'!$AA$58</f>
        <v>0</v>
      </c>
      <c r="AB43" s="17">
        <f>SUM($U$43:$AA$43)</f>
        <v>-1.6587147605414319</v>
      </c>
      <c r="AC43" s="17">
        <f>'TUSD BE'!$AC$43*'TUSD BE'!$AC$58</f>
        <v>-3.1974069350688032</v>
      </c>
      <c r="AD43" s="17">
        <f>SUM($AC$43:$AC$43)</f>
        <v>-3.1974069350688032</v>
      </c>
      <c r="AE43" s="17">
        <f ca="1">$AO$43*$AO$55</f>
        <v>-65.352761649010233</v>
      </c>
      <c r="AF43" s="17">
        <f ca="1">$AP$43*$AP$55</f>
        <v>0</v>
      </c>
      <c r="AG43" s="17">
        <f ca="1">SUM($AE$43:$AF$43)</f>
        <v>-65.352761649010233</v>
      </c>
      <c r="AH43" s="17">
        <f>'TUSD BE'!$AH$43*'TUSD BE'!$AH$58</f>
        <v>7.3955910194548197E-2</v>
      </c>
      <c r="AI43" s="17">
        <f>'TUSD BE'!$AI$43*'TUSD BE'!$AI$58</f>
        <v>0</v>
      </c>
      <c r="AJ43" s="17">
        <f ca="1">'TUSD BE'!$AJ$43*'TUSD BE'!$AJ$58</f>
        <v>2.661359623736446E-3</v>
      </c>
      <c r="AK43" s="17">
        <f ca="1">'TUSD BE'!$AK$43*'TUSD BE'!$AK$58</f>
        <v>0.14104218800210214</v>
      </c>
      <c r="AL43" s="17">
        <f ca="1">SUM($AH$43:$AK$43)</f>
        <v>0.21765945782038676</v>
      </c>
      <c r="AM43" s="17">
        <f ca="1">SUMIF($L$4:$AL$4,"SUBTOTAL",$L$43:$AL$43)+AZ43</f>
        <v>-74.489446975717684</v>
      </c>
      <c r="AO43" s="64">
        <f ca="1">+'TUSD BE'!$T$43+'TUSD BE'!$AB$43+'TUSD BE'!$AD$43+'TUSD BE'!$AL$43</f>
        <v>365.15363194092691</v>
      </c>
      <c r="AP43" s="64">
        <f ca="1">+'TUSD BE'!$T$43+'TUSD BE'!$AB$43+'TUSD BE'!$AD$43+'TUSD BE'!$AL$43</f>
        <v>365.15363194092691</v>
      </c>
      <c r="AQ43" s="9" t="str">
        <f t="shared" si="0"/>
        <v>B2</v>
      </c>
      <c r="AR43" s="9" t="str">
        <f t="shared" si="1"/>
        <v>Convencional pré-pagamento</v>
      </c>
      <c r="AS43" s="9" t="str">
        <f t="shared" si="2"/>
        <v>Rural</v>
      </c>
      <c r="AT43" s="9" t="str">
        <f t="shared" si="3"/>
        <v>Cooperativa de eletrificação rural</v>
      </c>
      <c r="AU43" s="9" t="str">
        <f t="shared" si="4"/>
        <v>Não se aplica</v>
      </c>
      <c r="AV43" s="9">
        <f t="shared" si="5"/>
        <v>1</v>
      </c>
      <c r="AW43" s="9">
        <f ca="1">TarifaMedia!$G$20</f>
        <v>0</v>
      </c>
      <c r="AX43" s="16">
        <f ca="1">'TUSD BE'!$AM43+'TUSD BF'!$AM43+'TUSD CVA'!$AM43</f>
        <v>313.91386533817797</v>
      </c>
      <c r="AY43" s="9">
        <v>437.54</v>
      </c>
      <c r="AZ43" s="9">
        <f t="shared" ca="1" si="6"/>
        <v>0</v>
      </c>
      <c r="BC43" s="106" t="s">
        <v>1159</v>
      </c>
    </row>
    <row r="44" spans="1:55" ht="11.25" customHeight="1" x14ac:dyDescent="0.25">
      <c r="A44" s="166"/>
      <c r="B44" s="166"/>
      <c r="C44" s="166"/>
      <c r="D44" s="100" t="s">
        <v>96</v>
      </c>
      <c r="E44" s="100" t="s">
        <v>25</v>
      </c>
      <c r="F44" s="100" t="s">
        <v>25</v>
      </c>
      <c r="G44" s="57" t="s">
        <v>82</v>
      </c>
      <c r="H44" s="57" t="s">
        <v>78</v>
      </c>
      <c r="I44" s="57">
        <f>'MERCADO TUSD'!$U$41</f>
        <v>0</v>
      </c>
      <c r="J44" s="16"/>
      <c r="L44" s="17">
        <f>'TUSD BE'!$L$44*'TUSD BE'!$L$58</f>
        <v>-0.61365231628134631</v>
      </c>
      <c r="M44" s="17">
        <f>'TUSD BE'!$M$44*'TUSD BE'!$M$58</f>
        <v>-4.3268773577844089E-2</v>
      </c>
      <c r="N44" s="17">
        <f ca="1">'TUSD BE'!$N$44*'TUSD BE'!$N$58</f>
        <v>-9.1892996678294415E-8</v>
      </c>
      <c r="O44" s="17">
        <f>'TUSD BE'!$O$44*'TUSD BE'!$O$58</f>
        <v>0</v>
      </c>
      <c r="P44" s="17">
        <f>'TUSD BE'!$P$44*'TUSD BE'!$P$58</f>
        <v>0</v>
      </c>
      <c r="Q44" s="17">
        <f>'TUSD BE'!$Q$44*'TUSD BE'!$Q$58</f>
        <v>-3.3122159342143132</v>
      </c>
      <c r="R44" s="17">
        <f>'TUSD BE'!$R$44*'TUSD BE'!$R$58</f>
        <v>-0.5290859729511026</v>
      </c>
      <c r="S44" s="17">
        <f>'TUSD BE'!$R$44*'TUSD BE'!$S$58</f>
        <v>0</v>
      </c>
      <c r="T44" s="17">
        <f ca="1">SUM($L$44:$S$44)</f>
        <v>-4.4982230889176034</v>
      </c>
      <c r="U44" s="17">
        <f>'TUSD BE'!$U$44*'TUSD BE'!$U$58</f>
        <v>-0.94015672899436853</v>
      </c>
      <c r="V44" s="17">
        <f>'TUSD BE'!$V$44*'TUSD BE'!$V$58</f>
        <v>-0.65262239418667467</v>
      </c>
      <c r="W44" s="17">
        <f>'TUSD BE'!$W$44*'TUSD BE'!$W$58</f>
        <v>-6.5935637360388571E-2</v>
      </c>
      <c r="X44" s="17">
        <f>'TUSD BE'!$X$44*'TUSD BE'!$X$58</f>
        <v>0</v>
      </c>
      <c r="Y44" s="17">
        <f>'TUSD BE'!$Y$44*'TUSD BE'!$Y$58</f>
        <v>0</v>
      </c>
      <c r="Z44" s="17">
        <f>'TUSD BE'!$Z$44*'TUSD BE'!$Z$58</f>
        <v>0</v>
      </c>
      <c r="AA44" s="17">
        <f>'TUSD BE'!$AA$44*'TUSD BE'!$AA$58</f>
        <v>0</v>
      </c>
      <c r="AB44" s="17">
        <f>SUM($U$44:$AA$44)</f>
        <v>-1.6587147605414319</v>
      </c>
      <c r="AC44" s="17">
        <f>'TUSD BE'!$AC$44*'TUSD BE'!$AC$58</f>
        <v>-3.1974069350688032</v>
      </c>
      <c r="AD44" s="17">
        <f>SUM($AC$44:$AC$44)</f>
        <v>-3.1974069350688032</v>
      </c>
      <c r="AE44" s="17">
        <f ca="1">$AO$44*$AO$55</f>
        <v>-65.352761649010233</v>
      </c>
      <c r="AF44" s="17">
        <f ca="1">$AP$44*$AP$55</f>
        <v>0</v>
      </c>
      <c r="AG44" s="17">
        <f ca="1">SUM($AE$44:$AF$44)</f>
        <v>-65.352761649010233</v>
      </c>
      <c r="AH44" s="17">
        <f>'TUSD BE'!$AH$44*'TUSD BE'!$AH$58</f>
        <v>7.3955910194548197E-2</v>
      </c>
      <c r="AI44" s="17">
        <f>'TUSD BE'!$AI$44*'TUSD BE'!$AI$58</f>
        <v>0</v>
      </c>
      <c r="AJ44" s="17">
        <f ca="1">'TUSD BE'!$AJ$44*'TUSD BE'!$AJ$58</f>
        <v>2.661359623736446E-3</v>
      </c>
      <c r="AK44" s="17">
        <f ca="1">'TUSD BE'!$AK$44*'TUSD BE'!$AK$58</f>
        <v>0.14104218800210214</v>
      </c>
      <c r="AL44" s="17">
        <f ca="1">SUM($AH$44:$AK$44)</f>
        <v>0.21765945782038676</v>
      </c>
      <c r="AM44" s="17">
        <f ca="1">SUMIF($L$4:$AL$4,"SUBTOTAL",$L$44:$AL$44)+AZ44</f>
        <v>-74.489446975717684</v>
      </c>
      <c r="AO44" s="64">
        <f ca="1">+'TUSD BE'!$T$44+'TUSD BE'!$AB$44+'TUSD BE'!$AD$44+'TUSD BE'!$AL$44</f>
        <v>365.15363194092691</v>
      </c>
      <c r="AP44" s="64">
        <f ca="1">+'TUSD BE'!$T$44+'TUSD BE'!$AB$44+'TUSD BE'!$AD$44+'TUSD BE'!$AL$44</f>
        <v>365.15363194092691</v>
      </c>
      <c r="AQ44" s="9" t="str">
        <f t="shared" si="0"/>
        <v>B2</v>
      </c>
      <c r="AR44" s="9" t="str">
        <f t="shared" si="1"/>
        <v>Convencional pré-pagamento</v>
      </c>
      <c r="AS44" s="9" t="str">
        <f t="shared" si="2"/>
        <v>Rural</v>
      </c>
      <c r="AT44" s="9" t="str">
        <f t="shared" si="3"/>
        <v>Serviço público de irrigação rural</v>
      </c>
      <c r="AU44" s="9" t="str">
        <f t="shared" si="4"/>
        <v>Não se aplica</v>
      </c>
      <c r="AV44" s="9">
        <f t="shared" si="5"/>
        <v>1</v>
      </c>
      <c r="AW44" s="9">
        <f ca="1">TarifaMedia!$G$20</f>
        <v>0</v>
      </c>
      <c r="AX44" s="16">
        <f ca="1">'TUSD BE'!$AM44+'TUSD BF'!$AM44+'TUSD CVA'!$AM44</f>
        <v>313.91386533817797</v>
      </c>
      <c r="AY44" s="9">
        <v>437.54</v>
      </c>
      <c r="AZ44" s="9">
        <f t="shared" ca="1" si="6"/>
        <v>0</v>
      </c>
      <c r="BC44" s="106" t="s">
        <v>1159</v>
      </c>
    </row>
    <row r="45" spans="1:55" ht="11.25" customHeight="1" x14ac:dyDescent="0.25">
      <c r="A45" s="166" t="s">
        <v>36</v>
      </c>
      <c r="B45" s="166" t="s">
        <v>32</v>
      </c>
      <c r="C45" s="166" t="s">
        <v>25</v>
      </c>
      <c r="D45" s="166" t="s">
        <v>25</v>
      </c>
      <c r="E45" s="166" t="s">
        <v>25</v>
      </c>
      <c r="F45" s="166" t="s">
        <v>25</v>
      </c>
      <c r="G45" s="57" t="s">
        <v>79</v>
      </c>
      <c r="H45" s="57" t="s">
        <v>78</v>
      </c>
      <c r="I45" s="57">
        <f>'MERCADO TUSD'!$U$42</f>
        <v>1.1140000000000001</v>
      </c>
      <c r="J45" s="16"/>
      <c r="L45" s="17">
        <f>'TUSD BE'!$L$45*'TUSD BE'!$L$58</f>
        <v>-0.61365231628134631</v>
      </c>
      <c r="M45" s="17">
        <f>'TUSD BE'!$M$45*'TUSD BE'!$M$58</f>
        <v>-4.3268773577844089E-2</v>
      </c>
      <c r="N45" s="17">
        <f ca="1">'TUSD BE'!$N$45*'TUSD BE'!$N$58</f>
        <v>-2.9751609666022772E-7</v>
      </c>
      <c r="O45" s="17">
        <f>'TUSD BE'!$O$45*'TUSD BE'!$O$58</f>
        <v>0</v>
      </c>
      <c r="P45" s="17">
        <f>'TUSD BE'!$P$45*'TUSD BE'!$P$58</f>
        <v>0</v>
      </c>
      <c r="Q45" s="17">
        <f>'TUSD BE'!$Q$45*'TUSD BE'!$Q$58</f>
        <v>-3.3122159342143132</v>
      </c>
      <c r="R45" s="17">
        <f>'TUSD BE'!$R$45*'TUSD BE'!$R$58</f>
        <v>-0.5290859729511026</v>
      </c>
      <c r="S45" s="17">
        <f>'TUSD BE'!$R$45*'TUSD BE'!$S$58</f>
        <v>0</v>
      </c>
      <c r="T45" s="17">
        <f ca="1">SUM($L$45:$S$45)</f>
        <v>-4.4982232945407024</v>
      </c>
      <c r="U45" s="17">
        <f>'TUSD BE'!$U$45*'TUSD BE'!$U$58</f>
        <v>-3.4785863481335175</v>
      </c>
      <c r="V45" s="17">
        <f>'TUSD BE'!$V$45*'TUSD BE'!$V$58</f>
        <v>-2.4147015676942232</v>
      </c>
      <c r="W45" s="17">
        <f>'TUSD BE'!$W$45*'TUSD BE'!$W$58</f>
        <v>-0.24396128050946192</v>
      </c>
      <c r="X45" s="17">
        <f>'TUSD BE'!$X$45*'TUSD BE'!$X$58</f>
        <v>0</v>
      </c>
      <c r="Y45" s="17">
        <f>'TUSD BE'!$Y$45*'TUSD BE'!$Y$58</f>
        <v>0</v>
      </c>
      <c r="Z45" s="17">
        <f>'TUSD BE'!$Z$45*'TUSD BE'!$Z$58</f>
        <v>0</v>
      </c>
      <c r="AA45" s="17">
        <f>'TUSD BE'!$AA$45*'TUSD BE'!$AA$58</f>
        <v>0</v>
      </c>
      <c r="AB45" s="17">
        <f>SUM($U$45:$AA$45)</f>
        <v>-6.1372491963372022</v>
      </c>
      <c r="AC45" s="17">
        <f>'TUSD BE'!$AC$45*'TUSD BE'!$AC$58</f>
        <v>-11.830403774035185</v>
      </c>
      <c r="AD45" s="17">
        <f>SUM($AC$45:$AC$45)</f>
        <v>-11.830403774035185</v>
      </c>
      <c r="AE45" s="17">
        <f ca="1">$AO$45*$AO$55</f>
        <v>-178.34837721179397</v>
      </c>
      <c r="AF45" s="17">
        <f ca="1">$AP$45*$AP$55</f>
        <v>0</v>
      </c>
      <c r="AG45" s="17">
        <f ca="1">SUM($AE$45:$AF$45)</f>
        <v>-178.34837721179397</v>
      </c>
      <c r="AH45" s="17">
        <f>'TUSD BE'!$AH$45*'TUSD BE'!$AH$58</f>
        <v>7.3955910194548197E-2</v>
      </c>
      <c r="AI45" s="17">
        <f>'TUSD BE'!$AI$45*'TUSD BE'!$AI$58</f>
        <v>0</v>
      </c>
      <c r="AJ45" s="17">
        <f ca="1">'TUSD BE'!$AJ$45*'TUSD BE'!$AJ$58</f>
        <v>2.661359623736446E-3</v>
      </c>
      <c r="AK45" s="17">
        <f ca="1">'TUSD BE'!$AK$45*'TUSD BE'!$AK$58</f>
        <v>0.14104218800210214</v>
      </c>
      <c r="AL45" s="17">
        <f ca="1">SUM($AH$45:$AK$45)</f>
        <v>0.21765945782038676</v>
      </c>
      <c r="AM45" s="17">
        <f ca="1">SUMIF($L$4:$AL$4,"SUBTOTAL",$L$45:$AL$45)+AZ45</f>
        <v>-200.59659401888666</v>
      </c>
      <c r="AO45" s="64">
        <f ca="1">+'TUSD BE'!$T$45+'TUSD BE'!$AB$45+'TUSD BE'!$AD$45+'TUSD BE'!$AL$45</f>
        <v>996.50812064257013</v>
      </c>
      <c r="AP45" s="64">
        <f ca="1">+'TUSD BE'!$T$45+'TUSD BE'!$AB$45+'TUSD BE'!$AD$45+'TUSD BE'!$AL$45</f>
        <v>996.50812064257013</v>
      </c>
      <c r="AQ45" s="9" t="str">
        <f t="shared" si="0"/>
        <v>B3</v>
      </c>
      <c r="AR45" s="9" t="str">
        <f t="shared" si="1"/>
        <v>Branca</v>
      </c>
      <c r="AS45" s="9" t="str">
        <f t="shared" si="2"/>
        <v>Não se aplica</v>
      </c>
      <c r="AT45" s="9" t="str">
        <f t="shared" si="3"/>
        <v>Não se aplica</v>
      </c>
      <c r="AU45" s="9" t="str">
        <f t="shared" si="4"/>
        <v>Não se aplica</v>
      </c>
      <c r="AV45" s="9">
        <f t="shared" si="5"/>
        <v>1</v>
      </c>
      <c r="AW45" s="9">
        <f ca="1">TarifaMedia!$G$20</f>
        <v>0</v>
      </c>
      <c r="AX45" s="16">
        <f ca="1">'TUSD BE'!$AM45+'TUSD BF'!$AM45+'TUSD CVA'!$AM45</f>
        <v>827.79811478243016</v>
      </c>
      <c r="AY45" s="9">
        <v>1015.56</v>
      </c>
      <c r="AZ45" s="9">
        <f t="shared" ca="1" si="6"/>
        <v>0</v>
      </c>
      <c r="BC45" s="106" t="s">
        <v>1166</v>
      </c>
    </row>
    <row r="46" spans="1:55" ht="11.25" customHeight="1" x14ac:dyDescent="0.25">
      <c r="A46" s="166"/>
      <c r="B46" s="166"/>
      <c r="C46" s="166"/>
      <c r="D46" s="166"/>
      <c r="E46" s="166"/>
      <c r="F46" s="166"/>
      <c r="G46" s="57" t="s">
        <v>92</v>
      </c>
      <c r="H46" s="57" t="s">
        <v>78</v>
      </c>
      <c r="I46" s="57">
        <f>'MERCADO TUSD'!$U$43</f>
        <v>0.48499999999999999</v>
      </c>
      <c r="J46" s="16"/>
      <c r="L46" s="17">
        <f>'TUSD BE'!$L$46*'TUSD BE'!$L$58</f>
        <v>-0.61365231628134631</v>
      </c>
      <c r="M46" s="17">
        <f>'TUSD BE'!$M$46*'TUSD BE'!$M$58</f>
        <v>-4.3268773577844089E-2</v>
      </c>
      <c r="N46" s="17">
        <f ca="1">'TUSD BE'!$N$46*'TUSD BE'!$N$58</f>
        <v>-7.209219238052741E-8</v>
      </c>
      <c r="O46" s="17">
        <f>'TUSD BE'!$O$46*'TUSD BE'!$O$58</f>
        <v>0</v>
      </c>
      <c r="P46" s="17">
        <f>'TUSD BE'!$P$46*'TUSD BE'!$P$58</f>
        <v>0</v>
      </c>
      <c r="Q46" s="17">
        <f>'TUSD BE'!$Q$46*'TUSD BE'!$Q$58</f>
        <v>-3.3122159342143132</v>
      </c>
      <c r="R46" s="17">
        <f>'TUSD BE'!$R$46*'TUSD BE'!$R$58</f>
        <v>-0.5290859729511026</v>
      </c>
      <c r="S46" s="17">
        <f>'TUSD BE'!$R$46*'TUSD BE'!$S$58</f>
        <v>0</v>
      </c>
      <c r="T46" s="17">
        <f ca="1">SUM($L$46:$S$46)</f>
        <v>-4.4982230691167988</v>
      </c>
      <c r="U46" s="17">
        <f>'TUSD BE'!$U$46*'TUSD BE'!$U$58</f>
        <v>-0.69571542652545959</v>
      </c>
      <c r="V46" s="17">
        <f>'TUSD BE'!$V$46*'TUSD BE'!$V$58</f>
        <v>-0.48293859247688037</v>
      </c>
      <c r="W46" s="17">
        <f>'TUSD BE'!$W$46*'TUSD BE'!$W$58</f>
        <v>-4.8791678377916564E-2</v>
      </c>
      <c r="X46" s="17">
        <f>'TUSD BE'!$X$46*'TUSD BE'!$X$58</f>
        <v>0</v>
      </c>
      <c r="Y46" s="17">
        <f>'TUSD BE'!$Y$46*'TUSD BE'!$Y$58</f>
        <v>0</v>
      </c>
      <c r="Z46" s="17">
        <f>'TUSD BE'!$Z$46*'TUSD BE'!$Z$58</f>
        <v>0</v>
      </c>
      <c r="AA46" s="17">
        <f>'TUSD BE'!$AA$46*'TUSD BE'!$AA$58</f>
        <v>0</v>
      </c>
      <c r="AB46" s="17">
        <f>SUM($U$46:$AA$46)</f>
        <v>-1.2274456973802566</v>
      </c>
      <c r="AC46" s="17">
        <f>'TUSD BE'!$AC$46*'TUSD BE'!$AC$58</f>
        <v>-2.3660800005192821</v>
      </c>
      <c r="AD46" s="17">
        <f>SUM($AC$46:$AC$46)</f>
        <v>-2.3660800005192821</v>
      </c>
      <c r="AE46" s="17">
        <f ca="1">$AO$46*$AO$55</f>
        <v>-54.471665917654775</v>
      </c>
      <c r="AF46" s="17">
        <f ca="1">$AP$46*$AP$55</f>
        <v>0</v>
      </c>
      <c r="AG46" s="17">
        <f ca="1">SUM($AE$46:$AF$46)</f>
        <v>-54.471665917654775</v>
      </c>
      <c r="AH46" s="17">
        <f>'TUSD BE'!$AH$46*'TUSD BE'!$AH$58</f>
        <v>7.3955910194548197E-2</v>
      </c>
      <c r="AI46" s="17">
        <f>'TUSD BE'!$AI$46*'TUSD BE'!$AI$58</f>
        <v>0</v>
      </c>
      <c r="AJ46" s="17">
        <f ca="1">'TUSD BE'!$AJ$46*'TUSD BE'!$AJ$58</f>
        <v>2.661359623736446E-3</v>
      </c>
      <c r="AK46" s="17">
        <f ca="1">'TUSD BE'!$AK$46*'TUSD BE'!$AK$58</f>
        <v>0.14104218800210214</v>
      </c>
      <c r="AL46" s="17">
        <f ca="1">SUM($AH$46:$AK$46)</f>
        <v>0.21765945782038676</v>
      </c>
      <c r="AM46" s="17">
        <f ca="1">SUMIF($L$4:$AL$4,"SUBTOTAL",$L$46:$AL$46)+AZ46</f>
        <v>-62.345755226850727</v>
      </c>
      <c r="AO46" s="64">
        <f ca="1">+'TUSD BE'!$T$46+'TUSD BE'!$AB$46+'TUSD BE'!$AD$46+'TUSD BE'!$AL$46</f>
        <v>304.35632933969038</v>
      </c>
      <c r="AP46" s="64">
        <f ca="1">+'TUSD BE'!$T$46+'TUSD BE'!$AB$46+'TUSD BE'!$AD$46+'TUSD BE'!$AL$46</f>
        <v>304.35632933969038</v>
      </c>
      <c r="AQ46" s="9" t="str">
        <f t="shared" si="0"/>
        <v>B3</v>
      </c>
      <c r="AR46" s="9" t="str">
        <f t="shared" si="1"/>
        <v>Branca</v>
      </c>
      <c r="AS46" s="9" t="str">
        <f t="shared" si="2"/>
        <v>Não se aplica</v>
      </c>
      <c r="AT46" s="9" t="str">
        <f t="shared" si="3"/>
        <v>Não se aplica</v>
      </c>
      <c r="AU46" s="9" t="str">
        <f t="shared" si="4"/>
        <v>Não se aplica</v>
      </c>
      <c r="AV46" s="9">
        <f t="shared" si="5"/>
        <v>1</v>
      </c>
      <c r="AW46" s="9">
        <f ca="1">TarifaMedia!$G$20</f>
        <v>0</v>
      </c>
      <c r="AX46" s="16">
        <f ca="1">'TUSD BE'!$AM46+'TUSD BF'!$AM46+'TUSD CVA'!$AM46</f>
        <v>264.42854767967623</v>
      </c>
      <c r="AY46" s="9">
        <v>668.75</v>
      </c>
      <c r="AZ46" s="9">
        <f t="shared" ca="1" si="6"/>
        <v>0</v>
      </c>
      <c r="BC46" s="106" t="s">
        <v>1167</v>
      </c>
    </row>
    <row r="47" spans="1:55" ht="11.25" customHeight="1" x14ac:dyDescent="0.25">
      <c r="A47" s="166"/>
      <c r="B47" s="166"/>
      <c r="C47" s="166"/>
      <c r="D47" s="166"/>
      <c r="E47" s="166"/>
      <c r="F47" s="166"/>
      <c r="G47" s="57" t="s">
        <v>80</v>
      </c>
      <c r="H47" s="57" t="s">
        <v>78</v>
      </c>
      <c r="I47" s="57">
        <f>'MERCADO TUSD'!$U$44</f>
        <v>6.2670000000000003</v>
      </c>
      <c r="J47" s="16"/>
      <c r="L47" s="17">
        <f>'TUSD BE'!$L$47*'TUSD BE'!$L$58</f>
        <v>-0.61365231628134631</v>
      </c>
      <c r="M47" s="17">
        <f>'TUSD BE'!$M$47*'TUSD BE'!$M$58</f>
        <v>-4.3268773577844089E-2</v>
      </c>
      <c r="N47" s="17">
        <f ca="1">'TUSD BE'!$N$47*'TUSD BE'!$N$58</f>
        <v>-7.209219238052741E-8</v>
      </c>
      <c r="O47" s="17">
        <f>'TUSD BE'!$O$47*'TUSD BE'!$O$58</f>
        <v>0</v>
      </c>
      <c r="P47" s="17">
        <f>'TUSD BE'!$P$47*'TUSD BE'!$P$58</f>
        <v>0</v>
      </c>
      <c r="Q47" s="17">
        <f>'TUSD BE'!$Q$47*'TUSD BE'!$Q$58</f>
        <v>-3.3122159342143132</v>
      </c>
      <c r="R47" s="17">
        <f>'TUSD BE'!$R$47*'TUSD BE'!$R$58</f>
        <v>-0.5290859729511026</v>
      </c>
      <c r="S47" s="17">
        <f>'TUSD BE'!$R$47*'TUSD BE'!$S$58</f>
        <v>0</v>
      </c>
      <c r="T47" s="17">
        <f ca="1">SUM($L$47:$S$47)</f>
        <v>-4.4982230691167988</v>
      </c>
      <c r="U47" s="17">
        <f>'TUSD BE'!$U$47*'TUSD BE'!$U$58</f>
        <v>-0.69571542652545959</v>
      </c>
      <c r="V47" s="17">
        <f>'TUSD BE'!$V$47*'TUSD BE'!$V$58</f>
        <v>-0.48293859247688037</v>
      </c>
      <c r="W47" s="17">
        <f>'TUSD BE'!$W$47*'TUSD BE'!$W$58</f>
        <v>-4.8791678377916564E-2</v>
      </c>
      <c r="X47" s="17">
        <f>'TUSD BE'!$X$47*'TUSD BE'!$X$58</f>
        <v>0</v>
      </c>
      <c r="Y47" s="17">
        <f>'TUSD BE'!$Y$47*'TUSD BE'!$Y$58</f>
        <v>0</v>
      </c>
      <c r="Z47" s="17">
        <f>'TUSD BE'!$Z$47*'TUSD BE'!$Z$58</f>
        <v>0</v>
      </c>
      <c r="AA47" s="17">
        <f>'TUSD BE'!$AA$47*'TUSD BE'!$AA$58</f>
        <v>0</v>
      </c>
      <c r="AB47" s="17">
        <f>SUM($U$47:$AA$47)</f>
        <v>-1.2274456973802566</v>
      </c>
      <c r="AC47" s="17">
        <f>'TUSD BE'!$AC$47*'TUSD BE'!$AC$58</f>
        <v>-2.3660800005192821</v>
      </c>
      <c r="AD47" s="17">
        <f>SUM($AC$47:$AC$47)</f>
        <v>-2.3660800005192821</v>
      </c>
      <c r="AE47" s="17">
        <f ca="1">$AO$47*$AO$55</f>
        <v>-54.471665917654775</v>
      </c>
      <c r="AF47" s="17">
        <f ca="1">$AP$47*$AP$55</f>
        <v>0</v>
      </c>
      <c r="AG47" s="17">
        <f ca="1">SUM($AE$47:$AF$47)</f>
        <v>-54.471665917654775</v>
      </c>
      <c r="AH47" s="17">
        <f>'TUSD BE'!$AH$47*'TUSD BE'!$AH$58</f>
        <v>7.3955910194548197E-2</v>
      </c>
      <c r="AI47" s="17">
        <f>'TUSD BE'!$AI$47*'TUSD BE'!$AI$58</f>
        <v>0</v>
      </c>
      <c r="AJ47" s="17">
        <f ca="1">'TUSD BE'!$AJ$47*'TUSD BE'!$AJ$58</f>
        <v>2.661359623736446E-3</v>
      </c>
      <c r="AK47" s="17">
        <f ca="1">'TUSD BE'!$AK$47*'TUSD BE'!$AK$58</f>
        <v>0.14104218800210214</v>
      </c>
      <c r="AL47" s="17">
        <f ca="1">SUM($AH$47:$AK$47)</f>
        <v>0.21765945782038676</v>
      </c>
      <c r="AM47" s="17">
        <f ca="1">SUMIF($L$4:$AL$4,"SUBTOTAL",$L$47:$AL$47)+AZ47</f>
        <v>-62.345755226850727</v>
      </c>
      <c r="AO47" s="64">
        <f ca="1">+'TUSD BE'!$T$47+'TUSD BE'!$AB$47+'TUSD BE'!$AD$47+'TUSD BE'!$AL$47</f>
        <v>304.35632933969038</v>
      </c>
      <c r="AP47" s="64">
        <f ca="1">+'TUSD BE'!$T$47+'TUSD BE'!$AB$47+'TUSD BE'!$AD$47+'TUSD BE'!$AL$47</f>
        <v>304.35632933969038</v>
      </c>
      <c r="AQ47" s="9" t="str">
        <f t="shared" si="0"/>
        <v>B3</v>
      </c>
      <c r="AR47" s="9" t="str">
        <f t="shared" si="1"/>
        <v>Branca</v>
      </c>
      <c r="AS47" s="9" t="str">
        <f t="shared" si="2"/>
        <v>Não se aplica</v>
      </c>
      <c r="AT47" s="9" t="str">
        <f t="shared" si="3"/>
        <v>Não se aplica</v>
      </c>
      <c r="AU47" s="9" t="str">
        <f t="shared" si="4"/>
        <v>Não se aplica</v>
      </c>
      <c r="AV47" s="9">
        <f t="shared" si="5"/>
        <v>1</v>
      </c>
      <c r="AW47" s="9">
        <f ca="1">TarifaMedia!$G$20</f>
        <v>0</v>
      </c>
      <c r="AX47" s="16">
        <f ca="1">'TUSD BE'!$AM47+'TUSD BF'!$AM47+'TUSD CVA'!$AM47</f>
        <v>264.42854767967623</v>
      </c>
      <c r="AY47" s="9">
        <v>321.94</v>
      </c>
      <c r="AZ47" s="9">
        <f t="shared" ca="1" si="6"/>
        <v>0</v>
      </c>
      <c r="BC47" s="106" t="s">
        <v>1168</v>
      </c>
    </row>
    <row r="48" spans="1:55" ht="11.25" customHeight="1" x14ac:dyDescent="0.25">
      <c r="A48" s="166"/>
      <c r="B48" s="100" t="s">
        <v>23</v>
      </c>
      <c r="C48" s="100" t="s">
        <v>25</v>
      </c>
      <c r="D48" s="100" t="s">
        <v>25</v>
      </c>
      <c r="E48" s="100" t="s">
        <v>25</v>
      </c>
      <c r="F48" s="100" t="s">
        <v>25</v>
      </c>
      <c r="G48" s="57" t="s">
        <v>82</v>
      </c>
      <c r="H48" s="57" t="s">
        <v>78</v>
      </c>
      <c r="I48" s="57">
        <f>'MERCADO TUSD'!$U$45</f>
        <v>13646.102000000001</v>
      </c>
      <c r="J48" s="16"/>
      <c r="L48" s="17">
        <f>'TUSD BE'!$L$48*'TUSD BE'!$L$58</f>
        <v>-0.61365231628134631</v>
      </c>
      <c r="M48" s="17">
        <f>'TUSD BE'!$M$48*'TUSD BE'!$M$58</f>
        <v>-4.3268773577844089E-2</v>
      </c>
      <c r="N48" s="17">
        <f ca="1">'TUSD BE'!$N$48*'TUSD BE'!$N$58</f>
        <v>-9.1892996678294415E-8</v>
      </c>
      <c r="O48" s="17">
        <f>'TUSD BE'!$O$48*'TUSD BE'!$O$58</f>
        <v>0</v>
      </c>
      <c r="P48" s="17">
        <f>'TUSD BE'!$P$48*'TUSD BE'!$P$58</f>
        <v>0</v>
      </c>
      <c r="Q48" s="17">
        <f>'TUSD BE'!$Q$48*'TUSD BE'!$Q$58</f>
        <v>-3.3122159342143132</v>
      </c>
      <c r="R48" s="17">
        <f>'TUSD BE'!$R$48*'TUSD BE'!$R$58</f>
        <v>-0.5290859729511026</v>
      </c>
      <c r="S48" s="17">
        <f>'TUSD BE'!$R$48*'TUSD BE'!$S$58</f>
        <v>0</v>
      </c>
      <c r="T48" s="17">
        <f ca="1">SUM($L$48:$S$48)</f>
        <v>-4.4982230889176034</v>
      </c>
      <c r="U48" s="17">
        <f>'TUSD BE'!$U$48*'TUSD BE'!$U$58</f>
        <v>-0.94015672899436853</v>
      </c>
      <c r="V48" s="17">
        <f>'TUSD BE'!$V$48*'TUSD BE'!$V$58</f>
        <v>-0.65262239418667467</v>
      </c>
      <c r="W48" s="17">
        <f>'TUSD BE'!$W$48*'TUSD BE'!$W$58</f>
        <v>-6.5935637360388571E-2</v>
      </c>
      <c r="X48" s="17">
        <f>'TUSD BE'!$X$48*'TUSD BE'!$X$58</f>
        <v>0</v>
      </c>
      <c r="Y48" s="17">
        <f>'TUSD BE'!$Y$48*'TUSD BE'!$Y$58</f>
        <v>0</v>
      </c>
      <c r="Z48" s="17">
        <f>'TUSD BE'!$Z$48*'TUSD BE'!$Z$58</f>
        <v>0</v>
      </c>
      <c r="AA48" s="17">
        <f>'TUSD BE'!$AA$48*'TUSD BE'!$AA$58</f>
        <v>0</v>
      </c>
      <c r="AB48" s="17">
        <f>SUM($U$48:$AA$48)</f>
        <v>-1.6587147605414319</v>
      </c>
      <c r="AC48" s="17">
        <f>'TUSD BE'!$AC$48*'TUSD BE'!$AC$58</f>
        <v>-3.1974069350688032</v>
      </c>
      <c r="AD48" s="17">
        <f>SUM($AC$48:$AC$48)</f>
        <v>-3.1974069350688032</v>
      </c>
      <c r="AE48" s="17">
        <f ca="1">$AO$48*$AO$55</f>
        <v>-65.352761649010233</v>
      </c>
      <c r="AF48" s="17">
        <f ca="1">$AP$48*$AP$55</f>
        <v>0</v>
      </c>
      <c r="AG48" s="17">
        <f ca="1">SUM($AE$48:$AF$48)</f>
        <v>-65.352761649010233</v>
      </c>
      <c r="AH48" s="17">
        <f>'TUSD BE'!$AH$48*'TUSD BE'!$AH$58</f>
        <v>7.3955910194548197E-2</v>
      </c>
      <c r="AI48" s="17">
        <f>'TUSD BE'!$AI$48*'TUSD BE'!$AI$58</f>
        <v>0</v>
      </c>
      <c r="AJ48" s="17">
        <f ca="1">'TUSD BE'!$AJ$48*'TUSD BE'!$AJ$58</f>
        <v>2.661359623736446E-3</v>
      </c>
      <c r="AK48" s="17">
        <f ca="1">'TUSD BE'!$AK$48*'TUSD BE'!$AK$58</f>
        <v>0.14104218800210214</v>
      </c>
      <c r="AL48" s="17">
        <f ca="1">SUM($AH$48:$AK$48)</f>
        <v>0.21765945782038676</v>
      </c>
      <c r="AM48" s="17">
        <f ca="1">SUMIF($L$4:$AL$4,"SUBTOTAL",$L$48:$AL$48)+AZ48</f>
        <v>-74.489446975717684</v>
      </c>
      <c r="AO48" s="64">
        <f ca="1">+'TUSD BE'!$T$48+'TUSD BE'!$AB$48+'TUSD BE'!$AD$48+'TUSD BE'!$AL$48</f>
        <v>365.15363194092691</v>
      </c>
      <c r="AP48" s="64">
        <f ca="1">+'TUSD BE'!$T$48+'TUSD BE'!$AB$48+'TUSD BE'!$AD$48+'TUSD BE'!$AL$48</f>
        <v>365.15363194092691</v>
      </c>
      <c r="AQ48" s="9" t="str">
        <f t="shared" si="0"/>
        <v>B3</v>
      </c>
      <c r="AR48" s="9" t="str">
        <f t="shared" si="1"/>
        <v>Convencional</v>
      </c>
      <c r="AS48" s="9" t="str">
        <f t="shared" si="2"/>
        <v>Não se aplica</v>
      </c>
      <c r="AT48" s="9" t="str">
        <f t="shared" si="3"/>
        <v>Não se aplica</v>
      </c>
      <c r="AU48" s="9" t="str">
        <f t="shared" si="4"/>
        <v>Não se aplica</v>
      </c>
      <c r="AV48" s="9">
        <f t="shared" si="5"/>
        <v>1</v>
      </c>
      <c r="AW48" s="9">
        <f ca="1">TarifaMedia!$G$20</f>
        <v>0</v>
      </c>
      <c r="AX48" s="16">
        <f ca="1">'TUSD BE'!$AM48+'TUSD BF'!$AM48+'TUSD CVA'!$AM48</f>
        <v>313.91386533817797</v>
      </c>
      <c r="AY48" s="9">
        <v>437.54</v>
      </c>
      <c r="AZ48" s="9">
        <f t="shared" ca="1" si="6"/>
        <v>0</v>
      </c>
      <c r="BC48" s="106" t="s">
        <v>1169</v>
      </c>
    </row>
    <row r="49" spans="1:55" ht="11.25" customHeight="1" x14ac:dyDescent="0.25">
      <c r="A49" s="166"/>
      <c r="B49" s="100" t="s">
        <v>94</v>
      </c>
      <c r="C49" s="100" t="s">
        <v>25</v>
      </c>
      <c r="D49" s="100" t="s">
        <v>25</v>
      </c>
      <c r="E49" s="100" t="s">
        <v>25</v>
      </c>
      <c r="F49" s="100" t="s">
        <v>25</v>
      </c>
      <c r="G49" s="57" t="s">
        <v>82</v>
      </c>
      <c r="H49" s="57" t="s">
        <v>78</v>
      </c>
      <c r="I49" s="57">
        <f>'MERCADO TUSD'!$U$46</f>
        <v>0</v>
      </c>
      <c r="J49" s="16"/>
      <c r="L49" s="17">
        <f>'TUSD BE'!$L$49*'TUSD BE'!$L$58</f>
        <v>-0.61365231628134631</v>
      </c>
      <c r="M49" s="17">
        <f>'TUSD BE'!$M$49*'TUSD BE'!$M$58</f>
        <v>-4.3268773577844089E-2</v>
      </c>
      <c r="N49" s="17">
        <f ca="1">'TUSD BE'!$N$49*'TUSD BE'!$N$58</f>
        <v>-9.1892996678294415E-8</v>
      </c>
      <c r="O49" s="17">
        <f>'TUSD BE'!$O$49*'TUSD BE'!$O$58</f>
        <v>0</v>
      </c>
      <c r="P49" s="17">
        <f>'TUSD BE'!$P$49*'TUSD BE'!$P$58</f>
        <v>0</v>
      </c>
      <c r="Q49" s="17">
        <f>'TUSD BE'!$Q$49*'TUSD BE'!$Q$58</f>
        <v>-3.3122159342143132</v>
      </c>
      <c r="R49" s="17">
        <f>'TUSD BE'!$R$49*'TUSD BE'!$R$58</f>
        <v>-0.5290859729511026</v>
      </c>
      <c r="S49" s="17">
        <f>'TUSD BE'!$R$49*'TUSD BE'!$S$58</f>
        <v>0</v>
      </c>
      <c r="T49" s="17">
        <f ca="1">SUM($L$49:$S$49)</f>
        <v>-4.4982230889176034</v>
      </c>
      <c r="U49" s="17">
        <f>'TUSD BE'!$U$49*'TUSD BE'!$U$58</f>
        <v>-0.94015672899436853</v>
      </c>
      <c r="V49" s="17">
        <f>'TUSD BE'!$V$49*'TUSD BE'!$V$58</f>
        <v>-0.65262239418667467</v>
      </c>
      <c r="W49" s="17">
        <f>'TUSD BE'!$W$49*'TUSD BE'!$W$58</f>
        <v>-6.5935637360388571E-2</v>
      </c>
      <c r="X49" s="17">
        <f>'TUSD BE'!$X$49*'TUSD BE'!$X$58</f>
        <v>0</v>
      </c>
      <c r="Y49" s="17">
        <f>'TUSD BE'!$Y$49*'TUSD BE'!$Y$58</f>
        <v>0</v>
      </c>
      <c r="Z49" s="17">
        <f>'TUSD BE'!$Z$49*'TUSD BE'!$Z$58</f>
        <v>0</v>
      </c>
      <c r="AA49" s="17">
        <f>'TUSD BE'!$AA$49*'TUSD BE'!$AA$58</f>
        <v>0</v>
      </c>
      <c r="AB49" s="17">
        <f>SUM($U$49:$AA$49)</f>
        <v>-1.6587147605414319</v>
      </c>
      <c r="AC49" s="17">
        <f>'TUSD BE'!$AC$49*'TUSD BE'!$AC$58</f>
        <v>-3.1974069350688032</v>
      </c>
      <c r="AD49" s="17">
        <f>SUM($AC$49:$AC$49)</f>
        <v>-3.1974069350688032</v>
      </c>
      <c r="AE49" s="17">
        <f ca="1">$AO$49*$AO$55</f>
        <v>-65.352761649010233</v>
      </c>
      <c r="AF49" s="17">
        <f ca="1">$AP$49*$AP$55</f>
        <v>0</v>
      </c>
      <c r="AG49" s="17">
        <f ca="1">SUM($AE$49:$AF$49)</f>
        <v>-65.352761649010233</v>
      </c>
      <c r="AH49" s="17">
        <f>'TUSD BE'!$AH$49*'TUSD BE'!$AH$58</f>
        <v>7.3955910194548197E-2</v>
      </c>
      <c r="AI49" s="17">
        <f>'TUSD BE'!$AI$49*'TUSD BE'!$AI$58</f>
        <v>0</v>
      </c>
      <c r="AJ49" s="17">
        <f ca="1">'TUSD BE'!$AJ$49*'TUSD BE'!$AJ$58</f>
        <v>2.661359623736446E-3</v>
      </c>
      <c r="AK49" s="17">
        <f ca="1">'TUSD BE'!$AK$49*'TUSD BE'!$AK$58</f>
        <v>0.14104218800210214</v>
      </c>
      <c r="AL49" s="17">
        <f ca="1">SUM($AH$49:$AK$49)</f>
        <v>0.21765945782038676</v>
      </c>
      <c r="AM49" s="17">
        <f ca="1">SUMIF($L$4:$AL$4,"SUBTOTAL",$L$49:$AL$49)+AZ49</f>
        <v>-74.489446975717684</v>
      </c>
      <c r="AO49" s="64">
        <f ca="1">+'TUSD BE'!$T$49+'TUSD BE'!$AB$49+'TUSD BE'!$AD$49+'TUSD BE'!$AL$49</f>
        <v>365.15363194092691</v>
      </c>
      <c r="AP49" s="64">
        <f ca="1">+'TUSD BE'!$T$49+'TUSD BE'!$AB$49+'TUSD BE'!$AD$49+'TUSD BE'!$AL$49</f>
        <v>365.15363194092691</v>
      </c>
      <c r="AQ49" s="9" t="str">
        <f t="shared" si="0"/>
        <v>B3</v>
      </c>
      <c r="AR49" s="9" t="str">
        <f t="shared" si="1"/>
        <v>Convencional pré-pagamento</v>
      </c>
      <c r="AS49" s="9" t="str">
        <f t="shared" si="2"/>
        <v>Não se aplica</v>
      </c>
      <c r="AT49" s="9" t="str">
        <f t="shared" si="3"/>
        <v>Não se aplica</v>
      </c>
      <c r="AU49" s="9" t="str">
        <f t="shared" si="4"/>
        <v>Não se aplica</v>
      </c>
      <c r="AV49" s="9">
        <f t="shared" si="5"/>
        <v>1</v>
      </c>
      <c r="AW49" s="9">
        <f ca="1">TarifaMedia!$G$20</f>
        <v>0</v>
      </c>
      <c r="AX49" s="16">
        <f ca="1">'TUSD BE'!$AM49+'TUSD BF'!$AM49+'TUSD CVA'!$AM49</f>
        <v>313.91386533817797</v>
      </c>
      <c r="AY49" s="9">
        <v>437.54</v>
      </c>
      <c r="AZ49" s="9">
        <f t="shared" ca="1" si="6"/>
        <v>0</v>
      </c>
      <c r="BC49" s="106" t="s">
        <v>1170</v>
      </c>
    </row>
    <row r="50" spans="1:55" ht="11.25" customHeight="1" x14ac:dyDescent="0.25">
      <c r="A50" s="166" t="s">
        <v>45</v>
      </c>
      <c r="B50" s="166" t="s">
        <v>23</v>
      </c>
      <c r="C50" s="166" t="s">
        <v>46</v>
      </c>
      <c r="D50" s="100" t="s">
        <v>47</v>
      </c>
      <c r="E50" s="100" t="s">
        <v>25</v>
      </c>
      <c r="F50" s="100" t="s">
        <v>25</v>
      </c>
      <c r="G50" s="57" t="s">
        <v>82</v>
      </c>
      <c r="H50" s="57" t="s">
        <v>78</v>
      </c>
      <c r="I50" s="57">
        <f>'MERCADO TUSD'!$U$47</f>
        <v>4914.0960000000005</v>
      </c>
      <c r="J50" s="16"/>
      <c r="L50" s="17">
        <f>'TUSD BE'!$L$50*'TUSD BE'!$L$58</f>
        <v>-0.33750877395474049</v>
      </c>
      <c r="M50" s="17">
        <f>'TUSD BE'!$M$50*'TUSD BE'!$M$58</f>
        <v>-2.3797825467814251E-2</v>
      </c>
      <c r="N50" s="17">
        <f ca="1">'TUSD BE'!$N$50*'TUSD BE'!$N$58</f>
        <v>-5.054114817306193E-8</v>
      </c>
      <c r="O50" s="17">
        <f>'TUSD BE'!$O$50*'TUSD BE'!$O$58</f>
        <v>0</v>
      </c>
      <c r="P50" s="17">
        <f>'TUSD BE'!$P$50*'TUSD BE'!$P$58</f>
        <v>0</v>
      </c>
      <c r="Q50" s="17">
        <f>'TUSD BE'!$Q$50*'TUSD BE'!$Q$58</f>
        <v>-1.8217187638178725</v>
      </c>
      <c r="R50" s="17">
        <f>'TUSD BE'!$R$50*'TUSD BE'!$R$58</f>
        <v>-0.29099728512310646</v>
      </c>
      <c r="S50" s="17">
        <f>'TUSD BE'!$R$50*'TUSD BE'!$S$58</f>
        <v>0</v>
      </c>
      <c r="T50" s="17">
        <f ca="1">SUM($L$50:$S$50)</f>
        <v>-2.4740226989046818</v>
      </c>
      <c r="U50" s="17">
        <f>'TUSD BE'!$U$50*'TUSD BE'!$U$58</f>
        <v>-0.51708620094690272</v>
      </c>
      <c r="V50" s="17">
        <f>'TUSD BE'!$V$50*'TUSD BE'!$V$58</f>
        <v>-0.35894231680267108</v>
      </c>
      <c r="W50" s="17">
        <f>'TUSD BE'!$W$50*'TUSD BE'!$W$58</f>
        <v>-3.6264600548213718E-2</v>
      </c>
      <c r="X50" s="17">
        <f>'TUSD BE'!$X$50*'TUSD BE'!$X$58</f>
        <v>0</v>
      </c>
      <c r="Y50" s="17">
        <f>'TUSD BE'!$Y$50*'TUSD BE'!$Y$58</f>
        <v>0</v>
      </c>
      <c r="Z50" s="17">
        <f>'TUSD BE'!$Z$50*'TUSD BE'!$Z$58</f>
        <v>0</v>
      </c>
      <c r="AA50" s="17">
        <f>'TUSD BE'!$AA$50*'TUSD BE'!$AA$58</f>
        <v>0</v>
      </c>
      <c r="AB50" s="17">
        <f>SUM($U$50:$AA$50)</f>
        <v>-0.91229311829778748</v>
      </c>
      <c r="AC50" s="17">
        <f>'TUSD BE'!$AC$50*'TUSD BE'!$AC$58</f>
        <v>-1.7585738142878418</v>
      </c>
      <c r="AD50" s="17">
        <f>SUM($AC$50:$AC$50)</f>
        <v>-1.7585738142878418</v>
      </c>
      <c r="AE50" s="17">
        <f ca="1">$AO$50*$AO$55</f>
        <v>-35.944018906955627</v>
      </c>
      <c r="AF50" s="17">
        <f ca="1">$AP$50*$AP$55</f>
        <v>0</v>
      </c>
      <c r="AG50" s="17">
        <f ca="1">SUM($AE$50:$AF$50)</f>
        <v>-35.944018906955627</v>
      </c>
      <c r="AH50" s="17">
        <f>'TUSD BE'!$AH$50*'TUSD BE'!$AH$58</f>
        <v>4.0675750607001515E-2</v>
      </c>
      <c r="AI50" s="17">
        <f>'TUSD BE'!$AI$50*'TUSD BE'!$AI$58</f>
        <v>0</v>
      </c>
      <c r="AJ50" s="17">
        <f ca="1">'TUSD BE'!$AJ$50*'TUSD BE'!$AJ$58</f>
        <v>1.4637477930550455E-3</v>
      </c>
      <c r="AK50" s="17">
        <f ca="1">'TUSD BE'!$AK$50*'TUSD BE'!$AK$58</f>
        <v>7.7573203401156185E-2</v>
      </c>
      <c r="AL50" s="17">
        <f ca="1">SUM($AH$50:$AK$50)</f>
        <v>0.11971270180121274</v>
      </c>
      <c r="AM50" s="17">
        <f ca="1">SUMIF($L$4:$AL$4,"SUBTOTAL",$L$50:$AL$50)+AZ50</f>
        <v>-40.969195836644722</v>
      </c>
      <c r="AO50" s="64">
        <f ca="1">+'TUSD BE'!$T$50+'TUSD BE'!$AB$50+'TUSD BE'!$AD$50+'TUSD BE'!$AL$50</f>
        <v>200.8344975675098</v>
      </c>
      <c r="AP50" s="64">
        <f ca="1">+'TUSD BE'!$T$50+'TUSD BE'!$AB$50+'TUSD BE'!$AD$50+'TUSD BE'!$AL$50</f>
        <v>200.8344975675098</v>
      </c>
      <c r="AQ50" s="9" t="str">
        <f t="shared" si="0"/>
        <v>B4</v>
      </c>
      <c r="AR50" s="9" t="str">
        <f t="shared" si="1"/>
        <v>Convencional</v>
      </c>
      <c r="AS50" s="9" t="str">
        <f t="shared" si="2"/>
        <v>Iluminação pública</v>
      </c>
      <c r="AT50" s="9" t="str">
        <f t="shared" si="3"/>
        <v>Iluminação pública – B4a</v>
      </c>
      <c r="AU50" s="9" t="str">
        <f t="shared" si="4"/>
        <v>Não se aplica</v>
      </c>
      <c r="AV50" s="9">
        <f t="shared" si="5"/>
        <v>1</v>
      </c>
      <c r="AW50" s="9">
        <f ca="1">TarifaMedia!$G$20</f>
        <v>0</v>
      </c>
      <c r="AX50" s="16">
        <f ca="1">'TUSD BE'!$AM50+'TUSD BF'!$AM50+'TUSD CVA'!$AM50</f>
        <v>172.65262593599786</v>
      </c>
      <c r="AY50" s="9">
        <v>240.65</v>
      </c>
      <c r="AZ50" s="9">
        <f t="shared" ca="1" si="6"/>
        <v>0</v>
      </c>
      <c r="BC50" s="106" t="s">
        <v>1171</v>
      </c>
    </row>
    <row r="51" spans="1:55" ht="11.25" customHeight="1" x14ac:dyDescent="0.25">
      <c r="A51" s="166"/>
      <c r="B51" s="166"/>
      <c r="C51" s="166"/>
      <c r="D51" s="57" t="s">
        <v>97</v>
      </c>
      <c r="E51" s="57" t="s">
        <v>25</v>
      </c>
      <c r="F51" s="57" t="s">
        <v>25</v>
      </c>
      <c r="G51" s="57" t="s">
        <v>82</v>
      </c>
      <c r="H51" s="57" t="s">
        <v>78</v>
      </c>
      <c r="I51" s="57">
        <f>'MERCADO TUSD'!$U$48</f>
        <v>0</v>
      </c>
      <c r="J51" s="16"/>
      <c r="L51" s="17">
        <f>'TUSD BE'!$L$51*'TUSD BE'!$L$58</f>
        <v>-0.36819138976880778</v>
      </c>
      <c r="M51" s="17">
        <f>'TUSD BE'!$M$51*'TUSD BE'!$M$58</f>
        <v>-2.596126414670645E-2</v>
      </c>
      <c r="N51" s="17">
        <f ca="1">'TUSD BE'!$N$51*'TUSD BE'!$N$58</f>
        <v>-5.5135798006976633E-8</v>
      </c>
      <c r="O51" s="17">
        <f>'TUSD BE'!$O$51*'TUSD BE'!$O$58</f>
        <v>0</v>
      </c>
      <c r="P51" s="17">
        <f>'TUSD BE'!$P$51*'TUSD BE'!$P$58</f>
        <v>0</v>
      </c>
      <c r="Q51" s="17">
        <f>'TUSD BE'!$Q$51*'TUSD BE'!$Q$58</f>
        <v>-1.9873295605285879</v>
      </c>
      <c r="R51" s="17">
        <f>'TUSD BE'!$R$51*'TUSD BE'!$R$58</f>
        <v>-0.31745158377066152</v>
      </c>
      <c r="S51" s="17">
        <f>'TUSD BE'!$R$51*'TUSD BE'!$S$58</f>
        <v>0</v>
      </c>
      <c r="T51" s="17">
        <f ca="1">SUM($L$51:$S$51)</f>
        <v>-2.698933853350562</v>
      </c>
      <c r="U51" s="17">
        <f>'TUSD BE'!$U$51*'TUSD BE'!$U$58</f>
        <v>-0.56409403739662112</v>
      </c>
      <c r="V51" s="17">
        <f>'TUSD BE'!$V$51*'TUSD BE'!$V$58</f>
        <v>-0.39157343651200482</v>
      </c>
      <c r="W51" s="17">
        <f>'TUSD BE'!$W$51*'TUSD BE'!$W$58</f>
        <v>-3.9561382416233144E-2</v>
      </c>
      <c r="X51" s="17">
        <f>'TUSD BE'!$X$51*'TUSD BE'!$X$58</f>
        <v>0</v>
      </c>
      <c r="Y51" s="17">
        <f>'TUSD BE'!$Y$51*'TUSD BE'!$Y$58</f>
        <v>0</v>
      </c>
      <c r="Z51" s="17">
        <f>'TUSD BE'!$Z$51*'TUSD BE'!$Z$58</f>
        <v>0</v>
      </c>
      <c r="AA51" s="17">
        <f>'TUSD BE'!$AA$51*'TUSD BE'!$AA$58</f>
        <v>0</v>
      </c>
      <c r="AB51" s="17">
        <f>SUM($U$51:$AA$51)</f>
        <v>-0.99522885632485913</v>
      </c>
      <c r="AC51" s="17">
        <f>'TUSD BE'!$AC$51*'TUSD BE'!$AC$58</f>
        <v>-1.9184441610412819</v>
      </c>
      <c r="AD51" s="17">
        <f>SUM($AC$51:$AC$51)</f>
        <v>-1.9184441610412819</v>
      </c>
      <c r="AE51" s="17">
        <f ca="1">$AO$51*$AO$55</f>
        <v>-39.211656989406137</v>
      </c>
      <c r="AF51" s="17">
        <f ca="1">$AP$51*$AP$55</f>
        <v>0</v>
      </c>
      <c r="AG51" s="17">
        <f ca="1">SUM($AE$51:$AF$51)</f>
        <v>-39.211656989406137</v>
      </c>
      <c r="AH51" s="17">
        <f>'TUSD BE'!$AH$51*'TUSD BE'!$AH$58</f>
        <v>4.4373546116728925E-2</v>
      </c>
      <c r="AI51" s="17">
        <f>'TUSD BE'!$AI$51*'TUSD BE'!$AI$58</f>
        <v>0</v>
      </c>
      <c r="AJ51" s="17">
        <f ca="1">'TUSD BE'!$AJ$51*'TUSD BE'!$AJ$58</f>
        <v>1.5968157742418676E-3</v>
      </c>
      <c r="AK51" s="17">
        <f ca="1">'TUSD BE'!$AK$51*'TUSD BE'!$AK$58</f>
        <v>8.4625312801261274E-2</v>
      </c>
      <c r="AL51" s="17">
        <f ca="1">SUM($AH$51:$AK$51)</f>
        <v>0.13059567469223207</v>
      </c>
      <c r="AM51" s="17">
        <f ca="1">SUMIF($L$4:$AL$4,"SUBTOTAL",$L$51:$AL$51)+AZ51</f>
        <v>-44.69366818543061</v>
      </c>
      <c r="AO51" s="64">
        <f ca="1">+'TUSD BE'!$T$51+'TUSD BE'!$AB$51+'TUSD BE'!$AD$51+'TUSD BE'!$AL$51</f>
        <v>219.09217916455614</v>
      </c>
      <c r="AP51" s="64">
        <f ca="1">+'TUSD BE'!$T$51+'TUSD BE'!$AB$51+'TUSD BE'!$AD$51+'TUSD BE'!$AL$51</f>
        <v>219.09217916455614</v>
      </c>
      <c r="AQ51" s="9" t="str">
        <f t="shared" si="0"/>
        <v>B4</v>
      </c>
      <c r="AR51" s="9" t="str">
        <f t="shared" si="1"/>
        <v>Convencional</v>
      </c>
      <c r="AS51" s="9" t="str">
        <f t="shared" si="2"/>
        <v>Iluminação pública</v>
      </c>
      <c r="AT51" s="9" t="str">
        <f t="shared" si="3"/>
        <v>Iluminação pública – B4b</v>
      </c>
      <c r="AU51" s="9" t="str">
        <f t="shared" si="4"/>
        <v>Não se aplica</v>
      </c>
      <c r="AV51" s="9">
        <f t="shared" si="5"/>
        <v>1</v>
      </c>
      <c r="AW51" s="9">
        <f ca="1">TarifaMedia!$G$20</f>
        <v>0</v>
      </c>
      <c r="AX51" s="16">
        <f ca="1">'TUSD BE'!$AM51+'TUSD BF'!$AM51+'TUSD CVA'!$AM51</f>
        <v>188.34831920290677</v>
      </c>
      <c r="AY51" s="9">
        <v>262.52</v>
      </c>
      <c r="AZ51" s="9">
        <f t="shared" ca="1" si="6"/>
        <v>0</v>
      </c>
      <c r="BC51" s="106" t="s">
        <v>1172</v>
      </c>
    </row>
    <row r="53" spans="1:55" ht="11.25" customHeight="1" x14ac:dyDescent="0.25">
      <c r="K53" s="99" t="s">
        <v>582</v>
      </c>
      <c r="L53" s="17">
        <f>SUMPRODUCT($I$5:$I51,$L$5:$L51)</f>
        <v>-69547.320604305176</v>
      </c>
      <c r="M53" s="17">
        <f>SUMPRODUCT($I$5:$I51,$M$5:$M51)</f>
        <v>-3827.8660232869215</v>
      </c>
      <c r="N53" s="17">
        <f ca="1">SUMPRODUCT($I$5:$I51,$N$5:$N51)</f>
        <v>-6.8718722642662445E-3</v>
      </c>
      <c r="O53" s="17">
        <f>SUMPRODUCT($I$5:$I51,$O$5:$O51)</f>
        <v>0</v>
      </c>
      <c r="P53" s="17">
        <f>SUMPRODUCT($I$5:$I51,$P$5:$P51)</f>
        <v>0</v>
      </c>
      <c r="Q53" s="17">
        <f>SUMPRODUCT($I$5:$I51,$Q$5:$Q51)</f>
        <v>-375384.78610073059</v>
      </c>
      <c r="R53" s="17">
        <f>SUMPRODUCT($I$5:$I51,$R$5:$R51)</f>
        <v>-65727.578377463753</v>
      </c>
      <c r="S53" s="17">
        <f>SUMPRODUCT($I$5:$I51,$S$5:$S51)</f>
        <v>0</v>
      </c>
      <c r="T53" s="17">
        <f ca="1">SUMPRODUCT($I$5:$I51,$T$5:$T51)</f>
        <v>-514487.55797765864</v>
      </c>
      <c r="U53" s="17">
        <f>SUMPRODUCT($I$5:$I51,$U$5:$U51)</f>
        <v>-139159.46940852146</v>
      </c>
      <c r="V53" s="17">
        <f>SUMPRODUCT($I$5:$I51,$V$5:$V51)</f>
        <v>-95115.907805428113</v>
      </c>
      <c r="W53" s="17">
        <f>SUMPRODUCT($I$5:$I51,$W$5:$W51)</f>
        <v>-9712.1759204647533</v>
      </c>
      <c r="X53" s="17">
        <f>SUMPRODUCT($I$5:$I51,$X$5:$X51)</f>
        <v>0</v>
      </c>
      <c r="Y53" s="17">
        <f>SUMPRODUCT($I$5:$I51,$Y$5:$Y51)</f>
        <v>0</v>
      </c>
      <c r="Z53" s="17">
        <f>SUMPRODUCT($I$5:$I51,$Z$5:$Z51)</f>
        <v>0</v>
      </c>
      <c r="AA53" s="17">
        <f>SUMPRODUCT($I$5:$I51,$AA$5:$AA51)</f>
        <v>0</v>
      </c>
      <c r="AB53" s="17">
        <f>SUMPRODUCT($I$5:$I51,$AB$5:$AB51)</f>
        <v>-243987.55313441428</v>
      </c>
      <c r="AC53" s="17">
        <f>SUMPRODUCT($I$5:$I51,$AC$5:$AC51)</f>
        <v>-283442.02355059516</v>
      </c>
      <c r="AD53" s="17">
        <f>SUMPRODUCT($I$5:$I51,$AD$5:$AD51)</f>
        <v>-283442.02355059516</v>
      </c>
      <c r="AE53" s="17">
        <f ca="1">SUMPRODUCT($I$5:$I51,$AE$5:$AE51)</f>
        <v>-6880851.7402948746</v>
      </c>
      <c r="AF53" s="17">
        <f ca="1">SUMPRODUCT($I$5:$I51,$AF$5:$AF51)</f>
        <v>0</v>
      </c>
      <c r="AG53" s="17">
        <f ca="1">SUMPRODUCT($I$5:$I51,$AG$5:$AG51)</f>
        <v>-6880851.7402948746</v>
      </c>
      <c r="AH53" s="17">
        <f>SUMPRODUCT($I$5:$I51,$AH$5:$AH51)</f>
        <v>5681.648574417457</v>
      </c>
      <c r="AI53" s="17">
        <f>SUMPRODUCT($I$5:$I51,$AI$5:$AI51)</f>
        <v>0</v>
      </c>
      <c r="AJ53" s="17">
        <f ca="1">SUMPRODUCT($I$5:$I51,$AJ$5:$AJ51)</f>
        <v>286.1643786258428</v>
      </c>
      <c r="AK53" s="17">
        <f ca="1">SUMPRODUCT($I$5:$I51,$AK$5:$AK51)</f>
        <v>15165.650568105189</v>
      </c>
      <c r="AL53" s="17">
        <f ca="1">SUMPRODUCT($I$5:$I51,$AL$5:$AL51)</f>
        <v>21133.463521148497</v>
      </c>
      <c r="AM53" s="17">
        <f ca="1">SUMPRODUCT($I$5:$I51,$AM$5:$AM51)</f>
        <v>-7901635.4114363939</v>
      </c>
      <c r="AO53" s="57">
        <f ca="1">SUMPRODUCT($I$5:$I51,$AO$5:$AO51)</f>
        <v>38446240.685435116</v>
      </c>
      <c r="AP53" s="57">
        <f ca="1">SUMPRODUCT($I$5:$I51,$AP$5:$AP51)</f>
        <v>38446240.685435116</v>
      </c>
    </row>
    <row r="54" spans="1:55" ht="11.25" customHeight="1" x14ac:dyDescent="0.25">
      <c r="K54" s="99" t="s">
        <v>525</v>
      </c>
      <c r="L54" s="17">
        <f>'TR TUSD'!$L$56</f>
        <v>801843.46340475301</v>
      </c>
      <c r="M54" s="17">
        <f>'TR TUSD'!$M$56</f>
        <v>78461.746657470198</v>
      </c>
      <c r="N54" s="17">
        <f>'TR TUSD'!$N$56</f>
        <v>168067.03071432331</v>
      </c>
      <c r="O54" s="17">
        <f>'TR TUSD'!$O$56</f>
        <v>0</v>
      </c>
      <c r="P54" s="17">
        <f>'TR TUSD'!$P$56</f>
        <v>0</v>
      </c>
      <c r="Q54" s="17">
        <f>'TR TUSD'!$Q$56</f>
        <v>9962170.6825543884</v>
      </c>
      <c r="R54" s="17">
        <f>'TR TUSD'!$R$56</f>
        <v>1726269.2331153487</v>
      </c>
      <c r="S54" s="17">
        <f>'TR TUSD'!$S$56</f>
        <v>0</v>
      </c>
      <c r="T54" s="17">
        <f>'TR TUSD'!$T$56</f>
        <v>12736812.156446284</v>
      </c>
      <c r="U54" s="17">
        <f>'TR TUSD'!$U$56</f>
        <v>4439052</v>
      </c>
      <c r="V54" s="17">
        <f>'TR TUSD'!$V$56</f>
        <v>3663381</v>
      </c>
      <c r="W54" s="17">
        <f>'TR TUSD'!$W$56</f>
        <v>682539.065472143</v>
      </c>
      <c r="X54" s="17">
        <f>'TR TUSD'!$X$56</f>
        <v>0</v>
      </c>
      <c r="Y54" s="17">
        <f>'TR TUSD'!$Y$56</f>
        <v>0</v>
      </c>
      <c r="Z54" s="17">
        <f>'TR TUSD'!$Z$56</f>
        <v>0</v>
      </c>
      <c r="AA54" s="17">
        <f>'TR TUSD'!$AA$56</f>
        <v>0</v>
      </c>
      <c r="AB54" s="17">
        <f>'TR TUSD'!$AB$56</f>
        <v>8784972.0654721428</v>
      </c>
      <c r="AC54" s="17">
        <f>'TR TUSD'!$AC$56</f>
        <v>15266236.414843004</v>
      </c>
      <c r="AD54" s="17">
        <f>'TR TUSD'!$AD$56</f>
        <v>15266236.414843004</v>
      </c>
      <c r="AE54" s="17">
        <f>'TR TUSD'!$AE$56</f>
        <v>0</v>
      </c>
      <c r="AF54" s="17">
        <f>'TR TUSD'!$AF$56</f>
        <v>0</v>
      </c>
      <c r="AG54" s="17">
        <f>'TR TUSD'!$AG$56</f>
        <v>0</v>
      </c>
      <c r="AH54" s="17">
        <f>'TR TUSD'!$AH$56</f>
        <v>1547903.6532732847</v>
      </c>
      <c r="AI54" s="17">
        <f>'TR TUSD'!$AI$56</f>
        <v>0</v>
      </c>
      <c r="AJ54" s="17">
        <f>'TR TUSD'!$AJ$56</f>
        <v>77962.38737927188</v>
      </c>
      <c r="AK54" s="17">
        <f>'TR TUSD'!$AK$56</f>
        <v>32354.008021129412</v>
      </c>
      <c r="AL54" s="17">
        <f>'TR TUSD'!$AL$56</f>
        <v>1658220.0486736861</v>
      </c>
      <c r="AM54" s="17">
        <f>'TUSD BE'!$AM$54</f>
        <v>38446240.685435116</v>
      </c>
      <c r="AO54" s="57">
        <f>$AE$55</f>
        <v>-6880851.7402948737</v>
      </c>
      <c r="AP54" s="57">
        <f>$AF$55</f>
        <v>0</v>
      </c>
    </row>
    <row r="55" spans="1:55" ht="11.25" customHeight="1" x14ac:dyDescent="0.25">
      <c r="K55" s="99" t="s">
        <v>526</v>
      </c>
      <c r="L55" s="17">
        <f>CUSTOS!$E$2</f>
        <v>-69547.320604305176</v>
      </c>
      <c r="M55" s="17">
        <f>CUSTOS!$E$3</f>
        <v>-3827.8660232869229</v>
      </c>
      <c r="N55" s="17">
        <f>CUSTOS!$E$4</f>
        <v>-6.8718722642662463E-3</v>
      </c>
      <c r="O55" s="17">
        <f>CUSTOS!$E$5</f>
        <v>0</v>
      </c>
      <c r="P55" s="17">
        <f>CUSTOS!$E$6</f>
        <v>0</v>
      </c>
      <c r="Q55" s="17">
        <f>CUSTOS!$E$7</f>
        <v>-375384.78610073053</v>
      </c>
      <c r="R55" s="17">
        <f>CUSTOS!$E$8</f>
        <v>-65727.578377463738</v>
      </c>
      <c r="S55" s="17">
        <f>CUSTOS!$E$9</f>
        <v>0</v>
      </c>
      <c r="T55" s="17">
        <f>CUSTOS!$E$10</f>
        <v>-514487.55797765864</v>
      </c>
      <c r="U55" s="17">
        <f>CUSTOS!$E$11</f>
        <v>-139159.46940852149</v>
      </c>
      <c r="V55" s="17">
        <f>CUSTOS!$E$12</f>
        <v>-95115.907805428113</v>
      </c>
      <c r="W55" s="17">
        <f>CUSTOS!$E$13</f>
        <v>-9712.1759204647551</v>
      </c>
      <c r="X55" s="17">
        <f>CUSTOS!$E$14</f>
        <v>0</v>
      </c>
      <c r="Y55" s="17">
        <f>CUSTOS!$E$15</f>
        <v>0</v>
      </c>
      <c r="Z55" s="17">
        <f>CUSTOS!$E$16</f>
        <v>0</v>
      </c>
      <c r="AA55" s="17">
        <f>CUSTOS!$E$17</f>
        <v>0</v>
      </c>
      <c r="AB55" s="17">
        <f>CUSTOS!$E$18</f>
        <v>-243987.55313441437</v>
      </c>
      <c r="AC55" s="17">
        <f>CUSTOS!$E$19</f>
        <v>-283442.02355059516</v>
      </c>
      <c r="AD55" s="17">
        <f>CUSTOS!$E$20</f>
        <v>-283442.02355059516</v>
      </c>
      <c r="AE55" s="17">
        <f>CUSTOS!$E$21</f>
        <v>-6880851.7402948737</v>
      </c>
      <c r="AF55" s="17">
        <f>CUSTOS!$E$22</f>
        <v>0</v>
      </c>
      <c r="AG55" s="17">
        <f>CUSTOS!$E$23</f>
        <v>-6880851.7402948737</v>
      </c>
      <c r="AH55" s="17">
        <f>CUSTOS!$E$24</f>
        <v>5681.6485744174561</v>
      </c>
      <c r="AI55" s="17">
        <f>CUSTOS!$E$25</f>
        <v>0</v>
      </c>
      <c r="AJ55" s="17">
        <f>CUSTOS!$E$26</f>
        <v>286.16437862584286</v>
      </c>
      <c r="AK55" s="17">
        <f>CUSTOS!$E$27</f>
        <v>15165.650568105193</v>
      </c>
      <c r="AL55" s="17">
        <f>CUSTOS!$E$28</f>
        <v>21133.463521148493</v>
      </c>
      <c r="AM55" s="17">
        <f>CUSTOS!$E$29</f>
        <v>-7901635.4114363939</v>
      </c>
      <c r="AO55" s="57">
        <f ca="1">IF(AO53&lt;&gt;0,AO54/AO53,0)</f>
        <v>-0.1789733304900627</v>
      </c>
      <c r="AP55" s="57">
        <f ca="1">IF(AP53&lt;&gt;0,AP54/AP53,0)</f>
        <v>0</v>
      </c>
    </row>
    <row r="56" spans="1:55" ht="11.25" customHeight="1" x14ac:dyDescent="0.25">
      <c r="K56" s="99" t="s">
        <v>527</v>
      </c>
      <c r="L56" s="17">
        <f>CUSTOS!$F$2</f>
        <v>52600.790343551183</v>
      </c>
      <c r="M56" s="17">
        <f>CUSTOS!$F$3</f>
        <v>0</v>
      </c>
      <c r="N56" s="17">
        <f>CUSTOS!$F$4</f>
        <v>0</v>
      </c>
      <c r="O56" s="17">
        <f>CUSTOS!$F$5</f>
        <v>0</v>
      </c>
      <c r="P56" s="17">
        <f>CUSTOS!$F$6</f>
        <v>0</v>
      </c>
      <c r="Q56" s="17">
        <f>CUSTOS!$F$7</f>
        <v>1737250.662</v>
      </c>
      <c r="R56" s="17">
        <f>CUSTOS!$F$8</f>
        <v>418561.50550000003</v>
      </c>
      <c r="S56" s="17">
        <f>CUSTOS!$F$9</f>
        <v>0</v>
      </c>
      <c r="T56" s="17">
        <f>CUSTOS!$F$10</f>
        <v>2208412.9578435514</v>
      </c>
      <c r="U56" s="17">
        <f>CUSTOS!$F$11</f>
        <v>257590.31433967402</v>
      </c>
      <c r="V56" s="17">
        <f>CUSTOS!$F$12</f>
        <v>212579.50196032607</v>
      </c>
      <c r="W56" s="17">
        <f>CUSTOS!$F$13</f>
        <v>0</v>
      </c>
      <c r="X56" s="17">
        <f>CUSTOS!$F$14</f>
        <v>0</v>
      </c>
      <c r="Y56" s="17">
        <f>CUSTOS!$F$15</f>
        <v>0</v>
      </c>
      <c r="Z56" s="17">
        <f>CUSTOS!$F$16</f>
        <v>0</v>
      </c>
      <c r="AA56" s="17">
        <f>CUSTOS!$F$17</f>
        <v>0</v>
      </c>
      <c r="AB56" s="17">
        <f>CUSTOS!$F$18</f>
        <v>470169.81630000006</v>
      </c>
      <c r="AC56" s="17">
        <f>CUSTOS!$F$19</f>
        <v>0</v>
      </c>
      <c r="AD56" s="17">
        <f>CUSTOS!$F$20</f>
        <v>0</v>
      </c>
      <c r="AE56" s="17">
        <f>CUSTOS!$F$21</f>
        <v>0</v>
      </c>
      <c r="AF56" s="17">
        <f>CUSTOS!$F$22</f>
        <v>0</v>
      </c>
      <c r="AG56" s="17">
        <f>CUSTOS!$F$23</f>
        <v>0</v>
      </c>
      <c r="AH56" s="17">
        <f>CUSTOS!$F$24</f>
        <v>65906.28863332489</v>
      </c>
      <c r="AI56" s="17">
        <f>CUSTOS!$F$25</f>
        <v>0</v>
      </c>
      <c r="AJ56" s="17">
        <f>CUSTOS!$F$26</f>
        <v>3319.4647446537288</v>
      </c>
      <c r="AK56" s="17">
        <f>CUSTOS!$F$27</f>
        <v>0</v>
      </c>
      <c r="AL56" s="17">
        <f>CUSTOS!$F$28</f>
        <v>69225.753377978617</v>
      </c>
      <c r="AM56" s="17">
        <f>CUSTOS!$F$29</f>
        <v>2747808.5275215302</v>
      </c>
    </row>
    <row r="57" spans="1:55" ht="11.25" customHeight="1" x14ac:dyDescent="0.25">
      <c r="K57" s="99" t="s">
        <v>579</v>
      </c>
      <c r="L57" s="17">
        <v>0</v>
      </c>
      <c r="M57" s="17">
        <v>0</v>
      </c>
      <c r="N57" s="17">
        <v>0</v>
      </c>
      <c r="O57" s="17">
        <v>0</v>
      </c>
      <c r="P57" s="17">
        <v>0</v>
      </c>
      <c r="Q57" s="17">
        <v>0</v>
      </c>
      <c r="R57" s="17">
        <v>0</v>
      </c>
      <c r="S57" s="17">
        <v>0</v>
      </c>
      <c r="T57" s="17">
        <f>SUM($L$57:$S$57)</f>
        <v>0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  <c r="AA57" s="17">
        <v>0</v>
      </c>
      <c r="AB57" s="17">
        <f>SUM($U$57:$AA$57)</f>
        <v>0</v>
      </c>
      <c r="AC57" s="17">
        <v>0</v>
      </c>
      <c r="AD57" s="17">
        <f>SUM($AC$57:$AC$57)</f>
        <v>0</v>
      </c>
      <c r="AE57" s="17">
        <v>0</v>
      </c>
      <c r="AF57" s="17">
        <v>0</v>
      </c>
      <c r="AG57" s="17">
        <f>SUM($AE$57:$AF$57)</f>
        <v>0</v>
      </c>
      <c r="AH57" s="17">
        <v>0</v>
      </c>
      <c r="AI57" s="17">
        <v>0</v>
      </c>
      <c r="AJ57" s="17">
        <v>0</v>
      </c>
      <c r="AK57" s="17">
        <v>0</v>
      </c>
      <c r="AL57" s="17">
        <f>SUM($AH$57:$AK$57)</f>
        <v>0</v>
      </c>
      <c r="AM57" s="17"/>
    </row>
    <row r="58" spans="1:55" ht="11.25" customHeight="1" x14ac:dyDescent="0.25">
      <c r="K58" s="99" t="s">
        <v>585</v>
      </c>
      <c r="L58" s="17">
        <f t="shared" ref="L58:R58" si="7">IF((L54-(0))&lt;&gt;0,(L56)/(L54-(0)),0)</f>
        <v>6.5599824335039136E-2</v>
      </c>
      <c r="M58" s="17">
        <f t="shared" si="7"/>
        <v>0</v>
      </c>
      <c r="N58" s="17">
        <f t="shared" si="7"/>
        <v>0</v>
      </c>
      <c r="O58" s="17">
        <f t="shared" si="7"/>
        <v>0</v>
      </c>
      <c r="P58" s="17">
        <f t="shared" si="7"/>
        <v>0</v>
      </c>
      <c r="Q58" s="17">
        <f t="shared" si="7"/>
        <v>0.17438475181340235</v>
      </c>
      <c r="R58" s="17">
        <f t="shared" si="7"/>
        <v>0.24246594764632051</v>
      </c>
      <c r="S58" s="17">
        <f>IF((R53-(0)&lt;&gt;0),(S55)/(R53-(0)),0)</f>
        <v>0</v>
      </c>
      <c r="T58" s="17"/>
      <c r="U58" s="17">
        <f t="shared" ref="U58:AA58" si="8">IF((U54-(0))&lt;&gt;0,(U56)/(U54-(0)),0)</f>
        <v>5.8028226373485606E-2</v>
      </c>
      <c r="V58" s="17">
        <f t="shared" si="8"/>
        <v>5.8028226373485606E-2</v>
      </c>
      <c r="W58" s="17">
        <f t="shared" si="8"/>
        <v>0</v>
      </c>
      <c r="X58" s="17">
        <f t="shared" si="8"/>
        <v>0</v>
      </c>
      <c r="Y58" s="17">
        <f t="shared" si="8"/>
        <v>0</v>
      </c>
      <c r="Z58" s="17">
        <f t="shared" si="8"/>
        <v>0</v>
      </c>
      <c r="AA58" s="17">
        <f t="shared" si="8"/>
        <v>0</v>
      </c>
      <c r="AB58" s="17"/>
      <c r="AC58" s="17">
        <f>IF((AC54-(0))&lt;&gt;0,(AC56)/(AC54-(0)),0)</f>
        <v>0</v>
      </c>
      <c r="AD58" s="17"/>
      <c r="AE58" s="17">
        <f ca="1">IF(($AM53-(0))&lt;&gt;0,(AE55)/($AM53-(0)),0)</f>
        <v>0.87081362047354227</v>
      </c>
      <c r="AF58" s="17">
        <f ca="1">IF(($AM53-(0))&lt;&gt;0,(AF55)/($AM53-(0)),0)</f>
        <v>0</v>
      </c>
      <c r="AG58" s="17"/>
      <c r="AH58" s="17">
        <f>IF((AH54-(0))&lt;&gt;0,(AH56)/(AH54-(0)),0)</f>
        <v>4.2577771874855209E-2</v>
      </c>
      <c r="AI58" s="17">
        <f>IF((AI54-(0))&lt;&gt;0,(AI56)/(AI54-(0)),0)</f>
        <v>0</v>
      </c>
      <c r="AJ58" s="17">
        <f>IF((AJ54-(0))&lt;&gt;0,(AJ56)/(AJ54-(0)),0)</f>
        <v>4.2577771874855209E-2</v>
      </c>
      <c r="AK58" s="17">
        <f>IF((AK54-(0))&lt;&gt;0,(AK56)/(AK54-(0)),0)</f>
        <v>0</v>
      </c>
      <c r="AL58" s="17"/>
      <c r="AM58" s="17"/>
    </row>
  </sheetData>
  <mergeCells count="84">
    <mergeCell ref="AX1:AX4"/>
    <mergeCell ref="AY1:AY4"/>
    <mergeCell ref="AZ1:AZ4"/>
    <mergeCell ref="BC1:BC4"/>
    <mergeCell ref="AR1:AR4"/>
    <mergeCell ref="AS1:AS4"/>
    <mergeCell ref="AT1:AT4"/>
    <mergeCell ref="AU1:AU4"/>
    <mergeCell ref="AV1:AV4"/>
    <mergeCell ref="AW1:AW4"/>
    <mergeCell ref="E45:E47"/>
    <mergeCell ref="F45:F47"/>
    <mergeCell ref="A50:A51"/>
    <mergeCell ref="B50:B51"/>
    <mergeCell ref="C50:C51"/>
    <mergeCell ref="AQ1:AQ4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E38:E40"/>
    <mergeCell ref="F38:F40"/>
    <mergeCell ref="A30:A44"/>
    <mergeCell ref="B30:B32"/>
    <mergeCell ref="C30:C32"/>
    <mergeCell ref="D30:D32"/>
    <mergeCell ref="E30:E32"/>
    <mergeCell ref="F30:F32"/>
    <mergeCell ref="B34:B36"/>
    <mergeCell ref="C34:C36"/>
    <mergeCell ref="D34:D36"/>
    <mergeCell ref="E34:E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268" priority="55" operator="notEqual">
      <formula>$L$55</formula>
    </cfRule>
    <cfRule type="cellIs" dxfId="267" priority="56" operator="equal">
      <formula>$L$55</formula>
    </cfRule>
  </conditionalFormatting>
  <conditionalFormatting sqref="M53">
    <cfRule type="cellIs" dxfId="266" priority="53" operator="notEqual">
      <formula>$M$55</formula>
    </cfRule>
    <cfRule type="cellIs" dxfId="265" priority="54" operator="equal">
      <formula>$M$55</formula>
    </cfRule>
  </conditionalFormatting>
  <conditionalFormatting sqref="N53">
    <cfRule type="cellIs" dxfId="264" priority="51" operator="notEqual">
      <formula>$N$55</formula>
    </cfRule>
    <cfRule type="cellIs" dxfId="263" priority="52" operator="equal">
      <formula>$N$55</formula>
    </cfRule>
  </conditionalFormatting>
  <conditionalFormatting sqref="O53">
    <cfRule type="cellIs" dxfId="262" priority="49" operator="notEqual">
      <formula>$O$55</formula>
    </cfRule>
    <cfRule type="cellIs" dxfId="261" priority="50" operator="equal">
      <formula>$O$55</formula>
    </cfRule>
  </conditionalFormatting>
  <conditionalFormatting sqref="P53">
    <cfRule type="cellIs" dxfId="260" priority="47" operator="notEqual">
      <formula>$P$55</formula>
    </cfRule>
    <cfRule type="cellIs" dxfId="259" priority="48" operator="equal">
      <formula>$P$55</formula>
    </cfRule>
  </conditionalFormatting>
  <conditionalFormatting sqref="Q53">
    <cfRule type="cellIs" dxfId="258" priority="45" operator="notEqual">
      <formula>$Q$55</formula>
    </cfRule>
    <cfRule type="cellIs" dxfId="257" priority="46" operator="equal">
      <formula>$Q$55</formula>
    </cfRule>
  </conditionalFormatting>
  <conditionalFormatting sqref="R53">
    <cfRule type="cellIs" dxfId="256" priority="43" operator="notEqual">
      <formula>$R$55</formula>
    </cfRule>
    <cfRule type="cellIs" dxfId="255" priority="44" operator="equal">
      <formula>$R$55</formula>
    </cfRule>
  </conditionalFormatting>
  <conditionalFormatting sqref="S53">
    <cfRule type="cellIs" dxfId="254" priority="41" operator="notEqual">
      <formula>$S$55</formula>
    </cfRule>
    <cfRule type="cellIs" dxfId="253" priority="42" operator="equal">
      <formula>$S$55</formula>
    </cfRule>
  </conditionalFormatting>
  <conditionalFormatting sqref="T53">
    <cfRule type="cellIs" dxfId="252" priority="39" operator="notEqual">
      <formula>$T$55</formula>
    </cfRule>
    <cfRule type="cellIs" dxfId="251" priority="40" operator="equal">
      <formula>$T$55</formula>
    </cfRule>
  </conditionalFormatting>
  <conditionalFormatting sqref="U53">
    <cfRule type="cellIs" dxfId="250" priority="37" operator="notEqual">
      <formula>$U$55</formula>
    </cfRule>
    <cfRule type="cellIs" dxfId="249" priority="38" operator="equal">
      <formula>$U$55</formula>
    </cfRule>
  </conditionalFormatting>
  <conditionalFormatting sqref="V53">
    <cfRule type="cellIs" dxfId="248" priority="35" operator="notEqual">
      <formula>$V$55</formula>
    </cfRule>
    <cfRule type="cellIs" dxfId="247" priority="36" operator="equal">
      <formula>$V$55</formula>
    </cfRule>
  </conditionalFormatting>
  <conditionalFormatting sqref="W53">
    <cfRule type="cellIs" dxfId="246" priority="33" operator="notEqual">
      <formula>$W$55</formula>
    </cfRule>
    <cfRule type="cellIs" dxfId="245" priority="34" operator="equal">
      <formula>$W$55</formula>
    </cfRule>
  </conditionalFormatting>
  <conditionalFormatting sqref="X53">
    <cfRule type="cellIs" dxfId="244" priority="31" operator="notEqual">
      <formula>$X$55</formula>
    </cfRule>
    <cfRule type="cellIs" dxfId="243" priority="32" operator="equal">
      <formula>$X$55</formula>
    </cfRule>
  </conditionalFormatting>
  <conditionalFormatting sqref="Y53">
    <cfRule type="cellIs" dxfId="242" priority="29" operator="notEqual">
      <formula>$Y$55</formula>
    </cfRule>
    <cfRule type="cellIs" dxfId="241" priority="30" operator="equal">
      <formula>$Y$55</formula>
    </cfRule>
  </conditionalFormatting>
  <conditionalFormatting sqref="Z53">
    <cfRule type="cellIs" dxfId="240" priority="27" operator="notEqual">
      <formula>$Z$55</formula>
    </cfRule>
    <cfRule type="cellIs" dxfId="239" priority="28" operator="equal">
      <formula>$Z$55</formula>
    </cfRule>
  </conditionalFormatting>
  <conditionalFormatting sqref="AA53">
    <cfRule type="cellIs" dxfId="238" priority="25" operator="notEqual">
      <formula>$AA$55</formula>
    </cfRule>
    <cfRule type="cellIs" dxfId="237" priority="26" operator="equal">
      <formula>$AA$55</formula>
    </cfRule>
  </conditionalFormatting>
  <conditionalFormatting sqref="AB53">
    <cfRule type="cellIs" dxfId="236" priority="23" operator="notEqual">
      <formula>$AB$55</formula>
    </cfRule>
    <cfRule type="cellIs" dxfId="235" priority="24" operator="equal">
      <formula>$AB$55</formula>
    </cfRule>
  </conditionalFormatting>
  <conditionalFormatting sqref="AC53">
    <cfRule type="cellIs" dxfId="234" priority="21" operator="notEqual">
      <formula>$AC$55</formula>
    </cfRule>
    <cfRule type="cellIs" dxfId="233" priority="22" operator="equal">
      <formula>$AC$55</formula>
    </cfRule>
  </conditionalFormatting>
  <conditionalFormatting sqref="AD53">
    <cfRule type="cellIs" dxfId="232" priority="19" operator="notEqual">
      <formula>$AD$55</formula>
    </cfRule>
    <cfRule type="cellIs" dxfId="231" priority="20" operator="equal">
      <formula>$AD$55</formula>
    </cfRule>
  </conditionalFormatting>
  <conditionalFormatting sqref="AE53">
    <cfRule type="cellIs" dxfId="230" priority="17" operator="notEqual">
      <formula>$AE$55</formula>
    </cfRule>
    <cfRule type="cellIs" dxfId="229" priority="18" operator="equal">
      <formula>$AE$55</formula>
    </cfRule>
  </conditionalFormatting>
  <conditionalFormatting sqref="AF53">
    <cfRule type="cellIs" dxfId="228" priority="16" operator="equal">
      <formula>$AF$55</formula>
    </cfRule>
  </conditionalFormatting>
  <conditionalFormatting sqref="AF53">
    <cfRule type="cellIs" dxfId="227" priority="15" operator="notEqual">
      <formula>$AF$55</formula>
    </cfRule>
  </conditionalFormatting>
  <conditionalFormatting sqref="AG53">
    <cfRule type="cellIs" dxfId="226" priority="14" operator="equal">
      <formula>$AG$55</formula>
    </cfRule>
  </conditionalFormatting>
  <conditionalFormatting sqref="AG53">
    <cfRule type="cellIs" dxfId="225" priority="13" operator="notEqual">
      <formula>$AG$55</formula>
    </cfRule>
  </conditionalFormatting>
  <conditionalFormatting sqref="AH53">
    <cfRule type="cellIs" dxfId="224" priority="12" operator="equal">
      <formula>$AH$55</formula>
    </cfRule>
  </conditionalFormatting>
  <conditionalFormatting sqref="AH53">
    <cfRule type="cellIs" dxfId="223" priority="11" operator="notEqual">
      <formula>$AH$55</formula>
    </cfRule>
  </conditionalFormatting>
  <conditionalFormatting sqref="AI53">
    <cfRule type="cellIs" dxfId="222" priority="10" operator="equal">
      <formula>$AI$55</formula>
    </cfRule>
  </conditionalFormatting>
  <conditionalFormatting sqref="AI53">
    <cfRule type="cellIs" dxfId="221" priority="9" operator="notEqual">
      <formula>$AI$55</formula>
    </cfRule>
  </conditionalFormatting>
  <conditionalFormatting sqref="AJ53">
    <cfRule type="cellIs" dxfId="220" priority="8" operator="equal">
      <formula>$AJ$55</formula>
    </cfRule>
  </conditionalFormatting>
  <conditionalFormatting sqref="AJ53">
    <cfRule type="cellIs" dxfId="219" priority="7" operator="notEqual">
      <formula>$AJ$55</formula>
    </cfRule>
  </conditionalFormatting>
  <conditionalFormatting sqref="AK53">
    <cfRule type="cellIs" dxfId="218" priority="6" operator="equal">
      <formula>$AK$55</formula>
    </cfRule>
  </conditionalFormatting>
  <conditionalFormatting sqref="AK53">
    <cfRule type="cellIs" dxfId="217" priority="5" operator="notEqual">
      <formula>$AK$55</formula>
    </cfRule>
  </conditionalFormatting>
  <conditionalFormatting sqref="AL53">
    <cfRule type="cellIs" dxfId="216" priority="4" operator="equal">
      <formula>$AL$55</formula>
    </cfRule>
  </conditionalFormatting>
  <conditionalFormatting sqref="AL53">
    <cfRule type="cellIs" dxfId="215" priority="3" operator="notEqual">
      <formula>$AL$55</formula>
    </cfRule>
  </conditionalFormatting>
  <conditionalFormatting sqref="AM53">
    <cfRule type="cellIs" dxfId="214" priority="2" operator="equal">
      <formula>$AM$55</formula>
    </cfRule>
  </conditionalFormatting>
  <conditionalFormatting sqref="AM53">
    <cfRule type="cellIs" dxfId="213" priority="1" operator="notEqual">
      <formula>$AM$55</formula>
    </cfRule>
  </conditionalFormatting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759BE-2656-4663-8966-3ADDA7A0F07E}">
  <sheetPr codeName="Planilha29">
    <tabColor indexed="12" tint="-0.249977111117893"/>
  </sheetPr>
  <dimension ref="A1:AO51"/>
  <sheetViews>
    <sheetView showGridLines="0" topLeftCell="Q37" workbookViewId="0">
      <selection activeCell="AB45" sqref="AB45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7.855468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4" width="7.85546875" style="9" bestFit="1" customWidth="1"/>
    <col min="15" max="15" width="11.140625" style="9" bestFit="1" customWidth="1"/>
    <col min="16" max="16" width="8.140625" style="9" bestFit="1" customWidth="1"/>
    <col min="17" max="17" width="9.28515625" style="9" bestFit="1" customWidth="1"/>
    <col min="18" max="18" width="15" style="9" bestFit="1" customWidth="1"/>
    <col min="19" max="19" width="10.85546875" style="9" bestFit="1" customWidth="1"/>
    <col min="20" max="20" width="7.85546875" style="9" bestFit="1" customWidth="1"/>
    <col min="21" max="21" width="10.42578125" style="9" bestFit="1" customWidth="1"/>
    <col min="22" max="22" width="7.85546875" style="9" bestFit="1" customWidth="1"/>
    <col min="23" max="23" width="9.28515625" style="9" bestFit="1" customWidth="1"/>
    <col min="24" max="25" width="10.5703125" style="9" bestFit="1" customWidth="1"/>
    <col min="26" max="26" width="11" style="9" bestFit="1" customWidth="1"/>
    <col min="27" max="27" width="9.28515625" style="9" bestFit="1" customWidth="1"/>
    <col min="28" max="28" width="10.85546875" style="9" bestFit="1" customWidth="1"/>
    <col min="29" max="16384" width="9.140625" style="9"/>
  </cols>
  <sheetData>
    <row r="1" spans="1:41" ht="11.25" customHeight="1" x14ac:dyDescent="0.25">
      <c r="A1" s="176" t="s">
        <v>68</v>
      </c>
      <c r="B1" s="176" t="s">
        <v>69</v>
      </c>
      <c r="C1" s="176" t="s">
        <v>70</v>
      </c>
      <c r="D1" s="176" t="s">
        <v>71</v>
      </c>
      <c r="E1" s="176" t="s">
        <v>72</v>
      </c>
      <c r="F1" s="176" t="s">
        <v>15</v>
      </c>
      <c r="G1" s="176" t="s">
        <v>74</v>
      </c>
      <c r="H1" s="176" t="s">
        <v>75</v>
      </c>
      <c r="I1" s="176" t="s">
        <v>573</v>
      </c>
      <c r="J1" s="155"/>
      <c r="L1" s="174" t="s">
        <v>594</v>
      </c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4"/>
      <c r="AA1" s="174"/>
      <c r="AB1" s="174"/>
      <c r="AC1" s="185" t="s">
        <v>1</v>
      </c>
      <c r="AD1" s="187" t="s">
        <v>2</v>
      </c>
      <c r="AE1" s="187" t="s">
        <v>3</v>
      </c>
      <c r="AF1" s="187" t="s">
        <v>4</v>
      </c>
      <c r="AG1" s="187" t="s">
        <v>5</v>
      </c>
      <c r="AH1" s="187" t="s">
        <v>1138</v>
      </c>
      <c r="AI1" s="187" t="s">
        <v>1173</v>
      </c>
      <c r="AJ1" s="187" t="s">
        <v>1140</v>
      </c>
      <c r="AK1" s="187" t="s">
        <v>1141</v>
      </c>
      <c r="AL1" s="187" t="s">
        <v>1142</v>
      </c>
      <c r="AO1" s="187" t="s">
        <v>1143</v>
      </c>
    </row>
    <row r="2" spans="1:41" ht="11.25" customHeight="1" x14ac:dyDescent="0.25">
      <c r="A2" s="176"/>
      <c r="B2" s="176"/>
      <c r="C2" s="176"/>
      <c r="D2" s="176"/>
      <c r="E2" s="176"/>
      <c r="F2" s="176"/>
      <c r="G2" s="176"/>
      <c r="H2" s="176"/>
      <c r="I2" s="176"/>
      <c r="J2" s="155"/>
      <c r="L2" s="174" t="s">
        <v>511</v>
      </c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  <c r="AA2" s="174"/>
      <c r="AB2" s="174"/>
      <c r="AC2" s="186"/>
      <c r="AD2" s="188"/>
      <c r="AE2" s="188"/>
      <c r="AF2" s="188"/>
      <c r="AG2" s="188"/>
      <c r="AH2" s="188"/>
      <c r="AI2" s="188"/>
      <c r="AJ2" s="188"/>
      <c r="AK2" s="188"/>
      <c r="AL2" s="188"/>
      <c r="AO2" s="188"/>
    </row>
    <row r="3" spans="1:41" ht="11.25" customHeight="1" x14ac:dyDescent="0.25">
      <c r="A3" s="176"/>
      <c r="B3" s="176"/>
      <c r="C3" s="176"/>
      <c r="D3" s="176"/>
      <c r="E3" s="176"/>
      <c r="F3" s="176"/>
      <c r="G3" s="176"/>
      <c r="H3" s="176"/>
      <c r="I3" s="176"/>
      <c r="J3" s="155"/>
      <c r="L3" s="174" t="s">
        <v>484</v>
      </c>
      <c r="M3" s="174"/>
      <c r="N3" s="174"/>
      <c r="O3" s="174"/>
      <c r="P3" s="174"/>
      <c r="Q3" s="174"/>
      <c r="R3" s="174" t="s">
        <v>515</v>
      </c>
      <c r="S3" s="174"/>
      <c r="T3" s="174" t="s">
        <v>493</v>
      </c>
      <c r="U3" s="174"/>
      <c r="V3" s="174"/>
      <c r="W3" s="174"/>
      <c r="X3" s="174" t="s">
        <v>503</v>
      </c>
      <c r="Y3" s="174"/>
      <c r="Z3" s="174" t="s">
        <v>506</v>
      </c>
      <c r="AA3" s="174"/>
      <c r="AB3" s="174" t="s">
        <v>492</v>
      </c>
      <c r="AC3" s="186"/>
      <c r="AD3" s="188"/>
      <c r="AE3" s="188"/>
      <c r="AF3" s="188"/>
      <c r="AG3" s="188"/>
      <c r="AH3" s="188"/>
      <c r="AI3" s="188"/>
      <c r="AJ3" s="188"/>
      <c r="AK3" s="188"/>
      <c r="AL3" s="188"/>
      <c r="AO3" s="188"/>
    </row>
    <row r="4" spans="1:41" ht="11.25" customHeight="1" x14ac:dyDescent="0.25">
      <c r="A4" s="176"/>
      <c r="B4" s="176"/>
      <c r="C4" s="176"/>
      <c r="D4" s="176"/>
      <c r="E4" s="176"/>
      <c r="F4" s="176"/>
      <c r="G4" s="176"/>
      <c r="H4" s="176"/>
      <c r="I4" s="176"/>
      <c r="J4" s="155"/>
      <c r="L4" s="102" t="s">
        <v>486</v>
      </c>
      <c r="M4" s="102" t="s">
        <v>512</v>
      </c>
      <c r="N4" s="102" t="s">
        <v>513</v>
      </c>
      <c r="O4" s="102" t="s">
        <v>572</v>
      </c>
      <c r="P4" s="102" t="s">
        <v>514</v>
      </c>
      <c r="Q4" s="102" t="s">
        <v>492</v>
      </c>
      <c r="R4" s="102" t="s">
        <v>516</v>
      </c>
      <c r="S4" s="102" t="s">
        <v>492</v>
      </c>
      <c r="T4" s="102" t="s">
        <v>517</v>
      </c>
      <c r="U4" s="102" t="s">
        <v>518</v>
      </c>
      <c r="V4" s="102" t="s">
        <v>519</v>
      </c>
      <c r="W4" s="102" t="s">
        <v>492</v>
      </c>
      <c r="X4" s="102" t="s">
        <v>504</v>
      </c>
      <c r="Y4" s="102" t="s">
        <v>492</v>
      </c>
      <c r="Z4" s="102" t="s">
        <v>520</v>
      </c>
      <c r="AA4" s="102" t="s">
        <v>492</v>
      </c>
      <c r="AB4" s="175"/>
      <c r="AC4" s="186"/>
      <c r="AD4" s="188"/>
      <c r="AE4" s="188"/>
      <c r="AF4" s="188"/>
      <c r="AG4" s="188"/>
      <c r="AH4" s="188"/>
      <c r="AI4" s="188"/>
      <c r="AJ4" s="188"/>
      <c r="AK4" s="188"/>
      <c r="AL4" s="188"/>
      <c r="AO4" s="188"/>
    </row>
    <row r="5" spans="1:41" ht="11.25" customHeight="1" x14ac:dyDescent="0.25">
      <c r="A5" s="177" t="s">
        <v>38</v>
      </c>
      <c r="B5" s="177" t="s">
        <v>77</v>
      </c>
      <c r="C5" s="177" t="s">
        <v>25</v>
      </c>
      <c r="D5" s="177" t="s">
        <v>25</v>
      </c>
      <c r="E5" s="177" t="s">
        <v>25</v>
      </c>
      <c r="F5" s="177" t="s">
        <v>25</v>
      </c>
      <c r="G5" s="66" t="s">
        <v>79</v>
      </c>
      <c r="H5" s="66" t="s">
        <v>78</v>
      </c>
      <c r="I5" s="66">
        <f>'MERCADO TE'!$U$2</f>
        <v>1223.6420000000003</v>
      </c>
      <c r="J5" s="16"/>
      <c r="L5" s="64">
        <f>'TE BE'!$L$5*'TE BE'!$L$50</f>
        <v>-1.2022774158140397E-7</v>
      </c>
      <c r="M5" s="64">
        <f>'TE BE'!$M$5*'TE BE'!$M$50</f>
        <v>0</v>
      </c>
      <c r="N5" s="64">
        <f>'TE BE'!$N$5*'TE BE'!$N$50</f>
        <v>0</v>
      </c>
      <c r="O5" s="64">
        <f>'TE BE'!$O$5*'TE BE'!$O$50</f>
        <v>-0.69273438015853928</v>
      </c>
      <c r="P5" s="64">
        <f>'TE BE'!$P$5*'TE BE'!$P$50</f>
        <v>0</v>
      </c>
      <c r="Q5" s="64">
        <f>SUM($L$5:$P$5)</f>
        <v>-0.69273450038628082</v>
      </c>
      <c r="R5" s="64">
        <f>'TE BE'!$R$5*'TE BE'!$R$50</f>
        <v>1.6447316822454645</v>
      </c>
      <c r="S5" s="64">
        <f>SUM($R$5:$R$5)</f>
        <v>1.6447316822454645</v>
      </c>
      <c r="T5" s="64">
        <f>'TE BE'!$T$5*'TE BE'!$T$50</f>
        <v>0</v>
      </c>
      <c r="U5" s="64">
        <f>'TE BE'!$U$5*'TE BE'!$U$50</f>
        <v>0</v>
      </c>
      <c r="V5" s="64">
        <f>'TE BE'!$V$5*'TE BE'!$V$50</f>
        <v>0</v>
      </c>
      <c r="W5" s="64">
        <f>SUM($T$5:$V$5)</f>
        <v>0</v>
      </c>
      <c r="X5" s="64">
        <f>'TE BE'!$AB$5*'TE BE'!$X$50</f>
        <v>-82.272278343634838</v>
      </c>
      <c r="Y5" s="64">
        <f>SUM($X$5:$X$5)</f>
        <v>-82.272278343634838</v>
      </c>
      <c r="Z5" s="64">
        <f>'TE BE'!$Z$5*'TE BE'!$Z$50</f>
        <v>0</v>
      </c>
      <c r="AA5" s="64">
        <f>SUM($Z$5:$Z$5)</f>
        <v>0</v>
      </c>
      <c r="AB5" s="64">
        <f ca="1">SUMIF($L$4:$AA$4,"SUBTOTAL",$L$5:$AA$5)+AL5</f>
        <v>-81.320281161775654</v>
      </c>
      <c r="AC5" s="9" t="str">
        <f t="shared" ref="AC5:AC43" si="0">IF($A5="",AC4,$A5)</f>
        <v>A4</v>
      </c>
      <c r="AD5" s="9" t="str">
        <f t="shared" ref="AD5:AD43" si="1">IF($B5="",AD4,$B5)</f>
        <v>Energia horária</v>
      </c>
      <c r="AE5" s="9" t="str">
        <f t="shared" ref="AE5:AE43" si="2">IF($C5="",AE4,$C5)</f>
        <v>Não se aplica</v>
      </c>
      <c r="AF5" s="9" t="str">
        <f t="shared" ref="AF5:AF43" si="3">IF($D5="",AF4,$D5)</f>
        <v>Não se aplica</v>
      </c>
      <c r="AG5" s="9" t="str">
        <f t="shared" ref="AG5:AG43" si="4">IF($E5="",AG4,$E5)</f>
        <v>Não se aplica</v>
      </c>
      <c r="AH5" s="9">
        <v>1</v>
      </c>
      <c r="AI5" s="9">
        <f ca="1">IFERROR(VLOOKUP(AC5,TarifaMedia!$C$18:$G$18,5,0),0)</f>
        <v>0</v>
      </c>
      <c r="AJ5" s="16">
        <f>'TE BE'!$AB5+'TE BF'!$AB5+'TE CVA'!$AB5</f>
        <v>398.01664046087393</v>
      </c>
      <c r="AK5" s="9">
        <v>393.63</v>
      </c>
      <c r="AL5" s="9">
        <f t="shared" ref="AL5:AL43" ca="1" si="5">(AK5-AJ5)*AI5*AH5</f>
        <v>0</v>
      </c>
      <c r="AO5" s="106" t="s">
        <v>1174</v>
      </c>
    </row>
    <row r="6" spans="1:41" ht="11.25" customHeight="1" x14ac:dyDescent="0.25">
      <c r="A6" s="177"/>
      <c r="B6" s="177"/>
      <c r="C6" s="177"/>
      <c r="D6" s="177"/>
      <c r="E6" s="177"/>
      <c r="F6" s="177"/>
      <c r="G6" s="66" t="s">
        <v>80</v>
      </c>
      <c r="H6" s="66" t="s">
        <v>78</v>
      </c>
      <c r="I6" s="66">
        <f>'MERCADO TE'!$U$3</f>
        <v>15134.961000000001</v>
      </c>
      <c r="J6" s="16"/>
      <c r="L6" s="64">
        <f>'TE BE'!$L$6*'TE BE'!$L$50</f>
        <v>-1.2022774158140397E-7</v>
      </c>
      <c r="M6" s="64">
        <f>'TE BE'!$M$6*'TE BE'!$M$50</f>
        <v>0</v>
      </c>
      <c r="N6" s="64">
        <f>'TE BE'!$N$6*'TE BE'!$N$50</f>
        <v>0</v>
      </c>
      <c r="O6" s="64">
        <f>'TE BE'!$O$6*'TE BE'!$O$50</f>
        <v>-0.69273438015853928</v>
      </c>
      <c r="P6" s="64">
        <f>'TE BE'!$P$6*'TE BE'!$P$50</f>
        <v>0</v>
      </c>
      <c r="Q6" s="64">
        <f>SUM($L$6:$P$6)</f>
        <v>-0.69273450038628082</v>
      </c>
      <c r="R6" s="64">
        <f>'TE BE'!$R$6*'TE BE'!$R$50</f>
        <v>0.95623935014271189</v>
      </c>
      <c r="S6" s="64">
        <f>SUM($R$6:$R$6)</f>
        <v>0.95623935014271189</v>
      </c>
      <c r="T6" s="64">
        <f>'TE BE'!$T$6*'TE BE'!$T$50</f>
        <v>0</v>
      </c>
      <c r="U6" s="64">
        <f>'TE BE'!$U$6*'TE BE'!$U$50</f>
        <v>0</v>
      </c>
      <c r="V6" s="64">
        <f>'TE BE'!$V$6*'TE BE'!$V$50</f>
        <v>0</v>
      </c>
      <c r="W6" s="64">
        <f>SUM($T$6:$V$6)</f>
        <v>0</v>
      </c>
      <c r="X6" s="64">
        <f>'TE BE'!$AB$6*'TE BE'!$X$50</f>
        <v>-48.70184209063234</v>
      </c>
      <c r="Y6" s="64">
        <f>SUM($X$6:$X$6)</f>
        <v>-48.70184209063234</v>
      </c>
      <c r="Z6" s="64">
        <f>'TE BE'!$Z$6*'TE BE'!$Z$50</f>
        <v>0</v>
      </c>
      <c r="AA6" s="64">
        <f>SUM($Z$6:$Z$6)</f>
        <v>0</v>
      </c>
      <c r="AB6" s="64">
        <f ca="1">SUMIF($L$4:$AA$4,"SUBTOTAL",$L$6:$AA$6)+AL6</f>
        <v>-48.43833724087591</v>
      </c>
      <c r="AC6" s="9" t="str">
        <f t="shared" si="0"/>
        <v>A4</v>
      </c>
      <c r="AD6" s="9" t="str">
        <f t="shared" si="1"/>
        <v>Energia horária</v>
      </c>
      <c r="AE6" s="9" t="str">
        <f t="shared" si="2"/>
        <v>Não se aplica</v>
      </c>
      <c r="AF6" s="9" t="str">
        <f t="shared" si="3"/>
        <v>Não se aplica</v>
      </c>
      <c r="AG6" s="9" t="str">
        <f t="shared" si="4"/>
        <v>Não se aplica</v>
      </c>
      <c r="AH6" s="9">
        <v>1</v>
      </c>
      <c r="AI6" s="9">
        <f ca="1">IFERROR(VLOOKUP(AC6,TarifaMedia!$C$18:$G$18,5,0),0)</f>
        <v>0</v>
      </c>
      <c r="AJ6" s="16">
        <f>'TE BE'!$AB6+'TE BF'!$AB6+'TE CVA'!$AB6</f>
        <v>235.33989117487977</v>
      </c>
      <c r="AK6" s="9">
        <v>249.61</v>
      </c>
      <c r="AL6" s="9">
        <f t="shared" ca="1" si="5"/>
        <v>0</v>
      </c>
      <c r="AO6" s="106" t="s">
        <v>1175</v>
      </c>
    </row>
    <row r="7" spans="1:41" ht="11.25" customHeight="1" x14ac:dyDescent="0.25">
      <c r="A7" s="177"/>
      <c r="B7" s="101" t="s">
        <v>81</v>
      </c>
      <c r="C7" s="101" t="s">
        <v>25</v>
      </c>
      <c r="D7" s="101" t="s">
        <v>25</v>
      </c>
      <c r="E7" s="101" t="s">
        <v>25</v>
      </c>
      <c r="F7" s="101" t="s">
        <v>25</v>
      </c>
      <c r="G7" s="66" t="s">
        <v>82</v>
      </c>
      <c r="H7" s="66" t="s">
        <v>78</v>
      </c>
      <c r="I7" s="66">
        <f>'MERCADO TE'!$U$4</f>
        <v>0</v>
      </c>
      <c r="J7" s="16"/>
      <c r="L7" s="64">
        <f>'TE BE'!$L$7*'TE BE'!$L$50</f>
        <v>-1.2022774158140397E-7</v>
      </c>
      <c r="M7" s="64">
        <f>'TE BE'!$M$7*'TE BE'!$M$50</f>
        <v>0</v>
      </c>
      <c r="N7" s="64">
        <f>'TE BE'!$N$7*'TE BE'!$N$50</f>
        <v>0</v>
      </c>
      <c r="O7" s="64">
        <f>'TE BE'!$O$7*'TE BE'!$O$50</f>
        <v>-0.69273438015853928</v>
      </c>
      <c r="P7" s="64">
        <f>'TE BE'!$P$7*'TE BE'!$P$50</f>
        <v>0</v>
      </c>
      <c r="Q7" s="64">
        <f>SUM($L$7:$P$7)</f>
        <v>-0.69273450038628082</v>
      </c>
      <c r="R7" s="64">
        <f>'TE BE'!$R$7*'TE BE'!$R$50</f>
        <v>1.0136137111512746</v>
      </c>
      <c r="S7" s="64">
        <f>SUM($R$7:$R$7)</f>
        <v>1.0136137111512746</v>
      </c>
      <c r="T7" s="64">
        <f>'TE BE'!$T$7*'TE BE'!$T$50</f>
        <v>0</v>
      </c>
      <c r="U7" s="64">
        <f>'TE BE'!$U$7*'TE BE'!$U$50</f>
        <v>0</v>
      </c>
      <c r="V7" s="64">
        <f>'TE BE'!$V$7*'TE BE'!$V$50</f>
        <v>0</v>
      </c>
      <c r="W7" s="64">
        <f>SUM($T$7:$V$7)</f>
        <v>0</v>
      </c>
      <c r="X7" s="64">
        <f>'TE BE'!$AB$7*'TE BE'!$X$50</f>
        <v>-51.499378445049217</v>
      </c>
      <c r="Y7" s="64">
        <f>SUM($X$7:$X$7)</f>
        <v>-51.499378445049217</v>
      </c>
      <c r="Z7" s="64">
        <f>'TE BE'!$Z$7*'TE BE'!$Z$50</f>
        <v>0</v>
      </c>
      <c r="AA7" s="64">
        <f>SUM($Z$7:$Z$7)</f>
        <v>0</v>
      </c>
      <c r="AB7" s="64">
        <f ca="1">SUMIF($L$4:$AA$4,"SUBTOTAL",$L$7:$AA$7)+AL7</f>
        <v>-51.178499234284224</v>
      </c>
      <c r="AC7" s="9" t="str">
        <f t="shared" si="0"/>
        <v>A4</v>
      </c>
      <c r="AD7" s="9" t="str">
        <f t="shared" si="1"/>
        <v>Energia convencional</v>
      </c>
      <c r="AE7" s="9" t="str">
        <f t="shared" si="2"/>
        <v>Não se aplica</v>
      </c>
      <c r="AF7" s="9" t="str">
        <f t="shared" si="3"/>
        <v>Não se aplica</v>
      </c>
      <c r="AG7" s="9" t="str">
        <f t="shared" si="4"/>
        <v>Não se aplica</v>
      </c>
      <c r="AH7" s="9">
        <v>1</v>
      </c>
      <c r="AI7" s="9">
        <f ca="1">IFERROR(VLOOKUP(AC7,TarifaMedia!$C$18:$G$18,5,0),0)</f>
        <v>0</v>
      </c>
      <c r="AJ7" s="16">
        <f>'TE BE'!$AB7+'TE BF'!$AB7+'TE CVA'!$AB7</f>
        <v>248.89628694871266</v>
      </c>
      <c r="AK7" s="9">
        <v>0</v>
      </c>
      <c r="AL7" s="9">
        <f t="shared" ca="1" si="5"/>
        <v>0</v>
      </c>
      <c r="AO7" s="106" t="s">
        <v>1176</v>
      </c>
    </row>
    <row r="8" spans="1:41" ht="11.25" customHeight="1" x14ac:dyDescent="0.25">
      <c r="A8" s="177"/>
      <c r="B8" s="101" t="s">
        <v>87</v>
      </c>
      <c r="C8" s="101" t="s">
        <v>25</v>
      </c>
      <c r="D8" s="101" t="s">
        <v>25</v>
      </c>
      <c r="E8" s="101" t="s">
        <v>88</v>
      </c>
      <c r="F8" s="101" t="s">
        <v>25</v>
      </c>
      <c r="G8" s="66" t="s">
        <v>82</v>
      </c>
      <c r="H8" s="66" t="s">
        <v>78</v>
      </c>
      <c r="I8" s="66">
        <f>'MERCADO TE'!$U$5</f>
        <v>0</v>
      </c>
      <c r="J8" s="16"/>
      <c r="L8" s="64">
        <f>'TE BE'!$L$8*'TE BE'!$L$50</f>
        <v>-1.2022774158140397E-7</v>
      </c>
      <c r="M8" s="64">
        <f>'TE BE'!$M$8*'TE BE'!$M$50</f>
        <v>0</v>
      </c>
      <c r="N8" s="64">
        <f>'TE BE'!$N$8*'TE BE'!$N$50</f>
        <v>0</v>
      </c>
      <c r="O8" s="64">
        <f>'TE BE'!$O$8*'TE BE'!$O$50</f>
        <v>-0.69273438015853928</v>
      </c>
      <c r="P8" s="64">
        <f>'TE BE'!$P$8*'TE BE'!$P$50</f>
        <v>0</v>
      </c>
      <c r="Q8" s="64">
        <f>SUM($L$8:$P$8)</f>
        <v>-0.69273450038628082</v>
      </c>
      <c r="R8" s="64">
        <f>'TE BE'!$R$8*'TE BE'!$R$50</f>
        <v>1.0054354314710434</v>
      </c>
      <c r="S8" s="64">
        <f>SUM($R$8:$R$8)</f>
        <v>1.0054354314710434</v>
      </c>
      <c r="T8" s="64">
        <f>'TE BE'!$T$8*'TE BE'!$T$50</f>
        <v>0</v>
      </c>
      <c r="U8" s="64">
        <f>'TE BE'!$U$8*'TE BE'!$U$50</f>
        <v>0</v>
      </c>
      <c r="V8" s="64">
        <f>'TE BE'!$V$8*'TE BE'!$V$50</f>
        <v>0</v>
      </c>
      <c r="W8" s="64">
        <f>SUM($T$8:$V$8)</f>
        <v>0</v>
      </c>
      <c r="X8" s="64">
        <v>0</v>
      </c>
      <c r="Y8" s="64">
        <f>SUM($X$8:$X$8)</f>
        <v>0</v>
      </c>
      <c r="Z8" s="64">
        <f>'TE BE'!$Z$8*'TE BE'!$Z$50</f>
        <v>0</v>
      </c>
      <c r="AA8" s="64">
        <f>SUM($Z$8:$Z$8)</f>
        <v>0</v>
      </c>
      <c r="AB8" s="64">
        <f ca="1">SUMIF($L$4:$AA$4,"SUBTOTAL",$L$8:$AA$8)+AL8</f>
        <v>0.3127009310847626</v>
      </c>
      <c r="AC8" s="9" t="str">
        <f t="shared" si="0"/>
        <v>A4</v>
      </c>
      <c r="AD8" s="9" t="str">
        <f t="shared" si="1"/>
        <v>Energia suprimento permissionária</v>
      </c>
      <c r="AE8" s="9" t="str">
        <f t="shared" si="2"/>
        <v>Não se aplica</v>
      </c>
      <c r="AF8" s="9" t="str">
        <f t="shared" si="3"/>
        <v>Não se aplica</v>
      </c>
      <c r="AG8" s="9" t="str">
        <f t="shared" si="4"/>
        <v>&lt;500GWh</v>
      </c>
      <c r="AH8" s="9">
        <v>1</v>
      </c>
      <c r="AI8" s="9">
        <f ca="1">IFERROR(VLOOKUP(AC8,TarifaMedia!$C$18:$G$18,5,0),0)</f>
        <v>0</v>
      </c>
      <c r="AJ8" s="16">
        <f>'TE BE'!$AB8+'TE BF'!$AB8+'TE CVA'!$AB8</f>
        <v>298.06453649811482</v>
      </c>
      <c r="AK8" s="9">
        <v>273.92</v>
      </c>
      <c r="AL8" s="9">
        <f t="shared" ca="1" si="5"/>
        <v>0</v>
      </c>
      <c r="AO8" s="106" t="s">
        <v>1177</v>
      </c>
    </row>
    <row r="9" spans="1:41" ht="11.25" customHeight="1" x14ac:dyDescent="0.25">
      <c r="A9" s="177" t="s">
        <v>22</v>
      </c>
      <c r="B9" s="177" t="s">
        <v>77</v>
      </c>
      <c r="C9" s="177" t="s">
        <v>24</v>
      </c>
      <c r="D9" s="177" t="s">
        <v>24</v>
      </c>
      <c r="E9" s="177" t="s">
        <v>25</v>
      </c>
      <c r="F9" s="177" t="s">
        <v>25</v>
      </c>
      <c r="G9" s="66" t="s">
        <v>79</v>
      </c>
      <c r="H9" s="66" t="s">
        <v>78</v>
      </c>
      <c r="I9" s="66">
        <f>'MERCADO TE'!$U$6</f>
        <v>2.7580000000000005</v>
      </c>
      <c r="J9" s="16"/>
      <c r="L9" s="64">
        <f>'TE BE'!$L$9*'TE BE'!$L$50</f>
        <v>-1.2022774158140397E-7</v>
      </c>
      <c r="M9" s="64">
        <f>'TE BE'!$M$9*'TE BE'!$M$50</f>
        <v>0</v>
      </c>
      <c r="N9" s="64">
        <f>'TE BE'!$N$9*'TE BE'!$N$50</f>
        <v>0</v>
      </c>
      <c r="O9" s="64">
        <f>'TE BE'!$O$9*'TE BE'!$O$50</f>
        <v>-0.69273438015853928</v>
      </c>
      <c r="P9" s="64">
        <f>'TE BE'!$P$9*'TE BE'!$P$50</f>
        <v>0</v>
      </c>
      <c r="Q9" s="64">
        <f>SUM($L$9:$P$9)</f>
        <v>-0.69273450038628082</v>
      </c>
      <c r="R9" s="64">
        <f>'TE BE'!$R$9*'TE BE'!$R$50</f>
        <v>1.6447316822454645</v>
      </c>
      <c r="S9" s="64">
        <f>SUM($R$9:$R$9)</f>
        <v>1.6447316822454645</v>
      </c>
      <c r="T9" s="64">
        <f>'TE BE'!$T$9*'TE BE'!$T$50</f>
        <v>0</v>
      </c>
      <c r="U9" s="64">
        <f>'TE BE'!$U$9*'TE BE'!$U$50</f>
        <v>0</v>
      </c>
      <c r="V9" s="64">
        <f>'TE BE'!$V$9*'TE BE'!$V$50</f>
        <v>0</v>
      </c>
      <c r="W9" s="64">
        <f>SUM($T$9:$V$9)</f>
        <v>0</v>
      </c>
      <c r="X9" s="64">
        <f>'TE BE'!$AB$9*'TE BE'!$X$50</f>
        <v>-82.272278343634838</v>
      </c>
      <c r="Y9" s="64">
        <f>SUM($X$9:$X$9)</f>
        <v>-82.272278343634838</v>
      </c>
      <c r="Z9" s="64">
        <f>'TE BE'!$Z$9*'TE BE'!$Z$50</f>
        <v>0</v>
      </c>
      <c r="AA9" s="64">
        <f>SUM($Z$9:$Z$9)</f>
        <v>0</v>
      </c>
      <c r="AB9" s="64">
        <f ca="1">SUMIF($L$4:$AA$4,"SUBTOTAL",$L$9:$AA$9)+AL9</f>
        <v>-81.320281161775654</v>
      </c>
      <c r="AC9" s="9" t="str">
        <f t="shared" si="0"/>
        <v>B1</v>
      </c>
      <c r="AD9" s="9" t="str">
        <f t="shared" si="1"/>
        <v>Energia horária</v>
      </c>
      <c r="AE9" s="9" t="str">
        <f t="shared" si="2"/>
        <v>Residencial</v>
      </c>
      <c r="AF9" s="9" t="str">
        <f t="shared" si="3"/>
        <v>Residencial</v>
      </c>
      <c r="AG9" s="9" t="str">
        <f t="shared" si="4"/>
        <v>Não se aplica</v>
      </c>
      <c r="AH9" s="9">
        <v>1</v>
      </c>
      <c r="AI9" s="9">
        <f ca="1">TarifaMedia!$G$20</f>
        <v>0</v>
      </c>
      <c r="AJ9" s="16">
        <f>'TE BE'!$AB9+'TE BF'!$AB9+'TE CVA'!$AB9</f>
        <v>398.01664046087393</v>
      </c>
      <c r="AK9" s="9">
        <v>393.63</v>
      </c>
      <c r="AL9" s="9">
        <f t="shared" ca="1" si="5"/>
        <v>0</v>
      </c>
      <c r="AO9" s="106" t="s">
        <v>1178</v>
      </c>
    </row>
    <row r="10" spans="1:41" ht="11.25" customHeight="1" x14ac:dyDescent="0.25">
      <c r="A10" s="177"/>
      <c r="B10" s="177"/>
      <c r="C10" s="177"/>
      <c r="D10" s="177"/>
      <c r="E10" s="177"/>
      <c r="F10" s="177"/>
      <c r="G10" s="66" t="s">
        <v>92</v>
      </c>
      <c r="H10" s="66" t="s">
        <v>78</v>
      </c>
      <c r="I10" s="66">
        <f>'MERCADO TE'!$U$7</f>
        <v>1.9870000000000001</v>
      </c>
      <c r="J10" s="16"/>
      <c r="L10" s="64">
        <f>'TE BE'!$L$10*'TE BE'!$L$50</f>
        <v>-1.2022774158140397E-7</v>
      </c>
      <c r="M10" s="64">
        <f>'TE BE'!$M$10*'TE BE'!$M$50</f>
        <v>0</v>
      </c>
      <c r="N10" s="64">
        <f>'TE BE'!$N$10*'TE BE'!$N$50</f>
        <v>0</v>
      </c>
      <c r="O10" s="64">
        <f>'TE BE'!$O$10*'TE BE'!$O$50</f>
        <v>-0.69273438015853928</v>
      </c>
      <c r="P10" s="64">
        <f>'TE BE'!$P$10*'TE BE'!$P$50</f>
        <v>0</v>
      </c>
      <c r="Q10" s="64">
        <f>SUM($L$10:$P$10)</f>
        <v>-0.69273450038628082</v>
      </c>
      <c r="R10" s="64">
        <f>'TE BE'!$R$10*'TE BE'!$R$50</f>
        <v>0.95623935014271189</v>
      </c>
      <c r="S10" s="64">
        <f>SUM($R$10:$R$10)</f>
        <v>0.95623935014271189</v>
      </c>
      <c r="T10" s="64">
        <f>'TE BE'!$T$10*'TE BE'!$T$50</f>
        <v>0</v>
      </c>
      <c r="U10" s="64">
        <f>'TE BE'!$U$10*'TE BE'!$U$50</f>
        <v>0</v>
      </c>
      <c r="V10" s="64">
        <f>'TE BE'!$V$10*'TE BE'!$V$50</f>
        <v>0</v>
      </c>
      <c r="W10" s="64">
        <f>SUM($T$10:$V$10)</f>
        <v>0</v>
      </c>
      <c r="X10" s="64">
        <f>'TE BE'!$AB$10*'TE BE'!$X$50</f>
        <v>-48.70184209063234</v>
      </c>
      <c r="Y10" s="64">
        <f>SUM($X$10:$X$10)</f>
        <v>-48.70184209063234</v>
      </c>
      <c r="Z10" s="64">
        <f>'TE BE'!$Z$10*'TE BE'!$Z$50</f>
        <v>0</v>
      </c>
      <c r="AA10" s="64">
        <f>SUM($Z$10:$Z$10)</f>
        <v>0</v>
      </c>
      <c r="AB10" s="64">
        <f ca="1">SUMIF($L$4:$AA$4,"SUBTOTAL",$L$10:$AA$10)+AL10</f>
        <v>-48.43833724087591</v>
      </c>
      <c r="AC10" s="9" t="str">
        <f t="shared" si="0"/>
        <v>B1</v>
      </c>
      <c r="AD10" s="9" t="str">
        <f t="shared" si="1"/>
        <v>Energia horária</v>
      </c>
      <c r="AE10" s="9" t="str">
        <f t="shared" si="2"/>
        <v>Residencial</v>
      </c>
      <c r="AF10" s="9" t="str">
        <f t="shared" si="3"/>
        <v>Residencial</v>
      </c>
      <c r="AG10" s="9" t="str">
        <f t="shared" si="4"/>
        <v>Não se aplica</v>
      </c>
      <c r="AH10" s="9">
        <v>1</v>
      </c>
      <c r="AI10" s="9">
        <f ca="1">TarifaMedia!$G$20</f>
        <v>0</v>
      </c>
      <c r="AJ10" s="16">
        <f>'TE BE'!$AB10+'TE BF'!$AB10+'TE CVA'!$AB10</f>
        <v>235.33989117487977</v>
      </c>
      <c r="AK10" s="9">
        <v>249.61</v>
      </c>
      <c r="AL10" s="9">
        <f t="shared" ca="1" si="5"/>
        <v>0</v>
      </c>
      <c r="AO10" s="106" t="s">
        <v>1179</v>
      </c>
    </row>
    <row r="11" spans="1:41" ht="11.25" customHeight="1" x14ac:dyDescent="0.25">
      <c r="A11" s="177"/>
      <c r="B11" s="177"/>
      <c r="C11" s="177"/>
      <c r="D11" s="177"/>
      <c r="E11" s="177"/>
      <c r="F11" s="177"/>
      <c r="G11" s="66" t="s">
        <v>80</v>
      </c>
      <c r="H11" s="66" t="s">
        <v>78</v>
      </c>
      <c r="I11" s="66">
        <f>'MERCADO TE'!$U$8</f>
        <v>16.794</v>
      </c>
      <c r="J11" s="16"/>
      <c r="L11" s="64">
        <f>'TE BE'!$L$11*'TE BE'!$L$50</f>
        <v>-1.2022774158140397E-7</v>
      </c>
      <c r="M11" s="64">
        <f>'TE BE'!$M$11*'TE BE'!$M$50</f>
        <v>0</v>
      </c>
      <c r="N11" s="64">
        <f>'TE BE'!$N$11*'TE BE'!$N$50</f>
        <v>0</v>
      </c>
      <c r="O11" s="64">
        <f>'TE BE'!$O$11*'TE BE'!$O$50</f>
        <v>-0.69273438015853928</v>
      </c>
      <c r="P11" s="64">
        <f>'TE BE'!$P$11*'TE BE'!$P$50</f>
        <v>0</v>
      </c>
      <c r="Q11" s="64">
        <f>SUM($L$11:$P$11)</f>
        <v>-0.69273450038628082</v>
      </c>
      <c r="R11" s="64">
        <f>'TE BE'!$R$11*'TE BE'!$R$50</f>
        <v>0.95623935014271189</v>
      </c>
      <c r="S11" s="64">
        <f>SUM($R$11:$R$11)</f>
        <v>0.95623935014271189</v>
      </c>
      <c r="T11" s="64">
        <f>'TE BE'!$T$11*'TE BE'!$T$50</f>
        <v>0</v>
      </c>
      <c r="U11" s="64">
        <f>'TE BE'!$U$11*'TE BE'!$U$50</f>
        <v>0</v>
      </c>
      <c r="V11" s="64">
        <f>'TE BE'!$V$11*'TE BE'!$V$50</f>
        <v>0</v>
      </c>
      <c r="W11" s="64">
        <f>SUM($T$11:$V$11)</f>
        <v>0</v>
      </c>
      <c r="X11" s="64">
        <f>'TE BE'!$AB$11*'TE BE'!$X$50</f>
        <v>-48.70184209063234</v>
      </c>
      <c r="Y11" s="64">
        <f>SUM($X$11:$X$11)</f>
        <v>-48.70184209063234</v>
      </c>
      <c r="Z11" s="64">
        <f>'TE BE'!$Z$11*'TE BE'!$Z$50</f>
        <v>0</v>
      </c>
      <c r="AA11" s="64">
        <f>SUM($Z$11:$Z$11)</f>
        <v>0</v>
      </c>
      <c r="AB11" s="64">
        <f ca="1">SUMIF($L$4:$AA$4,"SUBTOTAL",$L$11:$AA$11)+AL11</f>
        <v>-48.43833724087591</v>
      </c>
      <c r="AC11" s="9" t="str">
        <f t="shared" si="0"/>
        <v>B1</v>
      </c>
      <c r="AD11" s="9" t="str">
        <f t="shared" si="1"/>
        <v>Energia horária</v>
      </c>
      <c r="AE11" s="9" t="str">
        <f t="shared" si="2"/>
        <v>Residencial</v>
      </c>
      <c r="AF11" s="9" t="str">
        <f t="shared" si="3"/>
        <v>Residencial</v>
      </c>
      <c r="AG11" s="9" t="str">
        <f t="shared" si="4"/>
        <v>Não se aplica</v>
      </c>
      <c r="AH11" s="9">
        <v>1</v>
      </c>
      <c r="AI11" s="9">
        <f ca="1">TarifaMedia!$G$20</f>
        <v>0</v>
      </c>
      <c r="AJ11" s="16">
        <f>'TE BE'!$AB11+'TE BF'!$AB11+'TE CVA'!$AB11</f>
        <v>235.33989117487977</v>
      </c>
      <c r="AK11" s="9">
        <v>249.61</v>
      </c>
      <c r="AL11" s="9">
        <f t="shared" ca="1" si="5"/>
        <v>0</v>
      </c>
      <c r="AO11" s="106" t="s">
        <v>1180</v>
      </c>
    </row>
    <row r="12" spans="1:41" ht="11.25" customHeight="1" x14ac:dyDescent="0.25">
      <c r="A12" s="177"/>
      <c r="B12" s="177" t="s">
        <v>81</v>
      </c>
      <c r="C12" s="177" t="s">
        <v>24</v>
      </c>
      <c r="D12" s="101" t="s">
        <v>24</v>
      </c>
      <c r="E12" s="101" t="s">
        <v>25</v>
      </c>
      <c r="F12" s="101" t="s">
        <v>25</v>
      </c>
      <c r="G12" s="66" t="s">
        <v>82</v>
      </c>
      <c r="H12" s="66" t="s">
        <v>78</v>
      </c>
      <c r="I12" s="66">
        <f>'MERCADO TE'!$U$9</f>
        <v>38061.052999999993</v>
      </c>
      <c r="J12" s="16"/>
      <c r="L12" s="64">
        <f>'TE BE'!$L$12*'TE BE'!$L$50</f>
        <v>-1.2022774158140397E-7</v>
      </c>
      <c r="M12" s="64">
        <f>'TE BE'!$M$12*'TE BE'!$M$50</f>
        <v>0</v>
      </c>
      <c r="N12" s="64">
        <f>'TE BE'!$N$12*'TE BE'!$N$50</f>
        <v>0</v>
      </c>
      <c r="O12" s="64">
        <f>'TE BE'!$O$12*'TE BE'!$O$50</f>
        <v>-0.69273438015853928</v>
      </c>
      <c r="P12" s="64">
        <f>'TE BE'!$P$12*'TE BE'!$P$50</f>
        <v>0</v>
      </c>
      <c r="Q12" s="64">
        <f>SUM($L$12:$P$12)</f>
        <v>-0.69273450038628082</v>
      </c>
      <c r="R12" s="64">
        <f>'TE BE'!$R$12*'TE BE'!$R$50</f>
        <v>1.0136137111512746</v>
      </c>
      <c r="S12" s="64">
        <f>SUM($R$12:$R$12)</f>
        <v>1.0136137111512746</v>
      </c>
      <c r="T12" s="64">
        <f>'TE BE'!$T$12*'TE BE'!$T$50</f>
        <v>0</v>
      </c>
      <c r="U12" s="64">
        <f>'TE BE'!$U$12*'TE BE'!$U$50</f>
        <v>0</v>
      </c>
      <c r="V12" s="64">
        <f>'TE BE'!$V$12*'TE BE'!$V$50</f>
        <v>0</v>
      </c>
      <c r="W12" s="64">
        <f>SUM($T$12:$V$12)</f>
        <v>0</v>
      </c>
      <c r="X12" s="64">
        <f>'TE BE'!$AB$12*'TE BE'!$X$50</f>
        <v>-51.499378445049217</v>
      </c>
      <c r="Y12" s="64">
        <f>SUM($X$12:$X$12)</f>
        <v>-51.499378445049217</v>
      </c>
      <c r="Z12" s="64">
        <f>'TE BE'!$Z$12*'TE BE'!$Z$50</f>
        <v>0</v>
      </c>
      <c r="AA12" s="64">
        <f>SUM($Z$12:$Z$12)</f>
        <v>0</v>
      </c>
      <c r="AB12" s="64">
        <f ca="1">SUMIF($L$4:$AA$4,"SUBTOTAL",$L$12:$AA$12)+AL12</f>
        <v>-51.178499234284224</v>
      </c>
      <c r="AC12" s="9" t="str">
        <f t="shared" si="0"/>
        <v>B1</v>
      </c>
      <c r="AD12" s="9" t="str">
        <f t="shared" si="1"/>
        <v>Energia convencional</v>
      </c>
      <c r="AE12" s="9" t="str">
        <f t="shared" si="2"/>
        <v>Residencial</v>
      </c>
      <c r="AF12" s="9" t="str">
        <f t="shared" si="3"/>
        <v>Residencial</v>
      </c>
      <c r="AG12" s="9" t="str">
        <f t="shared" si="4"/>
        <v>Não se aplica</v>
      </c>
      <c r="AH12" s="9">
        <v>1</v>
      </c>
      <c r="AI12" s="9">
        <f ca="1">TarifaMedia!$G$20</f>
        <v>0</v>
      </c>
      <c r="AJ12" s="16">
        <f>'TE BE'!$AB12+'TE BF'!$AB12+'TE CVA'!$AB12</f>
        <v>248.89628694871266</v>
      </c>
      <c r="AK12" s="9">
        <v>261.62</v>
      </c>
      <c r="AL12" s="9">
        <f t="shared" ca="1" si="5"/>
        <v>0</v>
      </c>
      <c r="AO12" s="106" t="s">
        <v>1181</v>
      </c>
    </row>
    <row r="13" spans="1:41" ht="11.25" customHeight="1" x14ac:dyDescent="0.25">
      <c r="A13" s="177"/>
      <c r="B13" s="177"/>
      <c r="C13" s="177"/>
      <c r="D13" s="101" t="s">
        <v>28</v>
      </c>
      <c r="E13" s="101" t="s">
        <v>25</v>
      </c>
      <c r="F13" s="101" t="s">
        <v>25</v>
      </c>
      <c r="G13" s="66" t="s">
        <v>82</v>
      </c>
      <c r="H13" s="66" t="s">
        <v>78</v>
      </c>
      <c r="I13" s="66">
        <f>'MERCADO TE'!$U$10</f>
        <v>264.92899999999997</v>
      </c>
      <c r="J13" s="16"/>
      <c r="L13" s="64">
        <f>'TE BE'!$L$13*'TE BE'!$L$50</f>
        <v>-1.2022774158140397E-7</v>
      </c>
      <c r="M13" s="64">
        <f>'TE BE'!$M$13*'TE BE'!$M$50</f>
        <v>0</v>
      </c>
      <c r="N13" s="64">
        <f>'TE BE'!$N$13*'TE BE'!$N$50</f>
        <v>0</v>
      </c>
      <c r="O13" s="64">
        <f>'TE BE'!$O$13*'TE BE'!$O$50</f>
        <v>-0.69273438015853928</v>
      </c>
      <c r="P13" s="64">
        <f>'TE BE'!$P$13*'TE BE'!$P$50</f>
        <v>0</v>
      </c>
      <c r="Q13" s="64">
        <f>SUM($L$13:$P$13)</f>
        <v>-0.69273450038628082</v>
      </c>
      <c r="R13" s="64">
        <f>'TE BE'!$R$13*'TE BE'!$R$50</f>
        <v>1.0136137111512746</v>
      </c>
      <c r="S13" s="64">
        <f>SUM($R$13:$R$13)</f>
        <v>1.0136137111512746</v>
      </c>
      <c r="T13" s="64">
        <f>'TE BE'!$T$13*'TE BE'!$T$50</f>
        <v>0</v>
      </c>
      <c r="U13" s="64">
        <f>'TE BE'!$U$13*'TE BE'!$U$50</f>
        <v>0</v>
      </c>
      <c r="V13" s="64">
        <f>'TE BE'!$V$13*'TE BE'!$V$50</f>
        <v>0</v>
      </c>
      <c r="W13" s="64">
        <f>SUM($T$13:$V$13)</f>
        <v>0</v>
      </c>
      <c r="X13" s="64">
        <f>'TE BE'!$AB$13*'TE BE'!$X$50</f>
        <v>-51.499378445049217</v>
      </c>
      <c r="Y13" s="64">
        <f>SUM($X$13:$X$13)</f>
        <v>-51.499378445049217</v>
      </c>
      <c r="Z13" s="64">
        <f>'TE BE'!$Z$13*'TE BE'!$Z$50</f>
        <v>0</v>
      </c>
      <c r="AA13" s="64">
        <f>SUM($Z$13:$Z$13)</f>
        <v>0</v>
      </c>
      <c r="AB13" s="64">
        <f ca="1">SUMIF($L$4:$AA$4,"SUBTOTAL",$L$13:$AA$13)+AL13</f>
        <v>-51.178499234284224</v>
      </c>
      <c r="AC13" s="9" t="str">
        <f t="shared" si="0"/>
        <v>B1</v>
      </c>
      <c r="AD13" s="9" t="str">
        <f t="shared" si="1"/>
        <v>Energia convencional</v>
      </c>
      <c r="AE13" s="9" t="str">
        <f t="shared" si="2"/>
        <v>Residencial</v>
      </c>
      <c r="AF13" s="9" t="str">
        <f t="shared" si="3"/>
        <v>Residencial baixa renda – faixa 01</v>
      </c>
      <c r="AG13" s="9" t="str">
        <f t="shared" si="4"/>
        <v>Não se aplica</v>
      </c>
      <c r="AH13" s="9">
        <v>1</v>
      </c>
      <c r="AI13" s="9">
        <f ca="1">TarifaMedia!$G$20</f>
        <v>0</v>
      </c>
      <c r="AJ13" s="16">
        <f>'TE BE'!$AB13+'TE BF'!$AB13+'TE CVA'!$AB13</f>
        <v>248.89628694871266</v>
      </c>
      <c r="AK13" s="9">
        <v>261.62</v>
      </c>
      <c r="AL13" s="9">
        <f t="shared" ca="1" si="5"/>
        <v>0</v>
      </c>
      <c r="AO13" s="106" t="s">
        <v>1182</v>
      </c>
    </row>
    <row r="14" spans="1:41" ht="11.25" customHeight="1" x14ac:dyDescent="0.25">
      <c r="A14" s="177"/>
      <c r="B14" s="177"/>
      <c r="C14" s="177"/>
      <c r="D14" s="101" t="s">
        <v>29</v>
      </c>
      <c r="E14" s="101" t="s">
        <v>25</v>
      </c>
      <c r="F14" s="101" t="s">
        <v>25</v>
      </c>
      <c r="G14" s="66" t="s">
        <v>82</v>
      </c>
      <c r="H14" s="66" t="s">
        <v>78</v>
      </c>
      <c r="I14" s="66">
        <f>'MERCADO TE'!$U$11</f>
        <v>546.98300000000006</v>
      </c>
      <c r="J14" s="16"/>
      <c r="L14" s="64">
        <f>'TE BE'!$L$14*'TE BE'!$L$50</f>
        <v>-1.2022774158140397E-7</v>
      </c>
      <c r="M14" s="64">
        <f>'TE BE'!$M$14*'TE BE'!$M$50</f>
        <v>0</v>
      </c>
      <c r="N14" s="64">
        <f>'TE BE'!$N$14*'TE BE'!$N$50</f>
        <v>0</v>
      </c>
      <c r="O14" s="64">
        <f>'TE BE'!$O$14*'TE BE'!$O$50</f>
        <v>-0.69273438015853928</v>
      </c>
      <c r="P14" s="64">
        <f>'TE BE'!$P$14*'TE BE'!$P$50</f>
        <v>0</v>
      </c>
      <c r="Q14" s="64">
        <f>SUM($L$14:$P$14)</f>
        <v>-0.69273450038628082</v>
      </c>
      <c r="R14" s="64">
        <f>'TE BE'!$R$14*'TE BE'!$R$50</f>
        <v>1.0136137111512746</v>
      </c>
      <c r="S14" s="64">
        <f>SUM($R$14:$R$14)</f>
        <v>1.0136137111512746</v>
      </c>
      <c r="T14" s="64">
        <f>'TE BE'!$T$14*'TE BE'!$T$50</f>
        <v>0</v>
      </c>
      <c r="U14" s="64">
        <f>'TE BE'!$U$14*'TE BE'!$U$50</f>
        <v>0</v>
      </c>
      <c r="V14" s="64">
        <f>'TE BE'!$V$14*'TE BE'!$V$50</f>
        <v>0</v>
      </c>
      <c r="W14" s="64">
        <f>SUM($T$14:$V$14)</f>
        <v>0</v>
      </c>
      <c r="X14" s="64">
        <f>'TE BE'!$AB$14*'TE BE'!$X$50</f>
        <v>-51.499378445049217</v>
      </c>
      <c r="Y14" s="64">
        <f>SUM($X$14:$X$14)</f>
        <v>-51.499378445049217</v>
      </c>
      <c r="Z14" s="64">
        <f>'TE BE'!$Z$14*'TE BE'!$Z$50</f>
        <v>0</v>
      </c>
      <c r="AA14" s="64">
        <f>SUM($Z$14:$Z$14)</f>
        <v>0</v>
      </c>
      <c r="AB14" s="64">
        <f ca="1">SUMIF($L$4:$AA$4,"SUBTOTAL",$L$14:$AA$14)+AL14</f>
        <v>-51.178499234284224</v>
      </c>
      <c r="AC14" s="9" t="str">
        <f t="shared" si="0"/>
        <v>B1</v>
      </c>
      <c r="AD14" s="9" t="str">
        <f t="shared" si="1"/>
        <v>Energia convencional</v>
      </c>
      <c r="AE14" s="9" t="str">
        <f t="shared" si="2"/>
        <v>Residencial</v>
      </c>
      <c r="AF14" s="9" t="str">
        <f t="shared" si="3"/>
        <v>Residencial baixa renda – faixa 02</v>
      </c>
      <c r="AG14" s="9" t="str">
        <f t="shared" si="4"/>
        <v>Não se aplica</v>
      </c>
      <c r="AH14" s="9">
        <v>1</v>
      </c>
      <c r="AI14" s="9">
        <f ca="1">TarifaMedia!$G$20</f>
        <v>0</v>
      </c>
      <c r="AJ14" s="16">
        <f>'TE BE'!$AB14+'TE BF'!$AB14+'TE CVA'!$AB14</f>
        <v>248.89628694871266</v>
      </c>
      <c r="AK14" s="9">
        <v>261.62</v>
      </c>
      <c r="AL14" s="9">
        <f t="shared" ca="1" si="5"/>
        <v>0</v>
      </c>
      <c r="AO14" s="106" t="s">
        <v>1182</v>
      </c>
    </row>
    <row r="15" spans="1:41" ht="11.25" customHeight="1" x14ac:dyDescent="0.25">
      <c r="A15" s="177"/>
      <c r="B15" s="177"/>
      <c r="C15" s="177"/>
      <c r="D15" s="101" t="s">
        <v>30</v>
      </c>
      <c r="E15" s="101" t="s">
        <v>25</v>
      </c>
      <c r="F15" s="101" t="s">
        <v>25</v>
      </c>
      <c r="G15" s="66" t="s">
        <v>82</v>
      </c>
      <c r="H15" s="66" t="s">
        <v>78</v>
      </c>
      <c r="I15" s="66">
        <f>'MERCADO TE'!$U$12</f>
        <v>480.18299999999999</v>
      </c>
      <c r="J15" s="16"/>
      <c r="L15" s="64">
        <f>'TE BE'!$L$15*'TE BE'!$L$50</f>
        <v>-1.2022774158140397E-7</v>
      </c>
      <c r="M15" s="64">
        <f>'TE BE'!$M$15*'TE BE'!$M$50</f>
        <v>0</v>
      </c>
      <c r="N15" s="64">
        <f>'TE BE'!$N$15*'TE BE'!$N$50</f>
        <v>0</v>
      </c>
      <c r="O15" s="64">
        <f>'TE BE'!$O$15*'TE BE'!$O$50</f>
        <v>-0.69273438015853928</v>
      </c>
      <c r="P15" s="64">
        <f>'TE BE'!$P$15*'TE BE'!$P$50</f>
        <v>0</v>
      </c>
      <c r="Q15" s="64">
        <f>SUM($L$15:$P$15)</f>
        <v>-0.69273450038628082</v>
      </c>
      <c r="R15" s="64">
        <f>'TE BE'!$R$15*'TE BE'!$R$50</f>
        <v>1.0136137111512746</v>
      </c>
      <c r="S15" s="64">
        <f>SUM($R$15:$R$15)</f>
        <v>1.0136137111512746</v>
      </c>
      <c r="T15" s="64">
        <f>'TE BE'!$T$15*'TE BE'!$T$50</f>
        <v>0</v>
      </c>
      <c r="U15" s="64">
        <f>'TE BE'!$U$15*'TE BE'!$U$50</f>
        <v>0</v>
      </c>
      <c r="V15" s="64">
        <f>'TE BE'!$V$15*'TE BE'!$V$50</f>
        <v>0</v>
      </c>
      <c r="W15" s="64">
        <f>SUM($T$15:$V$15)</f>
        <v>0</v>
      </c>
      <c r="X15" s="64">
        <f>'TE BE'!$AB$15*'TE BE'!$X$50</f>
        <v>-51.499378445049217</v>
      </c>
      <c r="Y15" s="64">
        <f>SUM($X$15:$X$15)</f>
        <v>-51.499378445049217</v>
      </c>
      <c r="Z15" s="64">
        <f>'TE BE'!$Z$15*'TE BE'!$Z$50</f>
        <v>0</v>
      </c>
      <c r="AA15" s="64">
        <f>SUM($Z$15:$Z$15)</f>
        <v>0</v>
      </c>
      <c r="AB15" s="64">
        <f ca="1">SUMIF($L$4:$AA$4,"SUBTOTAL",$L$15:$AA$15)+AL15</f>
        <v>-51.178499234284224</v>
      </c>
      <c r="AC15" s="9" t="str">
        <f t="shared" si="0"/>
        <v>B1</v>
      </c>
      <c r="AD15" s="9" t="str">
        <f t="shared" si="1"/>
        <v>Energia convencional</v>
      </c>
      <c r="AE15" s="9" t="str">
        <f t="shared" si="2"/>
        <v>Residencial</v>
      </c>
      <c r="AF15" s="9" t="str">
        <f t="shared" si="3"/>
        <v>Residencial baixa renda – faixa 03</v>
      </c>
      <c r="AG15" s="9" t="str">
        <f t="shared" si="4"/>
        <v>Não se aplica</v>
      </c>
      <c r="AH15" s="9">
        <v>1</v>
      </c>
      <c r="AI15" s="9">
        <f ca="1">TarifaMedia!$G$20</f>
        <v>0</v>
      </c>
      <c r="AJ15" s="16">
        <f>'TE BE'!$AB15+'TE BF'!$AB15+'TE CVA'!$AB15</f>
        <v>248.89628694871266</v>
      </c>
      <c r="AK15" s="9">
        <v>261.62</v>
      </c>
      <c r="AL15" s="9">
        <f t="shared" ca="1" si="5"/>
        <v>0</v>
      </c>
      <c r="AO15" s="106" t="s">
        <v>1182</v>
      </c>
    </row>
    <row r="16" spans="1:41" ht="11.25" customHeight="1" x14ac:dyDescent="0.25">
      <c r="A16" s="177"/>
      <c r="B16" s="177"/>
      <c r="C16" s="177"/>
      <c r="D16" s="101" t="s">
        <v>31</v>
      </c>
      <c r="E16" s="101" t="s">
        <v>25</v>
      </c>
      <c r="F16" s="101" t="s">
        <v>25</v>
      </c>
      <c r="G16" s="66" t="s">
        <v>82</v>
      </c>
      <c r="H16" s="66" t="s">
        <v>78</v>
      </c>
      <c r="I16" s="66">
        <f>'MERCADO TE'!$U$13</f>
        <v>145.91099999999997</v>
      </c>
      <c r="J16" s="16"/>
      <c r="L16" s="64">
        <f>'TE BE'!$L$16*'TE BE'!$L$50</f>
        <v>-1.2022774158140397E-7</v>
      </c>
      <c r="M16" s="64">
        <f>'TE BE'!$M$16*'TE BE'!$M$50</f>
        <v>0</v>
      </c>
      <c r="N16" s="64">
        <f>'TE BE'!$N$16*'TE BE'!$N$50</f>
        <v>0</v>
      </c>
      <c r="O16" s="64">
        <f>'TE BE'!$O$16*'TE BE'!$O$50</f>
        <v>-0.69273438015853928</v>
      </c>
      <c r="P16" s="64">
        <f>'TE BE'!$P$16*'TE BE'!$P$50</f>
        <v>0</v>
      </c>
      <c r="Q16" s="64">
        <f>SUM($L$16:$P$16)</f>
        <v>-0.69273450038628082</v>
      </c>
      <c r="R16" s="64">
        <f>'TE BE'!$R$16*'TE BE'!$R$50</f>
        <v>1.0136137111512746</v>
      </c>
      <c r="S16" s="64">
        <f>SUM($R$16:$R$16)</f>
        <v>1.0136137111512746</v>
      </c>
      <c r="T16" s="64">
        <f>'TE BE'!$T$16*'TE BE'!$T$50</f>
        <v>0</v>
      </c>
      <c r="U16" s="64">
        <f>'TE BE'!$U$16*'TE BE'!$U$50</f>
        <v>0</v>
      </c>
      <c r="V16" s="64">
        <f>'TE BE'!$V$16*'TE BE'!$V$50</f>
        <v>0</v>
      </c>
      <c r="W16" s="64">
        <f>SUM($T$16:$V$16)</f>
        <v>0</v>
      </c>
      <c r="X16" s="64">
        <f>'TE BE'!$AB$16*'TE BE'!$X$50</f>
        <v>-51.499378445049217</v>
      </c>
      <c r="Y16" s="64">
        <f>SUM($X$16:$X$16)</f>
        <v>-51.499378445049217</v>
      </c>
      <c r="Z16" s="64">
        <f>'TE BE'!$Z$16*'TE BE'!$Z$50</f>
        <v>0</v>
      </c>
      <c r="AA16" s="64">
        <f>SUM($Z$16:$Z$16)</f>
        <v>0</v>
      </c>
      <c r="AB16" s="64">
        <f ca="1">SUMIF($L$4:$AA$4,"SUBTOTAL",$L$16:$AA$16)+AL16</f>
        <v>-51.178499234284224</v>
      </c>
      <c r="AC16" s="9" t="str">
        <f t="shared" si="0"/>
        <v>B1</v>
      </c>
      <c r="AD16" s="9" t="str">
        <f t="shared" si="1"/>
        <v>Energia convencional</v>
      </c>
      <c r="AE16" s="9" t="str">
        <f t="shared" si="2"/>
        <v>Residencial</v>
      </c>
      <c r="AF16" s="9" t="str">
        <f t="shared" si="3"/>
        <v>Residencial baixa renda – faixa 04</v>
      </c>
      <c r="AG16" s="9" t="str">
        <f t="shared" si="4"/>
        <v>Não se aplica</v>
      </c>
      <c r="AH16" s="9">
        <v>1</v>
      </c>
      <c r="AI16" s="9">
        <f ca="1">TarifaMedia!$G$20</f>
        <v>0</v>
      </c>
      <c r="AJ16" s="16">
        <f>'TE BE'!$AB16+'TE BF'!$AB16+'TE CVA'!$AB16</f>
        <v>248.89628694871266</v>
      </c>
      <c r="AK16" s="9">
        <v>261.62</v>
      </c>
      <c r="AL16" s="9">
        <f t="shared" ca="1" si="5"/>
        <v>0</v>
      </c>
      <c r="AO16" s="106" t="s">
        <v>1182</v>
      </c>
    </row>
    <row r="17" spans="1:41" ht="11.25" customHeight="1" x14ac:dyDescent="0.25">
      <c r="A17" s="177"/>
      <c r="B17" s="177" t="s">
        <v>93</v>
      </c>
      <c r="C17" s="177" t="s">
        <v>24</v>
      </c>
      <c r="D17" s="101" t="s">
        <v>24</v>
      </c>
      <c r="E17" s="101" t="s">
        <v>25</v>
      </c>
      <c r="F17" s="101" t="s">
        <v>25</v>
      </c>
      <c r="G17" s="66" t="s">
        <v>82</v>
      </c>
      <c r="H17" s="66" t="s">
        <v>78</v>
      </c>
      <c r="I17" s="66">
        <f>'MERCADO TE'!$U$14</f>
        <v>0</v>
      </c>
      <c r="J17" s="16"/>
      <c r="L17" s="64">
        <f>'TE BE'!$L$17*'TE BE'!$L$50</f>
        <v>-1.2022774158140397E-7</v>
      </c>
      <c r="M17" s="64">
        <f>'TE BE'!$M$17*'TE BE'!$M$50</f>
        <v>0</v>
      </c>
      <c r="N17" s="64">
        <f>'TE BE'!$N$17*'TE BE'!$N$50</f>
        <v>0</v>
      </c>
      <c r="O17" s="64">
        <f>'TE BE'!$O$17*'TE BE'!$O$50</f>
        <v>-0.69273438015853928</v>
      </c>
      <c r="P17" s="64">
        <f>'TE BE'!$P$17*'TE BE'!$P$50</f>
        <v>0</v>
      </c>
      <c r="Q17" s="64">
        <f>SUM($L$17:$P$17)</f>
        <v>-0.69273450038628082</v>
      </c>
      <c r="R17" s="64">
        <f>'TE BE'!$R$17*'TE BE'!$R$50</f>
        <v>1.0136137111512746</v>
      </c>
      <c r="S17" s="64">
        <f>SUM($R$17:$R$17)</f>
        <v>1.0136137111512746</v>
      </c>
      <c r="T17" s="64">
        <f>'TE BE'!$T$17*'TE BE'!$T$50</f>
        <v>0</v>
      </c>
      <c r="U17" s="64">
        <f>'TE BE'!$U$17*'TE BE'!$U$50</f>
        <v>0</v>
      </c>
      <c r="V17" s="64">
        <f>'TE BE'!$V$17*'TE BE'!$V$50</f>
        <v>0</v>
      </c>
      <c r="W17" s="64">
        <f>SUM($T$17:$V$17)</f>
        <v>0</v>
      </c>
      <c r="X17" s="64">
        <f>'TE BE'!$AB$17*'TE BE'!$X$50</f>
        <v>-51.499378445049217</v>
      </c>
      <c r="Y17" s="64">
        <f>SUM($X$17:$X$17)</f>
        <v>-51.499378445049217</v>
      </c>
      <c r="Z17" s="64">
        <f>'TE BE'!$Z$17*'TE BE'!$Z$50</f>
        <v>0</v>
      </c>
      <c r="AA17" s="64">
        <f>SUM($Z$17:$Z$17)</f>
        <v>0</v>
      </c>
      <c r="AB17" s="64">
        <f ca="1">SUMIF($L$4:$AA$4,"SUBTOTAL",$L$17:$AA$17)+AL17</f>
        <v>-51.178499234284224</v>
      </c>
      <c r="AC17" s="9" t="str">
        <f t="shared" si="0"/>
        <v>B1</v>
      </c>
      <c r="AD17" s="9" t="str">
        <f t="shared" si="1"/>
        <v>Energia convencional pré-pagamento</v>
      </c>
      <c r="AE17" s="9" t="str">
        <f t="shared" si="2"/>
        <v>Residencial</v>
      </c>
      <c r="AF17" s="9" t="str">
        <f t="shared" si="3"/>
        <v>Residencial</v>
      </c>
      <c r="AG17" s="9" t="str">
        <f t="shared" si="4"/>
        <v>Não se aplica</v>
      </c>
      <c r="AH17" s="9">
        <v>1</v>
      </c>
      <c r="AI17" s="9">
        <f ca="1">TarifaMedia!$G$20</f>
        <v>0</v>
      </c>
      <c r="AJ17" s="16">
        <f>'TE BE'!$AB17+'TE BF'!$AB17+'TE CVA'!$AB17</f>
        <v>248.89628694871266</v>
      </c>
      <c r="AK17" s="9">
        <v>261.62</v>
      </c>
      <c r="AL17" s="9">
        <f t="shared" ca="1" si="5"/>
        <v>0</v>
      </c>
      <c r="AO17" s="106" t="s">
        <v>1183</v>
      </c>
    </row>
    <row r="18" spans="1:41" ht="11.25" customHeight="1" x14ac:dyDescent="0.25">
      <c r="A18" s="177"/>
      <c r="B18" s="177"/>
      <c r="C18" s="177"/>
      <c r="D18" s="101" t="s">
        <v>28</v>
      </c>
      <c r="E18" s="101" t="s">
        <v>25</v>
      </c>
      <c r="F18" s="101" t="s">
        <v>25</v>
      </c>
      <c r="G18" s="66" t="s">
        <v>82</v>
      </c>
      <c r="H18" s="66" t="s">
        <v>78</v>
      </c>
      <c r="I18" s="66">
        <f>'MERCADO TE'!$U$15</f>
        <v>0</v>
      </c>
      <c r="J18" s="16"/>
      <c r="L18" s="64">
        <f>'TE BE'!$L$18*'TE BE'!$L$50</f>
        <v>-1.2022774158140397E-7</v>
      </c>
      <c r="M18" s="64">
        <f>'TE BE'!$M$18*'TE BE'!$M$50</f>
        <v>0</v>
      </c>
      <c r="N18" s="64">
        <f>'TE BE'!$N$18*'TE BE'!$N$50</f>
        <v>0</v>
      </c>
      <c r="O18" s="64">
        <f>'TE BE'!$O$18*'TE BE'!$O$50</f>
        <v>-0.69273438015853928</v>
      </c>
      <c r="P18" s="64">
        <f>'TE BE'!$P$18*'TE BE'!$P$50</f>
        <v>0</v>
      </c>
      <c r="Q18" s="64">
        <f>SUM($L$18:$P$18)</f>
        <v>-0.69273450038628082</v>
      </c>
      <c r="R18" s="64">
        <f>'TE BE'!$R$18*'TE BE'!$R$50</f>
        <v>1.0136137111512746</v>
      </c>
      <c r="S18" s="64">
        <f>SUM($R$18:$R$18)</f>
        <v>1.0136137111512746</v>
      </c>
      <c r="T18" s="64">
        <f>'TE BE'!$T$18*'TE BE'!$T$50</f>
        <v>0</v>
      </c>
      <c r="U18" s="64">
        <f>'TE BE'!$U$18*'TE BE'!$U$50</f>
        <v>0</v>
      </c>
      <c r="V18" s="64">
        <f>'TE BE'!$V$18*'TE BE'!$V$50</f>
        <v>0</v>
      </c>
      <c r="W18" s="64">
        <f>SUM($T$18:$V$18)</f>
        <v>0</v>
      </c>
      <c r="X18" s="64">
        <f>'TE BE'!$AB$18*'TE BE'!$X$50</f>
        <v>-51.499378445049217</v>
      </c>
      <c r="Y18" s="64">
        <f>SUM($X$18:$X$18)</f>
        <v>-51.499378445049217</v>
      </c>
      <c r="Z18" s="64">
        <f>'TE BE'!$Z$18*'TE BE'!$Z$50</f>
        <v>0</v>
      </c>
      <c r="AA18" s="64">
        <f>SUM($Z$18:$Z$18)</f>
        <v>0</v>
      </c>
      <c r="AB18" s="64">
        <f ca="1">SUMIF($L$4:$AA$4,"SUBTOTAL",$L$18:$AA$18)+AL18</f>
        <v>-51.178499234284224</v>
      </c>
      <c r="AC18" s="9" t="str">
        <f t="shared" si="0"/>
        <v>B1</v>
      </c>
      <c r="AD18" s="9" t="str">
        <f t="shared" si="1"/>
        <v>Energia convencional pré-pagamento</v>
      </c>
      <c r="AE18" s="9" t="str">
        <f t="shared" si="2"/>
        <v>Residencial</v>
      </c>
      <c r="AF18" s="9" t="str">
        <f t="shared" si="3"/>
        <v>Residencial baixa renda – faixa 01</v>
      </c>
      <c r="AG18" s="9" t="str">
        <f t="shared" si="4"/>
        <v>Não se aplica</v>
      </c>
      <c r="AH18" s="9">
        <v>1</v>
      </c>
      <c r="AI18" s="9">
        <f ca="1">TarifaMedia!$G$20</f>
        <v>0</v>
      </c>
      <c r="AJ18" s="16">
        <f>'TE BE'!$AB18+'TE BF'!$AB18+'TE CVA'!$AB18</f>
        <v>248.89628694871266</v>
      </c>
      <c r="AK18" s="9">
        <v>261.62</v>
      </c>
      <c r="AL18" s="9">
        <f t="shared" ca="1" si="5"/>
        <v>0</v>
      </c>
      <c r="AO18" s="106" t="s">
        <v>1184</v>
      </c>
    </row>
    <row r="19" spans="1:41" ht="11.25" customHeight="1" x14ac:dyDescent="0.25">
      <c r="A19" s="177"/>
      <c r="B19" s="177"/>
      <c r="C19" s="177"/>
      <c r="D19" s="101" t="s">
        <v>29</v>
      </c>
      <c r="E19" s="101" t="s">
        <v>25</v>
      </c>
      <c r="F19" s="101" t="s">
        <v>25</v>
      </c>
      <c r="G19" s="66" t="s">
        <v>82</v>
      </c>
      <c r="H19" s="66" t="s">
        <v>78</v>
      </c>
      <c r="I19" s="66">
        <f>'MERCADO TE'!$U$16</f>
        <v>0</v>
      </c>
      <c r="J19" s="16"/>
      <c r="L19" s="64">
        <f>'TE BE'!$L$19*'TE BE'!$L$50</f>
        <v>-1.2022774158140397E-7</v>
      </c>
      <c r="M19" s="64">
        <f>'TE BE'!$M$19*'TE BE'!$M$50</f>
        <v>0</v>
      </c>
      <c r="N19" s="64">
        <f>'TE BE'!$N$19*'TE BE'!$N$50</f>
        <v>0</v>
      </c>
      <c r="O19" s="64">
        <f>'TE BE'!$O$19*'TE BE'!$O$50</f>
        <v>-0.69273438015853928</v>
      </c>
      <c r="P19" s="64">
        <f>'TE BE'!$P$19*'TE BE'!$P$50</f>
        <v>0</v>
      </c>
      <c r="Q19" s="64">
        <f>SUM($L$19:$P$19)</f>
        <v>-0.69273450038628082</v>
      </c>
      <c r="R19" s="64">
        <f>'TE BE'!$R$19*'TE BE'!$R$50</f>
        <v>1.0136137111512746</v>
      </c>
      <c r="S19" s="64">
        <f>SUM($R$19:$R$19)</f>
        <v>1.0136137111512746</v>
      </c>
      <c r="T19" s="64">
        <f>'TE BE'!$T$19*'TE BE'!$T$50</f>
        <v>0</v>
      </c>
      <c r="U19" s="64">
        <f>'TE BE'!$U$19*'TE BE'!$U$50</f>
        <v>0</v>
      </c>
      <c r="V19" s="64">
        <f>'TE BE'!$V$19*'TE BE'!$V$50</f>
        <v>0</v>
      </c>
      <c r="W19" s="64">
        <f>SUM($T$19:$V$19)</f>
        <v>0</v>
      </c>
      <c r="X19" s="64">
        <f>'TE BE'!$AB$19*'TE BE'!$X$50</f>
        <v>-51.499378445049217</v>
      </c>
      <c r="Y19" s="64">
        <f>SUM($X$19:$X$19)</f>
        <v>-51.499378445049217</v>
      </c>
      <c r="Z19" s="64">
        <f>'TE BE'!$Z$19*'TE BE'!$Z$50</f>
        <v>0</v>
      </c>
      <c r="AA19" s="64">
        <f>SUM($Z$19:$Z$19)</f>
        <v>0</v>
      </c>
      <c r="AB19" s="64">
        <f ca="1">SUMIF($L$4:$AA$4,"SUBTOTAL",$L$19:$AA$19)+AL19</f>
        <v>-51.178499234284224</v>
      </c>
      <c r="AC19" s="9" t="str">
        <f t="shared" si="0"/>
        <v>B1</v>
      </c>
      <c r="AD19" s="9" t="str">
        <f t="shared" si="1"/>
        <v>Energia convencional pré-pagamento</v>
      </c>
      <c r="AE19" s="9" t="str">
        <f t="shared" si="2"/>
        <v>Residencial</v>
      </c>
      <c r="AF19" s="9" t="str">
        <f t="shared" si="3"/>
        <v>Residencial baixa renda – faixa 02</v>
      </c>
      <c r="AG19" s="9" t="str">
        <f t="shared" si="4"/>
        <v>Não se aplica</v>
      </c>
      <c r="AH19" s="9">
        <v>1</v>
      </c>
      <c r="AI19" s="9">
        <f ca="1">TarifaMedia!$G$20</f>
        <v>0</v>
      </c>
      <c r="AJ19" s="16">
        <f>'TE BE'!$AB19+'TE BF'!$AB19+'TE CVA'!$AB19</f>
        <v>248.89628694871266</v>
      </c>
      <c r="AK19" s="9">
        <v>261.62</v>
      </c>
      <c r="AL19" s="9">
        <f t="shared" ca="1" si="5"/>
        <v>0</v>
      </c>
      <c r="AO19" s="106" t="s">
        <v>1184</v>
      </c>
    </row>
    <row r="20" spans="1:41" ht="11.25" customHeight="1" x14ac:dyDescent="0.25">
      <c r="A20" s="177"/>
      <c r="B20" s="177"/>
      <c r="C20" s="177"/>
      <c r="D20" s="101" t="s">
        <v>30</v>
      </c>
      <c r="E20" s="101" t="s">
        <v>25</v>
      </c>
      <c r="F20" s="101" t="s">
        <v>25</v>
      </c>
      <c r="G20" s="66" t="s">
        <v>82</v>
      </c>
      <c r="H20" s="66" t="s">
        <v>78</v>
      </c>
      <c r="I20" s="66">
        <f>'MERCADO TE'!$U$17</f>
        <v>0</v>
      </c>
      <c r="J20" s="16"/>
      <c r="L20" s="64">
        <f>'TE BE'!$L$20*'TE BE'!$L$50</f>
        <v>-1.2022774158140397E-7</v>
      </c>
      <c r="M20" s="64">
        <f>'TE BE'!$M$20*'TE BE'!$M$50</f>
        <v>0</v>
      </c>
      <c r="N20" s="64">
        <f>'TE BE'!$N$20*'TE BE'!$N$50</f>
        <v>0</v>
      </c>
      <c r="O20" s="64">
        <f>'TE BE'!$O$20*'TE BE'!$O$50</f>
        <v>-0.69273438015853928</v>
      </c>
      <c r="P20" s="64">
        <f>'TE BE'!$P$20*'TE BE'!$P$50</f>
        <v>0</v>
      </c>
      <c r="Q20" s="64">
        <f>SUM($L$20:$P$20)</f>
        <v>-0.69273450038628082</v>
      </c>
      <c r="R20" s="64">
        <f>'TE BE'!$R$20*'TE BE'!$R$50</f>
        <v>1.0136137111512746</v>
      </c>
      <c r="S20" s="64">
        <f>SUM($R$20:$R$20)</f>
        <v>1.0136137111512746</v>
      </c>
      <c r="T20" s="64">
        <f>'TE BE'!$T$20*'TE BE'!$T$50</f>
        <v>0</v>
      </c>
      <c r="U20" s="64">
        <f>'TE BE'!$U$20*'TE BE'!$U$50</f>
        <v>0</v>
      </c>
      <c r="V20" s="64">
        <f>'TE BE'!$V$20*'TE BE'!$V$50</f>
        <v>0</v>
      </c>
      <c r="W20" s="64">
        <f>SUM($T$20:$V$20)</f>
        <v>0</v>
      </c>
      <c r="X20" s="64">
        <f>'TE BE'!$AB$20*'TE BE'!$X$50</f>
        <v>-51.499378445049217</v>
      </c>
      <c r="Y20" s="64">
        <f>SUM($X$20:$X$20)</f>
        <v>-51.499378445049217</v>
      </c>
      <c r="Z20" s="64">
        <f>'TE BE'!$Z$20*'TE BE'!$Z$50</f>
        <v>0</v>
      </c>
      <c r="AA20" s="64">
        <f>SUM($Z$20:$Z$20)</f>
        <v>0</v>
      </c>
      <c r="AB20" s="64">
        <f ca="1">SUMIF($L$4:$AA$4,"SUBTOTAL",$L$20:$AA$20)+AL20</f>
        <v>-51.178499234284224</v>
      </c>
      <c r="AC20" s="9" t="str">
        <f t="shared" si="0"/>
        <v>B1</v>
      </c>
      <c r="AD20" s="9" t="str">
        <f t="shared" si="1"/>
        <v>Energia convencional pré-pagamento</v>
      </c>
      <c r="AE20" s="9" t="str">
        <f t="shared" si="2"/>
        <v>Residencial</v>
      </c>
      <c r="AF20" s="9" t="str">
        <f t="shared" si="3"/>
        <v>Residencial baixa renda – faixa 03</v>
      </c>
      <c r="AG20" s="9" t="str">
        <f t="shared" si="4"/>
        <v>Não se aplica</v>
      </c>
      <c r="AH20" s="9">
        <v>1</v>
      </c>
      <c r="AI20" s="9">
        <f ca="1">TarifaMedia!$G$20</f>
        <v>0</v>
      </c>
      <c r="AJ20" s="16">
        <f>'TE BE'!$AB20+'TE BF'!$AB20+'TE CVA'!$AB20</f>
        <v>248.89628694871266</v>
      </c>
      <c r="AK20" s="9">
        <v>261.62</v>
      </c>
      <c r="AL20" s="9">
        <f t="shared" ca="1" si="5"/>
        <v>0</v>
      </c>
      <c r="AO20" s="106" t="s">
        <v>1184</v>
      </c>
    </row>
    <row r="21" spans="1:41" ht="11.25" customHeight="1" x14ac:dyDescent="0.25">
      <c r="A21" s="177"/>
      <c r="B21" s="177"/>
      <c r="C21" s="177"/>
      <c r="D21" s="101" t="s">
        <v>31</v>
      </c>
      <c r="E21" s="101" t="s">
        <v>25</v>
      </c>
      <c r="F21" s="101" t="s">
        <v>25</v>
      </c>
      <c r="G21" s="66" t="s">
        <v>82</v>
      </c>
      <c r="H21" s="66" t="s">
        <v>78</v>
      </c>
      <c r="I21" s="66">
        <f>'MERCADO TE'!$U$18</f>
        <v>0</v>
      </c>
      <c r="J21" s="16"/>
      <c r="L21" s="64">
        <f>'TE BE'!$L$21*'TE BE'!$L$50</f>
        <v>-1.2022774158140397E-7</v>
      </c>
      <c r="M21" s="64">
        <f>'TE BE'!$M$21*'TE BE'!$M$50</f>
        <v>0</v>
      </c>
      <c r="N21" s="64">
        <f>'TE BE'!$N$21*'TE BE'!$N$50</f>
        <v>0</v>
      </c>
      <c r="O21" s="64">
        <f>'TE BE'!$O$21*'TE BE'!$O$50</f>
        <v>-0.69273438015853928</v>
      </c>
      <c r="P21" s="64">
        <f>'TE BE'!$P$21*'TE BE'!$P$50</f>
        <v>0</v>
      </c>
      <c r="Q21" s="64">
        <f>SUM($L$21:$P$21)</f>
        <v>-0.69273450038628082</v>
      </c>
      <c r="R21" s="64">
        <f>'TE BE'!$R$21*'TE BE'!$R$50</f>
        <v>1.0136137111512746</v>
      </c>
      <c r="S21" s="64">
        <f>SUM($R$21:$R$21)</f>
        <v>1.0136137111512746</v>
      </c>
      <c r="T21" s="64">
        <f>'TE BE'!$T$21*'TE BE'!$T$50</f>
        <v>0</v>
      </c>
      <c r="U21" s="64">
        <f>'TE BE'!$U$21*'TE BE'!$U$50</f>
        <v>0</v>
      </c>
      <c r="V21" s="64">
        <f>'TE BE'!$V$21*'TE BE'!$V$50</f>
        <v>0</v>
      </c>
      <c r="W21" s="64">
        <f>SUM($T$21:$V$21)</f>
        <v>0</v>
      </c>
      <c r="X21" s="64">
        <f>'TE BE'!$AB$21*'TE BE'!$X$50</f>
        <v>-51.499378445049217</v>
      </c>
      <c r="Y21" s="64">
        <f>SUM($X$21:$X$21)</f>
        <v>-51.499378445049217</v>
      </c>
      <c r="Z21" s="64">
        <f>'TE BE'!$Z$21*'TE BE'!$Z$50</f>
        <v>0</v>
      </c>
      <c r="AA21" s="64">
        <f>SUM($Z$21:$Z$21)</f>
        <v>0</v>
      </c>
      <c r="AB21" s="64">
        <f ca="1">SUMIF($L$4:$AA$4,"SUBTOTAL",$L$21:$AA$21)+AL21</f>
        <v>-51.178499234284224</v>
      </c>
      <c r="AC21" s="9" t="str">
        <f t="shared" si="0"/>
        <v>B1</v>
      </c>
      <c r="AD21" s="9" t="str">
        <f t="shared" si="1"/>
        <v>Energia convencional pré-pagamento</v>
      </c>
      <c r="AE21" s="9" t="str">
        <f t="shared" si="2"/>
        <v>Residencial</v>
      </c>
      <c r="AF21" s="9" t="str">
        <f t="shared" si="3"/>
        <v>Residencial baixa renda – faixa 04</v>
      </c>
      <c r="AG21" s="9" t="str">
        <f t="shared" si="4"/>
        <v>Não se aplica</v>
      </c>
      <c r="AH21" s="9">
        <v>1</v>
      </c>
      <c r="AI21" s="9">
        <f ca="1">TarifaMedia!$G$20</f>
        <v>0</v>
      </c>
      <c r="AJ21" s="16">
        <f>'TE BE'!$AB21+'TE BF'!$AB21+'TE CVA'!$AB21</f>
        <v>248.89628694871266</v>
      </c>
      <c r="AK21" s="9">
        <v>261.62</v>
      </c>
      <c r="AL21" s="9">
        <f t="shared" ca="1" si="5"/>
        <v>0</v>
      </c>
      <c r="AO21" s="106" t="s">
        <v>1184</v>
      </c>
    </row>
    <row r="22" spans="1:41" ht="11.25" customHeight="1" x14ac:dyDescent="0.25">
      <c r="A22" s="177" t="s">
        <v>42</v>
      </c>
      <c r="B22" s="177" t="s">
        <v>77</v>
      </c>
      <c r="C22" s="177" t="s">
        <v>43</v>
      </c>
      <c r="D22" s="177" t="s">
        <v>25</v>
      </c>
      <c r="E22" s="177" t="s">
        <v>25</v>
      </c>
      <c r="F22" s="177" t="s">
        <v>25</v>
      </c>
      <c r="G22" s="66" t="s">
        <v>79</v>
      </c>
      <c r="H22" s="66" t="s">
        <v>78</v>
      </c>
      <c r="I22" s="66">
        <f>'MERCADO TE'!$U$19</f>
        <v>0</v>
      </c>
      <c r="J22" s="16"/>
      <c r="L22" s="64">
        <f>'TE BE'!$L$22*'TE BE'!$L$50</f>
        <v>-1.2022774158140397E-7</v>
      </c>
      <c r="M22" s="64">
        <f>'TE BE'!$M$22*'TE BE'!$M$50</f>
        <v>0</v>
      </c>
      <c r="N22" s="64">
        <f>'TE BE'!$N$22*'TE BE'!$N$50</f>
        <v>0</v>
      </c>
      <c r="O22" s="64">
        <f>'TE BE'!$O$22*'TE BE'!$O$50</f>
        <v>-0.69273438015853928</v>
      </c>
      <c r="P22" s="64">
        <f>'TE BE'!$P$22*'TE BE'!$P$50</f>
        <v>0</v>
      </c>
      <c r="Q22" s="64">
        <f>SUM($L$22:$P$22)</f>
        <v>-0.69273450038628082</v>
      </c>
      <c r="R22" s="64">
        <f>'TE BE'!$R$22*'TE BE'!$R$50</f>
        <v>1.6447316822454645</v>
      </c>
      <c r="S22" s="64">
        <f>SUM($R$22:$R$22)</f>
        <v>1.6447316822454645</v>
      </c>
      <c r="T22" s="64">
        <f>'TE BE'!$T$22*'TE BE'!$T$50</f>
        <v>0</v>
      </c>
      <c r="U22" s="64">
        <f>'TE BE'!$U$22*'TE BE'!$U$50</f>
        <v>0</v>
      </c>
      <c r="V22" s="64">
        <f>'TE BE'!$V$22*'TE BE'!$V$50</f>
        <v>0</v>
      </c>
      <c r="W22" s="64">
        <f>SUM($T$22:$V$22)</f>
        <v>0</v>
      </c>
      <c r="X22" s="64">
        <f>'TE BE'!$AB$22*'TE BE'!$X$50</f>
        <v>-82.272278343634838</v>
      </c>
      <c r="Y22" s="64">
        <f>SUM($X$22:$X$22)</f>
        <v>-82.272278343634838</v>
      </c>
      <c r="Z22" s="64">
        <f>'TE BE'!$Z$22*'TE BE'!$Z$50</f>
        <v>0</v>
      </c>
      <c r="AA22" s="64">
        <f>SUM($Z$22:$Z$22)</f>
        <v>0</v>
      </c>
      <c r="AB22" s="64">
        <f ca="1">SUMIF($L$4:$AA$4,"SUBTOTAL",$L$22:$AA$22)+AL22</f>
        <v>-81.320281161775654</v>
      </c>
      <c r="AC22" s="9" t="str">
        <f t="shared" si="0"/>
        <v>B2</v>
      </c>
      <c r="AD22" s="9" t="str">
        <f t="shared" si="1"/>
        <v>Energia horária</v>
      </c>
      <c r="AE22" s="9" t="str">
        <f t="shared" si="2"/>
        <v>Rural</v>
      </c>
      <c r="AF22" s="9" t="str">
        <f t="shared" si="3"/>
        <v>Não se aplica</v>
      </c>
      <c r="AG22" s="9" t="str">
        <f t="shared" si="4"/>
        <v>Não se aplica</v>
      </c>
      <c r="AH22" s="9">
        <v>1</v>
      </c>
      <c r="AI22" s="9">
        <f ca="1">TarifaMedia!$G$20</f>
        <v>0</v>
      </c>
      <c r="AJ22" s="16">
        <f>'TE BE'!$AB22+'TE BF'!$AB22+'TE CVA'!$AB22</f>
        <v>398.01664046087393</v>
      </c>
      <c r="AK22" s="9">
        <f>ROUND(370.01/(1-CUSTOS!$M$38),2)</f>
        <v>393.63</v>
      </c>
      <c r="AL22" s="9">
        <f t="shared" ca="1" si="5"/>
        <v>0</v>
      </c>
      <c r="AO22" s="106" t="s">
        <v>1185</v>
      </c>
    </row>
    <row r="23" spans="1:41" ht="11.25" customHeight="1" x14ac:dyDescent="0.25">
      <c r="A23" s="177"/>
      <c r="B23" s="177"/>
      <c r="C23" s="177"/>
      <c r="D23" s="177"/>
      <c r="E23" s="177"/>
      <c r="F23" s="177"/>
      <c r="G23" s="66" t="s">
        <v>92</v>
      </c>
      <c r="H23" s="66" t="s">
        <v>78</v>
      </c>
      <c r="I23" s="66">
        <f>'MERCADO TE'!$U$20</f>
        <v>0</v>
      </c>
      <c r="J23" s="16"/>
      <c r="L23" s="64">
        <f>'TE BE'!$L$23*'TE BE'!$L$50</f>
        <v>-1.2022774158140397E-7</v>
      </c>
      <c r="M23" s="64">
        <f>'TE BE'!$M$23*'TE BE'!$M$50</f>
        <v>0</v>
      </c>
      <c r="N23" s="64">
        <f>'TE BE'!$N$23*'TE BE'!$N$50</f>
        <v>0</v>
      </c>
      <c r="O23" s="64">
        <f>'TE BE'!$O$23*'TE BE'!$O$50</f>
        <v>-0.69273438015853928</v>
      </c>
      <c r="P23" s="64">
        <f>'TE BE'!$P$23*'TE BE'!$P$50</f>
        <v>0</v>
      </c>
      <c r="Q23" s="64">
        <f>SUM($L$23:$P$23)</f>
        <v>-0.69273450038628082</v>
      </c>
      <c r="R23" s="64">
        <f>'TE BE'!$R$23*'TE BE'!$R$50</f>
        <v>0.95623935014271189</v>
      </c>
      <c r="S23" s="64">
        <f>SUM($R$23:$R$23)</f>
        <v>0.95623935014271189</v>
      </c>
      <c r="T23" s="64">
        <f>'TE BE'!$T$23*'TE BE'!$T$50</f>
        <v>0</v>
      </c>
      <c r="U23" s="64">
        <f>'TE BE'!$U$23*'TE BE'!$U$50</f>
        <v>0</v>
      </c>
      <c r="V23" s="64">
        <f>'TE BE'!$V$23*'TE BE'!$V$50</f>
        <v>0</v>
      </c>
      <c r="W23" s="64">
        <f>SUM($T$23:$V$23)</f>
        <v>0</v>
      </c>
      <c r="X23" s="64">
        <f>'TE BE'!$AB$23*'TE BE'!$X$50</f>
        <v>-48.70184209063234</v>
      </c>
      <c r="Y23" s="64">
        <f>SUM($X$23:$X$23)</f>
        <v>-48.70184209063234</v>
      </c>
      <c r="Z23" s="64">
        <f>'TE BE'!$Z$23*'TE BE'!$Z$50</f>
        <v>0</v>
      </c>
      <c r="AA23" s="64">
        <f>SUM($Z$23:$Z$23)</f>
        <v>0</v>
      </c>
      <c r="AB23" s="64">
        <f ca="1">SUMIF($L$4:$AA$4,"SUBTOTAL",$L$23:$AA$23)+AL23</f>
        <v>-48.43833724087591</v>
      </c>
      <c r="AC23" s="9" t="str">
        <f t="shared" si="0"/>
        <v>B2</v>
      </c>
      <c r="AD23" s="9" t="str">
        <f t="shared" si="1"/>
        <v>Energia horária</v>
      </c>
      <c r="AE23" s="9" t="str">
        <f t="shared" si="2"/>
        <v>Rural</v>
      </c>
      <c r="AF23" s="9" t="str">
        <f t="shared" si="3"/>
        <v>Não se aplica</v>
      </c>
      <c r="AG23" s="9" t="str">
        <f t="shared" si="4"/>
        <v>Não se aplica</v>
      </c>
      <c r="AH23" s="9">
        <v>1</v>
      </c>
      <c r="AI23" s="9">
        <f ca="1">TarifaMedia!$G$20</f>
        <v>0</v>
      </c>
      <c r="AJ23" s="16">
        <f>'TE BE'!$AB23+'TE BF'!$AB23+'TE CVA'!$AB23</f>
        <v>235.33989117487977</v>
      </c>
      <c r="AK23" s="9">
        <f>ROUND(234.64/(1-CUSTOS!$M$38),2)</f>
        <v>249.62</v>
      </c>
      <c r="AL23" s="9">
        <f t="shared" ca="1" si="5"/>
        <v>0</v>
      </c>
      <c r="AO23" s="106" t="s">
        <v>1186</v>
      </c>
    </row>
    <row r="24" spans="1:41" ht="11.25" customHeight="1" x14ac:dyDescent="0.25">
      <c r="A24" s="177"/>
      <c r="B24" s="177"/>
      <c r="C24" s="177"/>
      <c r="D24" s="177"/>
      <c r="E24" s="177"/>
      <c r="F24" s="177"/>
      <c r="G24" s="66" t="s">
        <v>80</v>
      </c>
      <c r="H24" s="66" t="s">
        <v>78</v>
      </c>
      <c r="I24" s="66">
        <f>'MERCADO TE'!$U$21</f>
        <v>0</v>
      </c>
      <c r="J24" s="16"/>
      <c r="L24" s="64">
        <f>'TE BE'!$L$24*'TE BE'!$L$50</f>
        <v>-1.2022774158140397E-7</v>
      </c>
      <c r="M24" s="64">
        <f>'TE BE'!$M$24*'TE BE'!$M$50</f>
        <v>0</v>
      </c>
      <c r="N24" s="64">
        <f>'TE BE'!$N$24*'TE BE'!$N$50</f>
        <v>0</v>
      </c>
      <c r="O24" s="64">
        <f>'TE BE'!$O$24*'TE BE'!$O$50</f>
        <v>-0.69273438015853928</v>
      </c>
      <c r="P24" s="64">
        <f>'TE BE'!$P$24*'TE BE'!$P$50</f>
        <v>0</v>
      </c>
      <c r="Q24" s="64">
        <f>SUM($L$24:$P$24)</f>
        <v>-0.69273450038628082</v>
      </c>
      <c r="R24" s="64">
        <f>'TE BE'!$R$24*'TE BE'!$R$50</f>
        <v>0.95623935014271189</v>
      </c>
      <c r="S24" s="64">
        <f>SUM($R$24:$R$24)</f>
        <v>0.95623935014271189</v>
      </c>
      <c r="T24" s="64">
        <f>'TE BE'!$T$24*'TE BE'!$T$50</f>
        <v>0</v>
      </c>
      <c r="U24" s="64">
        <f>'TE BE'!$U$24*'TE BE'!$U$50</f>
        <v>0</v>
      </c>
      <c r="V24" s="64">
        <f>'TE BE'!$V$24*'TE BE'!$V$50</f>
        <v>0</v>
      </c>
      <c r="W24" s="64">
        <f>SUM($T$24:$V$24)</f>
        <v>0</v>
      </c>
      <c r="X24" s="64">
        <f>'TE BE'!$AB$24*'TE BE'!$X$50</f>
        <v>-48.70184209063234</v>
      </c>
      <c r="Y24" s="64">
        <f>SUM($X$24:$X$24)</f>
        <v>-48.70184209063234</v>
      </c>
      <c r="Z24" s="64">
        <f>'TE BE'!$Z$24*'TE BE'!$Z$50</f>
        <v>0</v>
      </c>
      <c r="AA24" s="64">
        <f>SUM($Z$24:$Z$24)</f>
        <v>0</v>
      </c>
      <c r="AB24" s="64">
        <f ca="1">SUMIF($L$4:$AA$4,"SUBTOTAL",$L$24:$AA$24)+AL24</f>
        <v>-48.43833724087591</v>
      </c>
      <c r="AC24" s="9" t="str">
        <f t="shared" si="0"/>
        <v>B2</v>
      </c>
      <c r="AD24" s="9" t="str">
        <f t="shared" si="1"/>
        <v>Energia horária</v>
      </c>
      <c r="AE24" s="9" t="str">
        <f t="shared" si="2"/>
        <v>Rural</v>
      </c>
      <c r="AF24" s="9" t="str">
        <f t="shared" si="3"/>
        <v>Não se aplica</v>
      </c>
      <c r="AG24" s="9" t="str">
        <f t="shared" si="4"/>
        <v>Não se aplica</v>
      </c>
      <c r="AH24" s="9">
        <v>1</v>
      </c>
      <c r="AI24" s="9">
        <f ca="1">TarifaMedia!$G$20</f>
        <v>0</v>
      </c>
      <c r="AJ24" s="16">
        <f>'TE BE'!$AB24+'TE BF'!$AB24+'TE CVA'!$AB24</f>
        <v>235.33989117487977</v>
      </c>
      <c r="AK24" s="9">
        <f>ROUND(234.64/(1-CUSTOS!$M$38),2)</f>
        <v>249.62</v>
      </c>
      <c r="AL24" s="9">
        <f t="shared" ca="1" si="5"/>
        <v>0</v>
      </c>
      <c r="AO24" s="106" t="s">
        <v>1187</v>
      </c>
    </row>
    <row r="25" spans="1:41" ht="11.25" customHeight="1" x14ac:dyDescent="0.25">
      <c r="A25" s="177"/>
      <c r="B25" s="101" t="s">
        <v>81</v>
      </c>
      <c r="C25" s="101" t="s">
        <v>43</v>
      </c>
      <c r="D25" s="101" t="s">
        <v>25</v>
      </c>
      <c r="E25" s="101" t="s">
        <v>25</v>
      </c>
      <c r="F25" s="101" t="s">
        <v>25</v>
      </c>
      <c r="G25" s="66" t="s">
        <v>82</v>
      </c>
      <c r="H25" s="66" t="s">
        <v>78</v>
      </c>
      <c r="I25" s="66">
        <f>'MERCADO TE'!$U$22</f>
        <v>1694.7730000000001</v>
      </c>
      <c r="J25" s="16"/>
      <c r="L25" s="64">
        <f>'TE BE'!$L$25*'TE BE'!$L$50</f>
        <v>-1.2022774158140397E-7</v>
      </c>
      <c r="M25" s="64">
        <f>'TE BE'!$M$25*'TE BE'!$M$50</f>
        <v>0</v>
      </c>
      <c r="N25" s="64">
        <f>'TE BE'!$N$25*'TE BE'!$N$50</f>
        <v>0</v>
      </c>
      <c r="O25" s="64">
        <f>'TE BE'!$O$25*'TE BE'!$O$50</f>
        <v>-0.69273438015853928</v>
      </c>
      <c r="P25" s="64">
        <f>'TE BE'!$P$25*'TE BE'!$P$50</f>
        <v>0</v>
      </c>
      <c r="Q25" s="64">
        <f>SUM($L$25:$P$25)</f>
        <v>-0.69273450038628082</v>
      </c>
      <c r="R25" s="64">
        <f>'TE BE'!$R$25*'TE BE'!$R$50</f>
        <v>1.0136137111512746</v>
      </c>
      <c r="S25" s="64">
        <f>SUM($R$25:$R$25)</f>
        <v>1.0136137111512746</v>
      </c>
      <c r="T25" s="64">
        <f>'TE BE'!$T$25*'TE BE'!$T$50</f>
        <v>0</v>
      </c>
      <c r="U25" s="64">
        <f>'TE BE'!$U$25*'TE BE'!$U$50</f>
        <v>0</v>
      </c>
      <c r="V25" s="64">
        <f>'TE BE'!$V$25*'TE BE'!$V$50</f>
        <v>0</v>
      </c>
      <c r="W25" s="64">
        <f>SUM($T$25:$V$25)</f>
        <v>0</v>
      </c>
      <c r="X25" s="64">
        <f>'TE BE'!$AB$25*'TE BE'!$X$50</f>
        <v>-51.499378445049217</v>
      </c>
      <c r="Y25" s="64">
        <f>SUM($X$25:$X$25)</f>
        <v>-51.499378445049217</v>
      </c>
      <c r="Z25" s="64">
        <f>'TE BE'!$Z$25*'TE BE'!$Z$50</f>
        <v>0</v>
      </c>
      <c r="AA25" s="64">
        <f>SUM($Z$25:$Z$25)</f>
        <v>0</v>
      </c>
      <c r="AB25" s="64">
        <f ca="1">SUMIF($L$4:$AA$4,"SUBTOTAL",$L$25:$AA$25)+AL25</f>
        <v>-51.178499234284224</v>
      </c>
      <c r="AC25" s="9" t="str">
        <f t="shared" si="0"/>
        <v>B2</v>
      </c>
      <c r="AD25" s="9" t="str">
        <f t="shared" si="1"/>
        <v>Energia convencional</v>
      </c>
      <c r="AE25" s="9" t="str">
        <f t="shared" si="2"/>
        <v>Rural</v>
      </c>
      <c r="AF25" s="9" t="str">
        <f t="shared" si="3"/>
        <v>Não se aplica</v>
      </c>
      <c r="AG25" s="9" t="str">
        <f t="shared" si="4"/>
        <v>Não se aplica</v>
      </c>
      <c r="AH25" s="9">
        <v>1</v>
      </c>
      <c r="AI25" s="9">
        <f ca="1">TarifaMedia!$G$20</f>
        <v>0</v>
      </c>
      <c r="AJ25" s="16">
        <f>'TE BE'!$AB25+'TE BF'!$AB25+'TE CVA'!$AB25</f>
        <v>248.89628694871266</v>
      </c>
      <c r="AK25" s="9">
        <v>261.62</v>
      </c>
      <c r="AL25" s="9">
        <f t="shared" ca="1" si="5"/>
        <v>0</v>
      </c>
      <c r="AO25" s="106" t="s">
        <v>1181</v>
      </c>
    </row>
    <row r="26" spans="1:41" ht="11.25" customHeight="1" x14ac:dyDescent="0.25">
      <c r="A26" s="177"/>
      <c r="B26" s="177" t="s">
        <v>77</v>
      </c>
      <c r="C26" s="177" t="s">
        <v>43</v>
      </c>
      <c r="D26" s="177" t="s">
        <v>95</v>
      </c>
      <c r="E26" s="177" t="s">
        <v>25</v>
      </c>
      <c r="F26" s="177" t="s">
        <v>25</v>
      </c>
      <c r="G26" s="66" t="s">
        <v>79</v>
      </c>
      <c r="H26" s="66" t="s">
        <v>78</v>
      </c>
      <c r="I26" s="66">
        <f>'MERCADO TE'!$U$23</f>
        <v>0</v>
      </c>
      <c r="J26" s="16"/>
      <c r="L26" s="64">
        <f>'TE BE'!$L$26*'TE BE'!$L$50</f>
        <v>-1.2022774158140397E-7</v>
      </c>
      <c r="M26" s="64">
        <f>'TE BE'!$M$26*'TE BE'!$M$50</f>
        <v>0</v>
      </c>
      <c r="N26" s="64">
        <f>'TE BE'!$N$26*'TE BE'!$N$50</f>
        <v>0</v>
      </c>
      <c r="O26" s="64">
        <f>'TE BE'!$O$26*'TE BE'!$O$50</f>
        <v>-0.69273438015853928</v>
      </c>
      <c r="P26" s="64">
        <f>'TE BE'!$P$26*'TE BE'!$P$50</f>
        <v>0</v>
      </c>
      <c r="Q26" s="64">
        <f>SUM($L$26:$P$26)</f>
        <v>-0.69273450038628082</v>
      </c>
      <c r="R26" s="64">
        <f>'TE BE'!$R$26*'TE BE'!$R$50</f>
        <v>1.6447316822454645</v>
      </c>
      <c r="S26" s="64">
        <f>SUM($R$26:$R$26)</f>
        <v>1.6447316822454645</v>
      </c>
      <c r="T26" s="64">
        <f>'TE BE'!$T$26*'TE BE'!$T$50</f>
        <v>0</v>
      </c>
      <c r="U26" s="64">
        <f>'TE BE'!$U$26*'TE BE'!$U$50</f>
        <v>0</v>
      </c>
      <c r="V26" s="64">
        <f>'TE BE'!$V$26*'TE BE'!$V$50</f>
        <v>0</v>
      </c>
      <c r="W26" s="64">
        <f>SUM($T$26:$V$26)</f>
        <v>0</v>
      </c>
      <c r="X26" s="64">
        <f>'TE BE'!$AB$26*'TE BE'!$X$50</f>
        <v>-82.272278343634838</v>
      </c>
      <c r="Y26" s="64">
        <f>SUM($X$26:$X$26)</f>
        <v>-82.272278343634838</v>
      </c>
      <c r="Z26" s="64">
        <f>'TE BE'!$Z$26*'TE BE'!$Z$50</f>
        <v>0</v>
      </c>
      <c r="AA26" s="64">
        <f>SUM($Z$26:$Z$26)</f>
        <v>0</v>
      </c>
      <c r="AB26" s="64">
        <f ca="1">SUMIF($L$4:$AA$4,"SUBTOTAL",$L$26:$AA$26)+AL26</f>
        <v>-81.320281161775654</v>
      </c>
      <c r="AC26" s="9" t="str">
        <f t="shared" si="0"/>
        <v>B2</v>
      </c>
      <c r="AD26" s="9" t="str">
        <f t="shared" si="1"/>
        <v>Energia horária</v>
      </c>
      <c r="AE26" s="9" t="str">
        <f t="shared" si="2"/>
        <v>Rural</v>
      </c>
      <c r="AF26" s="9" t="str">
        <f t="shared" si="3"/>
        <v>Cooperativa de eletrificação rural</v>
      </c>
      <c r="AG26" s="9" t="str">
        <f t="shared" si="4"/>
        <v>Não se aplica</v>
      </c>
      <c r="AH26" s="9">
        <v>1</v>
      </c>
      <c r="AI26" s="9">
        <f ca="1">TarifaMedia!$G$20</f>
        <v>0</v>
      </c>
      <c r="AJ26" s="16">
        <f>'TE BE'!$AB26+'TE BF'!$AB26+'TE CVA'!$AB26</f>
        <v>398.01664046087393</v>
      </c>
      <c r="AK26" s="9">
        <f>ROUND(370.01/(1-CUSTOS!$M$38),2)</f>
        <v>393.63</v>
      </c>
      <c r="AL26" s="9">
        <f t="shared" ca="1" si="5"/>
        <v>0</v>
      </c>
      <c r="AO26" s="106" t="s">
        <v>1185</v>
      </c>
    </row>
    <row r="27" spans="1:41" ht="11.25" customHeight="1" x14ac:dyDescent="0.25">
      <c r="A27" s="177"/>
      <c r="B27" s="177"/>
      <c r="C27" s="177"/>
      <c r="D27" s="177"/>
      <c r="E27" s="177"/>
      <c r="F27" s="177"/>
      <c r="G27" s="66" t="s">
        <v>92</v>
      </c>
      <c r="H27" s="66" t="s">
        <v>78</v>
      </c>
      <c r="I27" s="66">
        <f>'MERCADO TE'!$U$24</f>
        <v>0</v>
      </c>
      <c r="J27" s="16"/>
      <c r="L27" s="64">
        <f>'TE BE'!$L$27*'TE BE'!$L$50</f>
        <v>-1.2022774158140397E-7</v>
      </c>
      <c r="M27" s="64">
        <f>'TE BE'!$M$27*'TE BE'!$M$50</f>
        <v>0</v>
      </c>
      <c r="N27" s="64">
        <f>'TE BE'!$N$27*'TE BE'!$N$50</f>
        <v>0</v>
      </c>
      <c r="O27" s="64">
        <f>'TE BE'!$O$27*'TE BE'!$O$50</f>
        <v>-0.69273438015853928</v>
      </c>
      <c r="P27" s="64">
        <f>'TE BE'!$P$27*'TE BE'!$P$50</f>
        <v>0</v>
      </c>
      <c r="Q27" s="64">
        <f>SUM($L$27:$P$27)</f>
        <v>-0.69273450038628082</v>
      </c>
      <c r="R27" s="64">
        <f>'TE BE'!$R$27*'TE BE'!$R$50</f>
        <v>0.95623935014271189</v>
      </c>
      <c r="S27" s="64">
        <f>SUM($R$27:$R$27)</f>
        <v>0.95623935014271189</v>
      </c>
      <c r="T27" s="64">
        <f>'TE BE'!$T$27*'TE BE'!$T$50</f>
        <v>0</v>
      </c>
      <c r="U27" s="64">
        <f>'TE BE'!$U$27*'TE BE'!$U$50</f>
        <v>0</v>
      </c>
      <c r="V27" s="64">
        <f>'TE BE'!$V$27*'TE BE'!$V$50</f>
        <v>0</v>
      </c>
      <c r="W27" s="64">
        <f>SUM($T$27:$V$27)</f>
        <v>0</v>
      </c>
      <c r="X27" s="64">
        <f>'TE BE'!$AB$27*'TE BE'!$X$50</f>
        <v>-48.70184209063234</v>
      </c>
      <c r="Y27" s="64">
        <f>SUM($X$27:$X$27)</f>
        <v>-48.70184209063234</v>
      </c>
      <c r="Z27" s="64">
        <f>'TE BE'!$Z$27*'TE BE'!$Z$50</f>
        <v>0</v>
      </c>
      <c r="AA27" s="64">
        <f>SUM($Z$27:$Z$27)</f>
        <v>0</v>
      </c>
      <c r="AB27" s="64">
        <f ca="1">SUMIF($L$4:$AA$4,"SUBTOTAL",$L$27:$AA$27)+AL27</f>
        <v>-48.43833724087591</v>
      </c>
      <c r="AC27" s="9" t="str">
        <f t="shared" si="0"/>
        <v>B2</v>
      </c>
      <c r="AD27" s="9" t="str">
        <f t="shared" si="1"/>
        <v>Energia horária</v>
      </c>
      <c r="AE27" s="9" t="str">
        <f t="shared" si="2"/>
        <v>Rural</v>
      </c>
      <c r="AF27" s="9" t="str">
        <f t="shared" si="3"/>
        <v>Cooperativa de eletrificação rural</v>
      </c>
      <c r="AG27" s="9" t="str">
        <f t="shared" si="4"/>
        <v>Não se aplica</v>
      </c>
      <c r="AH27" s="9">
        <v>1</v>
      </c>
      <c r="AI27" s="9">
        <f ca="1">TarifaMedia!$G$20</f>
        <v>0</v>
      </c>
      <c r="AJ27" s="16">
        <f>'TE BE'!$AB27+'TE BF'!$AB27+'TE CVA'!$AB27</f>
        <v>235.33989117487977</v>
      </c>
      <c r="AK27" s="9">
        <f>ROUND(234.64/(1-CUSTOS!$M$38),2)</f>
        <v>249.62</v>
      </c>
      <c r="AL27" s="9">
        <f t="shared" ca="1" si="5"/>
        <v>0</v>
      </c>
      <c r="AO27" s="106" t="s">
        <v>1186</v>
      </c>
    </row>
    <row r="28" spans="1:41" ht="11.25" customHeight="1" x14ac:dyDescent="0.25">
      <c r="A28" s="177"/>
      <c r="B28" s="177"/>
      <c r="C28" s="177"/>
      <c r="D28" s="177"/>
      <c r="E28" s="177"/>
      <c r="F28" s="177"/>
      <c r="G28" s="66" t="s">
        <v>80</v>
      </c>
      <c r="H28" s="66" t="s">
        <v>78</v>
      </c>
      <c r="I28" s="66">
        <f>'MERCADO TE'!$U$25</f>
        <v>0</v>
      </c>
      <c r="J28" s="16"/>
      <c r="L28" s="64">
        <f>'TE BE'!$L$28*'TE BE'!$L$50</f>
        <v>-1.2022774158140397E-7</v>
      </c>
      <c r="M28" s="64">
        <f>'TE BE'!$M$28*'TE BE'!$M$50</f>
        <v>0</v>
      </c>
      <c r="N28" s="64">
        <f>'TE BE'!$N$28*'TE BE'!$N$50</f>
        <v>0</v>
      </c>
      <c r="O28" s="64">
        <f>'TE BE'!$O$28*'TE BE'!$O$50</f>
        <v>-0.69273438015853928</v>
      </c>
      <c r="P28" s="64">
        <f>'TE BE'!$P$28*'TE BE'!$P$50</f>
        <v>0</v>
      </c>
      <c r="Q28" s="64">
        <f>SUM($L$28:$P$28)</f>
        <v>-0.69273450038628082</v>
      </c>
      <c r="R28" s="64">
        <f>'TE BE'!$R$28*'TE BE'!$R$50</f>
        <v>0.95623935014271189</v>
      </c>
      <c r="S28" s="64">
        <f>SUM($R$28:$R$28)</f>
        <v>0.95623935014271189</v>
      </c>
      <c r="T28" s="64">
        <f>'TE BE'!$T$28*'TE BE'!$T$50</f>
        <v>0</v>
      </c>
      <c r="U28" s="64">
        <f>'TE BE'!$U$28*'TE BE'!$U$50</f>
        <v>0</v>
      </c>
      <c r="V28" s="64">
        <f>'TE BE'!$V$28*'TE BE'!$V$50</f>
        <v>0</v>
      </c>
      <c r="W28" s="64">
        <f>SUM($T$28:$V$28)</f>
        <v>0</v>
      </c>
      <c r="X28" s="64">
        <f>'TE BE'!$AB$28*'TE BE'!$X$50</f>
        <v>-48.70184209063234</v>
      </c>
      <c r="Y28" s="64">
        <f>SUM($X$28:$X$28)</f>
        <v>-48.70184209063234</v>
      </c>
      <c r="Z28" s="64">
        <f>'TE BE'!$Z$28*'TE BE'!$Z$50</f>
        <v>0</v>
      </c>
      <c r="AA28" s="64">
        <f>SUM($Z$28:$Z$28)</f>
        <v>0</v>
      </c>
      <c r="AB28" s="64">
        <f ca="1">SUMIF($L$4:$AA$4,"SUBTOTAL",$L$28:$AA$28)+AL28</f>
        <v>-48.43833724087591</v>
      </c>
      <c r="AC28" s="9" t="str">
        <f t="shared" si="0"/>
        <v>B2</v>
      </c>
      <c r="AD28" s="9" t="str">
        <f t="shared" si="1"/>
        <v>Energia horária</v>
      </c>
      <c r="AE28" s="9" t="str">
        <f t="shared" si="2"/>
        <v>Rural</v>
      </c>
      <c r="AF28" s="9" t="str">
        <f t="shared" si="3"/>
        <v>Cooperativa de eletrificação rural</v>
      </c>
      <c r="AG28" s="9" t="str">
        <f t="shared" si="4"/>
        <v>Não se aplica</v>
      </c>
      <c r="AH28" s="9">
        <v>1</v>
      </c>
      <c r="AI28" s="9">
        <f ca="1">TarifaMedia!$G$20</f>
        <v>0</v>
      </c>
      <c r="AJ28" s="16">
        <f>'TE BE'!$AB28+'TE BF'!$AB28+'TE CVA'!$AB28</f>
        <v>235.33989117487977</v>
      </c>
      <c r="AK28" s="9">
        <f>ROUND(234.64/(1-CUSTOS!$M$38),2)</f>
        <v>249.62</v>
      </c>
      <c r="AL28" s="9">
        <f t="shared" ca="1" si="5"/>
        <v>0</v>
      </c>
      <c r="AO28" s="106" t="s">
        <v>1187</v>
      </c>
    </row>
    <row r="29" spans="1:41" ht="11.25" customHeight="1" x14ac:dyDescent="0.25">
      <c r="A29" s="177"/>
      <c r="B29" s="101" t="s">
        <v>81</v>
      </c>
      <c r="C29" s="101" t="s">
        <v>43</v>
      </c>
      <c r="D29" s="101" t="s">
        <v>95</v>
      </c>
      <c r="E29" s="101" t="s">
        <v>25</v>
      </c>
      <c r="F29" s="101" t="s">
        <v>25</v>
      </c>
      <c r="G29" s="66" t="s">
        <v>82</v>
      </c>
      <c r="H29" s="66" t="s">
        <v>78</v>
      </c>
      <c r="I29" s="66">
        <f>'MERCADO TE'!$U$26</f>
        <v>0</v>
      </c>
      <c r="J29" s="16"/>
      <c r="L29" s="64">
        <f>'TE BE'!$L$29*'TE BE'!$L$50</f>
        <v>-1.2022774158140397E-7</v>
      </c>
      <c r="M29" s="64">
        <f>'TE BE'!$M$29*'TE BE'!$M$50</f>
        <v>0</v>
      </c>
      <c r="N29" s="64">
        <f>'TE BE'!$N$29*'TE BE'!$N$50</f>
        <v>0</v>
      </c>
      <c r="O29" s="64">
        <f>'TE BE'!$O$29*'TE BE'!$O$50</f>
        <v>-0.69273438015853928</v>
      </c>
      <c r="P29" s="64">
        <f>'TE BE'!$P$29*'TE BE'!$P$50</f>
        <v>0</v>
      </c>
      <c r="Q29" s="64">
        <f>SUM($L$29:$P$29)</f>
        <v>-0.69273450038628082</v>
      </c>
      <c r="R29" s="64">
        <f>'TE BE'!$R$29*'TE BE'!$R$50</f>
        <v>1.0136137111512746</v>
      </c>
      <c r="S29" s="64">
        <f>SUM($R$29:$R$29)</f>
        <v>1.0136137111512746</v>
      </c>
      <c r="T29" s="64">
        <f>'TE BE'!$T$29*'TE BE'!$T$50</f>
        <v>0</v>
      </c>
      <c r="U29" s="64">
        <f>'TE BE'!$U$29*'TE BE'!$U$50</f>
        <v>0</v>
      </c>
      <c r="V29" s="64">
        <f>'TE BE'!$V$29*'TE BE'!$V$50</f>
        <v>0</v>
      </c>
      <c r="W29" s="64">
        <f>SUM($T$29:$V$29)</f>
        <v>0</v>
      </c>
      <c r="X29" s="64">
        <f>'TE BE'!$AB$29*'TE BE'!$X$50</f>
        <v>-51.499378445049217</v>
      </c>
      <c r="Y29" s="64">
        <f>SUM($X$29:$X$29)</f>
        <v>-51.499378445049217</v>
      </c>
      <c r="Z29" s="64">
        <f>'TE BE'!$Z$29*'TE BE'!$Z$50</f>
        <v>0</v>
      </c>
      <c r="AA29" s="64">
        <f>SUM($Z$29:$Z$29)</f>
        <v>0</v>
      </c>
      <c r="AB29" s="64">
        <f ca="1">SUMIF($L$4:$AA$4,"SUBTOTAL",$L$29:$AA$29)+AL29</f>
        <v>-51.178499234284224</v>
      </c>
      <c r="AC29" s="9" t="str">
        <f t="shared" si="0"/>
        <v>B2</v>
      </c>
      <c r="AD29" s="9" t="str">
        <f t="shared" si="1"/>
        <v>Energia convencional</v>
      </c>
      <c r="AE29" s="9" t="str">
        <f t="shared" si="2"/>
        <v>Rural</v>
      </c>
      <c r="AF29" s="9" t="str">
        <f t="shared" si="3"/>
        <v>Cooperativa de eletrificação rural</v>
      </c>
      <c r="AG29" s="9" t="str">
        <f t="shared" si="4"/>
        <v>Não se aplica</v>
      </c>
      <c r="AH29" s="9">
        <v>1</v>
      </c>
      <c r="AI29" s="9">
        <f ca="1">TarifaMedia!$G$20</f>
        <v>0</v>
      </c>
      <c r="AJ29" s="16">
        <f>'TE BE'!$AB29+'TE BF'!$AB29+'TE CVA'!$AB29</f>
        <v>248.89628694871266</v>
      </c>
      <c r="AK29" s="9">
        <v>261.62</v>
      </c>
      <c r="AL29" s="9">
        <f t="shared" ca="1" si="5"/>
        <v>0</v>
      </c>
      <c r="AO29" s="106" t="s">
        <v>1181</v>
      </c>
    </row>
    <row r="30" spans="1:41" ht="11.25" customHeight="1" x14ac:dyDescent="0.25">
      <c r="A30" s="177"/>
      <c r="B30" s="177" t="s">
        <v>77</v>
      </c>
      <c r="C30" s="177" t="s">
        <v>43</v>
      </c>
      <c r="D30" s="177" t="s">
        <v>96</v>
      </c>
      <c r="E30" s="177" t="s">
        <v>25</v>
      </c>
      <c r="F30" s="177" t="s">
        <v>25</v>
      </c>
      <c r="G30" s="66" t="s">
        <v>79</v>
      </c>
      <c r="H30" s="66" t="s">
        <v>78</v>
      </c>
      <c r="I30" s="66">
        <f>'MERCADO TE'!$U$27</f>
        <v>0</v>
      </c>
      <c r="J30" s="16"/>
      <c r="L30" s="64">
        <f>'TE BE'!$L$30*'TE BE'!$L$50</f>
        <v>-1.2022774158140397E-7</v>
      </c>
      <c r="M30" s="64">
        <f>'TE BE'!$M$30*'TE BE'!$M$50</f>
        <v>0</v>
      </c>
      <c r="N30" s="64">
        <f>'TE BE'!$N$30*'TE BE'!$N$50</f>
        <v>0</v>
      </c>
      <c r="O30" s="64">
        <f>'TE BE'!$O$30*'TE BE'!$O$50</f>
        <v>-0.69273438015853928</v>
      </c>
      <c r="P30" s="64">
        <f>'TE BE'!$P$30*'TE BE'!$P$50</f>
        <v>0</v>
      </c>
      <c r="Q30" s="64">
        <f>SUM($L$30:$P$30)</f>
        <v>-0.69273450038628082</v>
      </c>
      <c r="R30" s="64">
        <f>'TE BE'!$R$30*'TE BE'!$R$50</f>
        <v>1.6447316822454645</v>
      </c>
      <c r="S30" s="64">
        <f>SUM($R$30:$R$30)</f>
        <v>1.6447316822454645</v>
      </c>
      <c r="T30" s="64">
        <f>'TE BE'!$T$30*'TE BE'!$T$50</f>
        <v>0</v>
      </c>
      <c r="U30" s="64">
        <f>'TE BE'!$U$30*'TE BE'!$U$50</f>
        <v>0</v>
      </c>
      <c r="V30" s="64">
        <f>'TE BE'!$V$30*'TE BE'!$V$50</f>
        <v>0</v>
      </c>
      <c r="W30" s="64">
        <f>SUM($T$30:$V$30)</f>
        <v>0</v>
      </c>
      <c r="X30" s="64">
        <f>'TE BE'!$AB$30*'TE BE'!$X$50</f>
        <v>-82.272278343634838</v>
      </c>
      <c r="Y30" s="64">
        <f>SUM($X$30:$X$30)</f>
        <v>-82.272278343634838</v>
      </c>
      <c r="Z30" s="64">
        <f>'TE BE'!$Z$30*'TE BE'!$Z$50</f>
        <v>0</v>
      </c>
      <c r="AA30" s="64">
        <f>SUM($Z$30:$Z$30)</f>
        <v>0</v>
      </c>
      <c r="AB30" s="64">
        <f ca="1">SUMIF($L$4:$AA$4,"SUBTOTAL",$L$30:$AA$30)+AL30</f>
        <v>-81.320281161775654</v>
      </c>
      <c r="AC30" s="9" t="str">
        <f t="shared" si="0"/>
        <v>B2</v>
      </c>
      <c r="AD30" s="9" t="str">
        <f t="shared" si="1"/>
        <v>Energia horária</v>
      </c>
      <c r="AE30" s="9" t="str">
        <f t="shared" si="2"/>
        <v>Rural</v>
      </c>
      <c r="AF30" s="9" t="str">
        <f t="shared" si="3"/>
        <v>Serviço público de irrigação rural</v>
      </c>
      <c r="AG30" s="9" t="str">
        <f t="shared" si="4"/>
        <v>Não se aplica</v>
      </c>
      <c r="AH30" s="9">
        <v>1</v>
      </c>
      <c r="AI30" s="9">
        <f ca="1">TarifaMedia!$G$20</f>
        <v>0</v>
      </c>
      <c r="AJ30" s="16">
        <f>'TE BE'!$AB30+'TE BF'!$AB30+'TE CVA'!$AB30</f>
        <v>398.01664046087393</v>
      </c>
      <c r="AK30" s="9">
        <f>ROUND(370.01/(1-CUSTOS!$M$38),2)</f>
        <v>393.63</v>
      </c>
      <c r="AL30" s="9">
        <f t="shared" ca="1" si="5"/>
        <v>0</v>
      </c>
      <c r="AO30" s="106" t="s">
        <v>1185</v>
      </c>
    </row>
    <row r="31" spans="1:41" ht="11.25" customHeight="1" x14ac:dyDescent="0.25">
      <c r="A31" s="177"/>
      <c r="B31" s="177"/>
      <c r="C31" s="177"/>
      <c r="D31" s="177"/>
      <c r="E31" s="177"/>
      <c r="F31" s="177"/>
      <c r="G31" s="66" t="s">
        <v>92</v>
      </c>
      <c r="H31" s="66" t="s">
        <v>78</v>
      </c>
      <c r="I31" s="66">
        <f>'MERCADO TE'!$U$28</f>
        <v>0</v>
      </c>
      <c r="J31" s="16"/>
      <c r="L31" s="64">
        <f>'TE BE'!$L$31*'TE BE'!$L$50</f>
        <v>-1.2022774158140397E-7</v>
      </c>
      <c r="M31" s="64">
        <f>'TE BE'!$M$31*'TE BE'!$M$50</f>
        <v>0</v>
      </c>
      <c r="N31" s="64">
        <f>'TE BE'!$N$31*'TE BE'!$N$50</f>
        <v>0</v>
      </c>
      <c r="O31" s="64">
        <f>'TE BE'!$O$31*'TE BE'!$O$50</f>
        <v>-0.69273438015853928</v>
      </c>
      <c r="P31" s="64">
        <f>'TE BE'!$P$31*'TE BE'!$P$50</f>
        <v>0</v>
      </c>
      <c r="Q31" s="64">
        <f>SUM($L$31:$P$31)</f>
        <v>-0.69273450038628082</v>
      </c>
      <c r="R31" s="64">
        <f>'TE BE'!$R$31*'TE BE'!$R$50</f>
        <v>0.95623935014271189</v>
      </c>
      <c r="S31" s="64">
        <f>SUM($R$31:$R$31)</f>
        <v>0.95623935014271189</v>
      </c>
      <c r="T31" s="64">
        <f>'TE BE'!$T$31*'TE BE'!$T$50</f>
        <v>0</v>
      </c>
      <c r="U31" s="64">
        <f>'TE BE'!$U$31*'TE BE'!$U$50</f>
        <v>0</v>
      </c>
      <c r="V31" s="64">
        <f>'TE BE'!$V$31*'TE BE'!$V$50</f>
        <v>0</v>
      </c>
      <c r="W31" s="64">
        <f>SUM($T$31:$V$31)</f>
        <v>0</v>
      </c>
      <c r="X31" s="64">
        <f>'TE BE'!$AB$31*'TE BE'!$X$50</f>
        <v>-48.70184209063234</v>
      </c>
      <c r="Y31" s="64">
        <f>SUM($X$31:$X$31)</f>
        <v>-48.70184209063234</v>
      </c>
      <c r="Z31" s="64">
        <f>'TE BE'!$Z$31*'TE BE'!$Z$50</f>
        <v>0</v>
      </c>
      <c r="AA31" s="64">
        <f>SUM($Z$31:$Z$31)</f>
        <v>0</v>
      </c>
      <c r="AB31" s="64">
        <f ca="1">SUMIF($L$4:$AA$4,"SUBTOTAL",$L$31:$AA$31)+AL31</f>
        <v>-48.43833724087591</v>
      </c>
      <c r="AC31" s="9" t="str">
        <f t="shared" si="0"/>
        <v>B2</v>
      </c>
      <c r="AD31" s="9" t="str">
        <f t="shared" si="1"/>
        <v>Energia horária</v>
      </c>
      <c r="AE31" s="9" t="str">
        <f t="shared" si="2"/>
        <v>Rural</v>
      </c>
      <c r="AF31" s="9" t="str">
        <f t="shared" si="3"/>
        <v>Serviço público de irrigação rural</v>
      </c>
      <c r="AG31" s="9" t="str">
        <f t="shared" si="4"/>
        <v>Não se aplica</v>
      </c>
      <c r="AH31" s="9">
        <v>1</v>
      </c>
      <c r="AI31" s="9">
        <f ca="1">TarifaMedia!$G$20</f>
        <v>0</v>
      </c>
      <c r="AJ31" s="16">
        <f>'TE BE'!$AB31+'TE BF'!$AB31+'TE CVA'!$AB31</f>
        <v>235.33989117487977</v>
      </c>
      <c r="AK31" s="9">
        <f>ROUND(234.64/(1-CUSTOS!$M$38),2)</f>
        <v>249.62</v>
      </c>
      <c r="AL31" s="9">
        <f t="shared" ca="1" si="5"/>
        <v>0</v>
      </c>
      <c r="AO31" s="106" t="s">
        <v>1186</v>
      </c>
    </row>
    <row r="32" spans="1:41" ht="11.25" customHeight="1" x14ac:dyDescent="0.25">
      <c r="A32" s="177"/>
      <c r="B32" s="177"/>
      <c r="C32" s="177"/>
      <c r="D32" s="177"/>
      <c r="E32" s="177"/>
      <c r="F32" s="177"/>
      <c r="G32" s="66" t="s">
        <v>80</v>
      </c>
      <c r="H32" s="66" t="s">
        <v>78</v>
      </c>
      <c r="I32" s="66">
        <f>'MERCADO TE'!$U$29</f>
        <v>0</v>
      </c>
      <c r="J32" s="16"/>
      <c r="L32" s="64">
        <f>'TE BE'!$L$32*'TE BE'!$L$50</f>
        <v>-1.2022774158140397E-7</v>
      </c>
      <c r="M32" s="64">
        <f>'TE BE'!$M$32*'TE BE'!$M$50</f>
        <v>0</v>
      </c>
      <c r="N32" s="64">
        <f>'TE BE'!$N$32*'TE BE'!$N$50</f>
        <v>0</v>
      </c>
      <c r="O32" s="64">
        <f>'TE BE'!$O$32*'TE BE'!$O$50</f>
        <v>-0.69273438015853928</v>
      </c>
      <c r="P32" s="64">
        <f>'TE BE'!$P$32*'TE BE'!$P$50</f>
        <v>0</v>
      </c>
      <c r="Q32" s="64">
        <f>SUM($L$32:$P$32)</f>
        <v>-0.69273450038628082</v>
      </c>
      <c r="R32" s="64">
        <f>'TE BE'!$R$32*'TE BE'!$R$50</f>
        <v>0.95623935014271189</v>
      </c>
      <c r="S32" s="64">
        <f>SUM($R$32:$R$32)</f>
        <v>0.95623935014271189</v>
      </c>
      <c r="T32" s="64">
        <f>'TE BE'!$T$32*'TE BE'!$T$50</f>
        <v>0</v>
      </c>
      <c r="U32" s="64">
        <f>'TE BE'!$U$32*'TE BE'!$U$50</f>
        <v>0</v>
      </c>
      <c r="V32" s="64">
        <f>'TE BE'!$V$32*'TE BE'!$V$50</f>
        <v>0</v>
      </c>
      <c r="W32" s="64">
        <f>SUM($T$32:$V$32)</f>
        <v>0</v>
      </c>
      <c r="X32" s="64">
        <f>'TE BE'!$AB$32*'TE BE'!$X$50</f>
        <v>-48.70184209063234</v>
      </c>
      <c r="Y32" s="64">
        <f>SUM($X$32:$X$32)</f>
        <v>-48.70184209063234</v>
      </c>
      <c r="Z32" s="64">
        <f>'TE BE'!$Z$32*'TE BE'!$Z$50</f>
        <v>0</v>
      </c>
      <c r="AA32" s="64">
        <f>SUM($Z$32:$Z$32)</f>
        <v>0</v>
      </c>
      <c r="AB32" s="64">
        <f ca="1">SUMIF($L$4:$AA$4,"SUBTOTAL",$L$32:$AA$32)+AL32</f>
        <v>-48.43833724087591</v>
      </c>
      <c r="AC32" s="9" t="str">
        <f t="shared" si="0"/>
        <v>B2</v>
      </c>
      <c r="AD32" s="9" t="str">
        <f t="shared" si="1"/>
        <v>Energia horária</v>
      </c>
      <c r="AE32" s="9" t="str">
        <f t="shared" si="2"/>
        <v>Rural</v>
      </c>
      <c r="AF32" s="9" t="str">
        <f t="shared" si="3"/>
        <v>Serviço público de irrigação rural</v>
      </c>
      <c r="AG32" s="9" t="str">
        <f t="shared" si="4"/>
        <v>Não se aplica</v>
      </c>
      <c r="AH32" s="9">
        <v>1</v>
      </c>
      <c r="AI32" s="9">
        <f ca="1">TarifaMedia!$G$20</f>
        <v>0</v>
      </c>
      <c r="AJ32" s="16">
        <f>'TE BE'!$AB32+'TE BF'!$AB32+'TE CVA'!$AB32</f>
        <v>235.33989117487977</v>
      </c>
      <c r="AK32" s="9">
        <f>ROUND(234.64/(1-CUSTOS!$M$38),2)</f>
        <v>249.62</v>
      </c>
      <c r="AL32" s="9">
        <f t="shared" ca="1" si="5"/>
        <v>0</v>
      </c>
      <c r="AO32" s="106" t="s">
        <v>1187</v>
      </c>
    </row>
    <row r="33" spans="1:41" ht="11.25" customHeight="1" x14ac:dyDescent="0.25">
      <c r="A33" s="177"/>
      <c r="B33" s="101" t="s">
        <v>81</v>
      </c>
      <c r="C33" s="101" t="s">
        <v>43</v>
      </c>
      <c r="D33" s="101" t="s">
        <v>96</v>
      </c>
      <c r="E33" s="101" t="s">
        <v>25</v>
      </c>
      <c r="F33" s="101" t="s">
        <v>25</v>
      </c>
      <c r="G33" s="66" t="s">
        <v>82</v>
      </c>
      <c r="H33" s="66" t="s">
        <v>78</v>
      </c>
      <c r="I33" s="66">
        <f>'MERCADO TE'!$U$30</f>
        <v>0</v>
      </c>
      <c r="J33" s="16"/>
      <c r="L33" s="64">
        <f>'TE BE'!$L$33*'TE BE'!$L$50</f>
        <v>-1.2022774158140397E-7</v>
      </c>
      <c r="M33" s="64">
        <f>'TE BE'!$M$33*'TE BE'!$M$50</f>
        <v>0</v>
      </c>
      <c r="N33" s="64">
        <f>'TE BE'!$N$33*'TE BE'!$N$50</f>
        <v>0</v>
      </c>
      <c r="O33" s="64">
        <f>'TE BE'!$O$33*'TE BE'!$O$50</f>
        <v>-0.69273438015853928</v>
      </c>
      <c r="P33" s="64">
        <f>'TE BE'!$P$33*'TE BE'!$P$50</f>
        <v>0</v>
      </c>
      <c r="Q33" s="64">
        <f>SUM($L$33:$P$33)</f>
        <v>-0.69273450038628082</v>
      </c>
      <c r="R33" s="64">
        <f>'TE BE'!$R$33*'TE BE'!$R$50</f>
        <v>1.0136137111512746</v>
      </c>
      <c r="S33" s="64">
        <f>SUM($R$33:$R$33)</f>
        <v>1.0136137111512746</v>
      </c>
      <c r="T33" s="64">
        <f>'TE BE'!$T$33*'TE BE'!$T$50</f>
        <v>0</v>
      </c>
      <c r="U33" s="64">
        <f>'TE BE'!$U$33*'TE BE'!$U$50</f>
        <v>0</v>
      </c>
      <c r="V33" s="64">
        <f>'TE BE'!$V$33*'TE BE'!$V$50</f>
        <v>0</v>
      </c>
      <c r="W33" s="64">
        <f>SUM($T$33:$V$33)</f>
        <v>0</v>
      </c>
      <c r="X33" s="64">
        <f>'TE BE'!$AB$33*'TE BE'!$X$50</f>
        <v>-51.499378445049217</v>
      </c>
      <c r="Y33" s="64">
        <f>SUM($X$33:$X$33)</f>
        <v>-51.499378445049217</v>
      </c>
      <c r="Z33" s="64">
        <f>'TE BE'!$Z$33*'TE BE'!$Z$50</f>
        <v>0</v>
      </c>
      <c r="AA33" s="64">
        <f>SUM($Z$33:$Z$33)</f>
        <v>0</v>
      </c>
      <c r="AB33" s="64">
        <f ca="1">SUMIF($L$4:$AA$4,"SUBTOTAL",$L$33:$AA$33)+AL33</f>
        <v>-51.178499234284224</v>
      </c>
      <c r="AC33" s="9" t="str">
        <f t="shared" si="0"/>
        <v>B2</v>
      </c>
      <c r="AD33" s="9" t="str">
        <f t="shared" si="1"/>
        <v>Energia convencional</v>
      </c>
      <c r="AE33" s="9" t="str">
        <f t="shared" si="2"/>
        <v>Rural</v>
      </c>
      <c r="AF33" s="9" t="str">
        <f t="shared" si="3"/>
        <v>Serviço público de irrigação rural</v>
      </c>
      <c r="AG33" s="9" t="str">
        <f t="shared" si="4"/>
        <v>Não se aplica</v>
      </c>
      <c r="AH33" s="9">
        <v>1</v>
      </c>
      <c r="AI33" s="9">
        <f ca="1">TarifaMedia!$G$20</f>
        <v>0</v>
      </c>
      <c r="AJ33" s="16">
        <f>'TE BE'!$AB33+'TE BF'!$AB33+'TE CVA'!$AB33</f>
        <v>248.89628694871266</v>
      </c>
      <c r="AK33" s="9">
        <v>261.62</v>
      </c>
      <c r="AL33" s="9">
        <f t="shared" ca="1" si="5"/>
        <v>0</v>
      </c>
      <c r="AO33" s="106" t="s">
        <v>1181</v>
      </c>
    </row>
    <row r="34" spans="1:41" ht="11.25" customHeight="1" x14ac:dyDescent="0.25">
      <c r="A34" s="177"/>
      <c r="B34" s="177" t="s">
        <v>93</v>
      </c>
      <c r="C34" s="177" t="s">
        <v>43</v>
      </c>
      <c r="D34" s="101" t="s">
        <v>25</v>
      </c>
      <c r="E34" s="101" t="s">
        <v>25</v>
      </c>
      <c r="F34" s="101" t="s">
        <v>25</v>
      </c>
      <c r="G34" s="66" t="s">
        <v>82</v>
      </c>
      <c r="H34" s="66" t="s">
        <v>78</v>
      </c>
      <c r="I34" s="66">
        <f>'MERCADO TE'!$U$31</f>
        <v>0</v>
      </c>
      <c r="J34" s="16"/>
      <c r="L34" s="64">
        <f>'TE BE'!$L$34*'TE BE'!$L$50</f>
        <v>-1.2022774158140397E-7</v>
      </c>
      <c r="M34" s="64">
        <f>'TE BE'!$M$34*'TE BE'!$M$50</f>
        <v>0</v>
      </c>
      <c r="N34" s="64">
        <f>'TE BE'!$N$34*'TE BE'!$N$50</f>
        <v>0</v>
      </c>
      <c r="O34" s="64">
        <f>'TE BE'!$O$34*'TE BE'!$O$50</f>
        <v>-0.69273438015853928</v>
      </c>
      <c r="P34" s="64">
        <f>'TE BE'!$P$34*'TE BE'!$P$50</f>
        <v>0</v>
      </c>
      <c r="Q34" s="64">
        <f>SUM($L$34:$P$34)</f>
        <v>-0.69273450038628082</v>
      </c>
      <c r="R34" s="64">
        <f>'TE BE'!$R$34*'TE BE'!$R$50</f>
        <v>1.0136137111512746</v>
      </c>
      <c r="S34" s="64">
        <f>SUM($R$34:$R$34)</f>
        <v>1.0136137111512746</v>
      </c>
      <c r="T34" s="64">
        <f>'TE BE'!$T$34*'TE BE'!$T$50</f>
        <v>0</v>
      </c>
      <c r="U34" s="64">
        <f>'TE BE'!$U$34*'TE BE'!$U$50</f>
        <v>0</v>
      </c>
      <c r="V34" s="64">
        <f>'TE BE'!$V$34*'TE BE'!$V$50</f>
        <v>0</v>
      </c>
      <c r="W34" s="64">
        <f>SUM($T$34:$V$34)</f>
        <v>0</v>
      </c>
      <c r="X34" s="64">
        <f>'TE BE'!$AB$34*'TE BE'!$X$50</f>
        <v>-51.499378445049217</v>
      </c>
      <c r="Y34" s="64">
        <f>SUM($X$34:$X$34)</f>
        <v>-51.499378445049217</v>
      </c>
      <c r="Z34" s="64">
        <f>'TE BE'!$Z$34*'TE BE'!$Z$50</f>
        <v>0</v>
      </c>
      <c r="AA34" s="64">
        <f>SUM($Z$34:$Z$34)</f>
        <v>0</v>
      </c>
      <c r="AB34" s="64">
        <f ca="1">SUMIF($L$4:$AA$4,"SUBTOTAL",$L$34:$AA$34)+AL34</f>
        <v>-51.178499234284224</v>
      </c>
      <c r="AC34" s="9" t="str">
        <f t="shared" si="0"/>
        <v>B2</v>
      </c>
      <c r="AD34" s="9" t="str">
        <f t="shared" si="1"/>
        <v>Energia convencional pré-pagamento</v>
      </c>
      <c r="AE34" s="9" t="str">
        <f t="shared" si="2"/>
        <v>Rural</v>
      </c>
      <c r="AF34" s="9" t="str">
        <f t="shared" si="3"/>
        <v>Não se aplica</v>
      </c>
      <c r="AG34" s="9" t="str">
        <f t="shared" si="4"/>
        <v>Não se aplica</v>
      </c>
      <c r="AH34" s="9">
        <v>1</v>
      </c>
      <c r="AI34" s="9">
        <f ca="1">TarifaMedia!$G$20</f>
        <v>0</v>
      </c>
      <c r="AJ34" s="16">
        <f>'TE BE'!$AB34+'TE BF'!$AB34+'TE CVA'!$AB34</f>
        <v>248.89628694871266</v>
      </c>
      <c r="AK34" s="9">
        <v>261.62</v>
      </c>
      <c r="AL34" s="9">
        <f t="shared" ca="1" si="5"/>
        <v>0</v>
      </c>
      <c r="AO34" s="106" t="s">
        <v>1181</v>
      </c>
    </row>
    <row r="35" spans="1:41" ht="11.25" customHeight="1" x14ac:dyDescent="0.25">
      <c r="A35" s="177"/>
      <c r="B35" s="177"/>
      <c r="C35" s="177"/>
      <c r="D35" s="101" t="s">
        <v>95</v>
      </c>
      <c r="E35" s="101" t="s">
        <v>25</v>
      </c>
      <c r="F35" s="101" t="s">
        <v>25</v>
      </c>
      <c r="G35" s="66" t="s">
        <v>82</v>
      </c>
      <c r="H35" s="66" t="s">
        <v>78</v>
      </c>
      <c r="I35" s="66">
        <f>'MERCADO TE'!$U$32</f>
        <v>0</v>
      </c>
      <c r="J35" s="16"/>
      <c r="L35" s="64">
        <f>'TE BE'!$L$35*'TE BE'!$L$50</f>
        <v>-1.2022774158140397E-7</v>
      </c>
      <c r="M35" s="64">
        <f>'TE BE'!$M$35*'TE BE'!$M$50</f>
        <v>0</v>
      </c>
      <c r="N35" s="64">
        <f>'TE BE'!$N$35*'TE BE'!$N$50</f>
        <v>0</v>
      </c>
      <c r="O35" s="64">
        <f>'TE BE'!$O$35*'TE BE'!$O$50</f>
        <v>-0.69273438015853928</v>
      </c>
      <c r="P35" s="64">
        <f>'TE BE'!$P$35*'TE BE'!$P$50</f>
        <v>0</v>
      </c>
      <c r="Q35" s="64">
        <f>SUM($L$35:$P$35)</f>
        <v>-0.69273450038628082</v>
      </c>
      <c r="R35" s="64">
        <f>'TE BE'!$R$35*'TE BE'!$R$50</f>
        <v>1.0136137111512746</v>
      </c>
      <c r="S35" s="64">
        <f>SUM($R$35:$R$35)</f>
        <v>1.0136137111512746</v>
      </c>
      <c r="T35" s="64">
        <f>'TE BE'!$T$35*'TE BE'!$T$50</f>
        <v>0</v>
      </c>
      <c r="U35" s="64">
        <f>'TE BE'!$U$35*'TE BE'!$U$50</f>
        <v>0</v>
      </c>
      <c r="V35" s="64">
        <f>'TE BE'!$V$35*'TE BE'!$V$50</f>
        <v>0</v>
      </c>
      <c r="W35" s="64">
        <f>SUM($T$35:$V$35)</f>
        <v>0</v>
      </c>
      <c r="X35" s="64">
        <f>'TE BE'!$AB$35*'TE BE'!$X$50</f>
        <v>-51.499378445049217</v>
      </c>
      <c r="Y35" s="64">
        <f>SUM($X$35:$X$35)</f>
        <v>-51.499378445049217</v>
      </c>
      <c r="Z35" s="64">
        <f>'TE BE'!$Z$35*'TE BE'!$Z$50</f>
        <v>0</v>
      </c>
      <c r="AA35" s="64">
        <f>SUM($Z$35:$Z$35)</f>
        <v>0</v>
      </c>
      <c r="AB35" s="64">
        <f ca="1">SUMIF($L$4:$AA$4,"SUBTOTAL",$L$35:$AA$35)+AL35</f>
        <v>-51.178499234284224</v>
      </c>
      <c r="AC35" s="9" t="str">
        <f t="shared" si="0"/>
        <v>B2</v>
      </c>
      <c r="AD35" s="9" t="str">
        <f t="shared" si="1"/>
        <v>Energia convencional pré-pagamento</v>
      </c>
      <c r="AE35" s="9" t="str">
        <f t="shared" si="2"/>
        <v>Rural</v>
      </c>
      <c r="AF35" s="9" t="str">
        <f t="shared" si="3"/>
        <v>Cooperativa de eletrificação rural</v>
      </c>
      <c r="AG35" s="9" t="str">
        <f t="shared" si="4"/>
        <v>Não se aplica</v>
      </c>
      <c r="AH35" s="9">
        <v>1</v>
      </c>
      <c r="AI35" s="9">
        <f ca="1">TarifaMedia!$G$20</f>
        <v>0</v>
      </c>
      <c r="AJ35" s="16">
        <f>'TE BE'!$AB35+'TE BF'!$AB35+'TE CVA'!$AB35</f>
        <v>248.89628694871266</v>
      </c>
      <c r="AK35" s="9">
        <v>261.62</v>
      </c>
      <c r="AL35" s="9">
        <f t="shared" ca="1" si="5"/>
        <v>0</v>
      </c>
      <c r="AO35" s="106" t="s">
        <v>1181</v>
      </c>
    </row>
    <row r="36" spans="1:41" ht="11.25" customHeight="1" x14ac:dyDescent="0.25">
      <c r="A36" s="177"/>
      <c r="B36" s="177"/>
      <c r="C36" s="177"/>
      <c r="D36" s="101" t="s">
        <v>96</v>
      </c>
      <c r="E36" s="101" t="s">
        <v>25</v>
      </c>
      <c r="F36" s="101" t="s">
        <v>25</v>
      </c>
      <c r="G36" s="66" t="s">
        <v>82</v>
      </c>
      <c r="H36" s="66" t="s">
        <v>78</v>
      </c>
      <c r="I36" s="66">
        <f>'MERCADO TE'!$U$33</f>
        <v>0</v>
      </c>
      <c r="J36" s="16"/>
      <c r="L36" s="64">
        <f>'TE BE'!$L$36*'TE BE'!$L$50</f>
        <v>-1.2022774158140397E-7</v>
      </c>
      <c r="M36" s="64">
        <f>'TE BE'!$M$36*'TE BE'!$M$50</f>
        <v>0</v>
      </c>
      <c r="N36" s="64">
        <f>'TE BE'!$N$36*'TE BE'!$N$50</f>
        <v>0</v>
      </c>
      <c r="O36" s="64">
        <f>'TE BE'!$O$36*'TE BE'!$O$50</f>
        <v>-0.69273438015853928</v>
      </c>
      <c r="P36" s="64">
        <f>'TE BE'!$P$36*'TE BE'!$P$50</f>
        <v>0</v>
      </c>
      <c r="Q36" s="64">
        <f>SUM($L$36:$P$36)</f>
        <v>-0.69273450038628082</v>
      </c>
      <c r="R36" s="64">
        <f>'TE BE'!$R$36*'TE BE'!$R$50</f>
        <v>1.0136137111512746</v>
      </c>
      <c r="S36" s="64">
        <f>SUM($R$36:$R$36)</f>
        <v>1.0136137111512746</v>
      </c>
      <c r="T36" s="64">
        <f>'TE BE'!$T$36*'TE BE'!$T$50</f>
        <v>0</v>
      </c>
      <c r="U36" s="64">
        <f>'TE BE'!$U$36*'TE BE'!$U$50</f>
        <v>0</v>
      </c>
      <c r="V36" s="64">
        <f>'TE BE'!$V$36*'TE BE'!$V$50</f>
        <v>0</v>
      </c>
      <c r="W36" s="64">
        <f>SUM($T$36:$V$36)</f>
        <v>0</v>
      </c>
      <c r="X36" s="64">
        <f>'TE BE'!$AB$36*'TE BE'!$X$50</f>
        <v>-51.499378445049217</v>
      </c>
      <c r="Y36" s="64">
        <f>SUM($X$36:$X$36)</f>
        <v>-51.499378445049217</v>
      </c>
      <c r="Z36" s="64">
        <f>'TE BE'!$Z$36*'TE BE'!$Z$50</f>
        <v>0</v>
      </c>
      <c r="AA36" s="64">
        <f>SUM($Z$36:$Z$36)</f>
        <v>0</v>
      </c>
      <c r="AB36" s="64">
        <f ca="1">SUMIF($L$4:$AA$4,"SUBTOTAL",$L$36:$AA$36)+AL36</f>
        <v>-51.178499234284224</v>
      </c>
      <c r="AC36" s="9" t="str">
        <f t="shared" si="0"/>
        <v>B2</v>
      </c>
      <c r="AD36" s="9" t="str">
        <f t="shared" si="1"/>
        <v>Energia convencional pré-pagamento</v>
      </c>
      <c r="AE36" s="9" t="str">
        <f t="shared" si="2"/>
        <v>Rural</v>
      </c>
      <c r="AF36" s="9" t="str">
        <f t="shared" si="3"/>
        <v>Serviço público de irrigação rural</v>
      </c>
      <c r="AG36" s="9" t="str">
        <f t="shared" si="4"/>
        <v>Não se aplica</v>
      </c>
      <c r="AH36" s="9">
        <v>1</v>
      </c>
      <c r="AI36" s="9">
        <f ca="1">TarifaMedia!$G$20</f>
        <v>0</v>
      </c>
      <c r="AJ36" s="16">
        <f>'TE BE'!$AB36+'TE BF'!$AB36+'TE CVA'!$AB36</f>
        <v>248.89628694871266</v>
      </c>
      <c r="AK36" s="9">
        <v>261.62</v>
      </c>
      <c r="AL36" s="9">
        <f t="shared" ca="1" si="5"/>
        <v>0</v>
      </c>
      <c r="AO36" s="106" t="s">
        <v>1181</v>
      </c>
    </row>
    <row r="37" spans="1:41" ht="11.25" customHeight="1" x14ac:dyDescent="0.25">
      <c r="A37" s="177" t="s">
        <v>36</v>
      </c>
      <c r="B37" s="177" t="s">
        <v>77</v>
      </c>
      <c r="C37" s="177" t="s">
        <v>25</v>
      </c>
      <c r="D37" s="177" t="s">
        <v>25</v>
      </c>
      <c r="E37" s="177" t="s">
        <v>25</v>
      </c>
      <c r="F37" s="177" t="s">
        <v>25</v>
      </c>
      <c r="G37" s="66" t="s">
        <v>79</v>
      </c>
      <c r="H37" s="66" t="s">
        <v>78</v>
      </c>
      <c r="I37" s="66">
        <f>'MERCADO TE'!$U$34</f>
        <v>1.1140000000000001</v>
      </c>
      <c r="J37" s="16"/>
      <c r="L37" s="64">
        <f>'TE BE'!$L$37*'TE BE'!$L$50</f>
        <v>-1.2022774158140397E-7</v>
      </c>
      <c r="M37" s="64">
        <f>'TE BE'!$M$37*'TE BE'!$M$50</f>
        <v>0</v>
      </c>
      <c r="N37" s="64">
        <f>'TE BE'!$N$37*'TE BE'!$N$50</f>
        <v>0</v>
      </c>
      <c r="O37" s="64">
        <f>'TE BE'!$O$37*'TE BE'!$O$50</f>
        <v>-0.69273438015853928</v>
      </c>
      <c r="P37" s="64">
        <f>'TE BE'!$P$37*'TE BE'!$P$50</f>
        <v>0</v>
      </c>
      <c r="Q37" s="64">
        <f>SUM($L$37:$P$37)</f>
        <v>-0.69273450038628082</v>
      </c>
      <c r="R37" s="64">
        <f>'TE BE'!$R$37*'TE BE'!$R$50</f>
        <v>1.6447316822454645</v>
      </c>
      <c r="S37" s="64">
        <f>SUM($R$37:$R$37)</f>
        <v>1.6447316822454645</v>
      </c>
      <c r="T37" s="64">
        <f>'TE BE'!$T$37*'TE BE'!$T$50</f>
        <v>0</v>
      </c>
      <c r="U37" s="64">
        <f>'TE BE'!$U$37*'TE BE'!$U$50</f>
        <v>0</v>
      </c>
      <c r="V37" s="64">
        <f>'TE BE'!$V$37*'TE BE'!$V$50</f>
        <v>0</v>
      </c>
      <c r="W37" s="64">
        <f>SUM($T$37:$V$37)</f>
        <v>0</v>
      </c>
      <c r="X37" s="64">
        <f>'TE BE'!$AB$37*'TE BE'!$X$50</f>
        <v>-82.272278343634838</v>
      </c>
      <c r="Y37" s="64">
        <f>SUM($X$37:$X$37)</f>
        <v>-82.272278343634838</v>
      </c>
      <c r="Z37" s="64">
        <f>'TE BE'!$Z$37*'TE BE'!$Z$50</f>
        <v>0</v>
      </c>
      <c r="AA37" s="64">
        <f>SUM($Z$37:$Z$37)</f>
        <v>0</v>
      </c>
      <c r="AB37" s="64">
        <f ca="1">SUMIF($L$4:$AA$4,"SUBTOTAL",$L$37:$AA$37)+AL37</f>
        <v>-81.320281161775654</v>
      </c>
      <c r="AC37" s="9" t="str">
        <f t="shared" si="0"/>
        <v>B3</v>
      </c>
      <c r="AD37" s="9" t="str">
        <f t="shared" si="1"/>
        <v>Energia horária</v>
      </c>
      <c r="AE37" s="9" t="str">
        <f t="shared" si="2"/>
        <v>Não se aplica</v>
      </c>
      <c r="AF37" s="9" t="str">
        <f t="shared" si="3"/>
        <v>Não se aplica</v>
      </c>
      <c r="AG37" s="9" t="str">
        <f t="shared" si="4"/>
        <v>Não se aplica</v>
      </c>
      <c r="AH37" s="9">
        <v>1</v>
      </c>
      <c r="AI37" s="9">
        <f ca="1">TarifaMedia!$G$20</f>
        <v>0</v>
      </c>
      <c r="AJ37" s="16">
        <f>'TE BE'!$AB37+'TE BF'!$AB37+'TE CVA'!$AB37</f>
        <v>398.01664046087393</v>
      </c>
      <c r="AK37" s="9">
        <v>393.63</v>
      </c>
      <c r="AL37" s="9">
        <f t="shared" ca="1" si="5"/>
        <v>0</v>
      </c>
      <c r="AO37" s="106" t="s">
        <v>1188</v>
      </c>
    </row>
    <row r="38" spans="1:41" ht="11.25" customHeight="1" x14ac:dyDescent="0.25">
      <c r="A38" s="177"/>
      <c r="B38" s="177"/>
      <c r="C38" s="177"/>
      <c r="D38" s="177"/>
      <c r="E38" s="177"/>
      <c r="F38" s="177"/>
      <c r="G38" s="66" t="s">
        <v>92</v>
      </c>
      <c r="H38" s="66" t="s">
        <v>78</v>
      </c>
      <c r="I38" s="66">
        <f>'MERCADO TE'!$U$35</f>
        <v>0.48499999999999999</v>
      </c>
      <c r="J38" s="16"/>
      <c r="L38" s="64">
        <f>'TE BE'!$L$38*'TE BE'!$L$50</f>
        <v>-1.2022774158140397E-7</v>
      </c>
      <c r="M38" s="64">
        <f>'TE BE'!$M$38*'TE BE'!$M$50</f>
        <v>0</v>
      </c>
      <c r="N38" s="64">
        <f>'TE BE'!$N$38*'TE BE'!$N$50</f>
        <v>0</v>
      </c>
      <c r="O38" s="64">
        <f>'TE BE'!$O$38*'TE BE'!$O$50</f>
        <v>-0.69273438015853928</v>
      </c>
      <c r="P38" s="64">
        <f>'TE BE'!$P$38*'TE BE'!$P$50</f>
        <v>0</v>
      </c>
      <c r="Q38" s="64">
        <f>SUM($L$38:$P$38)</f>
        <v>-0.69273450038628082</v>
      </c>
      <c r="R38" s="64">
        <f>'TE BE'!$R$38*'TE BE'!$R$50</f>
        <v>0.95623935014271189</v>
      </c>
      <c r="S38" s="64">
        <f>SUM($R$38:$R$38)</f>
        <v>0.95623935014271189</v>
      </c>
      <c r="T38" s="64">
        <f>'TE BE'!$T$38*'TE BE'!$T$50</f>
        <v>0</v>
      </c>
      <c r="U38" s="64">
        <f>'TE BE'!$U$38*'TE BE'!$U$50</f>
        <v>0</v>
      </c>
      <c r="V38" s="64">
        <f>'TE BE'!$V$38*'TE BE'!$V$50</f>
        <v>0</v>
      </c>
      <c r="W38" s="64">
        <f>SUM($T$38:$V$38)</f>
        <v>0</v>
      </c>
      <c r="X38" s="64">
        <f>'TE BE'!$AB$38*'TE BE'!$X$50</f>
        <v>-48.70184209063234</v>
      </c>
      <c r="Y38" s="64">
        <f>SUM($X$38:$X$38)</f>
        <v>-48.70184209063234</v>
      </c>
      <c r="Z38" s="64">
        <f>'TE BE'!$Z$38*'TE BE'!$Z$50</f>
        <v>0</v>
      </c>
      <c r="AA38" s="64">
        <f>SUM($Z$38:$Z$38)</f>
        <v>0</v>
      </c>
      <c r="AB38" s="64">
        <f ca="1">SUMIF($L$4:$AA$4,"SUBTOTAL",$L$38:$AA$38)+AL38</f>
        <v>-48.43833724087591</v>
      </c>
      <c r="AC38" s="9" t="str">
        <f t="shared" si="0"/>
        <v>B3</v>
      </c>
      <c r="AD38" s="9" t="str">
        <f t="shared" si="1"/>
        <v>Energia horária</v>
      </c>
      <c r="AE38" s="9" t="str">
        <f t="shared" si="2"/>
        <v>Não se aplica</v>
      </c>
      <c r="AF38" s="9" t="str">
        <f t="shared" si="3"/>
        <v>Não se aplica</v>
      </c>
      <c r="AG38" s="9" t="str">
        <f t="shared" si="4"/>
        <v>Não se aplica</v>
      </c>
      <c r="AH38" s="9">
        <v>1</v>
      </c>
      <c r="AI38" s="9">
        <f ca="1">TarifaMedia!$G$20</f>
        <v>0</v>
      </c>
      <c r="AJ38" s="16">
        <f>'TE BE'!$AB38+'TE BF'!$AB38+'TE CVA'!$AB38</f>
        <v>235.33989117487977</v>
      </c>
      <c r="AK38" s="9">
        <v>249.61</v>
      </c>
      <c r="AL38" s="9">
        <f t="shared" ca="1" si="5"/>
        <v>0</v>
      </c>
      <c r="AO38" s="106" t="s">
        <v>1189</v>
      </c>
    </row>
    <row r="39" spans="1:41" ht="11.25" customHeight="1" x14ac:dyDescent="0.25">
      <c r="A39" s="177"/>
      <c r="B39" s="177"/>
      <c r="C39" s="177"/>
      <c r="D39" s="177"/>
      <c r="E39" s="177"/>
      <c r="F39" s="177"/>
      <c r="G39" s="66" t="s">
        <v>80</v>
      </c>
      <c r="H39" s="66" t="s">
        <v>78</v>
      </c>
      <c r="I39" s="66">
        <f>'MERCADO TE'!$U$36</f>
        <v>6.2670000000000003</v>
      </c>
      <c r="J39" s="16"/>
      <c r="L39" s="64">
        <f>'TE BE'!$L$39*'TE BE'!$L$50</f>
        <v>-1.2022774158140397E-7</v>
      </c>
      <c r="M39" s="64">
        <f>'TE BE'!$M$39*'TE BE'!$M$50</f>
        <v>0</v>
      </c>
      <c r="N39" s="64">
        <f>'TE BE'!$N$39*'TE BE'!$N$50</f>
        <v>0</v>
      </c>
      <c r="O39" s="64">
        <f>'TE BE'!$O$39*'TE BE'!$O$50</f>
        <v>-0.69273438015853928</v>
      </c>
      <c r="P39" s="64">
        <f>'TE BE'!$P$39*'TE BE'!$P$50</f>
        <v>0</v>
      </c>
      <c r="Q39" s="64">
        <f>SUM($L$39:$P$39)</f>
        <v>-0.69273450038628082</v>
      </c>
      <c r="R39" s="64">
        <f>'TE BE'!$R$39*'TE BE'!$R$50</f>
        <v>0.95623935014271189</v>
      </c>
      <c r="S39" s="64">
        <f>SUM($R$39:$R$39)</f>
        <v>0.95623935014271189</v>
      </c>
      <c r="T39" s="64">
        <f>'TE BE'!$T$39*'TE BE'!$T$50</f>
        <v>0</v>
      </c>
      <c r="U39" s="64">
        <f>'TE BE'!$U$39*'TE BE'!$U$50</f>
        <v>0</v>
      </c>
      <c r="V39" s="64">
        <f>'TE BE'!$V$39*'TE BE'!$V$50</f>
        <v>0</v>
      </c>
      <c r="W39" s="64">
        <f>SUM($T$39:$V$39)</f>
        <v>0</v>
      </c>
      <c r="X39" s="64">
        <f>'TE BE'!$AB$39*'TE BE'!$X$50</f>
        <v>-48.70184209063234</v>
      </c>
      <c r="Y39" s="64">
        <f>SUM($X$39:$X$39)</f>
        <v>-48.70184209063234</v>
      </c>
      <c r="Z39" s="64">
        <f>'TE BE'!$Z$39*'TE BE'!$Z$50</f>
        <v>0</v>
      </c>
      <c r="AA39" s="64">
        <f>SUM($Z$39:$Z$39)</f>
        <v>0</v>
      </c>
      <c r="AB39" s="64">
        <f ca="1">SUMIF($L$4:$AA$4,"SUBTOTAL",$L$39:$AA$39)+AL39</f>
        <v>-48.43833724087591</v>
      </c>
      <c r="AC39" s="9" t="str">
        <f t="shared" si="0"/>
        <v>B3</v>
      </c>
      <c r="AD39" s="9" t="str">
        <f t="shared" si="1"/>
        <v>Energia horária</v>
      </c>
      <c r="AE39" s="9" t="str">
        <f t="shared" si="2"/>
        <v>Não se aplica</v>
      </c>
      <c r="AF39" s="9" t="str">
        <f t="shared" si="3"/>
        <v>Não se aplica</v>
      </c>
      <c r="AG39" s="9" t="str">
        <f t="shared" si="4"/>
        <v>Não se aplica</v>
      </c>
      <c r="AH39" s="9">
        <v>1</v>
      </c>
      <c r="AI39" s="9">
        <f ca="1">TarifaMedia!$G$20</f>
        <v>0</v>
      </c>
      <c r="AJ39" s="16">
        <f>'TE BE'!$AB39+'TE BF'!$AB39+'TE CVA'!$AB39</f>
        <v>235.33989117487977</v>
      </c>
      <c r="AK39" s="9">
        <v>249.61</v>
      </c>
      <c r="AL39" s="9">
        <f t="shared" ca="1" si="5"/>
        <v>0</v>
      </c>
      <c r="AO39" s="106" t="s">
        <v>1190</v>
      </c>
    </row>
    <row r="40" spans="1:41" ht="11.25" customHeight="1" x14ac:dyDescent="0.25">
      <c r="A40" s="177"/>
      <c r="B40" s="101" t="s">
        <v>81</v>
      </c>
      <c r="C40" s="101" t="s">
        <v>25</v>
      </c>
      <c r="D40" s="101" t="s">
        <v>25</v>
      </c>
      <c r="E40" s="101" t="s">
        <v>25</v>
      </c>
      <c r="F40" s="101" t="s">
        <v>25</v>
      </c>
      <c r="G40" s="66" t="s">
        <v>82</v>
      </c>
      <c r="H40" s="66" t="s">
        <v>78</v>
      </c>
      <c r="I40" s="66">
        <f>'MERCADO TE'!$U$37</f>
        <v>13646.102000000001</v>
      </c>
      <c r="J40" s="16"/>
      <c r="L40" s="64">
        <f>'TE BE'!$L$40*'TE BE'!$L$50</f>
        <v>-1.2022774158140397E-7</v>
      </c>
      <c r="M40" s="64">
        <f>'TE BE'!$M$40*'TE BE'!$M$50</f>
        <v>0</v>
      </c>
      <c r="N40" s="64">
        <f>'TE BE'!$N$40*'TE BE'!$N$50</f>
        <v>0</v>
      </c>
      <c r="O40" s="64">
        <f>'TE BE'!$O$40*'TE BE'!$O$50</f>
        <v>-0.69273438015853928</v>
      </c>
      <c r="P40" s="64">
        <f>'TE BE'!$P$40*'TE BE'!$P$50</f>
        <v>0</v>
      </c>
      <c r="Q40" s="64">
        <f>SUM($L$40:$P$40)</f>
        <v>-0.69273450038628082</v>
      </c>
      <c r="R40" s="64">
        <f>'TE BE'!$R$40*'TE BE'!$R$50</f>
        <v>1.0136137111512746</v>
      </c>
      <c r="S40" s="64">
        <f>SUM($R$40:$R$40)</f>
        <v>1.0136137111512746</v>
      </c>
      <c r="T40" s="64">
        <f>'TE BE'!$T$40*'TE BE'!$T$50</f>
        <v>0</v>
      </c>
      <c r="U40" s="64">
        <f>'TE BE'!$U$40*'TE BE'!$U$50</f>
        <v>0</v>
      </c>
      <c r="V40" s="64">
        <f>'TE BE'!$V$40*'TE BE'!$V$50</f>
        <v>0</v>
      </c>
      <c r="W40" s="64">
        <f>SUM($T$40:$V$40)</f>
        <v>0</v>
      </c>
      <c r="X40" s="64">
        <f>'TE BE'!$AB$40*'TE BE'!$X$50</f>
        <v>-51.499378445049217</v>
      </c>
      <c r="Y40" s="64">
        <f>SUM($X$40:$X$40)</f>
        <v>-51.499378445049217</v>
      </c>
      <c r="Z40" s="64">
        <f>'TE BE'!$Z$40*'TE BE'!$Z$50</f>
        <v>0</v>
      </c>
      <c r="AA40" s="64">
        <f>SUM($Z$40:$Z$40)</f>
        <v>0</v>
      </c>
      <c r="AB40" s="64">
        <f ca="1">SUMIF($L$4:$AA$4,"SUBTOTAL",$L$40:$AA$40)+AL40</f>
        <v>-51.178499234284224</v>
      </c>
      <c r="AC40" s="9" t="str">
        <f t="shared" si="0"/>
        <v>B3</v>
      </c>
      <c r="AD40" s="9" t="str">
        <f t="shared" si="1"/>
        <v>Energia convencional</v>
      </c>
      <c r="AE40" s="9" t="str">
        <f t="shared" si="2"/>
        <v>Não se aplica</v>
      </c>
      <c r="AF40" s="9" t="str">
        <f t="shared" si="3"/>
        <v>Não se aplica</v>
      </c>
      <c r="AG40" s="9" t="str">
        <f t="shared" si="4"/>
        <v>Não se aplica</v>
      </c>
      <c r="AH40" s="9">
        <v>1</v>
      </c>
      <c r="AI40" s="9">
        <f ca="1">TarifaMedia!$G$20</f>
        <v>0</v>
      </c>
      <c r="AJ40" s="16">
        <f>'TE BE'!$AB40+'TE BF'!$AB40+'TE CVA'!$AB40</f>
        <v>248.89628694871266</v>
      </c>
      <c r="AK40" s="9">
        <v>261.62</v>
      </c>
      <c r="AL40" s="9">
        <f t="shared" ca="1" si="5"/>
        <v>0</v>
      </c>
      <c r="AO40" s="106" t="s">
        <v>1191</v>
      </c>
    </row>
    <row r="41" spans="1:41" ht="11.25" customHeight="1" x14ac:dyDescent="0.25">
      <c r="A41" s="177"/>
      <c r="B41" s="101" t="s">
        <v>93</v>
      </c>
      <c r="C41" s="101" t="s">
        <v>25</v>
      </c>
      <c r="D41" s="101" t="s">
        <v>25</v>
      </c>
      <c r="E41" s="101" t="s">
        <v>25</v>
      </c>
      <c r="F41" s="101" t="s">
        <v>25</v>
      </c>
      <c r="G41" s="66" t="s">
        <v>82</v>
      </c>
      <c r="H41" s="66" t="s">
        <v>78</v>
      </c>
      <c r="I41" s="66">
        <f>'MERCADO TE'!$U$38</f>
        <v>0</v>
      </c>
      <c r="J41" s="16"/>
      <c r="L41" s="64">
        <f>'TE BE'!$L$41*'TE BE'!$L$50</f>
        <v>-1.2022774158140397E-7</v>
      </c>
      <c r="M41" s="64">
        <f>'TE BE'!$M$41*'TE BE'!$M$50</f>
        <v>0</v>
      </c>
      <c r="N41" s="64">
        <f>'TE BE'!$N$41*'TE BE'!$N$50</f>
        <v>0</v>
      </c>
      <c r="O41" s="64">
        <f>'TE BE'!$O$41*'TE BE'!$O$50</f>
        <v>-0.69273438015853928</v>
      </c>
      <c r="P41" s="64">
        <f>'TE BE'!$P$41*'TE BE'!$P$50</f>
        <v>0</v>
      </c>
      <c r="Q41" s="64">
        <f>SUM($L$41:$P$41)</f>
        <v>-0.69273450038628082</v>
      </c>
      <c r="R41" s="64">
        <f>'TE BE'!$R$41*'TE BE'!$R$50</f>
        <v>1.0136137111512746</v>
      </c>
      <c r="S41" s="64">
        <f>SUM($R$41:$R$41)</f>
        <v>1.0136137111512746</v>
      </c>
      <c r="T41" s="64">
        <f>'TE BE'!$T$41*'TE BE'!$T$50</f>
        <v>0</v>
      </c>
      <c r="U41" s="64">
        <f>'TE BE'!$U$41*'TE BE'!$U$50</f>
        <v>0</v>
      </c>
      <c r="V41" s="64">
        <f>'TE BE'!$V$41*'TE BE'!$V$50</f>
        <v>0</v>
      </c>
      <c r="W41" s="64">
        <f>SUM($T$41:$V$41)</f>
        <v>0</v>
      </c>
      <c r="X41" s="64">
        <f>'TE BE'!$AB$41*'TE BE'!$X$50</f>
        <v>-51.499378445049217</v>
      </c>
      <c r="Y41" s="64">
        <f>SUM($X$41:$X$41)</f>
        <v>-51.499378445049217</v>
      </c>
      <c r="Z41" s="64">
        <f>'TE BE'!$Z$41*'TE BE'!$Z$50</f>
        <v>0</v>
      </c>
      <c r="AA41" s="64">
        <f>SUM($Z$41:$Z$41)</f>
        <v>0</v>
      </c>
      <c r="AB41" s="64">
        <f ca="1">SUMIF($L$4:$AA$4,"SUBTOTAL",$L$41:$AA$41)+AL41</f>
        <v>-51.178499234284224</v>
      </c>
      <c r="AC41" s="9" t="str">
        <f t="shared" si="0"/>
        <v>B3</v>
      </c>
      <c r="AD41" s="9" t="str">
        <f t="shared" si="1"/>
        <v>Energia convencional pré-pagamento</v>
      </c>
      <c r="AE41" s="9" t="str">
        <f t="shared" si="2"/>
        <v>Não se aplica</v>
      </c>
      <c r="AF41" s="9" t="str">
        <f t="shared" si="3"/>
        <v>Não se aplica</v>
      </c>
      <c r="AG41" s="9" t="str">
        <f t="shared" si="4"/>
        <v>Não se aplica</v>
      </c>
      <c r="AH41" s="9">
        <v>1</v>
      </c>
      <c r="AI41" s="9">
        <f ca="1">TarifaMedia!$G$20</f>
        <v>0</v>
      </c>
      <c r="AJ41" s="16">
        <f>'TE BE'!$AB41+'TE BF'!$AB41+'TE CVA'!$AB41</f>
        <v>248.89628694871266</v>
      </c>
      <c r="AK41" s="9">
        <v>261.62</v>
      </c>
      <c r="AL41" s="9">
        <f t="shared" ca="1" si="5"/>
        <v>0</v>
      </c>
      <c r="AO41" s="106" t="s">
        <v>1192</v>
      </c>
    </row>
    <row r="42" spans="1:41" ht="11.25" customHeight="1" x14ac:dyDescent="0.25">
      <c r="A42" s="177" t="s">
        <v>45</v>
      </c>
      <c r="B42" s="177" t="s">
        <v>81</v>
      </c>
      <c r="C42" s="177" t="s">
        <v>46</v>
      </c>
      <c r="D42" s="101" t="s">
        <v>47</v>
      </c>
      <c r="E42" s="101" t="s">
        <v>25</v>
      </c>
      <c r="F42" s="101" t="s">
        <v>25</v>
      </c>
      <c r="G42" s="66" t="s">
        <v>82</v>
      </c>
      <c r="H42" s="66" t="s">
        <v>78</v>
      </c>
      <c r="I42" s="66">
        <f>'MERCADO TE'!$U$39</f>
        <v>4914.0960000000005</v>
      </c>
      <c r="J42" s="16"/>
      <c r="L42" s="64">
        <f>'TE BE'!$L$42*'TE BE'!$L$50</f>
        <v>-6.6125257869772179E-8</v>
      </c>
      <c r="M42" s="64">
        <f>'TE BE'!$M$42*'TE BE'!$M$50</f>
        <v>0</v>
      </c>
      <c r="N42" s="64">
        <f>'TE BE'!$N$42*'TE BE'!$N$50</f>
        <v>0</v>
      </c>
      <c r="O42" s="64">
        <f>'TE BE'!$O$42*'TE BE'!$O$50</f>
        <v>-0.38100390908719667</v>
      </c>
      <c r="P42" s="64">
        <f>'TE BE'!$P$42*'TE BE'!$P$50</f>
        <v>0</v>
      </c>
      <c r="Q42" s="64">
        <f>SUM($L$42:$P$42)</f>
        <v>-0.38100397521245455</v>
      </c>
      <c r="R42" s="64">
        <f>'TE BE'!$R$42*'TE BE'!$R$50</f>
        <v>0.55748754113320109</v>
      </c>
      <c r="S42" s="64">
        <f>SUM($R$42:$R$42)</f>
        <v>0.55748754113320109</v>
      </c>
      <c r="T42" s="64">
        <f>'TE BE'!$T$42*'TE BE'!$T$50</f>
        <v>0</v>
      </c>
      <c r="U42" s="64">
        <f>'TE BE'!$U$42*'TE BE'!$U$50</f>
        <v>0</v>
      </c>
      <c r="V42" s="64">
        <f>'TE BE'!$V$42*'TE BE'!$V$50</f>
        <v>0</v>
      </c>
      <c r="W42" s="64">
        <f>SUM($T$42:$V$42)</f>
        <v>0</v>
      </c>
      <c r="X42" s="64">
        <f>'TE BE'!$AB$42*'TE BE'!$X$50</f>
        <v>-28.324658144777072</v>
      </c>
      <c r="Y42" s="64">
        <f>SUM($X$42:$X$42)</f>
        <v>-28.324658144777072</v>
      </c>
      <c r="Z42" s="64">
        <f>'TE BE'!$Z$42*'TE BE'!$Z$50</f>
        <v>0</v>
      </c>
      <c r="AA42" s="64">
        <f>SUM($Z$42:$Z$42)</f>
        <v>0</v>
      </c>
      <c r="AB42" s="64">
        <f ca="1">SUMIF($L$4:$AA$4,"SUBTOTAL",$L$42:$AA$42)+AL42</f>
        <v>-28.148174578856324</v>
      </c>
      <c r="AC42" s="9" t="str">
        <f t="shared" si="0"/>
        <v>B4</v>
      </c>
      <c r="AD42" s="9" t="str">
        <f t="shared" si="1"/>
        <v>Energia convencional</v>
      </c>
      <c r="AE42" s="9" t="str">
        <f t="shared" si="2"/>
        <v>Iluminação pública</v>
      </c>
      <c r="AF42" s="9" t="str">
        <f t="shared" si="3"/>
        <v>Iluminação pública – B4a</v>
      </c>
      <c r="AG42" s="9" t="str">
        <f t="shared" si="4"/>
        <v>Não se aplica</v>
      </c>
      <c r="AH42" s="9">
        <v>1</v>
      </c>
      <c r="AI42" s="9">
        <f ca="1">TarifaMedia!$G$20</f>
        <v>0</v>
      </c>
      <c r="AJ42" s="16">
        <f>'TE BE'!$AB42+'TE BF'!$AB42+'TE CVA'!$AB42</f>
        <v>136.89295782179195</v>
      </c>
      <c r="AK42" s="9">
        <v>143.88999999999999</v>
      </c>
      <c r="AL42" s="9">
        <f t="shared" ca="1" si="5"/>
        <v>0</v>
      </c>
      <c r="AO42" s="106" t="s">
        <v>1193</v>
      </c>
    </row>
    <row r="43" spans="1:41" ht="11.25" customHeight="1" x14ac:dyDescent="0.25">
      <c r="A43" s="177"/>
      <c r="B43" s="177"/>
      <c r="C43" s="177"/>
      <c r="D43" s="66" t="s">
        <v>97</v>
      </c>
      <c r="E43" s="66" t="s">
        <v>25</v>
      </c>
      <c r="F43" s="66" t="s">
        <v>25</v>
      </c>
      <c r="G43" s="66" t="s">
        <v>82</v>
      </c>
      <c r="H43" s="66" t="s">
        <v>78</v>
      </c>
      <c r="I43" s="66">
        <f>'MERCADO TE'!$U$40</f>
        <v>0</v>
      </c>
      <c r="J43" s="16"/>
      <c r="L43" s="64">
        <f>'TE BE'!$L$43*'TE BE'!$L$50</f>
        <v>-7.2136644948842375E-8</v>
      </c>
      <c r="M43" s="64">
        <f>'TE BE'!$M$43*'TE BE'!$M$50</f>
        <v>0</v>
      </c>
      <c r="N43" s="64">
        <f>'TE BE'!$N$43*'TE BE'!$N$50</f>
        <v>0</v>
      </c>
      <c r="O43" s="64">
        <f>'TE BE'!$O$43*'TE BE'!$O$50</f>
        <v>-0.41564062809512353</v>
      </c>
      <c r="P43" s="64">
        <f>'TE BE'!$P$43*'TE BE'!$P$50</f>
        <v>0</v>
      </c>
      <c r="Q43" s="64">
        <f>SUM($L$43:$P$43)</f>
        <v>-0.41564070023176847</v>
      </c>
      <c r="R43" s="64">
        <f>'TE BE'!$R$43*'TE BE'!$R$50</f>
        <v>0.60816822669076476</v>
      </c>
      <c r="S43" s="64">
        <f>SUM($R$43:$R$43)</f>
        <v>0.60816822669076476</v>
      </c>
      <c r="T43" s="64">
        <f>'TE BE'!$T$43*'TE BE'!$T$50</f>
        <v>0</v>
      </c>
      <c r="U43" s="64">
        <f>'TE BE'!$U$43*'TE BE'!$U$50</f>
        <v>0</v>
      </c>
      <c r="V43" s="64">
        <f>'TE BE'!$V$43*'TE BE'!$V$50</f>
        <v>0</v>
      </c>
      <c r="W43" s="64">
        <f>SUM($T$43:$V$43)</f>
        <v>0</v>
      </c>
      <c r="X43" s="64">
        <f>'TE BE'!$AB$43*'TE BE'!$X$50</f>
        <v>-30.899627067029527</v>
      </c>
      <c r="Y43" s="64">
        <f>SUM($X$43:$X$43)</f>
        <v>-30.899627067029527</v>
      </c>
      <c r="Z43" s="64">
        <f>'TE BE'!$Z$43*'TE BE'!$Z$50</f>
        <v>0</v>
      </c>
      <c r="AA43" s="64">
        <f>SUM($Z$43:$Z$43)</f>
        <v>0</v>
      </c>
      <c r="AB43" s="64">
        <f ca="1">SUMIF($L$4:$AA$4,"SUBTOTAL",$L$43:$AA$43)+AL43</f>
        <v>-30.707099540570532</v>
      </c>
      <c r="AC43" s="9" t="str">
        <f t="shared" si="0"/>
        <v>B4</v>
      </c>
      <c r="AD43" s="9" t="str">
        <f t="shared" si="1"/>
        <v>Energia convencional</v>
      </c>
      <c r="AE43" s="9" t="str">
        <f t="shared" si="2"/>
        <v>Iluminação pública</v>
      </c>
      <c r="AF43" s="9" t="str">
        <f t="shared" si="3"/>
        <v>Iluminação pública – B4b</v>
      </c>
      <c r="AG43" s="9" t="str">
        <f t="shared" si="4"/>
        <v>Não se aplica</v>
      </c>
      <c r="AH43" s="9">
        <v>1</v>
      </c>
      <c r="AI43" s="9">
        <f ca="1">TarifaMedia!$G$20</f>
        <v>0</v>
      </c>
      <c r="AJ43" s="16">
        <f>'TE BE'!$AB43+'TE BF'!$AB43+'TE CVA'!$AB43</f>
        <v>149.33777216922758</v>
      </c>
      <c r="AK43" s="9">
        <v>156.97</v>
      </c>
      <c r="AL43" s="9">
        <f t="shared" ca="1" si="5"/>
        <v>0</v>
      </c>
      <c r="AO43" s="106" t="s">
        <v>1194</v>
      </c>
    </row>
    <row r="45" spans="1:41" ht="11.25" customHeight="1" x14ac:dyDescent="0.25">
      <c r="K45" s="103" t="s">
        <v>589</v>
      </c>
      <c r="L45" s="64">
        <f t="shared" ref="L45:AB45" si="6">SUMPRODUCT($I$5:$I$43,L$5:L$43)</f>
        <v>-8.8885204693480453E-3</v>
      </c>
      <c r="M45" s="64">
        <f t="shared" si="6"/>
        <v>0</v>
      </c>
      <c r="N45" s="64">
        <f t="shared" si="6"/>
        <v>0</v>
      </c>
      <c r="O45" s="64">
        <f t="shared" si="6"/>
        <v>-51214.334036968146</v>
      </c>
      <c r="P45" s="64">
        <f t="shared" si="6"/>
        <v>0</v>
      </c>
      <c r="Q45" s="64">
        <f t="shared" si="6"/>
        <v>-51214.342925488592</v>
      </c>
      <c r="R45" s="64">
        <f t="shared" si="6"/>
        <v>74842.048413565804</v>
      </c>
      <c r="S45" s="64">
        <f t="shared" si="6"/>
        <v>74842.048413565804</v>
      </c>
      <c r="T45" s="64">
        <f t="shared" si="6"/>
        <v>0</v>
      </c>
      <c r="U45" s="64">
        <f t="shared" si="6"/>
        <v>0</v>
      </c>
      <c r="V45" s="64">
        <f t="shared" si="6"/>
        <v>0</v>
      </c>
      <c r="W45" s="64">
        <f t="shared" si="6"/>
        <v>0</v>
      </c>
      <c r="X45" s="64">
        <f t="shared" si="6"/>
        <v>-3802746.9625408254</v>
      </c>
      <c r="Y45" s="64">
        <f t="shared" si="6"/>
        <v>-3802746.9625408254</v>
      </c>
      <c r="Z45" s="64">
        <f t="shared" si="6"/>
        <v>0</v>
      </c>
      <c r="AA45" s="64">
        <f t="shared" si="6"/>
        <v>0</v>
      </c>
      <c r="AB45" s="64">
        <f t="shared" ca="1" si="6"/>
        <v>-3779119.2570527485</v>
      </c>
    </row>
    <row r="46" spans="1:41" ht="11.25" customHeight="1" x14ac:dyDescent="0.25">
      <c r="K46" s="103" t="s">
        <v>525</v>
      </c>
      <c r="L46" s="64">
        <f>CUSTOS!$D$30</f>
        <v>217388.68030113468</v>
      </c>
      <c r="M46" s="64">
        <f>CUSTOS!$D$31</f>
        <v>0</v>
      </c>
      <c r="N46" s="64">
        <f>CUSTOS!$D$32</f>
        <v>0</v>
      </c>
      <c r="O46" s="64">
        <f>CUSTOS!$D$33</f>
        <v>640267.50349107874</v>
      </c>
      <c r="P46" s="64">
        <f>CUSTOS!$D$34</f>
        <v>0</v>
      </c>
      <c r="Q46" s="64">
        <f>CUSTOS!$D$35</f>
        <v>857656.18379221344</v>
      </c>
      <c r="R46" s="64">
        <f>CUSTOS!$D$36</f>
        <v>20389905.96487087</v>
      </c>
      <c r="S46" s="64">
        <f>CUSTOS!$D$37</f>
        <v>20389905.96487087</v>
      </c>
      <c r="T46" s="64">
        <f>CUSTOS!$D$38</f>
        <v>0</v>
      </c>
      <c r="U46" s="64">
        <f>CUSTOS!$D$39</f>
        <v>0</v>
      </c>
      <c r="V46" s="64">
        <f>CUSTOS!$D$40</f>
        <v>0</v>
      </c>
      <c r="W46" s="64">
        <f>CUSTOS!$D$41</f>
        <v>0</v>
      </c>
      <c r="X46" s="64">
        <f>CUSTOS!$D$42</f>
        <v>0</v>
      </c>
      <c r="Y46" s="64">
        <f>CUSTOS!$D$43</f>
        <v>0</v>
      </c>
      <c r="Z46" s="64">
        <f>CUSTOS!$D$44</f>
        <v>0</v>
      </c>
      <c r="AA46" s="64">
        <f>CUSTOS!$D$45</f>
        <v>0</v>
      </c>
      <c r="AB46" s="64">
        <f>CUSTOS!$D$46</f>
        <v>21247562.148663085</v>
      </c>
    </row>
    <row r="47" spans="1:41" ht="11.25" customHeight="1" x14ac:dyDescent="0.25">
      <c r="K47" s="103" t="s">
        <v>526</v>
      </c>
      <c r="L47" s="64">
        <f>CUSTOS!$E$30</f>
        <v>-8.8885204693480453E-3</v>
      </c>
      <c r="M47" s="64">
        <f>CUSTOS!$E$31</f>
        <v>0</v>
      </c>
      <c r="N47" s="64">
        <f>CUSTOS!$E$32</f>
        <v>0</v>
      </c>
      <c r="O47" s="64">
        <f>CUSTOS!$E$33</f>
        <v>-51214.334036968139</v>
      </c>
      <c r="P47" s="64">
        <f>CUSTOS!$E$34</f>
        <v>0</v>
      </c>
      <c r="Q47" s="64">
        <f>CUSTOS!$E$35</f>
        <v>-51214.342925488607</v>
      </c>
      <c r="R47" s="64">
        <f>CUSTOS!$E$36</f>
        <v>74842.048413565804</v>
      </c>
      <c r="S47" s="64">
        <f>CUSTOS!$E$37</f>
        <v>74842.048413565804</v>
      </c>
      <c r="T47" s="64">
        <f>CUSTOS!$E$38</f>
        <v>0</v>
      </c>
      <c r="U47" s="64">
        <f>CUSTOS!$E$39</f>
        <v>0</v>
      </c>
      <c r="V47" s="64">
        <f>CUSTOS!$E$40</f>
        <v>0</v>
      </c>
      <c r="W47" s="64">
        <f>CUSTOS!$E$41</f>
        <v>0</v>
      </c>
      <c r="X47" s="64">
        <f>CUSTOS!$E$42</f>
        <v>-3802746.9625408254</v>
      </c>
      <c r="Y47" s="64">
        <f>CUSTOS!$E$43</f>
        <v>-3802746.9625408254</v>
      </c>
      <c r="Z47" s="64">
        <f>CUSTOS!$E$44</f>
        <v>0</v>
      </c>
      <c r="AA47" s="64">
        <f>CUSTOS!$E$45</f>
        <v>0</v>
      </c>
      <c r="AB47" s="64">
        <f>CUSTOS!$E$46</f>
        <v>-3779119.257052748</v>
      </c>
    </row>
    <row r="48" spans="1:41" ht="11.25" customHeight="1" x14ac:dyDescent="0.25">
      <c r="K48" s="103" t="s">
        <v>527</v>
      </c>
      <c r="L48" s="64">
        <f>CUSTOS!$F$30</f>
        <v>0</v>
      </c>
      <c r="M48" s="64">
        <f>CUSTOS!$F$31</f>
        <v>0</v>
      </c>
      <c r="N48" s="64">
        <f>CUSTOS!$F$32</f>
        <v>0</v>
      </c>
      <c r="O48" s="64">
        <f>CUSTOS!$F$33</f>
        <v>42001.435756448831</v>
      </c>
      <c r="P48" s="64">
        <f>CUSTOS!$F$34</f>
        <v>0</v>
      </c>
      <c r="Q48" s="64">
        <f>CUSTOS!$F$35</f>
        <v>42001.435756448831</v>
      </c>
      <c r="R48" s="64">
        <f>CUSTOS!$F$36</f>
        <v>868156.7647220213</v>
      </c>
      <c r="S48" s="64">
        <f>CUSTOS!$F$37</f>
        <v>868156.7647220213</v>
      </c>
      <c r="T48" s="64">
        <f>CUSTOS!$F$38</f>
        <v>0</v>
      </c>
      <c r="U48" s="64">
        <f>CUSTOS!$F$39</f>
        <v>0</v>
      </c>
      <c r="V48" s="64">
        <f>CUSTOS!$F$40</f>
        <v>0</v>
      </c>
      <c r="W48" s="64">
        <f>CUSTOS!$F$41</f>
        <v>0</v>
      </c>
      <c r="X48" s="64">
        <f>CUSTOS!$F$42</f>
        <v>0</v>
      </c>
      <c r="Y48" s="64">
        <f>CUSTOS!$F$43</f>
        <v>0</v>
      </c>
      <c r="Z48" s="64">
        <f>CUSTOS!$F$44</f>
        <v>0</v>
      </c>
      <c r="AA48" s="64">
        <f>CUSTOS!$F$45</f>
        <v>0</v>
      </c>
      <c r="AB48" s="64">
        <f>CUSTOS!$F$46</f>
        <v>910158.20047847019</v>
      </c>
    </row>
    <row r="49" spans="11:28" ht="11.25" customHeight="1" x14ac:dyDescent="0.25">
      <c r="K49" s="103" t="s">
        <v>590</v>
      </c>
      <c r="L49" s="64">
        <f>'TR TE'!$L$49*L50</f>
        <v>0</v>
      </c>
      <c r="M49" s="64">
        <f>'TR TE'!$M$49*M50</f>
        <v>0</v>
      </c>
      <c r="N49" s="64">
        <f>'TR TE'!$N$49*N50</f>
        <v>0</v>
      </c>
      <c r="O49" s="64">
        <f>'TR TE'!$O$49*O50</f>
        <v>0.56811904541236413</v>
      </c>
      <c r="P49" s="64">
        <f>'TR TE'!$P$49*P50</f>
        <v>0</v>
      </c>
      <c r="Q49" s="64"/>
      <c r="R49" s="64">
        <f>'TR TE'!$R$49*R50</f>
        <v>11.662903271960337</v>
      </c>
      <c r="S49" s="64"/>
      <c r="T49" s="64">
        <f>'TR TE'!$T$49*T50</f>
        <v>0</v>
      </c>
      <c r="U49" s="64">
        <f>'TR TE'!$U$49*U50</f>
        <v>0</v>
      </c>
      <c r="V49" s="64">
        <f>'TR TE'!$V$49*V50</f>
        <v>0</v>
      </c>
      <c r="W49" s="64"/>
      <c r="X49" s="64"/>
      <c r="Y49" s="64"/>
      <c r="Z49" s="64">
        <f>'TR TE'!$Z$49*Z50</f>
        <v>0</v>
      </c>
      <c r="AA49" s="64"/>
      <c r="AB49" s="64"/>
    </row>
    <row r="50" spans="11:28" ht="11.25" customHeight="1" x14ac:dyDescent="0.25">
      <c r="K50" s="103" t="s">
        <v>585</v>
      </c>
      <c r="L50" s="64">
        <f>IF(L46&lt;&gt;0,L48/L46,0)</f>
        <v>0</v>
      </c>
      <c r="M50" s="64">
        <f>IF(M46&lt;&gt;0,M48/M46,0)</f>
        <v>0</v>
      </c>
      <c r="N50" s="64">
        <f>IF(N46&lt;&gt;0,N48/N46,0)</f>
        <v>0</v>
      </c>
      <c r="O50" s="64">
        <f>IF(O46&lt;&gt;0,O48/O46,0)</f>
        <v>6.559982433503915E-2</v>
      </c>
      <c r="P50" s="64">
        <f>IF(P46&lt;&gt;0,P48/P46,0)</f>
        <v>0</v>
      </c>
      <c r="Q50" s="64"/>
      <c r="R50" s="64">
        <f>IF(R46&lt;&gt;0,R48/R46,0)</f>
        <v>4.2577771874855203E-2</v>
      </c>
      <c r="S50" s="64"/>
      <c r="T50" s="64">
        <f>IF(T46&lt;&gt;0,T48/T46,0)</f>
        <v>0</v>
      </c>
      <c r="U50" s="64">
        <f>IF(U46&lt;&gt;0,U48/U46,0)</f>
        <v>0</v>
      </c>
      <c r="V50" s="64">
        <f>IF(V46&lt;&gt;0,V48/V46,0)</f>
        <v>0</v>
      </c>
      <c r="W50" s="64"/>
      <c r="X50" s="64">
        <f>IF($AB46&lt;&gt;0,X48/($AB46-SUM('TR TE'!$L49:'TR TE'!$AA49)*0),0)</f>
        <v>0</v>
      </c>
      <c r="Y50" s="64"/>
      <c r="Z50" s="64">
        <f>IF(Z46&lt;&gt;0,Z48/Z46,0)</f>
        <v>0</v>
      </c>
      <c r="AA50" s="64"/>
      <c r="AB50" s="64"/>
    </row>
    <row r="51" spans="11:28" ht="11.25" customHeight="1" x14ac:dyDescent="0.25"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</row>
  </sheetData>
  <mergeCells count="72">
    <mergeCell ref="AJ1:AJ4"/>
    <mergeCell ref="AK1:AK4"/>
    <mergeCell ref="AL1:AL4"/>
    <mergeCell ref="AO1:AO4"/>
    <mergeCell ref="AD1:AD4"/>
    <mergeCell ref="AE1:AE4"/>
    <mergeCell ref="AF1:AF4"/>
    <mergeCell ref="AG1:AG4"/>
    <mergeCell ref="AH1:AH4"/>
    <mergeCell ref="AI1:AI4"/>
    <mergeCell ref="E37:E39"/>
    <mergeCell ref="F37:F39"/>
    <mergeCell ref="A42:A43"/>
    <mergeCell ref="B42:B43"/>
    <mergeCell ref="C42:C43"/>
    <mergeCell ref="AC1:AC4"/>
    <mergeCell ref="B34:B36"/>
    <mergeCell ref="C34:C36"/>
    <mergeCell ref="A37:A41"/>
    <mergeCell ref="B37:B39"/>
    <mergeCell ref="C37:C39"/>
    <mergeCell ref="D37:D39"/>
    <mergeCell ref="F26:F28"/>
    <mergeCell ref="B30:B32"/>
    <mergeCell ref="C30:C32"/>
    <mergeCell ref="D30:D32"/>
    <mergeCell ref="E30:E32"/>
    <mergeCell ref="F30:F32"/>
    <mergeCell ref="A22:A36"/>
    <mergeCell ref="B22:B24"/>
    <mergeCell ref="C22:C24"/>
    <mergeCell ref="D22:D24"/>
    <mergeCell ref="E22:E24"/>
    <mergeCell ref="F22:F24"/>
    <mergeCell ref="B26:B28"/>
    <mergeCell ref="C26:C28"/>
    <mergeCell ref="D26:D28"/>
    <mergeCell ref="E26:E28"/>
    <mergeCell ref="A9:A21"/>
    <mergeCell ref="B9:B11"/>
    <mergeCell ref="C9:C11"/>
    <mergeCell ref="D9:D11"/>
    <mergeCell ref="E9:E11"/>
    <mergeCell ref="F9:F11"/>
    <mergeCell ref="B12:B16"/>
    <mergeCell ref="C12:C16"/>
    <mergeCell ref="B17:B21"/>
    <mergeCell ref="C17:C21"/>
    <mergeCell ref="Z3:AA3"/>
    <mergeCell ref="AB3:AB4"/>
    <mergeCell ref="A5:A8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5">
    <cfRule type="cellIs" dxfId="212" priority="33" operator="notEqual">
      <formula>$L$47</formula>
    </cfRule>
    <cfRule type="cellIs" dxfId="211" priority="34" operator="equal">
      <formula>$L$47</formula>
    </cfRule>
  </conditionalFormatting>
  <conditionalFormatting sqref="M45">
    <cfRule type="cellIs" dxfId="210" priority="31" operator="notEqual">
      <formula>$M$47</formula>
    </cfRule>
    <cfRule type="cellIs" dxfId="209" priority="32" operator="equal">
      <formula>$M$47</formula>
    </cfRule>
  </conditionalFormatting>
  <conditionalFormatting sqref="N45">
    <cfRule type="cellIs" dxfId="208" priority="29" operator="notEqual">
      <formula>$N$47</formula>
    </cfRule>
    <cfRule type="cellIs" dxfId="207" priority="30" operator="equal">
      <formula>$N$47</formula>
    </cfRule>
  </conditionalFormatting>
  <conditionalFormatting sqref="O45">
    <cfRule type="cellIs" dxfId="206" priority="27" operator="notEqual">
      <formula>$O$47</formula>
    </cfRule>
    <cfRule type="cellIs" dxfId="205" priority="28" operator="equal">
      <formula>$O$47</formula>
    </cfRule>
  </conditionalFormatting>
  <conditionalFormatting sqref="P45">
    <cfRule type="cellIs" dxfId="204" priority="25" operator="notEqual">
      <formula>$P$47</formula>
    </cfRule>
    <cfRule type="cellIs" dxfId="203" priority="26" operator="equal">
      <formula>$P$47</formula>
    </cfRule>
  </conditionalFormatting>
  <conditionalFormatting sqref="Q45">
    <cfRule type="cellIs" dxfId="202" priority="23" operator="notEqual">
      <formula>$Q$47</formula>
    </cfRule>
    <cfRule type="cellIs" dxfId="201" priority="24" operator="equal">
      <formula>$Q$47</formula>
    </cfRule>
  </conditionalFormatting>
  <conditionalFormatting sqref="R45">
    <cfRule type="cellIs" dxfId="200" priority="21" operator="notEqual">
      <formula>$R$47</formula>
    </cfRule>
    <cfRule type="cellIs" dxfId="199" priority="22" operator="equal">
      <formula>$R$47</formula>
    </cfRule>
  </conditionalFormatting>
  <conditionalFormatting sqref="S45">
    <cfRule type="cellIs" dxfId="198" priority="19" operator="notEqual">
      <formula>$S$47</formula>
    </cfRule>
    <cfRule type="cellIs" dxfId="197" priority="20" operator="equal">
      <formula>$S$47</formula>
    </cfRule>
  </conditionalFormatting>
  <conditionalFormatting sqref="T45">
    <cfRule type="cellIs" dxfId="196" priority="17" operator="notEqual">
      <formula>$T$47</formula>
    </cfRule>
    <cfRule type="cellIs" dxfId="195" priority="18" operator="equal">
      <formula>$T$47</formula>
    </cfRule>
  </conditionalFormatting>
  <conditionalFormatting sqref="U45">
    <cfRule type="cellIs" dxfId="194" priority="15" operator="notEqual">
      <formula>$U$47</formula>
    </cfRule>
    <cfRule type="cellIs" dxfId="193" priority="16" operator="equal">
      <formula>$U$47</formula>
    </cfRule>
  </conditionalFormatting>
  <conditionalFormatting sqref="V45">
    <cfRule type="cellIs" dxfId="192" priority="13" operator="notEqual">
      <formula>$V$47</formula>
    </cfRule>
    <cfRule type="cellIs" dxfId="191" priority="14" operator="equal">
      <formula>$V$47</formula>
    </cfRule>
  </conditionalFormatting>
  <conditionalFormatting sqref="W45">
    <cfRule type="cellIs" dxfId="190" priority="11" operator="notEqual">
      <formula>$W$47</formula>
    </cfRule>
    <cfRule type="cellIs" dxfId="189" priority="12" operator="equal">
      <formula>$W$47</formula>
    </cfRule>
  </conditionalFormatting>
  <conditionalFormatting sqref="X45">
    <cfRule type="cellIs" dxfId="188" priority="9" operator="notEqual">
      <formula>$X$47</formula>
    </cfRule>
    <cfRule type="cellIs" dxfId="187" priority="10" operator="equal">
      <formula>$X$47</formula>
    </cfRule>
  </conditionalFormatting>
  <conditionalFormatting sqref="Y45">
    <cfRule type="cellIs" dxfId="186" priority="7" operator="notEqual">
      <formula>$Y$47</formula>
    </cfRule>
    <cfRule type="cellIs" dxfId="185" priority="8" operator="equal">
      <formula>$Y$47</formula>
    </cfRule>
  </conditionalFormatting>
  <conditionalFormatting sqref="Z45">
    <cfRule type="cellIs" dxfId="184" priority="5" operator="notEqual">
      <formula>$Z$47</formula>
    </cfRule>
    <cfRule type="cellIs" dxfId="183" priority="6" operator="equal">
      <formula>$Z$47</formula>
    </cfRule>
  </conditionalFormatting>
  <conditionalFormatting sqref="AA45">
    <cfRule type="cellIs" dxfId="182" priority="3" operator="notEqual">
      <formula>$AA$47</formula>
    </cfRule>
    <cfRule type="cellIs" dxfId="181" priority="4" operator="equal">
      <formula>$AA$47</formula>
    </cfRule>
  </conditionalFormatting>
  <conditionalFormatting sqref="AB45">
    <cfRule type="cellIs" dxfId="180" priority="1" operator="notEqual">
      <formula>$AB$47</formula>
    </cfRule>
    <cfRule type="cellIs" dxfId="179" priority="2" operator="equal">
      <formula>$AB$47</formula>
    </cfRule>
  </conditionalFormatting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40443-0FB8-4539-A3FD-3780CFB3DBCB}">
  <sheetPr codeName="Planilha30">
    <tabColor indexed="12" tint="-0.249977111117893"/>
  </sheetPr>
  <dimension ref="A1:AV629"/>
  <sheetViews>
    <sheetView showGridLines="0" topLeftCell="AL1" workbookViewId="0">
      <selection activeCell="AV11" sqref="AV11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2.140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7.855468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7" width="10.8554687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610</v>
      </c>
      <c r="W1" s="1" t="s">
        <v>611</v>
      </c>
      <c r="X1" s="1" t="s">
        <v>612</v>
      </c>
      <c r="Y1" s="1" t="s">
        <v>613</v>
      </c>
      <c r="Z1" s="1" t="s">
        <v>614</v>
      </c>
      <c r="AA1" s="1" t="s">
        <v>615</v>
      </c>
      <c r="AB1" s="1" t="s">
        <v>616</v>
      </c>
      <c r="AC1" s="1" t="s">
        <v>617</v>
      </c>
      <c r="AD1" s="1" t="s">
        <v>618</v>
      </c>
      <c r="AE1" s="1" t="s">
        <v>619</v>
      </c>
      <c r="AF1" s="1" t="s">
        <v>620</v>
      </c>
      <c r="AG1" s="1" t="s">
        <v>621</v>
      </c>
      <c r="AI1" s="83" t="s">
        <v>68</v>
      </c>
      <c r="AJ1" s="83" t="s">
        <v>622</v>
      </c>
      <c r="AK1" s="83" t="s">
        <v>623</v>
      </c>
      <c r="AL1" s="83" t="s">
        <v>624</v>
      </c>
      <c r="AN1" s="83" t="s">
        <v>68</v>
      </c>
      <c r="AO1" s="83" t="s">
        <v>625</v>
      </c>
      <c r="AP1" s="83" t="s">
        <v>626</v>
      </c>
      <c r="AQ1" s="83" t="s">
        <v>624</v>
      </c>
      <c r="AS1" s="83" t="s">
        <v>68</v>
      </c>
      <c r="AT1" s="83" t="s">
        <v>627</v>
      </c>
      <c r="AU1" s="83" t="s">
        <v>628</v>
      </c>
      <c r="AV1" s="83" t="s">
        <v>624</v>
      </c>
    </row>
    <row r="2" spans="1:48" ht="11.25" customHeight="1" x14ac:dyDescent="0.25">
      <c r="A2" s="4" t="s">
        <v>21</v>
      </c>
      <c r="B2" s="4" t="s">
        <v>38</v>
      </c>
      <c r="C2" s="4" t="s">
        <v>50</v>
      </c>
      <c r="D2" s="4" t="s">
        <v>48</v>
      </c>
      <c r="E2" s="4" t="s">
        <v>49</v>
      </c>
      <c r="F2" s="4" t="s">
        <v>25</v>
      </c>
      <c r="G2" s="4" t="s">
        <v>25</v>
      </c>
      <c r="H2" s="4" t="s">
        <v>34</v>
      </c>
      <c r="I2" s="5">
        <v>44378</v>
      </c>
      <c r="J2" s="6">
        <v>245</v>
      </c>
      <c r="K2" s="96">
        <v>245</v>
      </c>
      <c r="L2" s="6">
        <v>105.798</v>
      </c>
      <c r="M2" s="96">
        <v>105.798</v>
      </c>
      <c r="N2" s="6">
        <v>105.798</v>
      </c>
      <c r="O2" s="96">
        <v>105.798</v>
      </c>
      <c r="P2" s="6">
        <v>0</v>
      </c>
      <c r="Q2" s="4" t="s">
        <v>26</v>
      </c>
      <c r="R2" s="4">
        <v>0</v>
      </c>
      <c r="S2" s="6">
        <v>23</v>
      </c>
      <c r="T2" s="6">
        <v>11</v>
      </c>
      <c r="U2" s="6">
        <v>78</v>
      </c>
      <c r="V2" s="96">
        <f>IF(ISERROR(VLOOKUP($S$2,'TAR FIN'!$A$1:$O$86,15,0)),0,VLOOKUP($S$2,'TAR FIN'!$A$1:$O$86,15,0))*(1-0.06)</f>
        <v>15.312599999999998</v>
      </c>
      <c r="W2" s="96">
        <f>IF(ISERROR(VLOOKUP($T$2,'TAR FIN'!$A$1:$O$86,15,0)),0,VLOOKUP($T$2,'TAR FIN'!$A$1:$O$86,15,0))*(1-0.06)</f>
        <v>66.984400000000008</v>
      </c>
      <c r="X2" s="96">
        <f>IF(ISERROR(VLOOKUP($U$2,'TAR FIN'!$A$1:$O$86,15,0)),0,VLOOKUP($U$2,'TAR FIN'!$A$1:$O$86,15,0))*(1-0.06)</f>
        <v>279.47139999999996</v>
      </c>
      <c r="Y2" s="96">
        <f ca="1">('TUSD BE'!$AM$6+'TUSD BF_350'!$AM$6+'TUSD CVA'!$AM$6)*1*(1-0.03)</f>
        <v>20.50538631981113</v>
      </c>
      <c r="Z2" s="96">
        <f ca="1">('TUSD BE'!$AM$7+'TUSD BF_350'!$AM$7+'TUSD CVA'!$AM$7)*1*(1-0.03)</f>
        <v>92.9409846595331</v>
      </c>
      <c r="AA2" s="96">
        <f ca="1">('TE BE'!$AB$6+'TE BF_350'!$AB$6+'TE CVA'!$AB$6)*1*(1-0.03)</f>
        <v>228.27969443963337</v>
      </c>
      <c r="AB2" s="6">
        <f>$K$2*$V$2</f>
        <v>3751.5869999999995</v>
      </c>
      <c r="AC2" s="6">
        <f>$M$2*$W$2</f>
        <v>7086.8155512000012</v>
      </c>
      <c r="AD2" s="6">
        <f>$O$2*$X$2</f>
        <v>29567.515177199995</v>
      </c>
      <c r="AE2" s="6">
        <f ca="1">$K$2*$Y$2</f>
        <v>5023.8196483537267</v>
      </c>
      <c r="AF2" s="6">
        <f ca="1">$M$2*$Z$2</f>
        <v>9832.9702950092833</v>
      </c>
      <c r="AG2" s="6">
        <f ca="1">$O$2*$AA$2</f>
        <v>24151.535112324331</v>
      </c>
      <c r="AI2" s="84" t="s">
        <v>38</v>
      </c>
      <c r="AJ2" s="85">
        <f>SUMIF($B$2:$B$629,AI2,$AB$2:$AB$629)+SUMIF($B$2:$B$629,AI2,$AC$2:$AC$629)</f>
        <v>9870943.0078028142</v>
      </c>
      <c r="AK2" s="85">
        <f ca="1">SUMIF($B$2:$B$629,AI2,$AE$2:$AE$629)+SUMIF($B$2:$B$629,AI2,$AF$2:$AF$629)</f>
        <v>12413494.412830664</v>
      </c>
      <c r="AL2" s="86">
        <f t="shared" ref="AL2:AL9" ca="1" si="0">IF(AJ2&lt;&gt;0,AK2/AJ2-1,0)</f>
        <v>0.25757938253903467</v>
      </c>
      <c r="AN2" s="84" t="s">
        <v>38</v>
      </c>
      <c r="AO2" s="85">
        <f>SUMIF($B$2:$B$629,AN2,$AD$2:$AD$629)</f>
        <v>5033985.7134883953</v>
      </c>
      <c r="AP2" s="85">
        <f ca="1">SUMIF($B$2:$B$629,AN2,$AG$2:$AG$629)</f>
        <v>4001942.443246278</v>
      </c>
      <c r="AQ2" s="86">
        <f t="shared" ref="AQ2:AQ9" ca="1" si="1">IF(AO2&lt;&gt;0,AP2/AO2-1,0)</f>
        <v>-0.20501513690767781</v>
      </c>
      <c r="AS2" s="84" t="s">
        <v>38</v>
      </c>
      <c r="AT2" s="85">
        <f>SUMIF($B$2:$B$629,AS2,$AB$2:$AB$629)+SUMIF($B$2:$B$629,AS2,$AC$2:$AC$629)+SUMIF($B$2:$B$629,AS2,$AD$2:$AD$629)</f>
        <v>14904928.721291211</v>
      </c>
      <c r="AU2" s="85">
        <f ca="1">SUMIF($B$2:$B$629,AS2,$AE$2:$AE$629)+SUMIF($B$2:$B$629,AS2,$AF$2:$AF$629)+SUMIF($B$2:$B$629,AS2,$AG$2:$AG$629)</f>
        <v>16415436.856076941</v>
      </c>
      <c r="AV2" s="86">
        <f t="shared" ref="AV2:AV9" ca="1" si="2">IF(AT2&lt;&gt;0,AU2/AT2-1,0)</f>
        <v>0.10134286201771747</v>
      </c>
    </row>
    <row r="3" spans="1:48" ht="11.25" customHeight="1" x14ac:dyDescent="0.25">
      <c r="A3" s="4" t="s">
        <v>21</v>
      </c>
      <c r="B3" s="4" t="s">
        <v>38</v>
      </c>
      <c r="C3" s="4" t="s">
        <v>50</v>
      </c>
      <c r="D3" s="4" t="s">
        <v>48</v>
      </c>
      <c r="E3" s="4" t="s">
        <v>49</v>
      </c>
      <c r="F3" s="4" t="s">
        <v>25</v>
      </c>
      <c r="G3" s="4" t="s">
        <v>25</v>
      </c>
      <c r="H3" s="4" t="s">
        <v>34</v>
      </c>
      <c r="I3" s="5">
        <v>44409</v>
      </c>
      <c r="J3" s="6">
        <v>245</v>
      </c>
      <c r="K3" s="97">
        <v>245</v>
      </c>
      <c r="L3" s="6">
        <v>117.194</v>
      </c>
      <c r="M3" s="96">
        <v>117.194</v>
      </c>
      <c r="N3" s="6">
        <v>117.194</v>
      </c>
      <c r="O3" s="96">
        <v>117.194</v>
      </c>
      <c r="P3" s="6">
        <v>0</v>
      </c>
      <c r="Q3" s="4" t="s">
        <v>26</v>
      </c>
      <c r="R3" s="4">
        <v>0</v>
      </c>
      <c r="S3" s="6">
        <v>23</v>
      </c>
      <c r="T3" s="6">
        <v>11</v>
      </c>
      <c r="U3" s="6">
        <v>78</v>
      </c>
      <c r="V3" s="96">
        <f>IF(ISERROR(VLOOKUP($S$3,'TAR FIN'!$A$1:$O$86,15,0)),0,VLOOKUP($S$3,'TAR FIN'!$A$1:$O$86,15,0))*(1-0.06)</f>
        <v>15.312599999999998</v>
      </c>
      <c r="W3" s="96">
        <f>IF(ISERROR(VLOOKUP($T$3,'TAR FIN'!$A$1:$O$86,15,0)),0,VLOOKUP($T$3,'TAR FIN'!$A$1:$O$86,15,0))*(1-0.06)</f>
        <v>66.984400000000008</v>
      </c>
      <c r="X3" s="96">
        <f>IF(ISERROR(VLOOKUP($U$3,'TAR FIN'!$A$1:$O$86,15,0)),0,VLOOKUP($U$3,'TAR FIN'!$A$1:$O$86,15,0))*(1-0.06)</f>
        <v>279.47139999999996</v>
      </c>
      <c r="Y3" s="96">
        <f ca="1">('TUSD BE'!$AM$6+'TUSD BF_350'!$AM$6+'TUSD CVA'!$AM$6)*1*(1-0.03)</f>
        <v>20.50538631981113</v>
      </c>
      <c r="Z3" s="96">
        <f ca="1">('TUSD BE'!$AM$7+'TUSD BF_350'!$AM$7+'TUSD CVA'!$AM$7)*1*(1-0.03)</f>
        <v>92.9409846595331</v>
      </c>
      <c r="AA3" s="96">
        <f ca="1">('TE BE'!$AB$6+'TE BF_350'!$AB$6+'TE CVA'!$AB$6)*1*(1-0.03)</f>
        <v>228.27969443963337</v>
      </c>
      <c r="AB3" s="6">
        <f>$K$3*$V$3</f>
        <v>3751.5869999999995</v>
      </c>
      <c r="AC3" s="6">
        <f>$M$3*$W$3</f>
        <v>7850.1697736000015</v>
      </c>
      <c r="AD3" s="6">
        <f>$O$3*$X$3</f>
        <v>32752.371251599998</v>
      </c>
      <c r="AE3" s="6">
        <f ca="1">$K$3*$Y$3</f>
        <v>5023.8196483537267</v>
      </c>
      <c r="AF3" s="6">
        <f ca="1">$M$3*$Z$3</f>
        <v>10892.125756189322</v>
      </c>
      <c r="AG3" s="6">
        <f ca="1">$O$3*$AA$3</f>
        <v>26753.010510158394</v>
      </c>
      <c r="AI3" s="84" t="s">
        <v>22</v>
      </c>
      <c r="AJ3" s="85">
        <f>SUMIF($B$2:$B$629,AI3,$AB$2:$AB$629)+SUMIF($B$2:$B$629,AI3,$AC$2:$AC$629)</f>
        <v>12703993.404280003</v>
      </c>
      <c r="AK3" s="85">
        <f ca="1">SUMIF($B$2:$B$629,AI3,$AE$2:$AE$629)+SUMIF($B$2:$B$629,AI3,$AF$2:$AF$629)</f>
        <v>12163565.741635554</v>
      </c>
      <c r="AL3" s="86">
        <f t="shared" ca="1" si="0"/>
        <v>-4.2539982936576348E-2</v>
      </c>
      <c r="AN3" s="84" t="s">
        <v>22</v>
      </c>
      <c r="AO3" s="85">
        <f>SUMIF($B$2:$B$629,AN3,$AD$2:$AD$629)</f>
        <v>12292137.580009999</v>
      </c>
      <c r="AP3" s="85">
        <f ca="1">SUMIF($B$2:$B$629,AN3,$AG$2:$AG$629)</f>
        <v>9727417.4809301887</v>
      </c>
      <c r="AQ3" s="86">
        <f t="shared" ca="1" si="1"/>
        <v>-0.20864720089455135</v>
      </c>
      <c r="AS3" s="84" t="s">
        <v>22</v>
      </c>
      <c r="AT3" s="85">
        <f>SUMIF($B$2:$B$629,AS3,$AB$2:$AB$629)+SUMIF($B$2:$B$629,AS3,$AC$2:$AC$629)+SUMIF($B$2:$B$629,AS3,$AD$2:$AD$629)</f>
        <v>24996130.984290004</v>
      </c>
      <c r="AU3" s="85">
        <f ca="1">SUMIF($B$2:$B$629,AS3,$AE$2:$AE$629)+SUMIF($B$2:$B$629,AS3,$AF$2:$AF$629)+SUMIF($B$2:$B$629,AS3,$AG$2:$AG$629)</f>
        <v>21890983.22256574</v>
      </c>
      <c r="AV3" s="86">
        <f t="shared" ca="1" si="2"/>
        <v>-0.12422513562902349</v>
      </c>
    </row>
    <row r="4" spans="1:48" ht="11.25" customHeight="1" x14ac:dyDescent="0.25">
      <c r="A4" s="4" t="s">
        <v>21</v>
      </c>
      <c r="B4" s="4" t="s">
        <v>38</v>
      </c>
      <c r="C4" s="4" t="s">
        <v>50</v>
      </c>
      <c r="D4" s="4" t="s">
        <v>48</v>
      </c>
      <c r="E4" s="4" t="s">
        <v>49</v>
      </c>
      <c r="F4" s="4" t="s">
        <v>25</v>
      </c>
      <c r="G4" s="4" t="s">
        <v>25</v>
      </c>
      <c r="H4" s="4" t="s">
        <v>34</v>
      </c>
      <c r="I4" s="5">
        <v>44440</v>
      </c>
      <c r="J4" s="6">
        <v>245</v>
      </c>
      <c r="K4" s="97">
        <v>245</v>
      </c>
      <c r="L4" s="6">
        <v>97.938999999999993</v>
      </c>
      <c r="M4" s="96">
        <v>97.938999999999993</v>
      </c>
      <c r="N4" s="6">
        <v>97.938999999999993</v>
      </c>
      <c r="O4" s="96">
        <v>97.938999999999993</v>
      </c>
      <c r="P4" s="6">
        <v>0</v>
      </c>
      <c r="Q4" s="4" t="s">
        <v>26</v>
      </c>
      <c r="R4" s="4">
        <v>0</v>
      </c>
      <c r="S4" s="6">
        <v>23</v>
      </c>
      <c r="T4" s="6">
        <v>11</v>
      </c>
      <c r="U4" s="6">
        <v>78</v>
      </c>
      <c r="V4" s="96">
        <f>IF(ISERROR(VLOOKUP($S$4,'TAR FIN'!$A$1:$O$86,15,0)),0,VLOOKUP($S$4,'TAR FIN'!$A$1:$O$86,15,0))*(1-0.06)</f>
        <v>15.312599999999998</v>
      </c>
      <c r="W4" s="96">
        <f>IF(ISERROR(VLOOKUP($T$4,'TAR FIN'!$A$1:$O$86,15,0)),0,VLOOKUP($T$4,'TAR FIN'!$A$1:$O$86,15,0))*(1-0.06)</f>
        <v>66.984400000000008</v>
      </c>
      <c r="X4" s="96">
        <f>IF(ISERROR(VLOOKUP($U$4,'TAR FIN'!$A$1:$O$86,15,0)),0,VLOOKUP($U$4,'TAR FIN'!$A$1:$O$86,15,0))*(1-0.06)</f>
        <v>279.47139999999996</v>
      </c>
      <c r="Y4" s="96">
        <f ca="1">('TUSD BE'!$AM$6+'TUSD BF_350'!$AM$6+'TUSD CVA'!$AM$6)*1*(1-0.03)</f>
        <v>20.50538631981113</v>
      </c>
      <c r="Z4" s="96">
        <f ca="1">('TUSD BE'!$AM$7+'TUSD BF_350'!$AM$7+'TUSD CVA'!$AM$7)*1*(1-0.03)</f>
        <v>92.9409846595331</v>
      </c>
      <c r="AA4" s="96">
        <f ca="1">('TE BE'!$AB$6+'TE BF_350'!$AB$6+'TE CVA'!$AB$6)*1*(1-0.03)</f>
        <v>228.27969443963337</v>
      </c>
      <c r="AB4" s="6">
        <f>$K$4*$V$4</f>
        <v>3751.5869999999995</v>
      </c>
      <c r="AC4" s="6">
        <f>$M$4*$W$4</f>
        <v>6560.3851516000004</v>
      </c>
      <c r="AD4" s="6">
        <f>$O$4*$X$4</f>
        <v>27371.149444599992</v>
      </c>
      <c r="AE4" s="6">
        <f ca="1">$K$4*$Y$4</f>
        <v>5023.8196483537267</v>
      </c>
      <c r="AF4" s="6">
        <f ca="1">$M$4*$Z$4</f>
        <v>9102.5470965700115</v>
      </c>
      <c r="AG4" s="6">
        <f ca="1">$O$4*$AA$4</f>
        <v>22357.48499372325</v>
      </c>
      <c r="AI4" s="84" t="s">
        <v>42</v>
      </c>
      <c r="AJ4" s="85">
        <f>SUMIF($B$2:$B$629,AI4,$AB$2:$AB$629)+SUMIF($B$2:$B$629,AI4,$AC$2:$AC$629)</f>
        <v>486779.02084999991</v>
      </c>
      <c r="AK4" s="85">
        <f ca="1">SUMIF($B$2:$B$629,AI4,$AE$2:$AE$629)+SUMIF($B$2:$B$629,AI4,$AF$2:$AF$629)</f>
        <v>499177.35173075093</v>
      </c>
      <c r="AL4" s="86">
        <f t="shared" ca="1" si="0"/>
        <v>2.5470142199434553E-2</v>
      </c>
      <c r="AN4" s="84" t="s">
        <v>42</v>
      </c>
      <c r="AO4" s="85">
        <f>SUMIF($B$2:$B$629,AN4,$AD$2:$AD$629)</f>
        <v>468221.36365199997</v>
      </c>
      <c r="AP4" s="85">
        <f ca="1">SUMIF($B$2:$B$629,AN4,$AG$2:$AG$629)</f>
        <v>395788.15431051009</v>
      </c>
      <c r="AQ4" s="86">
        <f t="shared" ca="1" si="1"/>
        <v>-0.15469864248937815</v>
      </c>
      <c r="AS4" s="84" t="s">
        <v>42</v>
      </c>
      <c r="AT4" s="85">
        <f>SUMIF($B$2:$B$629,AS4,$AB$2:$AB$629)+SUMIF($B$2:$B$629,AS4,$AC$2:$AC$629)+SUMIF($B$2:$B$629,AS4,$AD$2:$AD$629)</f>
        <v>955000.38450199994</v>
      </c>
      <c r="AU4" s="85">
        <f ca="1">SUMIF($B$2:$B$629,AS4,$AE$2:$AE$629)+SUMIF($B$2:$B$629,AS4,$AF$2:$AF$629)+SUMIF($B$2:$B$629,AS4,$AG$2:$AG$629)</f>
        <v>894965.50604126102</v>
      </c>
      <c r="AV4" s="86">
        <f t="shared" ca="1" si="2"/>
        <v>-6.2863721769122693E-2</v>
      </c>
    </row>
    <row r="5" spans="1:48" ht="11.25" customHeight="1" x14ac:dyDescent="0.25">
      <c r="A5" s="4" t="s">
        <v>21</v>
      </c>
      <c r="B5" s="4" t="s">
        <v>38</v>
      </c>
      <c r="C5" s="4" t="s">
        <v>50</v>
      </c>
      <c r="D5" s="4" t="s">
        <v>48</v>
      </c>
      <c r="E5" s="4" t="s">
        <v>49</v>
      </c>
      <c r="F5" s="4" t="s">
        <v>25</v>
      </c>
      <c r="G5" s="4" t="s">
        <v>25</v>
      </c>
      <c r="H5" s="4" t="s">
        <v>34</v>
      </c>
      <c r="I5" s="5">
        <v>44470</v>
      </c>
      <c r="J5" s="6">
        <v>245</v>
      </c>
      <c r="K5" s="97">
        <v>245</v>
      </c>
      <c r="L5" s="6">
        <v>100.089</v>
      </c>
      <c r="M5" s="96">
        <v>100.089</v>
      </c>
      <c r="N5" s="6">
        <v>100.089</v>
      </c>
      <c r="O5" s="96">
        <v>100.089</v>
      </c>
      <c r="P5" s="6">
        <v>0</v>
      </c>
      <c r="Q5" s="4" t="s">
        <v>26</v>
      </c>
      <c r="R5" s="4">
        <v>0</v>
      </c>
      <c r="S5" s="6">
        <v>23</v>
      </c>
      <c r="T5" s="6">
        <v>11</v>
      </c>
      <c r="U5" s="6">
        <v>78</v>
      </c>
      <c r="V5" s="96">
        <f>IF(ISERROR(VLOOKUP($S$5,'TAR FIN'!$A$1:$O$86,15,0)),0,VLOOKUP($S$5,'TAR FIN'!$A$1:$O$86,15,0))*(1-0.06)</f>
        <v>15.312599999999998</v>
      </c>
      <c r="W5" s="96">
        <f>IF(ISERROR(VLOOKUP($T$5,'TAR FIN'!$A$1:$O$86,15,0)),0,VLOOKUP($T$5,'TAR FIN'!$A$1:$O$86,15,0))*(1-0.06)</f>
        <v>66.984400000000008</v>
      </c>
      <c r="X5" s="96">
        <f>IF(ISERROR(VLOOKUP($U$5,'TAR FIN'!$A$1:$O$86,15,0)),0,VLOOKUP($U$5,'TAR FIN'!$A$1:$O$86,15,0))*(1-0.06)</f>
        <v>279.47139999999996</v>
      </c>
      <c r="Y5" s="96">
        <f ca="1">('TUSD BE'!$AM$6+'TUSD BF_350'!$AM$6+'TUSD CVA'!$AM$6)*1*(1-0.03)</f>
        <v>20.50538631981113</v>
      </c>
      <c r="Z5" s="96">
        <f ca="1">('TUSD BE'!$AM$7+'TUSD BF_350'!$AM$7+'TUSD CVA'!$AM$7)*1*(1-0.03)</f>
        <v>92.9409846595331</v>
      </c>
      <c r="AA5" s="96">
        <f ca="1">('TE BE'!$AB$6+'TE BF_350'!$AB$6+'TE CVA'!$AB$6)*1*(1-0.03)</f>
        <v>228.27969443963337</v>
      </c>
      <c r="AB5" s="6">
        <f>$K$5*$V$5</f>
        <v>3751.5869999999995</v>
      </c>
      <c r="AC5" s="6">
        <f>$M$5*$W$5</f>
        <v>6704.4016116000003</v>
      </c>
      <c r="AD5" s="6">
        <f>$O$5*$X$5</f>
        <v>27972.012954599995</v>
      </c>
      <c r="AE5" s="6">
        <f ca="1">$K$5*$Y$5</f>
        <v>5023.8196483537267</v>
      </c>
      <c r="AF5" s="6">
        <f ca="1">$M$5*$Z$5</f>
        <v>9302.3702135880085</v>
      </c>
      <c r="AG5" s="6">
        <f ca="1">$O$5*$AA$5</f>
        <v>22848.286336768466</v>
      </c>
      <c r="AI5" s="84" t="s">
        <v>36</v>
      </c>
      <c r="AJ5" s="85">
        <f>SUMIF($B$2:$B$629,AI5,$AB$2:$AB$629)+SUMIF($B$2:$B$629,AI5,$AC$2:$AC$629)</f>
        <v>4433193.7999215992</v>
      </c>
      <c r="AK5" s="85">
        <f ca="1">SUMIF($B$2:$B$629,AI5,$AE$2:$AE$629)+SUMIF($B$2:$B$629,AI5,$AF$2:$AF$629)</f>
        <v>4271304.1576070758</v>
      </c>
      <c r="AL5" s="86">
        <f t="shared" ca="1" si="0"/>
        <v>-3.6517610016820523E-2</v>
      </c>
      <c r="AN5" s="84" t="s">
        <v>36</v>
      </c>
      <c r="AO5" s="85">
        <f>SUMIF($B$2:$B$629,AN5,$AD$2:$AD$629)</f>
        <v>4264274.2516184011</v>
      </c>
      <c r="AP5" s="85">
        <f ca="1">SUMIF($B$2:$B$629,AN5,$AG$2:$AG$629)</f>
        <v>3386520.8075796282</v>
      </c>
      <c r="AQ5" s="86">
        <f t="shared" ca="1" si="1"/>
        <v>-0.20583888189312471</v>
      </c>
      <c r="AS5" s="84" t="s">
        <v>36</v>
      </c>
      <c r="AT5" s="85">
        <f>SUMIF($B$2:$B$629,AS5,$AB$2:$AB$629)+SUMIF($B$2:$B$629,AS5,$AC$2:$AC$629)+SUMIF($B$2:$B$629,AS5,$AD$2:$AD$629)</f>
        <v>8697468.0515400004</v>
      </c>
      <c r="AU5" s="85">
        <f ca="1">SUMIF($B$2:$B$629,AS5,$AE$2:$AE$629)+SUMIF($B$2:$B$629,AS5,$AF$2:$AF$629)+SUMIF($B$2:$B$629,AS5,$AG$2:$AG$629)</f>
        <v>7657824.965186704</v>
      </c>
      <c r="AV5" s="86">
        <f t="shared" ca="1" si="2"/>
        <v>-0.11953399313369295</v>
      </c>
    </row>
    <row r="6" spans="1:48" ht="11.25" customHeight="1" x14ac:dyDescent="0.25">
      <c r="A6" s="4" t="s">
        <v>21</v>
      </c>
      <c r="B6" s="4" t="s">
        <v>38</v>
      </c>
      <c r="C6" s="4" t="s">
        <v>50</v>
      </c>
      <c r="D6" s="4" t="s">
        <v>48</v>
      </c>
      <c r="E6" s="4" t="s">
        <v>49</v>
      </c>
      <c r="F6" s="4" t="s">
        <v>25</v>
      </c>
      <c r="G6" s="4" t="s">
        <v>25</v>
      </c>
      <c r="H6" s="4" t="s">
        <v>34</v>
      </c>
      <c r="I6" s="5">
        <v>44501</v>
      </c>
      <c r="J6" s="6">
        <v>245</v>
      </c>
      <c r="K6" s="97">
        <v>245</v>
      </c>
      <c r="L6" s="6">
        <v>111.02800000000001</v>
      </c>
      <c r="M6" s="96">
        <v>111.02800000000001</v>
      </c>
      <c r="N6" s="6">
        <v>111.02800000000001</v>
      </c>
      <c r="O6" s="96">
        <v>111.02800000000001</v>
      </c>
      <c r="P6" s="6">
        <v>0</v>
      </c>
      <c r="Q6" s="4" t="s">
        <v>26</v>
      </c>
      <c r="R6" s="4">
        <v>0</v>
      </c>
      <c r="S6" s="6">
        <v>23</v>
      </c>
      <c r="T6" s="6">
        <v>11</v>
      </c>
      <c r="U6" s="6">
        <v>78</v>
      </c>
      <c r="V6" s="96">
        <f>IF(ISERROR(VLOOKUP($S$6,'TAR FIN'!$A$1:$O$86,15,0)),0,VLOOKUP($S$6,'TAR FIN'!$A$1:$O$86,15,0))*(1-0.06)</f>
        <v>15.312599999999998</v>
      </c>
      <c r="W6" s="96">
        <f>IF(ISERROR(VLOOKUP($T$6,'TAR FIN'!$A$1:$O$86,15,0)),0,VLOOKUP($T$6,'TAR FIN'!$A$1:$O$86,15,0))*(1-0.06)</f>
        <v>66.984400000000008</v>
      </c>
      <c r="X6" s="96">
        <f>IF(ISERROR(VLOOKUP($U$6,'TAR FIN'!$A$1:$O$86,15,0)),0,VLOOKUP($U$6,'TAR FIN'!$A$1:$O$86,15,0))*(1-0.06)</f>
        <v>279.47139999999996</v>
      </c>
      <c r="Y6" s="96">
        <f ca="1">('TUSD BE'!$AM$6+'TUSD BF_350'!$AM$6+'TUSD CVA'!$AM$6)*1*(1-0.03)</f>
        <v>20.50538631981113</v>
      </c>
      <c r="Z6" s="96">
        <f ca="1">('TUSD BE'!$AM$7+'TUSD BF_350'!$AM$7+'TUSD CVA'!$AM$7)*1*(1-0.03)</f>
        <v>92.9409846595331</v>
      </c>
      <c r="AA6" s="96">
        <f ca="1">('TE BE'!$AB$6+'TE BF_350'!$AB$6+'TE CVA'!$AB$6)*1*(1-0.03)</f>
        <v>228.27969443963337</v>
      </c>
      <c r="AB6" s="6">
        <f>$K$6*$V$6</f>
        <v>3751.5869999999995</v>
      </c>
      <c r="AC6" s="6">
        <f>$M$6*$W$6</f>
        <v>7437.1439632000011</v>
      </c>
      <c r="AD6" s="6">
        <f>$O$6*$X$6</f>
        <v>31029.150599199998</v>
      </c>
      <c r="AE6" s="6">
        <f ca="1">$K$6*$Y$6</f>
        <v>5023.8196483537267</v>
      </c>
      <c r="AF6" s="6">
        <f ca="1">$M$6*$Z$6</f>
        <v>10319.051644778641</v>
      </c>
      <c r="AG6" s="6">
        <f ca="1">$O$6*$AA$6</f>
        <v>25345.437914243616</v>
      </c>
      <c r="AI6" s="84" t="s">
        <v>45</v>
      </c>
      <c r="AJ6" s="85">
        <f>SUMIF($B$2:$B$629,AI6,$AB$2:$AB$629)+SUMIF($B$2:$B$629,AI6,$AC$2:$AC$629)</f>
        <v>883751.02463999996</v>
      </c>
      <c r="AK6" s="85">
        <f ca="1">SUMIF($B$2:$B$629,AI6,$AE$2:$AE$629)+SUMIF($B$2:$B$629,AI6,$AF$2:$AF$629)</f>
        <v>848431.57850158331</v>
      </c>
      <c r="AL6" s="86">
        <f t="shared" ca="1" si="0"/>
        <v>-3.9965380693962049E-2</v>
      </c>
      <c r="AN6" s="84" t="s">
        <v>45</v>
      </c>
      <c r="AO6" s="85">
        <f>SUMIF($B$2:$B$629,AN6,$AD$2:$AD$629)</f>
        <v>850040.32607999991</v>
      </c>
      <c r="AP6" s="85">
        <f ca="1">SUMIF($B$2:$B$629,AN6,$AG$2:$AG$629)</f>
        <v>672705.13646023674</v>
      </c>
      <c r="AQ6" s="86">
        <f t="shared" ca="1" si="1"/>
        <v>-0.20861973741593243</v>
      </c>
      <c r="AS6" s="84" t="s">
        <v>45</v>
      </c>
      <c r="AT6" s="85">
        <f>SUMIF($B$2:$B$629,AS6,$AB$2:$AB$629)+SUMIF($B$2:$B$629,AS6,$AC$2:$AC$629)+SUMIF($B$2:$B$629,AS6,$AD$2:$AD$629)</f>
        <v>1733791.35072</v>
      </c>
      <c r="AU6" s="85">
        <f ca="1">SUMIF($B$2:$B$629,AS6,$AE$2:$AE$629)+SUMIF($B$2:$B$629,AS6,$AF$2:$AF$629)+SUMIF($B$2:$B$629,AS6,$AG$2:$AG$629)</f>
        <v>1521136.71496182</v>
      </c>
      <c r="AV6" s="86">
        <f t="shared" ca="1" si="2"/>
        <v>-0.12265295686812017</v>
      </c>
    </row>
    <row r="7" spans="1:48" ht="11.25" customHeight="1" x14ac:dyDescent="0.25">
      <c r="A7" s="4" t="s">
        <v>21</v>
      </c>
      <c r="B7" s="4" t="s">
        <v>38</v>
      </c>
      <c r="C7" s="4" t="s">
        <v>50</v>
      </c>
      <c r="D7" s="4" t="s">
        <v>48</v>
      </c>
      <c r="E7" s="4" t="s">
        <v>49</v>
      </c>
      <c r="F7" s="4" t="s">
        <v>25</v>
      </c>
      <c r="G7" s="4" t="s">
        <v>25</v>
      </c>
      <c r="H7" s="4" t="s">
        <v>34</v>
      </c>
      <c r="I7" s="5">
        <v>44531</v>
      </c>
      <c r="J7" s="6">
        <v>245</v>
      </c>
      <c r="K7" s="97">
        <v>245</v>
      </c>
      <c r="L7" s="6">
        <v>113.598</v>
      </c>
      <c r="M7" s="96">
        <v>113.598</v>
      </c>
      <c r="N7" s="6">
        <v>113.598</v>
      </c>
      <c r="O7" s="96">
        <v>113.598</v>
      </c>
      <c r="P7" s="6">
        <v>0</v>
      </c>
      <c r="Q7" s="4" t="s">
        <v>26</v>
      </c>
      <c r="R7" s="4">
        <v>0</v>
      </c>
      <c r="S7" s="6">
        <v>23</v>
      </c>
      <c r="T7" s="6">
        <v>11</v>
      </c>
      <c r="U7" s="6">
        <v>78</v>
      </c>
      <c r="V7" s="96">
        <f>IF(ISERROR(VLOOKUP($S$7,'TAR FIN'!$A$1:$O$86,15,0)),0,VLOOKUP($S$7,'TAR FIN'!$A$1:$O$86,15,0))*(1-0.06)</f>
        <v>15.312599999999998</v>
      </c>
      <c r="W7" s="96">
        <f>IF(ISERROR(VLOOKUP($T$7,'TAR FIN'!$A$1:$O$86,15,0)),0,VLOOKUP($T$7,'TAR FIN'!$A$1:$O$86,15,0))*(1-0.06)</f>
        <v>66.984400000000008</v>
      </c>
      <c r="X7" s="96">
        <f>IF(ISERROR(VLOOKUP($U$7,'TAR FIN'!$A$1:$O$86,15,0)),0,VLOOKUP($U$7,'TAR FIN'!$A$1:$O$86,15,0))*(1-0.06)</f>
        <v>279.47139999999996</v>
      </c>
      <c r="Y7" s="96">
        <f ca="1">('TUSD BE'!$AM$6+'TUSD BF_350'!$AM$6+'TUSD CVA'!$AM$6)*1*(1-0.03)</f>
        <v>20.50538631981113</v>
      </c>
      <c r="Z7" s="96">
        <f ca="1">('TUSD BE'!$AM$7+'TUSD BF_350'!$AM$7+'TUSD CVA'!$AM$7)*1*(1-0.03)</f>
        <v>92.9409846595331</v>
      </c>
      <c r="AA7" s="96">
        <f ca="1">('TE BE'!$AB$6+'TE BF_350'!$AB$6+'TE CVA'!$AB$6)*1*(1-0.03)</f>
        <v>228.27969443963337</v>
      </c>
      <c r="AB7" s="6">
        <f>$K$7*$V$7</f>
        <v>3751.5869999999995</v>
      </c>
      <c r="AC7" s="6">
        <f>$M$7*$W$7</f>
        <v>7609.2938712000005</v>
      </c>
      <c r="AD7" s="6">
        <f>$O$7*$X$7</f>
        <v>31747.392097199994</v>
      </c>
      <c r="AE7" s="6">
        <f ca="1">$K$7*$Y$7</f>
        <v>5023.8196483537267</v>
      </c>
      <c r="AF7" s="6">
        <f ca="1">$M$7*$Z$7</f>
        <v>10557.909975353641</v>
      </c>
      <c r="AG7" s="6">
        <f ca="1">$O$7*$AA$7</f>
        <v>25932.116728953471</v>
      </c>
      <c r="AI7" s="84" t="s">
        <v>629</v>
      </c>
      <c r="AJ7" s="85">
        <f>+$AJ$2</f>
        <v>9870943.0078028142</v>
      </c>
      <c r="AK7" s="85">
        <f ca="1">+$AK$2</f>
        <v>12413494.412830664</v>
      </c>
      <c r="AL7" s="86">
        <f t="shared" ca="1" si="0"/>
        <v>0.25757938253903467</v>
      </c>
      <c r="AN7" s="84" t="s">
        <v>629</v>
      </c>
      <c r="AO7" s="85">
        <f>+$AO$2</f>
        <v>5033985.7134883953</v>
      </c>
      <c r="AP7" s="85">
        <f ca="1">+$AP$2</f>
        <v>4001942.443246278</v>
      </c>
      <c r="AQ7" s="86">
        <f t="shared" ca="1" si="1"/>
        <v>-0.20501513690767781</v>
      </c>
      <c r="AS7" s="84" t="s">
        <v>629</v>
      </c>
      <c r="AT7" s="85">
        <f>+$AT$2</f>
        <v>14904928.721291211</v>
      </c>
      <c r="AU7" s="85">
        <f ca="1">+$AU$2</f>
        <v>16415436.856076941</v>
      </c>
      <c r="AV7" s="86">
        <f t="shared" ca="1" si="2"/>
        <v>0.10134286201771747</v>
      </c>
    </row>
    <row r="8" spans="1:48" ht="11.25" customHeight="1" x14ac:dyDescent="0.25">
      <c r="A8" s="4" t="s">
        <v>21</v>
      </c>
      <c r="B8" s="4" t="s">
        <v>38</v>
      </c>
      <c r="C8" s="4" t="s">
        <v>50</v>
      </c>
      <c r="D8" s="4" t="s">
        <v>48</v>
      </c>
      <c r="E8" s="4" t="s">
        <v>49</v>
      </c>
      <c r="F8" s="4" t="s">
        <v>25</v>
      </c>
      <c r="G8" s="4" t="s">
        <v>25</v>
      </c>
      <c r="H8" s="4" t="s">
        <v>34</v>
      </c>
      <c r="I8" s="5">
        <v>44562</v>
      </c>
      <c r="J8" s="6">
        <v>245</v>
      </c>
      <c r="K8" s="97">
        <v>245</v>
      </c>
      <c r="L8" s="6">
        <v>114.22799999999999</v>
      </c>
      <c r="M8" s="96">
        <v>114.22799999999999</v>
      </c>
      <c r="N8" s="6">
        <v>114.22799999999999</v>
      </c>
      <c r="O8" s="96">
        <v>114.22799999999999</v>
      </c>
      <c r="P8" s="6">
        <v>0</v>
      </c>
      <c r="Q8" s="4" t="s">
        <v>26</v>
      </c>
      <c r="R8" s="4">
        <v>0</v>
      </c>
      <c r="S8" s="6">
        <v>23</v>
      </c>
      <c r="T8" s="6">
        <v>11</v>
      </c>
      <c r="U8" s="6">
        <v>78</v>
      </c>
      <c r="V8" s="96">
        <f>IF(ISERROR(VLOOKUP($S$8,'TAR FIN'!$A$1:$O$86,15,0)),0,VLOOKUP($S$8,'TAR FIN'!$A$1:$O$86,15,0))*(1-0.06)</f>
        <v>15.312599999999998</v>
      </c>
      <c r="W8" s="96">
        <f>IF(ISERROR(VLOOKUP($T$8,'TAR FIN'!$A$1:$O$86,15,0)),0,VLOOKUP($T$8,'TAR FIN'!$A$1:$O$86,15,0))*(1-0.06)</f>
        <v>66.984400000000008</v>
      </c>
      <c r="X8" s="96">
        <f>IF(ISERROR(VLOOKUP($U$8,'TAR FIN'!$A$1:$O$86,15,0)),0,VLOOKUP($U$8,'TAR FIN'!$A$1:$O$86,15,0))*(1-0.06)</f>
        <v>279.47139999999996</v>
      </c>
      <c r="Y8" s="96">
        <f ca="1">('TUSD BE'!$AM$6+'TUSD BF_350'!$AM$6+'TUSD CVA'!$AM$6)*1*(1-0.03)</f>
        <v>20.50538631981113</v>
      </c>
      <c r="Z8" s="96">
        <f ca="1">('TUSD BE'!$AM$7+'TUSD BF_350'!$AM$7+'TUSD CVA'!$AM$7)*1*(1-0.03)</f>
        <v>92.9409846595331</v>
      </c>
      <c r="AA8" s="96">
        <f ca="1">('TE BE'!$AB$6+'TE BF_350'!$AB$6+'TE CVA'!$AB$6)*1*(1-0.03)</f>
        <v>228.27969443963337</v>
      </c>
      <c r="AB8" s="6">
        <f>$K$8*$V$8</f>
        <v>3751.5869999999995</v>
      </c>
      <c r="AC8" s="6">
        <f>$M$8*$W$8</f>
        <v>7651.4940432000003</v>
      </c>
      <c r="AD8" s="6">
        <f>$O$8*$X$8</f>
        <v>31923.459079199994</v>
      </c>
      <c r="AE8" s="6">
        <f ca="1">$K$8*$Y$8</f>
        <v>5023.8196483537267</v>
      </c>
      <c r="AF8" s="6">
        <f ca="1">$M$8*$Z$8</f>
        <v>10616.462795689147</v>
      </c>
      <c r="AG8" s="6">
        <f ca="1">$O$8*$AA$8</f>
        <v>26075.932936450441</v>
      </c>
      <c r="AI8" s="84" t="s">
        <v>89</v>
      </c>
      <c r="AJ8" s="85">
        <f>+$AJ$3+$AJ$4+$AJ$5+$AJ$6</f>
        <v>18507717.249691602</v>
      </c>
      <c r="AK8" s="85">
        <f ca="1">+$AK$3+$AK$4+$AK$5+$AK$6</f>
        <v>17782478.829474963</v>
      </c>
      <c r="AL8" s="86">
        <f t="shared" ca="1" si="0"/>
        <v>-3.9185730494598059E-2</v>
      </c>
      <c r="AN8" s="84" t="s">
        <v>89</v>
      </c>
      <c r="AO8" s="85">
        <f>+$AO$3+$AO$4+$AO$5+$AO$6</f>
        <v>17874673.521360397</v>
      </c>
      <c r="AP8" s="85">
        <f ca="1">+$AP$3+$AP$4+$AP$5+$AP$6</f>
        <v>14182431.579280563</v>
      </c>
      <c r="AQ8" s="86">
        <f t="shared" ca="1" si="1"/>
        <v>-0.20656276254039396</v>
      </c>
      <c r="AS8" s="84" t="s">
        <v>89</v>
      </c>
      <c r="AT8" s="85">
        <f>+$AT$3+$AT$4+$AT$5+$AT$6</f>
        <v>36382390.77105201</v>
      </c>
      <c r="AU8" s="85">
        <f ca="1">+$AU$3+$AU$4+$AU$5+$AU$6</f>
        <v>31964910.408755526</v>
      </c>
      <c r="AV8" s="86">
        <f t="shared" ca="1" si="2"/>
        <v>-0.12141808904464013</v>
      </c>
    </row>
    <row r="9" spans="1:48" ht="11.25" customHeight="1" x14ac:dyDescent="0.25">
      <c r="A9" s="4" t="s">
        <v>21</v>
      </c>
      <c r="B9" s="4" t="s">
        <v>38</v>
      </c>
      <c r="C9" s="4" t="s">
        <v>50</v>
      </c>
      <c r="D9" s="4" t="s">
        <v>48</v>
      </c>
      <c r="E9" s="4" t="s">
        <v>49</v>
      </c>
      <c r="F9" s="4" t="s">
        <v>25</v>
      </c>
      <c r="G9" s="4" t="s">
        <v>25</v>
      </c>
      <c r="H9" s="4" t="s">
        <v>34</v>
      </c>
      <c r="I9" s="5">
        <v>44593</v>
      </c>
      <c r="J9" s="6">
        <v>245</v>
      </c>
      <c r="K9" s="97">
        <v>245</v>
      </c>
      <c r="L9" s="6">
        <v>103.28400000000001</v>
      </c>
      <c r="M9" s="96">
        <v>103.28400000000001</v>
      </c>
      <c r="N9" s="6">
        <v>103.28400000000001</v>
      </c>
      <c r="O9" s="96">
        <v>103.28400000000001</v>
      </c>
      <c r="P9" s="6">
        <v>0</v>
      </c>
      <c r="Q9" s="4" t="s">
        <v>26</v>
      </c>
      <c r="R9" s="4">
        <v>0</v>
      </c>
      <c r="S9" s="6">
        <v>23</v>
      </c>
      <c r="T9" s="6">
        <v>11</v>
      </c>
      <c r="U9" s="6">
        <v>78</v>
      </c>
      <c r="V9" s="96">
        <f>IF(ISERROR(VLOOKUP($S$9,'TAR FIN'!$A$1:$O$86,15,0)),0,VLOOKUP($S$9,'TAR FIN'!$A$1:$O$86,15,0))*(1-0.06)</f>
        <v>15.312599999999998</v>
      </c>
      <c r="W9" s="96">
        <f>IF(ISERROR(VLOOKUP($T$9,'TAR FIN'!$A$1:$O$86,15,0)),0,VLOOKUP($T$9,'TAR FIN'!$A$1:$O$86,15,0))*(1-0.06)</f>
        <v>66.984400000000008</v>
      </c>
      <c r="X9" s="96">
        <f>IF(ISERROR(VLOOKUP($U$9,'TAR FIN'!$A$1:$O$86,15,0)),0,VLOOKUP($U$9,'TAR FIN'!$A$1:$O$86,15,0))*(1-0.06)</f>
        <v>279.47139999999996</v>
      </c>
      <c r="Y9" s="96">
        <f ca="1">('TUSD BE'!$AM$6+'TUSD BF_350'!$AM$6+'TUSD CVA'!$AM$6)*1*(1-0.03)</f>
        <v>20.50538631981113</v>
      </c>
      <c r="Z9" s="96">
        <f ca="1">('TUSD BE'!$AM$7+'TUSD BF_350'!$AM$7+'TUSD CVA'!$AM$7)*1*(1-0.03)</f>
        <v>92.9409846595331</v>
      </c>
      <c r="AA9" s="96">
        <f ca="1">('TE BE'!$AB$6+'TE BF_350'!$AB$6+'TE CVA'!$AB$6)*1*(1-0.03)</f>
        <v>228.27969443963337</v>
      </c>
      <c r="AB9" s="6">
        <f>$K$9*$V$9</f>
        <v>3751.5869999999995</v>
      </c>
      <c r="AC9" s="6">
        <f>$M$9*$W$9</f>
        <v>6918.4167696000013</v>
      </c>
      <c r="AD9" s="6">
        <f>$O$9*$X$9</f>
        <v>28864.924077599997</v>
      </c>
      <c r="AE9" s="6">
        <f ca="1">$K$9*$Y$9</f>
        <v>5023.8196483537267</v>
      </c>
      <c r="AF9" s="6">
        <f ca="1">$M$9*$Z$9</f>
        <v>9599.3166595752173</v>
      </c>
      <c r="AG9" s="6">
        <f ca="1">$O$9*$AA$9</f>
        <v>23577.639960503097</v>
      </c>
      <c r="AI9" s="84" t="s">
        <v>630</v>
      </c>
      <c r="AJ9" s="85">
        <f>AJ8+AJ7</f>
        <v>28378660.257494416</v>
      </c>
      <c r="AK9" s="85">
        <f ca="1">AK8+AK7</f>
        <v>30195973.242305629</v>
      </c>
      <c r="AL9" s="86">
        <f t="shared" ca="1" si="0"/>
        <v>6.4038011954115515E-2</v>
      </c>
      <c r="AN9" s="84" t="s">
        <v>630</v>
      </c>
      <c r="AO9" s="85">
        <f>AO8+AO7</f>
        <v>22908659.234848794</v>
      </c>
      <c r="AP9" s="85">
        <f ca="1">AP8+AP7</f>
        <v>18184374.022526842</v>
      </c>
      <c r="AQ9" s="86">
        <f t="shared" ca="1" si="1"/>
        <v>-0.2062226847887868</v>
      </c>
      <c r="AS9" s="84" t="s">
        <v>630</v>
      </c>
      <c r="AT9" s="85">
        <f>AT8+AT7</f>
        <v>51287319.492343217</v>
      </c>
      <c r="AU9" s="85">
        <f ca="1">AU8+AU7</f>
        <v>48380347.264832467</v>
      </c>
      <c r="AV9" s="86">
        <f t="shared" ca="1" si="2"/>
        <v>-5.6680135680413857E-2</v>
      </c>
    </row>
    <row r="10" spans="1:48" ht="11.25" customHeight="1" x14ac:dyDescent="0.25">
      <c r="A10" s="4" t="s">
        <v>21</v>
      </c>
      <c r="B10" s="4" t="s">
        <v>38</v>
      </c>
      <c r="C10" s="4" t="s">
        <v>50</v>
      </c>
      <c r="D10" s="4" t="s">
        <v>48</v>
      </c>
      <c r="E10" s="4" t="s">
        <v>49</v>
      </c>
      <c r="F10" s="4" t="s">
        <v>25</v>
      </c>
      <c r="G10" s="4" t="s">
        <v>25</v>
      </c>
      <c r="H10" s="4" t="s">
        <v>34</v>
      </c>
      <c r="I10" s="5">
        <v>44621</v>
      </c>
      <c r="J10" s="6">
        <v>245</v>
      </c>
      <c r="K10" s="97">
        <v>245</v>
      </c>
      <c r="L10" s="6">
        <v>114.107</v>
      </c>
      <c r="M10" s="96">
        <v>114.107</v>
      </c>
      <c r="N10" s="6">
        <v>114.107</v>
      </c>
      <c r="O10" s="96">
        <v>114.107</v>
      </c>
      <c r="P10" s="6">
        <v>0</v>
      </c>
      <c r="Q10" s="4" t="s">
        <v>26</v>
      </c>
      <c r="R10" s="4">
        <v>0</v>
      </c>
      <c r="S10" s="6">
        <v>23</v>
      </c>
      <c r="T10" s="6">
        <v>11</v>
      </c>
      <c r="U10" s="6">
        <v>78</v>
      </c>
      <c r="V10" s="96">
        <f>IF(ISERROR(VLOOKUP($S$10,'TAR FIN'!$A$1:$O$86,15,0)),0,VLOOKUP($S$10,'TAR FIN'!$A$1:$O$86,15,0))*(1-0.06)</f>
        <v>15.312599999999998</v>
      </c>
      <c r="W10" s="96">
        <f>IF(ISERROR(VLOOKUP($T$10,'TAR FIN'!$A$1:$O$86,15,0)),0,VLOOKUP($T$10,'TAR FIN'!$A$1:$O$86,15,0))*(1-0.06)</f>
        <v>66.984400000000008</v>
      </c>
      <c r="X10" s="96">
        <f>IF(ISERROR(VLOOKUP($U$10,'TAR FIN'!$A$1:$O$86,15,0)),0,VLOOKUP($U$10,'TAR FIN'!$A$1:$O$86,15,0))*(1-0.06)</f>
        <v>279.47139999999996</v>
      </c>
      <c r="Y10" s="96">
        <f ca="1">('TUSD BE'!$AM$6+'TUSD BF_350'!$AM$6+'TUSD CVA'!$AM$6)*1*(1-0.03)</f>
        <v>20.50538631981113</v>
      </c>
      <c r="Z10" s="96">
        <f ca="1">('TUSD BE'!$AM$7+'TUSD BF_350'!$AM$7+'TUSD CVA'!$AM$7)*1*(1-0.03)</f>
        <v>92.9409846595331</v>
      </c>
      <c r="AA10" s="96">
        <f ca="1">('TE BE'!$AB$6+'TE BF_350'!$AB$6+'TE CVA'!$AB$6)*1*(1-0.03)</f>
        <v>228.27969443963337</v>
      </c>
      <c r="AB10" s="6">
        <f>$K$10*$V$10</f>
        <v>3751.5869999999995</v>
      </c>
      <c r="AC10" s="6">
        <f>$M$10*$W$10</f>
        <v>7643.3889308000007</v>
      </c>
      <c r="AD10" s="6">
        <f>$O$10*$X$10</f>
        <v>31889.643039799994</v>
      </c>
      <c r="AE10" s="6">
        <f ca="1">$K$10*$Y$10</f>
        <v>5023.8196483537267</v>
      </c>
      <c r="AF10" s="6">
        <f ca="1">$M$10*$Z$10</f>
        <v>10605.216936545343</v>
      </c>
      <c r="AG10" s="6">
        <f ca="1">$O$10*$AA$10</f>
        <v>26048.311093423246</v>
      </c>
    </row>
    <row r="11" spans="1:48" ht="11.25" customHeight="1" x14ac:dyDescent="0.25">
      <c r="A11" s="4" t="s">
        <v>21</v>
      </c>
      <c r="B11" s="4" t="s">
        <v>38</v>
      </c>
      <c r="C11" s="4" t="s">
        <v>50</v>
      </c>
      <c r="D11" s="4" t="s">
        <v>48</v>
      </c>
      <c r="E11" s="4" t="s">
        <v>49</v>
      </c>
      <c r="F11" s="4" t="s">
        <v>25</v>
      </c>
      <c r="G11" s="4" t="s">
        <v>25</v>
      </c>
      <c r="H11" s="4" t="s">
        <v>34</v>
      </c>
      <c r="I11" s="5">
        <v>44652</v>
      </c>
      <c r="J11" s="6">
        <v>245</v>
      </c>
      <c r="K11" s="97">
        <v>245</v>
      </c>
      <c r="L11" s="6">
        <v>111.289</v>
      </c>
      <c r="M11" s="96">
        <v>111.289</v>
      </c>
      <c r="N11" s="6">
        <v>111.289</v>
      </c>
      <c r="O11" s="96">
        <v>111.289</v>
      </c>
      <c r="P11" s="6">
        <v>0</v>
      </c>
      <c r="Q11" s="4" t="s">
        <v>26</v>
      </c>
      <c r="R11" s="4">
        <v>0</v>
      </c>
      <c r="S11" s="6">
        <v>23</v>
      </c>
      <c r="T11" s="6">
        <v>11</v>
      </c>
      <c r="U11" s="6">
        <v>78</v>
      </c>
      <c r="V11" s="96">
        <f>IF(ISERROR(VLOOKUP($S$11,'TAR FIN'!$A$1:$O$86,15,0)),0,VLOOKUP($S$11,'TAR FIN'!$A$1:$O$86,15,0))*(1-0.06)</f>
        <v>15.312599999999998</v>
      </c>
      <c r="W11" s="96">
        <f>IF(ISERROR(VLOOKUP($T$11,'TAR FIN'!$A$1:$O$86,15,0)),0,VLOOKUP($T$11,'TAR FIN'!$A$1:$O$86,15,0))*(1-0.06)</f>
        <v>66.984400000000008</v>
      </c>
      <c r="X11" s="96">
        <f>IF(ISERROR(VLOOKUP($U$11,'TAR FIN'!$A$1:$O$86,15,0)),0,VLOOKUP($U$11,'TAR FIN'!$A$1:$O$86,15,0))*(1-0.06)</f>
        <v>279.47139999999996</v>
      </c>
      <c r="Y11" s="96">
        <f ca="1">('TUSD BE'!$AM$6+'TUSD BF_350'!$AM$6+'TUSD CVA'!$AM$6)*1*(1-0.03)</f>
        <v>20.50538631981113</v>
      </c>
      <c r="Z11" s="96">
        <f ca="1">('TUSD BE'!$AM$7+'TUSD BF_350'!$AM$7+'TUSD CVA'!$AM$7)*1*(1-0.03)</f>
        <v>92.9409846595331</v>
      </c>
      <c r="AA11" s="96">
        <f ca="1">('TE BE'!$AB$6+'TE BF_350'!$AB$6+'TE CVA'!$AB$6)*1*(1-0.03)</f>
        <v>228.27969443963337</v>
      </c>
      <c r="AB11" s="6">
        <f>$K$11*$V$11</f>
        <v>3751.5869999999995</v>
      </c>
      <c r="AC11" s="6">
        <f>$M$11*$W$11</f>
        <v>7454.6268916000008</v>
      </c>
      <c r="AD11" s="6">
        <f>$O$11*$X$11</f>
        <v>31102.092634599994</v>
      </c>
      <c r="AE11" s="6">
        <f ca="1">$K$11*$Y$11</f>
        <v>5023.8196483537267</v>
      </c>
      <c r="AF11" s="6">
        <f ca="1">$M$11*$Z$11</f>
        <v>10343.309241774779</v>
      </c>
      <c r="AG11" s="6">
        <f ca="1">$O$11*$AA$11</f>
        <v>25405.018914492361</v>
      </c>
    </row>
    <row r="12" spans="1:48" ht="11.25" customHeight="1" x14ac:dyDescent="0.25">
      <c r="A12" s="4" t="s">
        <v>21</v>
      </c>
      <c r="B12" s="4" t="s">
        <v>38</v>
      </c>
      <c r="C12" s="4" t="s">
        <v>50</v>
      </c>
      <c r="D12" s="4" t="s">
        <v>48</v>
      </c>
      <c r="E12" s="4" t="s">
        <v>49</v>
      </c>
      <c r="F12" s="4" t="s">
        <v>25</v>
      </c>
      <c r="G12" s="4" t="s">
        <v>25</v>
      </c>
      <c r="H12" s="4" t="s">
        <v>34</v>
      </c>
      <c r="I12" s="5">
        <v>44682</v>
      </c>
      <c r="J12" s="6">
        <v>245</v>
      </c>
      <c r="K12" s="97">
        <v>245</v>
      </c>
      <c r="L12" s="6">
        <v>104.895</v>
      </c>
      <c r="M12" s="96">
        <v>104.895</v>
      </c>
      <c r="N12" s="6">
        <v>104.895</v>
      </c>
      <c r="O12" s="96">
        <v>104.895</v>
      </c>
      <c r="P12" s="6">
        <v>0</v>
      </c>
      <c r="Q12" s="4" t="s">
        <v>26</v>
      </c>
      <c r="R12" s="4">
        <v>0</v>
      </c>
      <c r="S12" s="6">
        <v>23</v>
      </c>
      <c r="T12" s="6">
        <v>11</v>
      </c>
      <c r="U12" s="6">
        <v>78</v>
      </c>
      <c r="V12" s="96">
        <f>IF(ISERROR(VLOOKUP($S$12,'TAR FIN'!$A$1:$O$86,15,0)),0,VLOOKUP($S$12,'TAR FIN'!$A$1:$O$86,15,0))*(1-0.06)</f>
        <v>15.312599999999998</v>
      </c>
      <c r="W12" s="96">
        <f>IF(ISERROR(VLOOKUP($T$12,'TAR FIN'!$A$1:$O$86,15,0)),0,VLOOKUP($T$12,'TAR FIN'!$A$1:$O$86,15,0))*(1-0.06)</f>
        <v>66.984400000000008</v>
      </c>
      <c r="X12" s="96">
        <f>IF(ISERROR(VLOOKUP($U$12,'TAR FIN'!$A$1:$O$86,15,0)),0,VLOOKUP($U$12,'TAR FIN'!$A$1:$O$86,15,0))*(1-0.06)</f>
        <v>279.47139999999996</v>
      </c>
      <c r="Y12" s="96">
        <f ca="1">('TUSD BE'!$AM$6+'TUSD BF_350'!$AM$6+'TUSD CVA'!$AM$6)*1*(1-0.03)</f>
        <v>20.50538631981113</v>
      </c>
      <c r="Z12" s="96">
        <f ca="1">('TUSD BE'!$AM$7+'TUSD BF_350'!$AM$7+'TUSD CVA'!$AM$7)*1*(1-0.03)</f>
        <v>92.9409846595331</v>
      </c>
      <c r="AA12" s="96">
        <f ca="1">('TE BE'!$AB$6+'TE BF_350'!$AB$6+'TE CVA'!$AB$6)*1*(1-0.03)</f>
        <v>228.27969443963337</v>
      </c>
      <c r="AB12" s="6">
        <f>$K$12*$V$12</f>
        <v>3751.5869999999995</v>
      </c>
      <c r="AC12" s="6">
        <f>$M$12*$W$12</f>
        <v>7026.3286380000009</v>
      </c>
      <c r="AD12" s="6">
        <f>$O$12*$X$12</f>
        <v>29315.152502999994</v>
      </c>
      <c r="AE12" s="6">
        <f ca="1">$K$12*$Y$12</f>
        <v>5023.8196483537267</v>
      </c>
      <c r="AF12" s="6">
        <f ca="1">$M$12*$Z$12</f>
        <v>9749.044585861724</v>
      </c>
      <c r="AG12" s="6">
        <f ca="1">$O$12*$AA$12</f>
        <v>23945.398548245343</v>
      </c>
    </row>
    <row r="13" spans="1:48" ht="11.25" customHeight="1" x14ac:dyDescent="0.25">
      <c r="A13" s="4" t="s">
        <v>55</v>
      </c>
      <c r="B13" s="4" t="s">
        <v>38</v>
      </c>
      <c r="C13" s="4" t="s">
        <v>50</v>
      </c>
      <c r="D13" s="4" t="s">
        <v>48</v>
      </c>
      <c r="E13" s="4" t="s">
        <v>49</v>
      </c>
      <c r="F13" s="4" t="s">
        <v>25</v>
      </c>
      <c r="G13" s="4" t="s">
        <v>25</v>
      </c>
      <c r="H13" s="4" t="s">
        <v>34</v>
      </c>
      <c r="I13" s="5">
        <v>44713</v>
      </c>
      <c r="J13" s="6">
        <v>245</v>
      </c>
      <c r="K13" s="97">
        <v>245</v>
      </c>
      <c r="L13" s="6">
        <v>104.895</v>
      </c>
      <c r="M13" s="96">
        <v>104.895</v>
      </c>
      <c r="N13" s="6">
        <v>104.895</v>
      </c>
      <c r="O13" s="96">
        <v>104.895</v>
      </c>
      <c r="P13" s="6">
        <v>0</v>
      </c>
      <c r="Q13" s="4" t="s">
        <v>26</v>
      </c>
      <c r="R13" s="4">
        <v>0</v>
      </c>
      <c r="S13" s="6">
        <v>23</v>
      </c>
      <c r="T13" s="6">
        <v>11</v>
      </c>
      <c r="U13" s="6">
        <v>78</v>
      </c>
      <c r="V13" s="96">
        <f>IF(ISERROR(VLOOKUP($S$13,'TAR FIN'!$A$1:$O$86,15,0)),0,VLOOKUP($S$13,'TAR FIN'!$A$1:$O$86,15,0))*(1-0.06)</f>
        <v>15.312599999999998</v>
      </c>
      <c r="W13" s="96">
        <f>IF(ISERROR(VLOOKUP($T$13,'TAR FIN'!$A$1:$O$86,15,0)),0,VLOOKUP($T$13,'TAR FIN'!$A$1:$O$86,15,0))*(1-0.06)</f>
        <v>66.984400000000008</v>
      </c>
      <c r="X13" s="96">
        <f>IF(ISERROR(VLOOKUP($U$13,'TAR FIN'!$A$1:$O$86,15,0)),0,VLOOKUP($U$13,'TAR FIN'!$A$1:$O$86,15,0))*(1-0.06)</f>
        <v>279.47139999999996</v>
      </c>
      <c r="Y13" s="96">
        <f ca="1">('TUSD BE'!$AM$6+'TUSD BF_350'!$AM$6+'TUSD CVA'!$AM$6)*1*(1-0.03)</f>
        <v>20.50538631981113</v>
      </c>
      <c r="Z13" s="96">
        <f ca="1">('TUSD BE'!$AM$7+'TUSD BF_350'!$AM$7+'TUSD CVA'!$AM$7)*1*(1-0.03)</f>
        <v>92.9409846595331</v>
      </c>
      <c r="AA13" s="96">
        <f ca="1">('TE BE'!$AB$6+'TE BF_350'!$AB$6+'TE CVA'!$AB$6)*1*(1-0.03)</f>
        <v>228.27969443963337</v>
      </c>
      <c r="AB13" s="6">
        <f>$K$13*$V$13</f>
        <v>3751.5869999999995</v>
      </c>
      <c r="AC13" s="6">
        <f>$M$13*$W$13</f>
        <v>7026.3286380000009</v>
      </c>
      <c r="AD13" s="6">
        <f>$O$13*$X$13</f>
        <v>29315.152502999994</v>
      </c>
      <c r="AE13" s="6">
        <f ca="1">$K$13*$Y$13</f>
        <v>5023.8196483537267</v>
      </c>
      <c r="AF13" s="6">
        <f ca="1">$M$13*$Z$13</f>
        <v>9749.044585861724</v>
      </c>
      <c r="AG13" s="6">
        <f ca="1">$O$13*$AA$13</f>
        <v>23945.398548245343</v>
      </c>
    </row>
    <row r="14" spans="1:48" ht="11.25" customHeight="1" x14ac:dyDescent="0.25">
      <c r="A14" s="4" t="s">
        <v>21</v>
      </c>
      <c r="B14" s="4" t="s">
        <v>38</v>
      </c>
      <c r="C14" s="4" t="s">
        <v>50</v>
      </c>
      <c r="D14" s="4" t="s">
        <v>48</v>
      </c>
      <c r="E14" s="4" t="s">
        <v>49</v>
      </c>
      <c r="F14" s="4" t="s">
        <v>25</v>
      </c>
      <c r="G14" s="4" t="s">
        <v>25</v>
      </c>
      <c r="H14" s="4" t="s">
        <v>33</v>
      </c>
      <c r="I14" s="5">
        <v>44378</v>
      </c>
      <c r="J14" s="6">
        <v>245</v>
      </c>
      <c r="K14" s="97">
        <v>245</v>
      </c>
      <c r="L14" s="6">
        <v>10.843</v>
      </c>
      <c r="M14" s="96">
        <v>10.843</v>
      </c>
      <c r="N14" s="6">
        <v>10.843</v>
      </c>
      <c r="O14" s="96">
        <v>10.843</v>
      </c>
      <c r="P14" s="6">
        <v>0</v>
      </c>
      <c r="Q14" s="4" t="s">
        <v>26</v>
      </c>
      <c r="R14" s="4">
        <v>0</v>
      </c>
      <c r="S14" s="6">
        <v>1</v>
      </c>
      <c r="T14" s="6">
        <v>11</v>
      </c>
      <c r="U14" s="6">
        <v>66</v>
      </c>
      <c r="V14" s="96">
        <f>IF(ISERROR(VLOOKUP($S$14,'TAR FIN'!$A$1:$O$86,15,0)),0,VLOOKUP($S$14,'TAR FIN'!$A$1:$O$86,15,0))*(1-0.06)</f>
        <v>20.303999999999998</v>
      </c>
      <c r="W14" s="96">
        <f>IF(ISERROR(VLOOKUP($T$14,'TAR FIN'!$A$1:$O$86,15,0)),0,VLOOKUP($T$14,'TAR FIN'!$A$1:$O$86,15,0))*(1-0.06)</f>
        <v>66.984400000000008</v>
      </c>
      <c r="X14" s="96">
        <f>IF(ISERROR(VLOOKUP($U$14,'TAR FIN'!$A$1:$O$86,15,0)),0,VLOOKUP($U$14,'TAR FIN'!$A$1:$O$86,15,0))*(1-0.06)</f>
        <v>473.59079999999994</v>
      </c>
      <c r="Y14" s="96">
        <f ca="1">('TUSD BE'!$AM$5+'TUSD BF_350'!$AM$5+'TUSD CVA'!$AM$5)*1*(1-0.03)</f>
        <v>21.2163537178483</v>
      </c>
      <c r="Z14" s="96">
        <f ca="1">('TUSD BE'!$AM$7+'TUSD BF_350'!$AM$7+'TUSD CVA'!$AM$7)*1*(1-0.03)</f>
        <v>92.9409846595331</v>
      </c>
      <c r="AA14" s="96">
        <f ca="1">('TE BE'!$AB$5+'TE BF_350'!$AB$5+'TE CVA'!$AB$5)*1*(1-0.03)</f>
        <v>386.0761412470477</v>
      </c>
      <c r="AB14" s="6">
        <f>$K$14*$V$14</f>
        <v>4974.4799999999996</v>
      </c>
      <c r="AC14" s="6">
        <f>$M$14*$W$14</f>
        <v>726.3118492000001</v>
      </c>
      <c r="AD14" s="6">
        <f>$O$14*$X$14</f>
        <v>5135.1450443999993</v>
      </c>
      <c r="AE14" s="6">
        <f ca="1">$K$14*$Y$14</f>
        <v>5198.006660872833</v>
      </c>
      <c r="AF14" s="6">
        <f ca="1">$M$14*$Z$14</f>
        <v>1007.7590966633175</v>
      </c>
      <c r="AG14" s="6">
        <f ca="1">$O$14*$AA$14</f>
        <v>4186.2235995417386</v>
      </c>
    </row>
    <row r="15" spans="1:48" ht="11.25" customHeight="1" x14ac:dyDescent="0.25">
      <c r="A15" s="4" t="s">
        <v>21</v>
      </c>
      <c r="B15" s="4" t="s">
        <v>38</v>
      </c>
      <c r="C15" s="4" t="s">
        <v>50</v>
      </c>
      <c r="D15" s="4" t="s">
        <v>48</v>
      </c>
      <c r="E15" s="4" t="s">
        <v>49</v>
      </c>
      <c r="F15" s="4" t="s">
        <v>25</v>
      </c>
      <c r="G15" s="4" t="s">
        <v>25</v>
      </c>
      <c r="H15" s="4" t="s">
        <v>33</v>
      </c>
      <c r="I15" s="5">
        <v>44409</v>
      </c>
      <c r="J15" s="6">
        <v>245</v>
      </c>
      <c r="K15" s="97">
        <v>245</v>
      </c>
      <c r="L15" s="6">
        <v>11.622999999999999</v>
      </c>
      <c r="M15" s="96">
        <v>11.622999999999999</v>
      </c>
      <c r="N15" s="6">
        <v>11.622999999999999</v>
      </c>
      <c r="O15" s="96">
        <v>11.622999999999999</v>
      </c>
      <c r="P15" s="6">
        <v>0</v>
      </c>
      <c r="Q15" s="4" t="s">
        <v>26</v>
      </c>
      <c r="R15" s="4">
        <v>0</v>
      </c>
      <c r="S15" s="6">
        <v>1</v>
      </c>
      <c r="T15" s="6">
        <v>11</v>
      </c>
      <c r="U15" s="6">
        <v>66</v>
      </c>
      <c r="V15" s="96">
        <f>IF(ISERROR(VLOOKUP($S$15,'TAR FIN'!$A$1:$O$86,15,0)),0,VLOOKUP($S$15,'TAR FIN'!$A$1:$O$86,15,0))*(1-0.06)</f>
        <v>20.303999999999998</v>
      </c>
      <c r="W15" s="96">
        <f>IF(ISERROR(VLOOKUP($T$15,'TAR FIN'!$A$1:$O$86,15,0)),0,VLOOKUP($T$15,'TAR FIN'!$A$1:$O$86,15,0))*(1-0.06)</f>
        <v>66.984400000000008</v>
      </c>
      <c r="X15" s="96">
        <f>IF(ISERROR(VLOOKUP($U$15,'TAR FIN'!$A$1:$O$86,15,0)),0,VLOOKUP($U$15,'TAR FIN'!$A$1:$O$86,15,0))*(1-0.06)</f>
        <v>473.59079999999994</v>
      </c>
      <c r="Y15" s="96">
        <f ca="1">('TUSD BE'!$AM$5+'TUSD BF_350'!$AM$5+'TUSD CVA'!$AM$5)*1*(1-0.03)</f>
        <v>21.2163537178483</v>
      </c>
      <c r="Z15" s="96">
        <f ca="1">('TUSD BE'!$AM$7+'TUSD BF_350'!$AM$7+'TUSD CVA'!$AM$7)*1*(1-0.03)</f>
        <v>92.9409846595331</v>
      </c>
      <c r="AA15" s="96">
        <f ca="1">('TE BE'!$AB$5+'TE BF_350'!$AB$5+'TE CVA'!$AB$5)*1*(1-0.03)</f>
        <v>386.0761412470477</v>
      </c>
      <c r="AB15" s="6">
        <f>$K$15*$V$15</f>
        <v>4974.4799999999996</v>
      </c>
      <c r="AC15" s="6">
        <f>$M$15*$W$15</f>
        <v>778.5596812</v>
      </c>
      <c r="AD15" s="6">
        <f>$O$15*$X$15</f>
        <v>5504.5458683999987</v>
      </c>
      <c r="AE15" s="6">
        <f ca="1">$K$15*$Y$15</f>
        <v>5198.006660872833</v>
      </c>
      <c r="AF15" s="6">
        <f ca="1">$M$15*$Z$15</f>
        <v>1080.2530646977532</v>
      </c>
      <c r="AG15" s="6">
        <f ca="1">$O$15*$AA$15</f>
        <v>4487.3629897144356</v>
      </c>
    </row>
    <row r="16" spans="1:48" ht="11.25" customHeight="1" x14ac:dyDescent="0.25">
      <c r="A16" s="4" t="s">
        <v>21</v>
      </c>
      <c r="B16" s="4" t="s">
        <v>38</v>
      </c>
      <c r="C16" s="4" t="s">
        <v>50</v>
      </c>
      <c r="D16" s="4" t="s">
        <v>48</v>
      </c>
      <c r="E16" s="4" t="s">
        <v>49</v>
      </c>
      <c r="F16" s="4" t="s">
        <v>25</v>
      </c>
      <c r="G16" s="4" t="s">
        <v>25</v>
      </c>
      <c r="H16" s="4" t="s">
        <v>33</v>
      </c>
      <c r="I16" s="5">
        <v>44440</v>
      </c>
      <c r="J16" s="6">
        <v>245</v>
      </c>
      <c r="K16" s="97">
        <v>245</v>
      </c>
      <c r="L16" s="6">
        <v>11.743</v>
      </c>
      <c r="M16" s="96">
        <v>11.743</v>
      </c>
      <c r="N16" s="6">
        <v>11.743</v>
      </c>
      <c r="O16" s="96">
        <v>11.743</v>
      </c>
      <c r="P16" s="6">
        <v>0</v>
      </c>
      <c r="Q16" s="4" t="s">
        <v>26</v>
      </c>
      <c r="R16" s="4">
        <v>0</v>
      </c>
      <c r="S16" s="6">
        <v>1</v>
      </c>
      <c r="T16" s="6">
        <v>11</v>
      </c>
      <c r="U16" s="6">
        <v>66</v>
      </c>
      <c r="V16" s="96">
        <f>IF(ISERROR(VLOOKUP($S$16,'TAR FIN'!$A$1:$O$86,15,0)),0,VLOOKUP($S$16,'TAR FIN'!$A$1:$O$86,15,0))*(1-0.06)</f>
        <v>20.303999999999998</v>
      </c>
      <c r="W16" s="96">
        <f>IF(ISERROR(VLOOKUP($T$16,'TAR FIN'!$A$1:$O$86,15,0)),0,VLOOKUP($T$16,'TAR FIN'!$A$1:$O$86,15,0))*(1-0.06)</f>
        <v>66.984400000000008</v>
      </c>
      <c r="X16" s="96">
        <f>IF(ISERROR(VLOOKUP($U$16,'TAR FIN'!$A$1:$O$86,15,0)),0,VLOOKUP($U$16,'TAR FIN'!$A$1:$O$86,15,0))*(1-0.06)</f>
        <v>473.59079999999994</v>
      </c>
      <c r="Y16" s="96">
        <f ca="1">('TUSD BE'!$AM$5+'TUSD BF_350'!$AM$5+'TUSD CVA'!$AM$5)*1*(1-0.03)</f>
        <v>21.2163537178483</v>
      </c>
      <c r="Z16" s="96">
        <f ca="1">('TUSD BE'!$AM$7+'TUSD BF_350'!$AM$7+'TUSD CVA'!$AM$7)*1*(1-0.03)</f>
        <v>92.9409846595331</v>
      </c>
      <c r="AA16" s="96">
        <f ca="1">('TE BE'!$AB$5+'TE BF_350'!$AB$5+'TE CVA'!$AB$5)*1*(1-0.03)</f>
        <v>386.0761412470477</v>
      </c>
      <c r="AB16" s="6">
        <f>$K$16*$V$16</f>
        <v>4974.4799999999996</v>
      </c>
      <c r="AC16" s="6">
        <f>$M$16*$W$16</f>
        <v>786.59780920000014</v>
      </c>
      <c r="AD16" s="6">
        <f>$O$16*$X$16</f>
        <v>5561.3767644</v>
      </c>
      <c r="AE16" s="6">
        <f ca="1">$K$16*$Y$16</f>
        <v>5198.006660872833</v>
      </c>
      <c r="AF16" s="6">
        <f ca="1">$M$16*$Z$16</f>
        <v>1091.4059828568973</v>
      </c>
      <c r="AG16" s="6">
        <f ca="1">$O$16*$AA$16</f>
        <v>4533.6921266640811</v>
      </c>
    </row>
    <row r="17" spans="1:33" ht="11.25" customHeight="1" x14ac:dyDescent="0.25">
      <c r="A17" s="4" t="s">
        <v>21</v>
      </c>
      <c r="B17" s="4" t="s">
        <v>38</v>
      </c>
      <c r="C17" s="4" t="s">
        <v>50</v>
      </c>
      <c r="D17" s="4" t="s">
        <v>48</v>
      </c>
      <c r="E17" s="4" t="s">
        <v>49</v>
      </c>
      <c r="F17" s="4" t="s">
        <v>25</v>
      </c>
      <c r="G17" s="4" t="s">
        <v>25</v>
      </c>
      <c r="H17" s="4" t="s">
        <v>33</v>
      </c>
      <c r="I17" s="5">
        <v>44470</v>
      </c>
      <c r="J17" s="6">
        <v>245</v>
      </c>
      <c r="K17" s="97">
        <v>245</v>
      </c>
      <c r="L17" s="6">
        <v>10.788</v>
      </c>
      <c r="M17" s="96">
        <v>10.788</v>
      </c>
      <c r="N17" s="6">
        <v>10.788</v>
      </c>
      <c r="O17" s="96">
        <v>10.788</v>
      </c>
      <c r="P17" s="6">
        <v>0</v>
      </c>
      <c r="Q17" s="4" t="s">
        <v>26</v>
      </c>
      <c r="R17" s="4">
        <v>0</v>
      </c>
      <c r="S17" s="6">
        <v>1</v>
      </c>
      <c r="T17" s="6">
        <v>11</v>
      </c>
      <c r="U17" s="6">
        <v>66</v>
      </c>
      <c r="V17" s="96">
        <f>IF(ISERROR(VLOOKUP($S$17,'TAR FIN'!$A$1:$O$86,15,0)),0,VLOOKUP($S$17,'TAR FIN'!$A$1:$O$86,15,0))*(1-0.06)</f>
        <v>20.303999999999998</v>
      </c>
      <c r="W17" s="96">
        <f>IF(ISERROR(VLOOKUP($T$17,'TAR FIN'!$A$1:$O$86,15,0)),0,VLOOKUP($T$17,'TAR FIN'!$A$1:$O$86,15,0))*(1-0.06)</f>
        <v>66.984400000000008</v>
      </c>
      <c r="X17" s="96">
        <f>IF(ISERROR(VLOOKUP($U$17,'TAR FIN'!$A$1:$O$86,15,0)),0,VLOOKUP($U$17,'TAR FIN'!$A$1:$O$86,15,0))*(1-0.06)</f>
        <v>473.59079999999994</v>
      </c>
      <c r="Y17" s="96">
        <f ca="1">('TUSD BE'!$AM$5+'TUSD BF_350'!$AM$5+'TUSD CVA'!$AM$5)*1*(1-0.03)</f>
        <v>21.2163537178483</v>
      </c>
      <c r="Z17" s="96">
        <f ca="1">('TUSD BE'!$AM$7+'TUSD BF_350'!$AM$7+'TUSD CVA'!$AM$7)*1*(1-0.03)</f>
        <v>92.9409846595331</v>
      </c>
      <c r="AA17" s="96">
        <f ca="1">('TE BE'!$AB$5+'TE BF_350'!$AB$5+'TE CVA'!$AB$5)*1*(1-0.03)</f>
        <v>386.0761412470477</v>
      </c>
      <c r="AB17" s="6">
        <f>$K$17*$V$17</f>
        <v>4974.4799999999996</v>
      </c>
      <c r="AC17" s="6">
        <f>$M$17*$W$17</f>
        <v>722.62770720000015</v>
      </c>
      <c r="AD17" s="6">
        <f>$O$17*$X$17</f>
        <v>5109.0975503999998</v>
      </c>
      <c r="AE17" s="6">
        <f ca="1">$K$17*$Y$17</f>
        <v>5198.006660872833</v>
      </c>
      <c r="AF17" s="6">
        <f ca="1">$M$17*$Z$17</f>
        <v>1002.6473425070432</v>
      </c>
      <c r="AG17" s="6">
        <f ca="1">$O$17*$AA$17</f>
        <v>4164.989411773151</v>
      </c>
    </row>
    <row r="18" spans="1:33" ht="11.25" customHeight="1" x14ac:dyDescent="0.25">
      <c r="A18" s="4" t="s">
        <v>21</v>
      </c>
      <c r="B18" s="4" t="s">
        <v>38</v>
      </c>
      <c r="C18" s="4" t="s">
        <v>50</v>
      </c>
      <c r="D18" s="4" t="s">
        <v>48</v>
      </c>
      <c r="E18" s="4" t="s">
        <v>49</v>
      </c>
      <c r="F18" s="4" t="s">
        <v>25</v>
      </c>
      <c r="G18" s="4" t="s">
        <v>25</v>
      </c>
      <c r="H18" s="4" t="s">
        <v>33</v>
      </c>
      <c r="I18" s="5">
        <v>44501</v>
      </c>
      <c r="J18" s="6">
        <v>245</v>
      </c>
      <c r="K18" s="97">
        <v>245</v>
      </c>
      <c r="L18" s="6">
        <v>11.489000000000001</v>
      </c>
      <c r="M18" s="96">
        <v>11.489000000000001</v>
      </c>
      <c r="N18" s="6">
        <v>11.489000000000001</v>
      </c>
      <c r="O18" s="96">
        <v>11.489000000000001</v>
      </c>
      <c r="P18" s="6">
        <v>0</v>
      </c>
      <c r="Q18" s="4" t="s">
        <v>26</v>
      </c>
      <c r="R18" s="4">
        <v>0</v>
      </c>
      <c r="S18" s="6">
        <v>1</v>
      </c>
      <c r="T18" s="6">
        <v>11</v>
      </c>
      <c r="U18" s="6">
        <v>66</v>
      </c>
      <c r="V18" s="96">
        <f>IF(ISERROR(VLOOKUP($S$18,'TAR FIN'!$A$1:$O$86,15,0)),0,VLOOKUP($S$18,'TAR FIN'!$A$1:$O$86,15,0))*(1-0.06)</f>
        <v>20.303999999999998</v>
      </c>
      <c r="W18" s="96">
        <f>IF(ISERROR(VLOOKUP($T$18,'TAR FIN'!$A$1:$O$86,15,0)),0,VLOOKUP($T$18,'TAR FIN'!$A$1:$O$86,15,0))*(1-0.06)</f>
        <v>66.984400000000008</v>
      </c>
      <c r="X18" s="96">
        <f>IF(ISERROR(VLOOKUP($U$18,'TAR FIN'!$A$1:$O$86,15,0)),0,VLOOKUP($U$18,'TAR FIN'!$A$1:$O$86,15,0))*(1-0.06)</f>
        <v>473.59079999999994</v>
      </c>
      <c r="Y18" s="96">
        <f ca="1">('TUSD BE'!$AM$5+'TUSD BF_350'!$AM$5+'TUSD CVA'!$AM$5)*1*(1-0.03)</f>
        <v>21.2163537178483</v>
      </c>
      <c r="Z18" s="96">
        <f ca="1">('TUSD BE'!$AM$7+'TUSD BF_350'!$AM$7+'TUSD CVA'!$AM$7)*1*(1-0.03)</f>
        <v>92.9409846595331</v>
      </c>
      <c r="AA18" s="96">
        <f ca="1">('TE BE'!$AB$5+'TE BF_350'!$AB$5+'TE CVA'!$AB$5)*1*(1-0.03)</f>
        <v>386.0761412470477</v>
      </c>
      <c r="AB18" s="6">
        <f>$K$18*$V$18</f>
        <v>4974.4799999999996</v>
      </c>
      <c r="AC18" s="6">
        <f>$M$18*$W$18</f>
        <v>769.58377160000009</v>
      </c>
      <c r="AD18" s="6">
        <f>$O$18*$X$18</f>
        <v>5441.0847011999995</v>
      </c>
      <c r="AE18" s="6">
        <f ca="1">$K$18*$Y$18</f>
        <v>5198.006660872833</v>
      </c>
      <c r="AF18" s="6">
        <f ca="1">$M$18*$Z$18</f>
        <v>1067.7989727533759</v>
      </c>
      <c r="AG18" s="6">
        <f ca="1">$O$18*$AA$18</f>
        <v>4435.6287867873316</v>
      </c>
    </row>
    <row r="19" spans="1:33" ht="11.25" customHeight="1" x14ac:dyDescent="0.25">
      <c r="A19" s="4" t="s">
        <v>21</v>
      </c>
      <c r="B19" s="4" t="s">
        <v>38</v>
      </c>
      <c r="C19" s="4" t="s">
        <v>50</v>
      </c>
      <c r="D19" s="4" t="s">
        <v>48</v>
      </c>
      <c r="E19" s="4" t="s">
        <v>49</v>
      </c>
      <c r="F19" s="4" t="s">
        <v>25</v>
      </c>
      <c r="G19" s="4" t="s">
        <v>25</v>
      </c>
      <c r="H19" s="4" t="s">
        <v>33</v>
      </c>
      <c r="I19" s="5">
        <v>44531</v>
      </c>
      <c r="J19" s="6">
        <v>245</v>
      </c>
      <c r="K19" s="97">
        <v>245</v>
      </c>
      <c r="L19" s="6">
        <v>12.214</v>
      </c>
      <c r="M19" s="96">
        <v>12.214</v>
      </c>
      <c r="N19" s="6">
        <v>12.214</v>
      </c>
      <c r="O19" s="96">
        <v>12.214</v>
      </c>
      <c r="P19" s="6">
        <v>0</v>
      </c>
      <c r="Q19" s="4" t="s">
        <v>26</v>
      </c>
      <c r="R19" s="4">
        <v>0</v>
      </c>
      <c r="S19" s="6">
        <v>1</v>
      </c>
      <c r="T19" s="6">
        <v>11</v>
      </c>
      <c r="U19" s="6">
        <v>66</v>
      </c>
      <c r="V19" s="96">
        <f>IF(ISERROR(VLOOKUP($S$19,'TAR FIN'!$A$1:$O$86,15,0)),0,VLOOKUP($S$19,'TAR FIN'!$A$1:$O$86,15,0))*(1-0.06)</f>
        <v>20.303999999999998</v>
      </c>
      <c r="W19" s="96">
        <f>IF(ISERROR(VLOOKUP($T$19,'TAR FIN'!$A$1:$O$86,15,0)),0,VLOOKUP($T$19,'TAR FIN'!$A$1:$O$86,15,0))*(1-0.06)</f>
        <v>66.984400000000008</v>
      </c>
      <c r="X19" s="96">
        <f>IF(ISERROR(VLOOKUP($U$19,'TAR FIN'!$A$1:$O$86,15,0)),0,VLOOKUP($U$19,'TAR FIN'!$A$1:$O$86,15,0))*(1-0.06)</f>
        <v>473.59079999999994</v>
      </c>
      <c r="Y19" s="96">
        <f ca="1">('TUSD BE'!$AM$5+'TUSD BF_350'!$AM$5+'TUSD CVA'!$AM$5)*1*(1-0.03)</f>
        <v>21.2163537178483</v>
      </c>
      <c r="Z19" s="96">
        <f ca="1">('TUSD BE'!$AM$7+'TUSD BF_350'!$AM$7+'TUSD CVA'!$AM$7)*1*(1-0.03)</f>
        <v>92.9409846595331</v>
      </c>
      <c r="AA19" s="96">
        <f ca="1">('TE BE'!$AB$5+'TE BF_350'!$AB$5+'TE CVA'!$AB$5)*1*(1-0.03)</f>
        <v>386.0761412470477</v>
      </c>
      <c r="AB19" s="6">
        <f>$K$19*$V$19</f>
        <v>4974.4799999999996</v>
      </c>
      <c r="AC19" s="6">
        <f>$M$19*$W$19</f>
        <v>818.14746160000016</v>
      </c>
      <c r="AD19" s="6">
        <f>$O$19*$X$19</f>
        <v>5784.4380311999994</v>
      </c>
      <c r="AE19" s="6">
        <f ca="1">$K$19*$Y$19</f>
        <v>5198.006660872833</v>
      </c>
      <c r="AF19" s="6">
        <f ca="1">$M$19*$Z$19</f>
        <v>1135.1811866315372</v>
      </c>
      <c r="AG19" s="6">
        <f ca="1">$O$19*$AA$19</f>
        <v>4715.5339891914409</v>
      </c>
    </row>
    <row r="20" spans="1:33" ht="11.25" customHeight="1" x14ac:dyDescent="0.25">
      <c r="A20" s="4" t="s">
        <v>21</v>
      </c>
      <c r="B20" s="4" t="s">
        <v>38</v>
      </c>
      <c r="C20" s="4" t="s">
        <v>50</v>
      </c>
      <c r="D20" s="4" t="s">
        <v>48</v>
      </c>
      <c r="E20" s="4" t="s">
        <v>49</v>
      </c>
      <c r="F20" s="4" t="s">
        <v>25</v>
      </c>
      <c r="G20" s="4" t="s">
        <v>25</v>
      </c>
      <c r="H20" s="4" t="s">
        <v>33</v>
      </c>
      <c r="I20" s="5">
        <v>44562</v>
      </c>
      <c r="J20" s="6">
        <v>245</v>
      </c>
      <c r="K20" s="97">
        <v>245</v>
      </c>
      <c r="L20" s="6">
        <v>11.095000000000001</v>
      </c>
      <c r="M20" s="96">
        <v>11.095000000000001</v>
      </c>
      <c r="N20" s="6">
        <v>11.095000000000001</v>
      </c>
      <c r="O20" s="96">
        <v>11.095000000000001</v>
      </c>
      <c r="P20" s="6">
        <v>0</v>
      </c>
      <c r="Q20" s="4" t="s">
        <v>26</v>
      </c>
      <c r="R20" s="4">
        <v>0</v>
      </c>
      <c r="S20" s="6">
        <v>1</v>
      </c>
      <c r="T20" s="6">
        <v>11</v>
      </c>
      <c r="U20" s="6">
        <v>66</v>
      </c>
      <c r="V20" s="96">
        <f>IF(ISERROR(VLOOKUP($S$20,'TAR FIN'!$A$1:$O$86,15,0)),0,VLOOKUP($S$20,'TAR FIN'!$A$1:$O$86,15,0))*(1-0.06)</f>
        <v>20.303999999999998</v>
      </c>
      <c r="W20" s="96">
        <f>IF(ISERROR(VLOOKUP($T$20,'TAR FIN'!$A$1:$O$86,15,0)),0,VLOOKUP($T$20,'TAR FIN'!$A$1:$O$86,15,0))*(1-0.06)</f>
        <v>66.984400000000008</v>
      </c>
      <c r="X20" s="96">
        <f>IF(ISERROR(VLOOKUP($U$20,'TAR FIN'!$A$1:$O$86,15,0)),0,VLOOKUP($U$20,'TAR FIN'!$A$1:$O$86,15,0))*(1-0.06)</f>
        <v>473.59079999999994</v>
      </c>
      <c r="Y20" s="96">
        <f ca="1">('TUSD BE'!$AM$5+'TUSD BF_350'!$AM$5+'TUSD CVA'!$AM$5)*1*(1-0.03)</f>
        <v>21.2163537178483</v>
      </c>
      <c r="Z20" s="96">
        <f ca="1">('TUSD BE'!$AM$7+'TUSD BF_350'!$AM$7+'TUSD CVA'!$AM$7)*1*(1-0.03)</f>
        <v>92.9409846595331</v>
      </c>
      <c r="AA20" s="96">
        <f ca="1">('TE BE'!$AB$5+'TE BF_350'!$AB$5+'TE CVA'!$AB$5)*1*(1-0.03)</f>
        <v>386.0761412470477</v>
      </c>
      <c r="AB20" s="6">
        <f>$K$20*$V$20</f>
        <v>4974.4799999999996</v>
      </c>
      <c r="AC20" s="6">
        <f>$M$20*$W$20</f>
        <v>743.1919180000001</v>
      </c>
      <c r="AD20" s="6">
        <f>$O$20*$X$20</f>
        <v>5254.4899259999993</v>
      </c>
      <c r="AE20" s="6">
        <f ca="1">$K$20*$Y$20</f>
        <v>5198.006660872833</v>
      </c>
      <c r="AF20" s="6">
        <f ca="1">$M$20*$Z$20</f>
        <v>1031.1802247975197</v>
      </c>
      <c r="AG20" s="6">
        <f ca="1">$O$20*$AA$20</f>
        <v>4283.5147871359941</v>
      </c>
    </row>
    <row r="21" spans="1:33" ht="11.25" customHeight="1" x14ac:dyDescent="0.25">
      <c r="A21" s="4" t="s">
        <v>21</v>
      </c>
      <c r="B21" s="4" t="s">
        <v>38</v>
      </c>
      <c r="C21" s="4" t="s">
        <v>50</v>
      </c>
      <c r="D21" s="4" t="s">
        <v>48</v>
      </c>
      <c r="E21" s="4" t="s">
        <v>49</v>
      </c>
      <c r="F21" s="4" t="s">
        <v>25</v>
      </c>
      <c r="G21" s="4" t="s">
        <v>25</v>
      </c>
      <c r="H21" s="4" t="s">
        <v>33</v>
      </c>
      <c r="I21" s="5">
        <v>44593</v>
      </c>
      <c r="J21" s="6">
        <v>245</v>
      </c>
      <c r="K21" s="97">
        <v>245</v>
      </c>
      <c r="L21" s="6">
        <v>10.555</v>
      </c>
      <c r="M21" s="96">
        <v>10.555</v>
      </c>
      <c r="N21" s="6">
        <v>10.555</v>
      </c>
      <c r="O21" s="96">
        <v>10.555</v>
      </c>
      <c r="P21" s="6">
        <v>0</v>
      </c>
      <c r="Q21" s="4" t="s">
        <v>26</v>
      </c>
      <c r="R21" s="4">
        <v>0</v>
      </c>
      <c r="S21" s="6">
        <v>1</v>
      </c>
      <c r="T21" s="6">
        <v>11</v>
      </c>
      <c r="U21" s="6">
        <v>66</v>
      </c>
      <c r="V21" s="96">
        <f>IF(ISERROR(VLOOKUP($S$21,'TAR FIN'!$A$1:$O$86,15,0)),0,VLOOKUP($S$21,'TAR FIN'!$A$1:$O$86,15,0))*(1-0.06)</f>
        <v>20.303999999999998</v>
      </c>
      <c r="W21" s="96">
        <f>IF(ISERROR(VLOOKUP($T$21,'TAR FIN'!$A$1:$O$86,15,0)),0,VLOOKUP($T$21,'TAR FIN'!$A$1:$O$86,15,0))*(1-0.06)</f>
        <v>66.984400000000008</v>
      </c>
      <c r="X21" s="96">
        <f>IF(ISERROR(VLOOKUP($U$21,'TAR FIN'!$A$1:$O$86,15,0)),0,VLOOKUP($U$21,'TAR FIN'!$A$1:$O$86,15,0))*(1-0.06)</f>
        <v>473.59079999999994</v>
      </c>
      <c r="Y21" s="96">
        <f ca="1">('TUSD BE'!$AM$5+'TUSD BF_350'!$AM$5+'TUSD CVA'!$AM$5)*1*(1-0.03)</f>
        <v>21.2163537178483</v>
      </c>
      <c r="Z21" s="96">
        <f ca="1">('TUSD BE'!$AM$7+'TUSD BF_350'!$AM$7+'TUSD CVA'!$AM$7)*1*(1-0.03)</f>
        <v>92.9409846595331</v>
      </c>
      <c r="AA21" s="96">
        <f ca="1">('TE BE'!$AB$5+'TE BF_350'!$AB$5+'TE CVA'!$AB$5)*1*(1-0.03)</f>
        <v>386.0761412470477</v>
      </c>
      <c r="AB21" s="6">
        <f>$K$21*$V$21</f>
        <v>4974.4799999999996</v>
      </c>
      <c r="AC21" s="6">
        <f>$M$21*$W$21</f>
        <v>707.02034200000003</v>
      </c>
      <c r="AD21" s="6">
        <f>$O$21*$X$21</f>
        <v>4998.7508939999989</v>
      </c>
      <c r="AE21" s="6">
        <f ca="1">$K$21*$Y$21</f>
        <v>5198.006660872833</v>
      </c>
      <c r="AF21" s="6">
        <f ca="1">$M$21*$Z$21</f>
        <v>980.99209308137188</v>
      </c>
      <c r="AG21" s="6">
        <f ca="1">$O$21*$AA$21</f>
        <v>4075.0336708625882</v>
      </c>
    </row>
    <row r="22" spans="1:33" ht="11.25" customHeight="1" x14ac:dyDescent="0.25">
      <c r="A22" s="4" t="s">
        <v>21</v>
      </c>
      <c r="B22" s="4" t="s">
        <v>38</v>
      </c>
      <c r="C22" s="4" t="s">
        <v>50</v>
      </c>
      <c r="D22" s="4" t="s">
        <v>48</v>
      </c>
      <c r="E22" s="4" t="s">
        <v>49</v>
      </c>
      <c r="F22" s="4" t="s">
        <v>25</v>
      </c>
      <c r="G22" s="4" t="s">
        <v>25</v>
      </c>
      <c r="H22" s="4" t="s">
        <v>33</v>
      </c>
      <c r="I22" s="5">
        <v>44621</v>
      </c>
      <c r="J22" s="6">
        <v>245</v>
      </c>
      <c r="K22" s="97">
        <v>245</v>
      </c>
      <c r="L22" s="6">
        <v>12.113</v>
      </c>
      <c r="M22" s="96">
        <v>12.113</v>
      </c>
      <c r="N22" s="6">
        <v>12.113</v>
      </c>
      <c r="O22" s="96">
        <v>12.113</v>
      </c>
      <c r="P22" s="6">
        <v>0</v>
      </c>
      <c r="Q22" s="4" t="s">
        <v>26</v>
      </c>
      <c r="R22" s="4">
        <v>0</v>
      </c>
      <c r="S22" s="6">
        <v>1</v>
      </c>
      <c r="T22" s="6">
        <v>11</v>
      </c>
      <c r="U22" s="6">
        <v>66</v>
      </c>
      <c r="V22" s="96">
        <f>IF(ISERROR(VLOOKUP($S$22,'TAR FIN'!$A$1:$O$86,15,0)),0,VLOOKUP($S$22,'TAR FIN'!$A$1:$O$86,15,0))*(1-0.06)</f>
        <v>20.303999999999998</v>
      </c>
      <c r="W22" s="96">
        <f>IF(ISERROR(VLOOKUP($T$22,'TAR FIN'!$A$1:$O$86,15,0)),0,VLOOKUP($T$22,'TAR FIN'!$A$1:$O$86,15,0))*(1-0.06)</f>
        <v>66.984400000000008</v>
      </c>
      <c r="X22" s="96">
        <f>IF(ISERROR(VLOOKUP($U$22,'TAR FIN'!$A$1:$O$86,15,0)),0,VLOOKUP($U$22,'TAR FIN'!$A$1:$O$86,15,0))*(1-0.06)</f>
        <v>473.59079999999994</v>
      </c>
      <c r="Y22" s="96">
        <f ca="1">('TUSD BE'!$AM$5+'TUSD BF_350'!$AM$5+'TUSD CVA'!$AM$5)*1*(1-0.03)</f>
        <v>21.2163537178483</v>
      </c>
      <c r="Z22" s="96">
        <f ca="1">('TUSD BE'!$AM$7+'TUSD BF_350'!$AM$7+'TUSD CVA'!$AM$7)*1*(1-0.03)</f>
        <v>92.9409846595331</v>
      </c>
      <c r="AA22" s="96">
        <f ca="1">('TE BE'!$AB$5+'TE BF_350'!$AB$5+'TE CVA'!$AB$5)*1*(1-0.03)</f>
        <v>386.0761412470477</v>
      </c>
      <c r="AB22" s="6">
        <f>$K$22*$V$22</f>
        <v>4974.4799999999996</v>
      </c>
      <c r="AC22" s="6">
        <f>$M$22*$W$22</f>
        <v>811.38203720000001</v>
      </c>
      <c r="AD22" s="6">
        <f>$O$22*$X$22</f>
        <v>5736.605360399999</v>
      </c>
      <c r="AE22" s="6">
        <f ca="1">$K$22*$Y$22</f>
        <v>5198.006660872833</v>
      </c>
      <c r="AF22" s="6">
        <f ca="1">$M$22*$Z$22</f>
        <v>1125.7941471809245</v>
      </c>
      <c r="AG22" s="6">
        <f ca="1">$O$22*$AA$22</f>
        <v>4676.540298925489</v>
      </c>
    </row>
    <row r="23" spans="1:33" ht="11.25" customHeight="1" x14ac:dyDescent="0.25">
      <c r="A23" s="4" t="s">
        <v>21</v>
      </c>
      <c r="B23" s="4" t="s">
        <v>38</v>
      </c>
      <c r="C23" s="4" t="s">
        <v>50</v>
      </c>
      <c r="D23" s="4" t="s">
        <v>48</v>
      </c>
      <c r="E23" s="4" t="s">
        <v>49</v>
      </c>
      <c r="F23" s="4" t="s">
        <v>25</v>
      </c>
      <c r="G23" s="4" t="s">
        <v>25</v>
      </c>
      <c r="H23" s="4" t="s">
        <v>33</v>
      </c>
      <c r="I23" s="5">
        <v>44652</v>
      </c>
      <c r="J23" s="6">
        <v>245</v>
      </c>
      <c r="K23" s="97">
        <v>245</v>
      </c>
      <c r="L23" s="6">
        <v>9.4809999999999999</v>
      </c>
      <c r="M23" s="96">
        <v>9.4809999999999999</v>
      </c>
      <c r="N23" s="6">
        <v>9.4809999999999999</v>
      </c>
      <c r="O23" s="96">
        <v>9.4809999999999999</v>
      </c>
      <c r="P23" s="6">
        <v>0</v>
      </c>
      <c r="Q23" s="4" t="s">
        <v>26</v>
      </c>
      <c r="R23" s="4">
        <v>0</v>
      </c>
      <c r="S23" s="6">
        <v>1</v>
      </c>
      <c r="T23" s="6">
        <v>11</v>
      </c>
      <c r="U23" s="6">
        <v>66</v>
      </c>
      <c r="V23" s="96">
        <f>IF(ISERROR(VLOOKUP($S$23,'TAR FIN'!$A$1:$O$86,15,0)),0,VLOOKUP($S$23,'TAR FIN'!$A$1:$O$86,15,0))*(1-0.06)</f>
        <v>20.303999999999998</v>
      </c>
      <c r="W23" s="96">
        <f>IF(ISERROR(VLOOKUP($T$23,'TAR FIN'!$A$1:$O$86,15,0)),0,VLOOKUP($T$23,'TAR FIN'!$A$1:$O$86,15,0))*(1-0.06)</f>
        <v>66.984400000000008</v>
      </c>
      <c r="X23" s="96">
        <f>IF(ISERROR(VLOOKUP($U$23,'TAR FIN'!$A$1:$O$86,15,0)),0,VLOOKUP($U$23,'TAR FIN'!$A$1:$O$86,15,0))*(1-0.06)</f>
        <v>473.59079999999994</v>
      </c>
      <c r="Y23" s="96">
        <f ca="1">('TUSD BE'!$AM$5+'TUSD BF_350'!$AM$5+'TUSD CVA'!$AM$5)*1*(1-0.03)</f>
        <v>21.2163537178483</v>
      </c>
      <c r="Z23" s="96">
        <f ca="1">('TUSD BE'!$AM$7+'TUSD BF_350'!$AM$7+'TUSD CVA'!$AM$7)*1*(1-0.03)</f>
        <v>92.9409846595331</v>
      </c>
      <c r="AA23" s="96">
        <f ca="1">('TE BE'!$AB$5+'TE BF_350'!$AB$5+'TE CVA'!$AB$5)*1*(1-0.03)</f>
        <v>386.0761412470477</v>
      </c>
      <c r="AB23" s="6">
        <f>$K$23*$V$23</f>
        <v>4974.4799999999996</v>
      </c>
      <c r="AC23" s="6">
        <f>$M$23*$W$23</f>
        <v>635.07909640000003</v>
      </c>
      <c r="AD23" s="6">
        <f>$O$23*$X$23</f>
        <v>4490.1143747999995</v>
      </c>
      <c r="AE23" s="6">
        <f ca="1">$K$23*$Y$23</f>
        <v>5198.006660872833</v>
      </c>
      <c r="AF23" s="6">
        <f ca="1">$M$23*$Z$23</f>
        <v>881.17347555703327</v>
      </c>
      <c r="AG23" s="6">
        <f ca="1">$O$23*$AA$23</f>
        <v>3660.3878951632591</v>
      </c>
    </row>
    <row r="24" spans="1:33" ht="11.25" customHeight="1" x14ac:dyDescent="0.25">
      <c r="A24" s="4" t="s">
        <v>21</v>
      </c>
      <c r="B24" s="4" t="s">
        <v>38</v>
      </c>
      <c r="C24" s="4" t="s">
        <v>50</v>
      </c>
      <c r="D24" s="4" t="s">
        <v>48</v>
      </c>
      <c r="E24" s="4" t="s">
        <v>49</v>
      </c>
      <c r="F24" s="4" t="s">
        <v>25</v>
      </c>
      <c r="G24" s="4" t="s">
        <v>25</v>
      </c>
      <c r="H24" s="4" t="s">
        <v>33</v>
      </c>
      <c r="I24" s="5">
        <v>44682</v>
      </c>
      <c r="J24" s="6">
        <v>245</v>
      </c>
      <c r="K24" s="97">
        <v>245</v>
      </c>
      <c r="L24" s="6">
        <v>11.755000000000001</v>
      </c>
      <c r="M24" s="96">
        <v>11.755000000000001</v>
      </c>
      <c r="N24" s="6">
        <v>11.755000000000001</v>
      </c>
      <c r="O24" s="96">
        <v>11.755000000000001</v>
      </c>
      <c r="P24" s="6">
        <v>0</v>
      </c>
      <c r="Q24" s="4" t="s">
        <v>26</v>
      </c>
      <c r="R24" s="4">
        <v>0</v>
      </c>
      <c r="S24" s="6">
        <v>1</v>
      </c>
      <c r="T24" s="6">
        <v>11</v>
      </c>
      <c r="U24" s="6">
        <v>66</v>
      </c>
      <c r="V24" s="96">
        <f>IF(ISERROR(VLOOKUP($S$24,'TAR FIN'!$A$1:$O$86,15,0)),0,VLOOKUP($S$24,'TAR FIN'!$A$1:$O$86,15,0))*(1-0.06)</f>
        <v>20.303999999999998</v>
      </c>
      <c r="W24" s="96">
        <f>IF(ISERROR(VLOOKUP($T$24,'TAR FIN'!$A$1:$O$86,15,0)),0,VLOOKUP($T$24,'TAR FIN'!$A$1:$O$86,15,0))*(1-0.06)</f>
        <v>66.984400000000008</v>
      </c>
      <c r="X24" s="96">
        <f>IF(ISERROR(VLOOKUP($U$24,'TAR FIN'!$A$1:$O$86,15,0)),0,VLOOKUP($U$24,'TAR FIN'!$A$1:$O$86,15,0))*(1-0.06)</f>
        <v>473.59079999999994</v>
      </c>
      <c r="Y24" s="96">
        <f ca="1">('TUSD BE'!$AM$5+'TUSD BF_350'!$AM$5+'TUSD CVA'!$AM$5)*1*(1-0.03)</f>
        <v>21.2163537178483</v>
      </c>
      <c r="Z24" s="96">
        <f ca="1">('TUSD BE'!$AM$7+'TUSD BF_350'!$AM$7+'TUSD CVA'!$AM$7)*1*(1-0.03)</f>
        <v>92.9409846595331</v>
      </c>
      <c r="AA24" s="96">
        <f ca="1">('TE BE'!$AB$5+'TE BF_350'!$AB$5+'TE CVA'!$AB$5)*1*(1-0.03)</f>
        <v>386.0761412470477</v>
      </c>
      <c r="AB24" s="6">
        <f>$K$24*$V$24</f>
        <v>4974.4799999999996</v>
      </c>
      <c r="AC24" s="6">
        <f>$M$24*$W$24</f>
        <v>787.4016220000002</v>
      </c>
      <c r="AD24" s="6">
        <f>$O$24*$X$24</f>
        <v>5567.0598540000001</v>
      </c>
      <c r="AE24" s="6">
        <f ca="1">$K$24*$Y$24</f>
        <v>5198.006660872833</v>
      </c>
      <c r="AF24" s="6">
        <f ca="1">$M$24*$Z$24</f>
        <v>1092.5212746728116</v>
      </c>
      <c r="AG24" s="6">
        <f ca="1">$O$24*$AA$24</f>
        <v>4538.3250403590464</v>
      </c>
    </row>
    <row r="25" spans="1:33" ht="11.25" customHeight="1" x14ac:dyDescent="0.25">
      <c r="A25" s="4" t="s">
        <v>55</v>
      </c>
      <c r="B25" s="4" t="s">
        <v>38</v>
      </c>
      <c r="C25" s="4" t="s">
        <v>50</v>
      </c>
      <c r="D25" s="4" t="s">
        <v>48</v>
      </c>
      <c r="E25" s="4" t="s">
        <v>49</v>
      </c>
      <c r="F25" s="4" t="s">
        <v>25</v>
      </c>
      <c r="G25" s="4" t="s">
        <v>25</v>
      </c>
      <c r="H25" s="4" t="s">
        <v>33</v>
      </c>
      <c r="I25" s="5">
        <v>44713</v>
      </c>
      <c r="J25" s="6">
        <v>245</v>
      </c>
      <c r="K25" s="97">
        <v>245</v>
      </c>
      <c r="L25" s="6">
        <v>11.755000000000001</v>
      </c>
      <c r="M25" s="96">
        <v>11.755000000000001</v>
      </c>
      <c r="N25" s="6">
        <v>11.755000000000001</v>
      </c>
      <c r="O25" s="96">
        <v>11.755000000000001</v>
      </c>
      <c r="P25" s="6">
        <v>0</v>
      </c>
      <c r="Q25" s="4" t="s">
        <v>26</v>
      </c>
      <c r="R25" s="4">
        <v>0</v>
      </c>
      <c r="S25" s="6">
        <v>1</v>
      </c>
      <c r="T25" s="6">
        <v>11</v>
      </c>
      <c r="U25" s="6">
        <v>66</v>
      </c>
      <c r="V25" s="96">
        <f>IF(ISERROR(VLOOKUP($S$25,'TAR FIN'!$A$1:$O$86,15,0)),0,VLOOKUP($S$25,'TAR FIN'!$A$1:$O$86,15,0))*(1-0.06)</f>
        <v>20.303999999999998</v>
      </c>
      <c r="W25" s="96">
        <f>IF(ISERROR(VLOOKUP($T$25,'TAR FIN'!$A$1:$O$86,15,0)),0,VLOOKUP($T$25,'TAR FIN'!$A$1:$O$86,15,0))*(1-0.06)</f>
        <v>66.984400000000008</v>
      </c>
      <c r="X25" s="96">
        <f>IF(ISERROR(VLOOKUP($U$25,'TAR FIN'!$A$1:$O$86,15,0)),0,VLOOKUP($U$25,'TAR FIN'!$A$1:$O$86,15,0))*(1-0.06)</f>
        <v>473.59079999999994</v>
      </c>
      <c r="Y25" s="96">
        <f ca="1">('TUSD BE'!$AM$5+'TUSD BF_350'!$AM$5+'TUSD CVA'!$AM$5)*1*(1-0.03)</f>
        <v>21.2163537178483</v>
      </c>
      <c r="Z25" s="96">
        <f ca="1">('TUSD BE'!$AM$7+'TUSD BF_350'!$AM$7+'TUSD CVA'!$AM$7)*1*(1-0.03)</f>
        <v>92.9409846595331</v>
      </c>
      <c r="AA25" s="96">
        <f ca="1">('TE BE'!$AB$5+'TE BF_350'!$AB$5+'TE CVA'!$AB$5)*1*(1-0.03)</f>
        <v>386.0761412470477</v>
      </c>
      <c r="AB25" s="6">
        <f>$K$25*$V$25</f>
        <v>4974.4799999999996</v>
      </c>
      <c r="AC25" s="6">
        <f>$M$25*$W$25</f>
        <v>787.4016220000002</v>
      </c>
      <c r="AD25" s="6">
        <f>$O$25*$X$25</f>
        <v>5567.0598540000001</v>
      </c>
      <c r="AE25" s="6">
        <f ca="1">$K$25*$Y$25</f>
        <v>5198.006660872833</v>
      </c>
      <c r="AF25" s="6">
        <f ca="1">$M$25*$Z$25</f>
        <v>1092.5212746728116</v>
      </c>
      <c r="AG25" s="6">
        <f ca="1">$O$25*$AA$25</f>
        <v>4538.3250403590464</v>
      </c>
    </row>
    <row r="26" spans="1:33" ht="11.25" customHeight="1" x14ac:dyDescent="0.25">
      <c r="A26" s="4" t="s">
        <v>21</v>
      </c>
      <c r="B26" s="4" t="s">
        <v>38</v>
      </c>
      <c r="C26" s="4" t="s">
        <v>58</v>
      </c>
      <c r="D26" s="4" t="s">
        <v>25</v>
      </c>
      <c r="E26" s="4" t="s">
        <v>25</v>
      </c>
      <c r="F26" s="4" t="s">
        <v>25</v>
      </c>
      <c r="G26" s="4" t="s">
        <v>59</v>
      </c>
      <c r="H26" s="4" t="s">
        <v>25</v>
      </c>
      <c r="I26" s="5">
        <v>44378</v>
      </c>
      <c r="J26" s="6">
        <v>900</v>
      </c>
      <c r="K26" s="6">
        <v>450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60</v>
      </c>
      <c r="R26" s="4">
        <v>30634</v>
      </c>
      <c r="S26" s="6">
        <v>5</v>
      </c>
      <c r="T26" s="6">
        <v>0</v>
      </c>
      <c r="U26" s="6">
        <v>0</v>
      </c>
      <c r="V26" s="6">
        <f>IF(ISERROR(VLOOKUP($S$26,'TAR FIN'!$A$1:$O$86,15,0)),0,VLOOKUP($S$26,'TAR FIN'!$A$1:$O$86,15,0))</f>
        <v>5.65</v>
      </c>
      <c r="W26" s="6">
        <f>IF(ISERROR(VLOOKUP($T$26,'TAR FIN'!$A$1:$O$86,15,0)),0,VLOOKUP($T$26,'TAR FIN'!$A$1:$O$86,15,0))</f>
        <v>0</v>
      </c>
      <c r="X26" s="6">
        <f>IF(ISERROR(VLOOKUP($U$26,'TAR FIN'!$A$1:$O$86,15,0)),0,VLOOKUP($U$26,'TAR FIN'!$A$1:$O$86,15,0))</f>
        <v>0</v>
      </c>
      <c r="Y26" s="6">
        <f ca="1">('TUSD BE'!$AM$9+'TUSD BF_350'!$AM$9+'TUSD CVA'!$AM$9)*1</f>
        <v>5.5779170347181353</v>
      </c>
      <c r="Z26" s="6"/>
      <c r="AA26" s="6"/>
      <c r="AB26" s="6">
        <f>$K$26*$V$26</f>
        <v>2542.5</v>
      </c>
      <c r="AC26" s="6">
        <f>$M$26*$W$26</f>
        <v>0</v>
      </c>
      <c r="AD26" s="6">
        <f>$O$26*$X$26</f>
        <v>0</v>
      </c>
      <c r="AE26" s="6">
        <f ca="1">$K$26*$Y$26</f>
        <v>2510.0626656231607</v>
      </c>
      <c r="AF26" s="6">
        <f>$M$26*$Z$26</f>
        <v>0</v>
      </c>
      <c r="AG26" s="6">
        <f>$O$26*$AA$26</f>
        <v>0</v>
      </c>
    </row>
    <row r="27" spans="1:33" ht="11.25" customHeight="1" x14ac:dyDescent="0.25">
      <c r="A27" s="4" t="s">
        <v>21</v>
      </c>
      <c r="B27" s="4" t="s">
        <v>38</v>
      </c>
      <c r="C27" s="4" t="s">
        <v>58</v>
      </c>
      <c r="D27" s="4" t="s">
        <v>25</v>
      </c>
      <c r="E27" s="4" t="s">
        <v>25</v>
      </c>
      <c r="F27" s="4" t="s">
        <v>25</v>
      </c>
      <c r="G27" s="4" t="s">
        <v>61</v>
      </c>
      <c r="H27" s="4" t="s">
        <v>25</v>
      </c>
      <c r="I27" s="5">
        <v>44378</v>
      </c>
      <c r="J27" s="6">
        <v>780</v>
      </c>
      <c r="K27" s="6">
        <v>390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60</v>
      </c>
      <c r="R27" s="4">
        <v>2430</v>
      </c>
      <c r="S27" s="6">
        <v>5</v>
      </c>
      <c r="T27" s="6">
        <v>0</v>
      </c>
      <c r="U27" s="6">
        <v>0</v>
      </c>
      <c r="V27" s="6">
        <f>IF(ISERROR(VLOOKUP($S$27,'TAR FIN'!$A$1:$O$86,15,0)),0,VLOOKUP($S$27,'TAR FIN'!$A$1:$O$86,15,0))</f>
        <v>5.65</v>
      </c>
      <c r="W27" s="6">
        <f>IF(ISERROR(VLOOKUP($T$27,'TAR FIN'!$A$1:$O$86,15,0)),0,VLOOKUP($T$27,'TAR FIN'!$A$1:$O$86,15,0))</f>
        <v>0</v>
      </c>
      <c r="X27" s="6">
        <f>IF(ISERROR(VLOOKUP($U$27,'TAR FIN'!$A$1:$O$86,15,0)),0,VLOOKUP($U$27,'TAR FIN'!$A$1:$O$86,15,0))</f>
        <v>0</v>
      </c>
      <c r="Y27" s="6">
        <f ca="1">('TUSD BE'!$AM$9+'TUSD BF_350'!$AM$9+'TUSD CVA'!$AM$9)*1</f>
        <v>5.5779170347181353</v>
      </c>
      <c r="Z27" s="6"/>
      <c r="AA27" s="6"/>
      <c r="AB27" s="6">
        <f>$K$27*$V$27</f>
        <v>2203.5</v>
      </c>
      <c r="AC27" s="6">
        <f>$M$27*$W$27</f>
        <v>0</v>
      </c>
      <c r="AD27" s="6">
        <f>$O$27*$X$27</f>
        <v>0</v>
      </c>
      <c r="AE27" s="6">
        <f ca="1">$K$27*$Y$27</f>
        <v>2175.3876435400725</v>
      </c>
      <c r="AF27" s="6">
        <f>$M$27*$Z$27</f>
        <v>0</v>
      </c>
      <c r="AG27" s="6">
        <f>$O$27*$AA$27</f>
        <v>0</v>
      </c>
    </row>
    <row r="28" spans="1:33" ht="11.25" customHeight="1" x14ac:dyDescent="0.25">
      <c r="A28" s="4" t="s">
        <v>21</v>
      </c>
      <c r="B28" s="4" t="s">
        <v>38</v>
      </c>
      <c r="C28" s="4" t="s">
        <v>58</v>
      </c>
      <c r="D28" s="4" t="s">
        <v>25</v>
      </c>
      <c r="E28" s="4" t="s">
        <v>25</v>
      </c>
      <c r="F28" s="4" t="s">
        <v>25</v>
      </c>
      <c r="G28" s="4" t="s">
        <v>59</v>
      </c>
      <c r="H28" s="4" t="s">
        <v>25</v>
      </c>
      <c r="I28" s="5">
        <v>44409</v>
      </c>
      <c r="J28" s="6">
        <v>900</v>
      </c>
      <c r="K28" s="6">
        <v>450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60</v>
      </c>
      <c r="R28" s="4">
        <v>30634</v>
      </c>
      <c r="S28" s="6">
        <v>5</v>
      </c>
      <c r="T28" s="6">
        <v>0</v>
      </c>
      <c r="U28" s="6">
        <v>0</v>
      </c>
      <c r="V28" s="6">
        <f>IF(ISERROR(VLOOKUP($S$28,'TAR FIN'!$A$1:$O$86,15,0)),0,VLOOKUP($S$28,'TAR FIN'!$A$1:$O$86,15,0))</f>
        <v>5.65</v>
      </c>
      <c r="W28" s="6">
        <f>IF(ISERROR(VLOOKUP($T$28,'TAR FIN'!$A$1:$O$86,15,0)),0,VLOOKUP($T$28,'TAR FIN'!$A$1:$O$86,15,0))</f>
        <v>0</v>
      </c>
      <c r="X28" s="6">
        <f>IF(ISERROR(VLOOKUP($U$28,'TAR FIN'!$A$1:$O$86,15,0)),0,VLOOKUP($U$28,'TAR FIN'!$A$1:$O$86,15,0))</f>
        <v>0</v>
      </c>
      <c r="Y28" s="6">
        <f ca="1">('TUSD BE'!$AM$9+'TUSD BF_350'!$AM$9+'TUSD CVA'!$AM$9)*1</f>
        <v>5.5779170347181353</v>
      </c>
      <c r="Z28" s="6"/>
      <c r="AA28" s="6"/>
      <c r="AB28" s="6">
        <f>$K$28*$V$28</f>
        <v>2542.5</v>
      </c>
      <c r="AC28" s="6">
        <f>$M$28*$W$28</f>
        <v>0</v>
      </c>
      <c r="AD28" s="6">
        <f>$O$28*$X$28</f>
        <v>0</v>
      </c>
      <c r="AE28" s="6">
        <f ca="1">$K$28*$Y$28</f>
        <v>2510.0626656231607</v>
      </c>
      <c r="AF28" s="6">
        <f>$M$28*$Z$28</f>
        <v>0</v>
      </c>
      <c r="AG28" s="6">
        <f>$O$28*$AA$28</f>
        <v>0</v>
      </c>
    </row>
    <row r="29" spans="1:33" ht="11.25" customHeight="1" x14ac:dyDescent="0.25">
      <c r="A29" s="4" t="s">
        <v>21</v>
      </c>
      <c r="B29" s="4" t="s">
        <v>38</v>
      </c>
      <c r="C29" s="4" t="s">
        <v>58</v>
      </c>
      <c r="D29" s="4" t="s">
        <v>25</v>
      </c>
      <c r="E29" s="4" t="s">
        <v>25</v>
      </c>
      <c r="F29" s="4" t="s">
        <v>25</v>
      </c>
      <c r="G29" s="4" t="s">
        <v>61</v>
      </c>
      <c r="H29" s="4" t="s">
        <v>25</v>
      </c>
      <c r="I29" s="5">
        <v>44409</v>
      </c>
      <c r="J29" s="6">
        <v>780</v>
      </c>
      <c r="K29" s="6">
        <v>390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60</v>
      </c>
      <c r="R29" s="4">
        <v>2430</v>
      </c>
      <c r="S29" s="6">
        <v>5</v>
      </c>
      <c r="T29" s="6">
        <v>0</v>
      </c>
      <c r="U29" s="6">
        <v>0</v>
      </c>
      <c r="V29" s="6">
        <f>IF(ISERROR(VLOOKUP($S$29,'TAR FIN'!$A$1:$O$86,15,0)),0,VLOOKUP($S$29,'TAR FIN'!$A$1:$O$86,15,0))</f>
        <v>5.65</v>
      </c>
      <c r="W29" s="6">
        <f>IF(ISERROR(VLOOKUP($T$29,'TAR FIN'!$A$1:$O$86,15,0)),0,VLOOKUP($T$29,'TAR FIN'!$A$1:$O$86,15,0))</f>
        <v>0</v>
      </c>
      <c r="X29" s="6">
        <f>IF(ISERROR(VLOOKUP($U$29,'TAR FIN'!$A$1:$O$86,15,0)),0,VLOOKUP($U$29,'TAR FIN'!$A$1:$O$86,15,0))</f>
        <v>0</v>
      </c>
      <c r="Y29" s="6">
        <f ca="1">('TUSD BE'!$AM$9+'TUSD BF_350'!$AM$9+'TUSD CVA'!$AM$9)*1</f>
        <v>5.5779170347181353</v>
      </c>
      <c r="Z29" s="6"/>
      <c r="AA29" s="6"/>
      <c r="AB29" s="6">
        <f>$K$29*$V$29</f>
        <v>2203.5</v>
      </c>
      <c r="AC29" s="6">
        <f>$M$29*$W$29</f>
        <v>0</v>
      </c>
      <c r="AD29" s="6">
        <f>$O$29*$X$29</f>
        <v>0</v>
      </c>
      <c r="AE29" s="6">
        <f ca="1">$K$29*$Y$29</f>
        <v>2175.3876435400725</v>
      </c>
      <c r="AF29" s="6">
        <f>$M$29*$Z$29</f>
        <v>0</v>
      </c>
      <c r="AG29" s="6">
        <f>$O$29*$AA$29</f>
        <v>0</v>
      </c>
    </row>
    <row r="30" spans="1:33" ht="11.25" customHeight="1" x14ac:dyDescent="0.25">
      <c r="A30" s="4" t="s">
        <v>21</v>
      </c>
      <c r="B30" s="4" t="s">
        <v>38</v>
      </c>
      <c r="C30" s="4" t="s">
        <v>58</v>
      </c>
      <c r="D30" s="4" t="s">
        <v>25</v>
      </c>
      <c r="E30" s="4" t="s">
        <v>25</v>
      </c>
      <c r="F30" s="4" t="s">
        <v>25</v>
      </c>
      <c r="G30" s="4" t="s">
        <v>59</v>
      </c>
      <c r="H30" s="4" t="s">
        <v>25</v>
      </c>
      <c r="I30" s="5">
        <v>44440</v>
      </c>
      <c r="J30" s="6">
        <v>961</v>
      </c>
      <c r="K30" s="6">
        <v>480.5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60</v>
      </c>
      <c r="R30" s="4">
        <v>30634</v>
      </c>
      <c r="S30" s="6">
        <v>5</v>
      </c>
      <c r="T30" s="6">
        <v>0</v>
      </c>
      <c r="U30" s="6">
        <v>0</v>
      </c>
      <c r="V30" s="6">
        <f>IF(ISERROR(VLOOKUP($S$30,'TAR FIN'!$A$1:$O$86,15,0)),0,VLOOKUP($S$30,'TAR FIN'!$A$1:$O$86,15,0))</f>
        <v>5.65</v>
      </c>
      <c r="W30" s="6">
        <f>IF(ISERROR(VLOOKUP($T$30,'TAR FIN'!$A$1:$O$86,15,0)),0,VLOOKUP($T$30,'TAR FIN'!$A$1:$O$86,15,0))</f>
        <v>0</v>
      </c>
      <c r="X30" s="6">
        <f>IF(ISERROR(VLOOKUP($U$30,'TAR FIN'!$A$1:$O$86,15,0)),0,VLOOKUP($U$30,'TAR FIN'!$A$1:$O$86,15,0))</f>
        <v>0</v>
      </c>
      <c r="Y30" s="6">
        <f ca="1">('TUSD BE'!$AM$9+'TUSD BF_350'!$AM$9+'TUSD CVA'!$AM$9)*1</f>
        <v>5.5779170347181353</v>
      </c>
      <c r="Z30" s="6"/>
      <c r="AA30" s="6"/>
      <c r="AB30" s="6">
        <f>$K$30*$V$30</f>
        <v>2714.8250000000003</v>
      </c>
      <c r="AC30" s="6">
        <f>$M$30*$W$30</f>
        <v>0</v>
      </c>
      <c r="AD30" s="6">
        <f>$O$30*$X$30</f>
        <v>0</v>
      </c>
      <c r="AE30" s="6">
        <f ca="1">$K$30*$Y$30</f>
        <v>2680.1891351820641</v>
      </c>
      <c r="AF30" s="6">
        <f>$M$30*$Z$30</f>
        <v>0</v>
      </c>
      <c r="AG30" s="6">
        <f>$O$30*$AA$30</f>
        <v>0</v>
      </c>
    </row>
    <row r="31" spans="1:33" ht="11.25" customHeight="1" x14ac:dyDescent="0.25">
      <c r="A31" s="4" t="s">
        <v>21</v>
      </c>
      <c r="B31" s="4" t="s">
        <v>38</v>
      </c>
      <c r="C31" s="4" t="s">
        <v>58</v>
      </c>
      <c r="D31" s="4" t="s">
        <v>25</v>
      </c>
      <c r="E31" s="4" t="s">
        <v>25</v>
      </c>
      <c r="F31" s="4" t="s">
        <v>25</v>
      </c>
      <c r="G31" s="4" t="s">
        <v>61</v>
      </c>
      <c r="H31" s="4" t="s">
        <v>25</v>
      </c>
      <c r="I31" s="5">
        <v>44440</v>
      </c>
      <c r="J31" s="6">
        <v>780</v>
      </c>
      <c r="K31" s="6">
        <v>390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60</v>
      </c>
      <c r="R31" s="4">
        <v>2430</v>
      </c>
      <c r="S31" s="6">
        <v>5</v>
      </c>
      <c r="T31" s="6">
        <v>0</v>
      </c>
      <c r="U31" s="6">
        <v>0</v>
      </c>
      <c r="V31" s="6">
        <f>IF(ISERROR(VLOOKUP($S$31,'TAR FIN'!$A$1:$O$86,15,0)),0,VLOOKUP($S$31,'TAR FIN'!$A$1:$O$86,15,0))</f>
        <v>5.65</v>
      </c>
      <c r="W31" s="6">
        <f>IF(ISERROR(VLOOKUP($T$31,'TAR FIN'!$A$1:$O$86,15,0)),0,VLOOKUP($T$31,'TAR FIN'!$A$1:$O$86,15,0))</f>
        <v>0</v>
      </c>
      <c r="X31" s="6">
        <f>IF(ISERROR(VLOOKUP($U$31,'TAR FIN'!$A$1:$O$86,15,0)),0,VLOOKUP($U$31,'TAR FIN'!$A$1:$O$86,15,0))</f>
        <v>0</v>
      </c>
      <c r="Y31" s="6">
        <f ca="1">('TUSD BE'!$AM$9+'TUSD BF_350'!$AM$9+'TUSD CVA'!$AM$9)*1</f>
        <v>5.5779170347181353</v>
      </c>
      <c r="Z31" s="6"/>
      <c r="AA31" s="6"/>
      <c r="AB31" s="6">
        <f>$K$31*$V$31</f>
        <v>2203.5</v>
      </c>
      <c r="AC31" s="6">
        <f>$M$31*$W$31</f>
        <v>0</v>
      </c>
      <c r="AD31" s="6">
        <f>$O$31*$X$31</f>
        <v>0</v>
      </c>
      <c r="AE31" s="6">
        <f ca="1">$K$31*$Y$31</f>
        <v>2175.3876435400725</v>
      </c>
      <c r="AF31" s="6">
        <f>$M$31*$Z$31</f>
        <v>0</v>
      </c>
      <c r="AG31" s="6">
        <f>$O$31*$AA$31</f>
        <v>0</v>
      </c>
    </row>
    <row r="32" spans="1:33" ht="11.25" customHeight="1" x14ac:dyDescent="0.25">
      <c r="A32" s="4" t="s">
        <v>21</v>
      </c>
      <c r="B32" s="4" t="s">
        <v>38</v>
      </c>
      <c r="C32" s="4" t="s">
        <v>58</v>
      </c>
      <c r="D32" s="4" t="s">
        <v>25</v>
      </c>
      <c r="E32" s="4" t="s">
        <v>25</v>
      </c>
      <c r="F32" s="4" t="s">
        <v>25</v>
      </c>
      <c r="G32" s="4" t="s">
        <v>59</v>
      </c>
      <c r="H32" s="4" t="s">
        <v>25</v>
      </c>
      <c r="I32" s="5">
        <v>44470</v>
      </c>
      <c r="J32" s="6">
        <v>963</v>
      </c>
      <c r="K32" s="6">
        <v>481.5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60</v>
      </c>
      <c r="R32" s="4">
        <v>30634</v>
      </c>
      <c r="S32" s="6">
        <v>5</v>
      </c>
      <c r="T32" s="6">
        <v>0</v>
      </c>
      <c r="U32" s="6">
        <v>0</v>
      </c>
      <c r="V32" s="6">
        <f>IF(ISERROR(VLOOKUP($S$32,'TAR FIN'!$A$1:$O$86,15,0)),0,VLOOKUP($S$32,'TAR FIN'!$A$1:$O$86,15,0))</f>
        <v>5.65</v>
      </c>
      <c r="W32" s="6">
        <f>IF(ISERROR(VLOOKUP($T$32,'TAR FIN'!$A$1:$O$86,15,0)),0,VLOOKUP($T$32,'TAR FIN'!$A$1:$O$86,15,0))</f>
        <v>0</v>
      </c>
      <c r="X32" s="6">
        <f>IF(ISERROR(VLOOKUP($U$32,'TAR FIN'!$A$1:$O$86,15,0)),0,VLOOKUP($U$32,'TAR FIN'!$A$1:$O$86,15,0))</f>
        <v>0</v>
      </c>
      <c r="Y32" s="6">
        <f ca="1">('TUSD BE'!$AM$9+'TUSD BF_350'!$AM$9+'TUSD CVA'!$AM$9)*1</f>
        <v>5.5779170347181353</v>
      </c>
      <c r="Z32" s="6"/>
      <c r="AA32" s="6"/>
      <c r="AB32" s="6">
        <f>$K$32*$V$32</f>
        <v>2720.4750000000004</v>
      </c>
      <c r="AC32" s="6">
        <f>$M$32*$W$32</f>
        <v>0</v>
      </c>
      <c r="AD32" s="6">
        <f>$O$32*$X$32</f>
        <v>0</v>
      </c>
      <c r="AE32" s="6">
        <f ca="1">$K$32*$Y$32</f>
        <v>2685.7670522167823</v>
      </c>
      <c r="AF32" s="6">
        <f>$M$32*$Z$32</f>
        <v>0</v>
      </c>
      <c r="AG32" s="6">
        <f>$O$32*$AA$32</f>
        <v>0</v>
      </c>
    </row>
    <row r="33" spans="1:33" ht="11.25" customHeight="1" x14ac:dyDescent="0.25">
      <c r="A33" s="4" t="s">
        <v>21</v>
      </c>
      <c r="B33" s="4" t="s">
        <v>38</v>
      </c>
      <c r="C33" s="4" t="s">
        <v>58</v>
      </c>
      <c r="D33" s="4" t="s">
        <v>25</v>
      </c>
      <c r="E33" s="4" t="s">
        <v>25</v>
      </c>
      <c r="F33" s="4" t="s">
        <v>25</v>
      </c>
      <c r="G33" s="4" t="s">
        <v>61</v>
      </c>
      <c r="H33" s="4" t="s">
        <v>25</v>
      </c>
      <c r="I33" s="5">
        <v>44470</v>
      </c>
      <c r="J33" s="6">
        <v>780</v>
      </c>
      <c r="K33" s="6">
        <v>390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60</v>
      </c>
      <c r="R33" s="4">
        <v>2430</v>
      </c>
      <c r="S33" s="6">
        <v>5</v>
      </c>
      <c r="T33" s="6">
        <v>0</v>
      </c>
      <c r="U33" s="6">
        <v>0</v>
      </c>
      <c r="V33" s="6">
        <f>IF(ISERROR(VLOOKUP($S$33,'TAR FIN'!$A$1:$O$86,15,0)),0,VLOOKUP($S$33,'TAR FIN'!$A$1:$O$86,15,0))</f>
        <v>5.65</v>
      </c>
      <c r="W33" s="6">
        <f>IF(ISERROR(VLOOKUP($T$33,'TAR FIN'!$A$1:$O$86,15,0)),0,VLOOKUP($T$33,'TAR FIN'!$A$1:$O$86,15,0))</f>
        <v>0</v>
      </c>
      <c r="X33" s="6">
        <f>IF(ISERROR(VLOOKUP($U$33,'TAR FIN'!$A$1:$O$86,15,0)),0,VLOOKUP($U$33,'TAR FIN'!$A$1:$O$86,15,0))</f>
        <v>0</v>
      </c>
      <c r="Y33" s="6">
        <f ca="1">('TUSD BE'!$AM$9+'TUSD BF_350'!$AM$9+'TUSD CVA'!$AM$9)*1</f>
        <v>5.5779170347181353</v>
      </c>
      <c r="Z33" s="6"/>
      <c r="AA33" s="6"/>
      <c r="AB33" s="6">
        <f>$K$33*$V$33</f>
        <v>2203.5</v>
      </c>
      <c r="AC33" s="6">
        <f>$M$33*$W$33</f>
        <v>0</v>
      </c>
      <c r="AD33" s="6">
        <f>$O$33*$X$33</f>
        <v>0</v>
      </c>
      <c r="AE33" s="6">
        <f ca="1">$K$33*$Y$33</f>
        <v>2175.3876435400725</v>
      </c>
      <c r="AF33" s="6">
        <f>$M$33*$Z$33</f>
        <v>0</v>
      </c>
      <c r="AG33" s="6">
        <f>$O$33*$AA$33</f>
        <v>0</v>
      </c>
    </row>
    <row r="34" spans="1:33" ht="11.25" customHeight="1" x14ac:dyDescent="0.25">
      <c r="A34" s="4" t="s">
        <v>21</v>
      </c>
      <c r="B34" s="4" t="s">
        <v>38</v>
      </c>
      <c r="C34" s="4" t="s">
        <v>58</v>
      </c>
      <c r="D34" s="4" t="s">
        <v>25</v>
      </c>
      <c r="E34" s="4" t="s">
        <v>25</v>
      </c>
      <c r="F34" s="4" t="s">
        <v>25</v>
      </c>
      <c r="G34" s="4" t="s">
        <v>59</v>
      </c>
      <c r="H34" s="4" t="s">
        <v>25</v>
      </c>
      <c r="I34" s="5">
        <v>44501</v>
      </c>
      <c r="J34" s="6">
        <v>952</v>
      </c>
      <c r="K34" s="6">
        <v>476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60</v>
      </c>
      <c r="R34" s="4">
        <v>30634</v>
      </c>
      <c r="S34" s="6">
        <v>5</v>
      </c>
      <c r="T34" s="6">
        <v>0</v>
      </c>
      <c r="U34" s="6">
        <v>0</v>
      </c>
      <c r="V34" s="6">
        <f>IF(ISERROR(VLOOKUP($S$34,'TAR FIN'!$A$1:$O$86,15,0)),0,VLOOKUP($S$34,'TAR FIN'!$A$1:$O$86,15,0))</f>
        <v>5.65</v>
      </c>
      <c r="W34" s="6">
        <f>IF(ISERROR(VLOOKUP($T$34,'TAR FIN'!$A$1:$O$86,15,0)),0,VLOOKUP($T$34,'TAR FIN'!$A$1:$O$86,15,0))</f>
        <v>0</v>
      </c>
      <c r="X34" s="6">
        <f>IF(ISERROR(VLOOKUP($U$34,'TAR FIN'!$A$1:$O$86,15,0)),0,VLOOKUP($U$34,'TAR FIN'!$A$1:$O$86,15,0))</f>
        <v>0</v>
      </c>
      <c r="Y34" s="6">
        <f ca="1">('TUSD BE'!$AM$9+'TUSD BF_350'!$AM$9+'TUSD CVA'!$AM$9)*1</f>
        <v>5.5779170347181353</v>
      </c>
      <c r="Z34" s="6"/>
      <c r="AA34" s="6"/>
      <c r="AB34" s="6">
        <f>$K$34*$V$34</f>
        <v>2689.4</v>
      </c>
      <c r="AC34" s="6">
        <f>$M$34*$W$34</f>
        <v>0</v>
      </c>
      <c r="AD34" s="6">
        <f>$O$34*$X$34</f>
        <v>0</v>
      </c>
      <c r="AE34" s="6">
        <f ca="1">$K$34*$Y$34</f>
        <v>2655.0885085258324</v>
      </c>
      <c r="AF34" s="6">
        <f>$M$34*$Z$34</f>
        <v>0</v>
      </c>
      <c r="AG34" s="6">
        <f>$O$34*$AA$34</f>
        <v>0</v>
      </c>
    </row>
    <row r="35" spans="1:33" ht="11.25" customHeight="1" x14ac:dyDescent="0.25">
      <c r="A35" s="4" t="s">
        <v>21</v>
      </c>
      <c r="B35" s="4" t="s">
        <v>38</v>
      </c>
      <c r="C35" s="4" t="s">
        <v>58</v>
      </c>
      <c r="D35" s="4" t="s">
        <v>25</v>
      </c>
      <c r="E35" s="4" t="s">
        <v>25</v>
      </c>
      <c r="F35" s="4" t="s">
        <v>25</v>
      </c>
      <c r="G35" s="4" t="s">
        <v>61</v>
      </c>
      <c r="H35" s="4" t="s">
        <v>25</v>
      </c>
      <c r="I35" s="5">
        <v>44501</v>
      </c>
      <c r="J35" s="6">
        <v>780</v>
      </c>
      <c r="K35" s="6">
        <v>390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60</v>
      </c>
      <c r="R35" s="4">
        <v>2430</v>
      </c>
      <c r="S35" s="6">
        <v>5</v>
      </c>
      <c r="T35" s="6">
        <v>0</v>
      </c>
      <c r="U35" s="6">
        <v>0</v>
      </c>
      <c r="V35" s="6">
        <f>IF(ISERROR(VLOOKUP($S$35,'TAR FIN'!$A$1:$O$86,15,0)),0,VLOOKUP($S$35,'TAR FIN'!$A$1:$O$86,15,0))</f>
        <v>5.65</v>
      </c>
      <c r="W35" s="6">
        <f>IF(ISERROR(VLOOKUP($T$35,'TAR FIN'!$A$1:$O$86,15,0)),0,VLOOKUP($T$35,'TAR FIN'!$A$1:$O$86,15,0))</f>
        <v>0</v>
      </c>
      <c r="X35" s="6">
        <f>IF(ISERROR(VLOOKUP($U$35,'TAR FIN'!$A$1:$O$86,15,0)),0,VLOOKUP($U$35,'TAR FIN'!$A$1:$O$86,15,0))</f>
        <v>0</v>
      </c>
      <c r="Y35" s="6">
        <f ca="1">('TUSD BE'!$AM$9+'TUSD BF_350'!$AM$9+'TUSD CVA'!$AM$9)*1</f>
        <v>5.5779170347181353</v>
      </c>
      <c r="Z35" s="6"/>
      <c r="AA35" s="6"/>
      <c r="AB35" s="6">
        <f>$K$35*$V$35</f>
        <v>2203.5</v>
      </c>
      <c r="AC35" s="6">
        <f>$M$35*$W$35</f>
        <v>0</v>
      </c>
      <c r="AD35" s="6">
        <f>$O$35*$X$35</f>
        <v>0</v>
      </c>
      <c r="AE35" s="6">
        <f ca="1">$K$35*$Y$35</f>
        <v>2175.3876435400725</v>
      </c>
      <c r="AF35" s="6">
        <f>$M$35*$Z$35</f>
        <v>0</v>
      </c>
      <c r="AG35" s="6">
        <f>$O$35*$AA$35</f>
        <v>0</v>
      </c>
    </row>
    <row r="36" spans="1:33" ht="11.25" customHeight="1" x14ac:dyDescent="0.25">
      <c r="A36" s="4" t="s">
        <v>21</v>
      </c>
      <c r="B36" s="4" t="s">
        <v>38</v>
      </c>
      <c r="C36" s="4" t="s">
        <v>58</v>
      </c>
      <c r="D36" s="4" t="s">
        <v>25</v>
      </c>
      <c r="E36" s="4" t="s">
        <v>25</v>
      </c>
      <c r="F36" s="4" t="s">
        <v>25</v>
      </c>
      <c r="G36" s="4" t="s">
        <v>59</v>
      </c>
      <c r="H36" s="4" t="s">
        <v>25</v>
      </c>
      <c r="I36" s="5">
        <v>44531</v>
      </c>
      <c r="J36" s="6">
        <v>900</v>
      </c>
      <c r="K36" s="6">
        <v>450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60</v>
      </c>
      <c r="R36" s="4">
        <v>30634</v>
      </c>
      <c r="S36" s="6">
        <v>5</v>
      </c>
      <c r="T36" s="6">
        <v>0</v>
      </c>
      <c r="U36" s="6">
        <v>0</v>
      </c>
      <c r="V36" s="6">
        <f>IF(ISERROR(VLOOKUP($S$36,'TAR FIN'!$A$1:$O$86,15,0)),0,VLOOKUP($S$36,'TAR FIN'!$A$1:$O$86,15,0))</f>
        <v>5.65</v>
      </c>
      <c r="W36" s="6">
        <f>IF(ISERROR(VLOOKUP($T$36,'TAR FIN'!$A$1:$O$86,15,0)),0,VLOOKUP($T$36,'TAR FIN'!$A$1:$O$86,15,0))</f>
        <v>0</v>
      </c>
      <c r="X36" s="6">
        <f>IF(ISERROR(VLOOKUP($U$36,'TAR FIN'!$A$1:$O$86,15,0)),0,VLOOKUP($U$36,'TAR FIN'!$A$1:$O$86,15,0))</f>
        <v>0</v>
      </c>
      <c r="Y36" s="6">
        <f ca="1">('TUSD BE'!$AM$9+'TUSD BF_350'!$AM$9+'TUSD CVA'!$AM$9)*1</f>
        <v>5.5779170347181353</v>
      </c>
      <c r="Z36" s="6"/>
      <c r="AA36" s="6"/>
      <c r="AB36" s="6">
        <f>$K$36*$V$36</f>
        <v>2542.5</v>
      </c>
      <c r="AC36" s="6">
        <f>$M$36*$W$36</f>
        <v>0</v>
      </c>
      <c r="AD36" s="6">
        <f>$O$36*$X$36</f>
        <v>0</v>
      </c>
      <c r="AE36" s="6">
        <f ca="1">$K$36*$Y$36</f>
        <v>2510.0626656231607</v>
      </c>
      <c r="AF36" s="6">
        <f>$M$36*$Z$36</f>
        <v>0</v>
      </c>
      <c r="AG36" s="6">
        <f>$O$36*$AA$36</f>
        <v>0</v>
      </c>
    </row>
    <row r="37" spans="1:33" ht="11.25" customHeight="1" x14ac:dyDescent="0.25">
      <c r="A37" s="4" t="s">
        <v>21</v>
      </c>
      <c r="B37" s="4" t="s">
        <v>38</v>
      </c>
      <c r="C37" s="4" t="s">
        <v>58</v>
      </c>
      <c r="D37" s="4" t="s">
        <v>25</v>
      </c>
      <c r="E37" s="4" t="s">
        <v>25</v>
      </c>
      <c r="F37" s="4" t="s">
        <v>25</v>
      </c>
      <c r="G37" s="4" t="s">
        <v>61</v>
      </c>
      <c r="H37" s="4" t="s">
        <v>25</v>
      </c>
      <c r="I37" s="5">
        <v>44531</v>
      </c>
      <c r="J37" s="6">
        <v>780</v>
      </c>
      <c r="K37" s="6">
        <v>390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60</v>
      </c>
      <c r="R37" s="4">
        <v>2430</v>
      </c>
      <c r="S37" s="6">
        <v>5</v>
      </c>
      <c r="T37" s="6">
        <v>0</v>
      </c>
      <c r="U37" s="6">
        <v>0</v>
      </c>
      <c r="V37" s="6">
        <f>IF(ISERROR(VLOOKUP($S$37,'TAR FIN'!$A$1:$O$86,15,0)),0,VLOOKUP($S$37,'TAR FIN'!$A$1:$O$86,15,0))</f>
        <v>5.65</v>
      </c>
      <c r="W37" s="6">
        <f>IF(ISERROR(VLOOKUP($T$37,'TAR FIN'!$A$1:$O$86,15,0)),0,VLOOKUP($T$37,'TAR FIN'!$A$1:$O$86,15,0))</f>
        <v>0</v>
      </c>
      <c r="X37" s="6">
        <f>IF(ISERROR(VLOOKUP($U$37,'TAR FIN'!$A$1:$O$86,15,0)),0,VLOOKUP($U$37,'TAR FIN'!$A$1:$O$86,15,0))</f>
        <v>0</v>
      </c>
      <c r="Y37" s="6">
        <f ca="1">('TUSD BE'!$AM$9+'TUSD BF_350'!$AM$9+'TUSD CVA'!$AM$9)*1</f>
        <v>5.5779170347181353</v>
      </c>
      <c r="Z37" s="6"/>
      <c r="AA37" s="6"/>
      <c r="AB37" s="6">
        <f>$K$37*$V$37</f>
        <v>2203.5</v>
      </c>
      <c r="AC37" s="6">
        <f>$M$37*$W$37</f>
        <v>0</v>
      </c>
      <c r="AD37" s="6">
        <f>$O$37*$X$37</f>
        <v>0</v>
      </c>
      <c r="AE37" s="6">
        <f ca="1">$K$37*$Y$37</f>
        <v>2175.3876435400725</v>
      </c>
      <c r="AF37" s="6">
        <f>$M$37*$Z$37</f>
        <v>0</v>
      </c>
      <c r="AG37" s="6">
        <f>$O$37*$AA$37</f>
        <v>0</v>
      </c>
    </row>
    <row r="38" spans="1:33" ht="11.25" customHeight="1" x14ac:dyDescent="0.25">
      <c r="A38" s="4" t="s">
        <v>21</v>
      </c>
      <c r="B38" s="4" t="s">
        <v>38</v>
      </c>
      <c r="C38" s="4" t="s">
        <v>58</v>
      </c>
      <c r="D38" s="4" t="s">
        <v>25</v>
      </c>
      <c r="E38" s="4" t="s">
        <v>25</v>
      </c>
      <c r="F38" s="4" t="s">
        <v>25</v>
      </c>
      <c r="G38" s="4" t="s">
        <v>59</v>
      </c>
      <c r="H38" s="4" t="s">
        <v>25</v>
      </c>
      <c r="I38" s="5">
        <v>44562</v>
      </c>
      <c r="J38" s="6">
        <v>900</v>
      </c>
      <c r="K38" s="6">
        <v>450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60</v>
      </c>
      <c r="R38" s="4">
        <v>30634</v>
      </c>
      <c r="S38" s="6">
        <v>5</v>
      </c>
      <c r="T38" s="6">
        <v>0</v>
      </c>
      <c r="U38" s="6">
        <v>0</v>
      </c>
      <c r="V38" s="6">
        <f>IF(ISERROR(VLOOKUP($S$38,'TAR FIN'!$A$1:$O$86,15,0)),0,VLOOKUP($S$38,'TAR FIN'!$A$1:$O$86,15,0))</f>
        <v>5.65</v>
      </c>
      <c r="W38" s="6">
        <f>IF(ISERROR(VLOOKUP($T$38,'TAR FIN'!$A$1:$O$86,15,0)),0,VLOOKUP($T$38,'TAR FIN'!$A$1:$O$86,15,0))</f>
        <v>0</v>
      </c>
      <c r="X38" s="6">
        <f>IF(ISERROR(VLOOKUP($U$38,'TAR FIN'!$A$1:$O$86,15,0)),0,VLOOKUP($U$38,'TAR FIN'!$A$1:$O$86,15,0))</f>
        <v>0</v>
      </c>
      <c r="Y38" s="6">
        <f ca="1">('TUSD BE'!$AM$9+'TUSD BF_350'!$AM$9+'TUSD CVA'!$AM$9)*1</f>
        <v>5.5779170347181353</v>
      </c>
      <c r="Z38" s="6"/>
      <c r="AA38" s="6"/>
      <c r="AB38" s="6">
        <f>$K$38*$V$38</f>
        <v>2542.5</v>
      </c>
      <c r="AC38" s="6">
        <f>$M$38*$W$38</f>
        <v>0</v>
      </c>
      <c r="AD38" s="6">
        <f>$O$38*$X$38</f>
        <v>0</v>
      </c>
      <c r="AE38" s="6">
        <f ca="1">$K$38*$Y$38</f>
        <v>2510.0626656231607</v>
      </c>
      <c r="AF38" s="6">
        <f>$M$38*$Z$38</f>
        <v>0</v>
      </c>
      <c r="AG38" s="6">
        <f>$O$38*$AA$38</f>
        <v>0</v>
      </c>
    </row>
    <row r="39" spans="1:33" ht="11.25" customHeight="1" x14ac:dyDescent="0.25">
      <c r="A39" s="4" t="s">
        <v>21</v>
      </c>
      <c r="B39" s="4" t="s">
        <v>38</v>
      </c>
      <c r="C39" s="4" t="s">
        <v>58</v>
      </c>
      <c r="D39" s="4" t="s">
        <v>25</v>
      </c>
      <c r="E39" s="4" t="s">
        <v>25</v>
      </c>
      <c r="F39" s="4" t="s">
        <v>25</v>
      </c>
      <c r="G39" s="4" t="s">
        <v>61</v>
      </c>
      <c r="H39" s="4" t="s">
        <v>25</v>
      </c>
      <c r="I39" s="5">
        <v>44562</v>
      </c>
      <c r="J39" s="6">
        <v>780</v>
      </c>
      <c r="K39" s="6">
        <v>390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60</v>
      </c>
      <c r="R39" s="4">
        <v>2430</v>
      </c>
      <c r="S39" s="6">
        <v>5</v>
      </c>
      <c r="T39" s="6">
        <v>0</v>
      </c>
      <c r="U39" s="6">
        <v>0</v>
      </c>
      <c r="V39" s="6">
        <f>IF(ISERROR(VLOOKUP($S$39,'TAR FIN'!$A$1:$O$86,15,0)),0,VLOOKUP($S$39,'TAR FIN'!$A$1:$O$86,15,0))</f>
        <v>5.65</v>
      </c>
      <c r="W39" s="6">
        <f>IF(ISERROR(VLOOKUP($T$39,'TAR FIN'!$A$1:$O$86,15,0)),0,VLOOKUP($T$39,'TAR FIN'!$A$1:$O$86,15,0))</f>
        <v>0</v>
      </c>
      <c r="X39" s="6">
        <f>IF(ISERROR(VLOOKUP($U$39,'TAR FIN'!$A$1:$O$86,15,0)),0,VLOOKUP($U$39,'TAR FIN'!$A$1:$O$86,15,0))</f>
        <v>0</v>
      </c>
      <c r="Y39" s="6">
        <f ca="1">('TUSD BE'!$AM$9+'TUSD BF_350'!$AM$9+'TUSD CVA'!$AM$9)*1</f>
        <v>5.5779170347181353</v>
      </c>
      <c r="Z39" s="6"/>
      <c r="AA39" s="6"/>
      <c r="AB39" s="6">
        <f>$K$39*$V$39</f>
        <v>2203.5</v>
      </c>
      <c r="AC39" s="6">
        <f>$M$39*$W$39</f>
        <v>0</v>
      </c>
      <c r="AD39" s="6">
        <f>$O$39*$X$39</f>
        <v>0</v>
      </c>
      <c r="AE39" s="6">
        <f ca="1">$K$39*$Y$39</f>
        <v>2175.3876435400725</v>
      </c>
      <c r="AF39" s="6">
        <f>$M$39*$Z$39</f>
        <v>0</v>
      </c>
      <c r="AG39" s="6">
        <f>$O$39*$AA$39</f>
        <v>0</v>
      </c>
    </row>
    <row r="40" spans="1:33" ht="11.25" customHeight="1" x14ac:dyDescent="0.25">
      <c r="A40" s="4" t="s">
        <v>21</v>
      </c>
      <c r="B40" s="4" t="s">
        <v>38</v>
      </c>
      <c r="C40" s="4" t="s">
        <v>58</v>
      </c>
      <c r="D40" s="4" t="s">
        <v>25</v>
      </c>
      <c r="E40" s="4" t="s">
        <v>25</v>
      </c>
      <c r="F40" s="4" t="s">
        <v>25</v>
      </c>
      <c r="G40" s="4" t="s">
        <v>59</v>
      </c>
      <c r="H40" s="4" t="s">
        <v>25</v>
      </c>
      <c r="I40" s="5">
        <v>44593</v>
      </c>
      <c r="J40" s="6">
        <v>900</v>
      </c>
      <c r="K40" s="6">
        <v>450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60</v>
      </c>
      <c r="R40" s="4">
        <v>30634</v>
      </c>
      <c r="S40" s="6">
        <v>5</v>
      </c>
      <c r="T40" s="6">
        <v>0</v>
      </c>
      <c r="U40" s="6">
        <v>0</v>
      </c>
      <c r="V40" s="6">
        <f>IF(ISERROR(VLOOKUP($S$40,'TAR FIN'!$A$1:$O$86,15,0)),0,VLOOKUP($S$40,'TAR FIN'!$A$1:$O$86,15,0))</f>
        <v>5.65</v>
      </c>
      <c r="W40" s="6">
        <f>IF(ISERROR(VLOOKUP($T$40,'TAR FIN'!$A$1:$O$86,15,0)),0,VLOOKUP($T$40,'TAR FIN'!$A$1:$O$86,15,0))</f>
        <v>0</v>
      </c>
      <c r="X40" s="6">
        <f>IF(ISERROR(VLOOKUP($U$40,'TAR FIN'!$A$1:$O$86,15,0)),0,VLOOKUP($U$40,'TAR FIN'!$A$1:$O$86,15,0))</f>
        <v>0</v>
      </c>
      <c r="Y40" s="6">
        <f ca="1">('TUSD BE'!$AM$9+'TUSD BF_350'!$AM$9+'TUSD CVA'!$AM$9)*1</f>
        <v>5.5779170347181353</v>
      </c>
      <c r="Z40" s="6"/>
      <c r="AA40" s="6"/>
      <c r="AB40" s="6">
        <f>$K$40*$V$40</f>
        <v>2542.5</v>
      </c>
      <c r="AC40" s="6">
        <f>$M$40*$W$40</f>
        <v>0</v>
      </c>
      <c r="AD40" s="6">
        <f>$O$40*$X$40</f>
        <v>0</v>
      </c>
      <c r="AE40" s="6">
        <f ca="1">$K$40*$Y$40</f>
        <v>2510.0626656231607</v>
      </c>
      <c r="AF40" s="6">
        <f>$M$40*$Z$40</f>
        <v>0</v>
      </c>
      <c r="AG40" s="6">
        <f>$O$40*$AA$40</f>
        <v>0</v>
      </c>
    </row>
    <row r="41" spans="1:33" ht="11.25" customHeight="1" x14ac:dyDescent="0.25">
      <c r="A41" s="4" t="s">
        <v>21</v>
      </c>
      <c r="B41" s="4" t="s">
        <v>38</v>
      </c>
      <c r="C41" s="4" t="s">
        <v>58</v>
      </c>
      <c r="D41" s="4" t="s">
        <v>25</v>
      </c>
      <c r="E41" s="4" t="s">
        <v>25</v>
      </c>
      <c r="F41" s="4" t="s">
        <v>25</v>
      </c>
      <c r="G41" s="4" t="s">
        <v>61</v>
      </c>
      <c r="H41" s="4" t="s">
        <v>25</v>
      </c>
      <c r="I41" s="5">
        <v>44593</v>
      </c>
      <c r="J41" s="6">
        <v>780</v>
      </c>
      <c r="K41" s="6">
        <v>390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60</v>
      </c>
      <c r="R41" s="4">
        <v>2430</v>
      </c>
      <c r="S41" s="6">
        <v>5</v>
      </c>
      <c r="T41" s="6">
        <v>0</v>
      </c>
      <c r="U41" s="6">
        <v>0</v>
      </c>
      <c r="V41" s="6">
        <f>IF(ISERROR(VLOOKUP($S$41,'TAR FIN'!$A$1:$O$86,15,0)),0,VLOOKUP($S$41,'TAR FIN'!$A$1:$O$86,15,0))</f>
        <v>5.65</v>
      </c>
      <c r="W41" s="6">
        <f>IF(ISERROR(VLOOKUP($T$41,'TAR FIN'!$A$1:$O$86,15,0)),0,VLOOKUP($T$41,'TAR FIN'!$A$1:$O$86,15,0))</f>
        <v>0</v>
      </c>
      <c r="X41" s="6">
        <f>IF(ISERROR(VLOOKUP($U$41,'TAR FIN'!$A$1:$O$86,15,0)),0,VLOOKUP($U$41,'TAR FIN'!$A$1:$O$86,15,0))</f>
        <v>0</v>
      </c>
      <c r="Y41" s="6">
        <f ca="1">('TUSD BE'!$AM$9+'TUSD BF_350'!$AM$9+'TUSD CVA'!$AM$9)*1</f>
        <v>5.5779170347181353</v>
      </c>
      <c r="Z41" s="6"/>
      <c r="AA41" s="6"/>
      <c r="AB41" s="6">
        <f>$K$41*$V$41</f>
        <v>2203.5</v>
      </c>
      <c r="AC41" s="6">
        <f>$M$41*$W$41</f>
        <v>0</v>
      </c>
      <c r="AD41" s="6">
        <f>$O$41*$X$41</f>
        <v>0</v>
      </c>
      <c r="AE41" s="6">
        <f ca="1">$K$41*$Y$41</f>
        <v>2175.3876435400725</v>
      </c>
      <c r="AF41" s="6">
        <f>$M$41*$Z$41</f>
        <v>0</v>
      </c>
      <c r="AG41" s="6">
        <f>$O$41*$AA$41</f>
        <v>0</v>
      </c>
    </row>
    <row r="42" spans="1:33" ht="11.25" customHeight="1" x14ac:dyDescent="0.25">
      <c r="A42" s="4" t="s">
        <v>21</v>
      </c>
      <c r="B42" s="4" t="s">
        <v>38</v>
      </c>
      <c r="C42" s="4" t="s">
        <v>58</v>
      </c>
      <c r="D42" s="4" t="s">
        <v>25</v>
      </c>
      <c r="E42" s="4" t="s">
        <v>25</v>
      </c>
      <c r="F42" s="4" t="s">
        <v>25</v>
      </c>
      <c r="G42" s="4" t="s">
        <v>59</v>
      </c>
      <c r="H42" s="4" t="s">
        <v>25</v>
      </c>
      <c r="I42" s="5">
        <v>44621</v>
      </c>
      <c r="J42" s="6">
        <v>900</v>
      </c>
      <c r="K42" s="6">
        <v>450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60</v>
      </c>
      <c r="R42" s="4">
        <v>30634</v>
      </c>
      <c r="S42" s="6">
        <v>5</v>
      </c>
      <c r="T42" s="6">
        <v>0</v>
      </c>
      <c r="U42" s="6">
        <v>0</v>
      </c>
      <c r="V42" s="6">
        <f>IF(ISERROR(VLOOKUP($S$42,'TAR FIN'!$A$1:$O$86,15,0)),0,VLOOKUP($S$42,'TAR FIN'!$A$1:$O$86,15,0))</f>
        <v>5.65</v>
      </c>
      <c r="W42" s="6">
        <f>IF(ISERROR(VLOOKUP($T$42,'TAR FIN'!$A$1:$O$86,15,0)),0,VLOOKUP($T$42,'TAR FIN'!$A$1:$O$86,15,0))</f>
        <v>0</v>
      </c>
      <c r="X42" s="6">
        <f>IF(ISERROR(VLOOKUP($U$42,'TAR FIN'!$A$1:$O$86,15,0)),0,VLOOKUP($U$42,'TAR FIN'!$A$1:$O$86,15,0))</f>
        <v>0</v>
      </c>
      <c r="Y42" s="6">
        <f ca="1">('TUSD BE'!$AM$9+'TUSD BF_350'!$AM$9+'TUSD CVA'!$AM$9)*1</f>
        <v>5.5779170347181353</v>
      </c>
      <c r="Z42" s="6"/>
      <c r="AA42" s="6"/>
      <c r="AB42" s="6">
        <f>$K$42*$V$42</f>
        <v>2542.5</v>
      </c>
      <c r="AC42" s="6">
        <f>$M$42*$W$42</f>
        <v>0</v>
      </c>
      <c r="AD42" s="6">
        <f>$O$42*$X$42</f>
        <v>0</v>
      </c>
      <c r="AE42" s="6">
        <f ca="1">$K$42*$Y$42</f>
        <v>2510.0626656231607</v>
      </c>
      <c r="AF42" s="6">
        <f>$M$42*$Z$42</f>
        <v>0</v>
      </c>
      <c r="AG42" s="6">
        <f>$O$42*$AA$42</f>
        <v>0</v>
      </c>
    </row>
    <row r="43" spans="1:33" ht="11.25" customHeight="1" x14ac:dyDescent="0.25">
      <c r="A43" s="4" t="s">
        <v>21</v>
      </c>
      <c r="B43" s="4" t="s">
        <v>38</v>
      </c>
      <c r="C43" s="4" t="s">
        <v>58</v>
      </c>
      <c r="D43" s="4" t="s">
        <v>25</v>
      </c>
      <c r="E43" s="4" t="s">
        <v>25</v>
      </c>
      <c r="F43" s="4" t="s">
        <v>25</v>
      </c>
      <c r="G43" s="4" t="s">
        <v>61</v>
      </c>
      <c r="H43" s="4" t="s">
        <v>25</v>
      </c>
      <c r="I43" s="5">
        <v>44621</v>
      </c>
      <c r="J43" s="6">
        <v>780</v>
      </c>
      <c r="K43" s="6">
        <v>390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60</v>
      </c>
      <c r="R43" s="4">
        <v>2430</v>
      </c>
      <c r="S43" s="6">
        <v>5</v>
      </c>
      <c r="T43" s="6">
        <v>0</v>
      </c>
      <c r="U43" s="6">
        <v>0</v>
      </c>
      <c r="V43" s="6">
        <f>IF(ISERROR(VLOOKUP($S$43,'TAR FIN'!$A$1:$O$86,15,0)),0,VLOOKUP($S$43,'TAR FIN'!$A$1:$O$86,15,0))</f>
        <v>5.65</v>
      </c>
      <c r="W43" s="6">
        <f>IF(ISERROR(VLOOKUP($T$43,'TAR FIN'!$A$1:$O$86,15,0)),0,VLOOKUP($T$43,'TAR FIN'!$A$1:$O$86,15,0))</f>
        <v>0</v>
      </c>
      <c r="X43" s="6">
        <f>IF(ISERROR(VLOOKUP($U$43,'TAR FIN'!$A$1:$O$86,15,0)),0,VLOOKUP($U$43,'TAR FIN'!$A$1:$O$86,15,0))</f>
        <v>0</v>
      </c>
      <c r="Y43" s="6">
        <f ca="1">('TUSD BE'!$AM$9+'TUSD BF_350'!$AM$9+'TUSD CVA'!$AM$9)*1</f>
        <v>5.5779170347181353</v>
      </c>
      <c r="Z43" s="6"/>
      <c r="AA43" s="6"/>
      <c r="AB43" s="6">
        <f>$K$43*$V$43</f>
        <v>2203.5</v>
      </c>
      <c r="AC43" s="6">
        <f>$M$43*$W$43</f>
        <v>0</v>
      </c>
      <c r="AD43" s="6">
        <f>$O$43*$X$43</f>
        <v>0</v>
      </c>
      <c r="AE43" s="6">
        <f ca="1">$K$43*$Y$43</f>
        <v>2175.3876435400725</v>
      </c>
      <c r="AF43" s="6">
        <f>$M$43*$Z$43</f>
        <v>0</v>
      </c>
      <c r="AG43" s="6">
        <f>$O$43*$AA$43</f>
        <v>0</v>
      </c>
    </row>
    <row r="44" spans="1:33" ht="11.25" customHeight="1" x14ac:dyDescent="0.25">
      <c r="A44" s="4" t="s">
        <v>21</v>
      </c>
      <c r="B44" s="4" t="s">
        <v>38</v>
      </c>
      <c r="C44" s="4" t="s">
        <v>58</v>
      </c>
      <c r="D44" s="4" t="s">
        <v>25</v>
      </c>
      <c r="E44" s="4" t="s">
        <v>25</v>
      </c>
      <c r="F44" s="4" t="s">
        <v>25</v>
      </c>
      <c r="G44" s="4" t="s">
        <v>59</v>
      </c>
      <c r="H44" s="4" t="s">
        <v>25</v>
      </c>
      <c r="I44" s="5">
        <v>44652</v>
      </c>
      <c r="J44" s="6">
        <v>945</v>
      </c>
      <c r="K44" s="6">
        <v>472.5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60</v>
      </c>
      <c r="R44" s="4">
        <v>30634</v>
      </c>
      <c r="S44" s="6">
        <v>5</v>
      </c>
      <c r="T44" s="6">
        <v>0</v>
      </c>
      <c r="U44" s="6">
        <v>0</v>
      </c>
      <c r="V44" s="6">
        <f>IF(ISERROR(VLOOKUP($S$44,'TAR FIN'!$A$1:$O$86,15,0)),0,VLOOKUP($S$44,'TAR FIN'!$A$1:$O$86,15,0))</f>
        <v>5.65</v>
      </c>
      <c r="W44" s="6">
        <f>IF(ISERROR(VLOOKUP($T$44,'TAR FIN'!$A$1:$O$86,15,0)),0,VLOOKUP($T$44,'TAR FIN'!$A$1:$O$86,15,0))</f>
        <v>0</v>
      </c>
      <c r="X44" s="6">
        <f>IF(ISERROR(VLOOKUP($U$44,'TAR FIN'!$A$1:$O$86,15,0)),0,VLOOKUP($U$44,'TAR FIN'!$A$1:$O$86,15,0))</f>
        <v>0</v>
      </c>
      <c r="Y44" s="6">
        <f ca="1">('TUSD BE'!$AM$9+'TUSD BF_350'!$AM$9+'TUSD CVA'!$AM$9)*1</f>
        <v>5.5779170347181353</v>
      </c>
      <c r="Z44" s="6"/>
      <c r="AA44" s="6"/>
      <c r="AB44" s="6">
        <f>$K$44*$V$44</f>
        <v>2669.625</v>
      </c>
      <c r="AC44" s="6">
        <f>$M$44*$W$44</f>
        <v>0</v>
      </c>
      <c r="AD44" s="6">
        <f>$O$44*$X$44</f>
        <v>0</v>
      </c>
      <c r="AE44" s="6">
        <f ca="1">$K$44*$Y$44</f>
        <v>2635.5657989043189</v>
      </c>
      <c r="AF44" s="6">
        <f>$M$44*$Z$44</f>
        <v>0</v>
      </c>
      <c r="AG44" s="6">
        <f>$O$44*$AA$44</f>
        <v>0</v>
      </c>
    </row>
    <row r="45" spans="1:33" ht="11.25" customHeight="1" x14ac:dyDescent="0.25">
      <c r="A45" s="4" t="s">
        <v>21</v>
      </c>
      <c r="B45" s="4" t="s">
        <v>38</v>
      </c>
      <c r="C45" s="4" t="s">
        <v>58</v>
      </c>
      <c r="D45" s="4" t="s">
        <v>25</v>
      </c>
      <c r="E45" s="4" t="s">
        <v>25</v>
      </c>
      <c r="F45" s="4" t="s">
        <v>25</v>
      </c>
      <c r="G45" s="4" t="s">
        <v>61</v>
      </c>
      <c r="H45" s="4" t="s">
        <v>25</v>
      </c>
      <c r="I45" s="5">
        <v>44652</v>
      </c>
      <c r="J45" s="6">
        <v>780</v>
      </c>
      <c r="K45" s="6">
        <v>390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60</v>
      </c>
      <c r="R45" s="4">
        <v>2430</v>
      </c>
      <c r="S45" s="6">
        <v>5</v>
      </c>
      <c r="T45" s="6">
        <v>0</v>
      </c>
      <c r="U45" s="6">
        <v>0</v>
      </c>
      <c r="V45" s="6">
        <f>IF(ISERROR(VLOOKUP($S$45,'TAR FIN'!$A$1:$O$86,15,0)),0,VLOOKUP($S$45,'TAR FIN'!$A$1:$O$86,15,0))</f>
        <v>5.65</v>
      </c>
      <c r="W45" s="6">
        <f>IF(ISERROR(VLOOKUP($T$45,'TAR FIN'!$A$1:$O$86,15,0)),0,VLOOKUP($T$45,'TAR FIN'!$A$1:$O$86,15,0))</f>
        <v>0</v>
      </c>
      <c r="X45" s="6">
        <f>IF(ISERROR(VLOOKUP($U$45,'TAR FIN'!$A$1:$O$86,15,0)),0,VLOOKUP($U$45,'TAR FIN'!$A$1:$O$86,15,0))</f>
        <v>0</v>
      </c>
      <c r="Y45" s="6">
        <f ca="1">('TUSD BE'!$AM$9+'TUSD BF_350'!$AM$9+'TUSD CVA'!$AM$9)*1</f>
        <v>5.5779170347181353</v>
      </c>
      <c r="Z45" s="6"/>
      <c r="AA45" s="6"/>
      <c r="AB45" s="6">
        <f>$K$45*$V$45</f>
        <v>2203.5</v>
      </c>
      <c r="AC45" s="6">
        <f>$M$45*$W$45</f>
        <v>0</v>
      </c>
      <c r="AD45" s="6">
        <f>$O$45*$X$45</f>
        <v>0</v>
      </c>
      <c r="AE45" s="6">
        <f ca="1">$K$45*$Y$45</f>
        <v>2175.3876435400725</v>
      </c>
      <c r="AF45" s="6">
        <f>$M$45*$Z$45</f>
        <v>0</v>
      </c>
      <c r="AG45" s="6">
        <f>$O$45*$AA$45</f>
        <v>0</v>
      </c>
    </row>
    <row r="46" spans="1:33" ht="11.25" customHeight="1" x14ac:dyDescent="0.25">
      <c r="A46" s="4" t="s">
        <v>21</v>
      </c>
      <c r="B46" s="4" t="s">
        <v>38</v>
      </c>
      <c r="C46" s="4" t="s">
        <v>58</v>
      </c>
      <c r="D46" s="4" t="s">
        <v>25</v>
      </c>
      <c r="E46" s="4" t="s">
        <v>25</v>
      </c>
      <c r="F46" s="4" t="s">
        <v>25</v>
      </c>
      <c r="G46" s="4" t="s">
        <v>59</v>
      </c>
      <c r="H46" s="4" t="s">
        <v>25</v>
      </c>
      <c r="I46" s="5">
        <v>44682</v>
      </c>
      <c r="J46" s="6">
        <v>1075</v>
      </c>
      <c r="K46" s="6">
        <v>537.5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60</v>
      </c>
      <c r="R46" s="4">
        <v>30634</v>
      </c>
      <c r="S46" s="6">
        <v>5</v>
      </c>
      <c r="T46" s="6">
        <v>0</v>
      </c>
      <c r="U46" s="6">
        <v>0</v>
      </c>
      <c r="V46" s="6">
        <f>IF(ISERROR(VLOOKUP($S$46,'TAR FIN'!$A$1:$O$86,15,0)),0,VLOOKUP($S$46,'TAR FIN'!$A$1:$O$86,15,0))</f>
        <v>5.65</v>
      </c>
      <c r="W46" s="6">
        <f>IF(ISERROR(VLOOKUP($T$46,'TAR FIN'!$A$1:$O$86,15,0)),0,VLOOKUP($T$46,'TAR FIN'!$A$1:$O$86,15,0))</f>
        <v>0</v>
      </c>
      <c r="X46" s="6">
        <f>IF(ISERROR(VLOOKUP($U$46,'TAR FIN'!$A$1:$O$86,15,0)),0,VLOOKUP($U$46,'TAR FIN'!$A$1:$O$86,15,0))</f>
        <v>0</v>
      </c>
      <c r="Y46" s="6">
        <f ca="1">('TUSD BE'!$AM$9+'TUSD BF_350'!$AM$9+'TUSD CVA'!$AM$9)*1</f>
        <v>5.5779170347181353</v>
      </c>
      <c r="Z46" s="6"/>
      <c r="AA46" s="6"/>
      <c r="AB46" s="6">
        <f>$K$46*$V$46</f>
        <v>3036.875</v>
      </c>
      <c r="AC46" s="6">
        <f>$M$46*$W$46</f>
        <v>0</v>
      </c>
      <c r="AD46" s="6">
        <f>$O$46*$X$46</f>
        <v>0</v>
      </c>
      <c r="AE46" s="6">
        <f ca="1">$K$46*$Y$46</f>
        <v>2998.1304061609976</v>
      </c>
      <c r="AF46" s="6">
        <f>$M$46*$Z$46</f>
        <v>0</v>
      </c>
      <c r="AG46" s="6">
        <f>$O$46*$AA$46</f>
        <v>0</v>
      </c>
    </row>
    <row r="47" spans="1:33" ht="11.25" customHeight="1" x14ac:dyDescent="0.25">
      <c r="A47" s="4" t="s">
        <v>21</v>
      </c>
      <c r="B47" s="4" t="s">
        <v>38</v>
      </c>
      <c r="C47" s="4" t="s">
        <v>58</v>
      </c>
      <c r="D47" s="4" t="s">
        <v>25</v>
      </c>
      <c r="E47" s="4" t="s">
        <v>25</v>
      </c>
      <c r="F47" s="4" t="s">
        <v>25</v>
      </c>
      <c r="G47" s="4" t="s">
        <v>61</v>
      </c>
      <c r="H47" s="4" t="s">
        <v>25</v>
      </c>
      <c r="I47" s="5">
        <v>44682</v>
      </c>
      <c r="J47" s="6">
        <v>780</v>
      </c>
      <c r="K47" s="6">
        <v>390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60</v>
      </c>
      <c r="R47" s="4">
        <v>2430</v>
      </c>
      <c r="S47" s="6">
        <v>5</v>
      </c>
      <c r="T47" s="6">
        <v>0</v>
      </c>
      <c r="U47" s="6">
        <v>0</v>
      </c>
      <c r="V47" s="6">
        <f>IF(ISERROR(VLOOKUP($S$47,'TAR FIN'!$A$1:$O$86,15,0)),0,VLOOKUP($S$47,'TAR FIN'!$A$1:$O$86,15,0))</f>
        <v>5.65</v>
      </c>
      <c r="W47" s="6">
        <f>IF(ISERROR(VLOOKUP($T$47,'TAR FIN'!$A$1:$O$86,15,0)),0,VLOOKUP($T$47,'TAR FIN'!$A$1:$O$86,15,0))</f>
        <v>0</v>
      </c>
      <c r="X47" s="6">
        <f>IF(ISERROR(VLOOKUP($U$47,'TAR FIN'!$A$1:$O$86,15,0)),0,VLOOKUP($U$47,'TAR FIN'!$A$1:$O$86,15,0))</f>
        <v>0</v>
      </c>
      <c r="Y47" s="6">
        <f ca="1">('TUSD BE'!$AM$9+'TUSD BF_350'!$AM$9+'TUSD CVA'!$AM$9)*1</f>
        <v>5.5779170347181353</v>
      </c>
      <c r="Z47" s="6"/>
      <c r="AA47" s="6"/>
      <c r="AB47" s="6">
        <f>$K$47*$V$47</f>
        <v>2203.5</v>
      </c>
      <c r="AC47" s="6">
        <f>$M$47*$W$47</f>
        <v>0</v>
      </c>
      <c r="AD47" s="6">
        <f>$O$47*$X$47</f>
        <v>0</v>
      </c>
      <c r="AE47" s="6">
        <f ca="1">$K$47*$Y$47</f>
        <v>2175.3876435400725</v>
      </c>
      <c r="AF47" s="6">
        <f>$M$47*$Z$47</f>
        <v>0</v>
      </c>
      <c r="AG47" s="6">
        <f>$O$47*$AA$47</f>
        <v>0</v>
      </c>
    </row>
    <row r="48" spans="1:33" ht="11.25" customHeight="1" x14ac:dyDescent="0.25">
      <c r="A48" s="4" t="s">
        <v>55</v>
      </c>
      <c r="B48" s="4" t="s">
        <v>38</v>
      </c>
      <c r="C48" s="4" t="s">
        <v>58</v>
      </c>
      <c r="D48" s="4" t="s">
        <v>25</v>
      </c>
      <c r="E48" s="4" t="s">
        <v>25</v>
      </c>
      <c r="F48" s="4" t="s">
        <v>25</v>
      </c>
      <c r="G48" s="4" t="s">
        <v>59</v>
      </c>
      <c r="H48" s="4" t="s">
        <v>25</v>
      </c>
      <c r="I48" s="5">
        <v>44713</v>
      </c>
      <c r="J48" s="6">
        <v>1075</v>
      </c>
      <c r="K48" s="6">
        <v>537.5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60</v>
      </c>
      <c r="R48" s="4">
        <v>30634</v>
      </c>
      <c r="S48" s="6">
        <v>5</v>
      </c>
      <c r="T48" s="6">
        <v>0</v>
      </c>
      <c r="U48" s="6">
        <v>0</v>
      </c>
      <c r="V48" s="6">
        <f>IF(ISERROR(VLOOKUP($S$48,'TAR FIN'!$A$1:$O$86,15,0)),0,VLOOKUP($S$48,'TAR FIN'!$A$1:$O$86,15,0))</f>
        <v>5.65</v>
      </c>
      <c r="W48" s="6">
        <f>IF(ISERROR(VLOOKUP($T$48,'TAR FIN'!$A$1:$O$86,15,0)),0,VLOOKUP($T$48,'TAR FIN'!$A$1:$O$86,15,0))</f>
        <v>0</v>
      </c>
      <c r="X48" s="6">
        <f>IF(ISERROR(VLOOKUP($U$48,'TAR FIN'!$A$1:$O$86,15,0)),0,VLOOKUP($U$48,'TAR FIN'!$A$1:$O$86,15,0))</f>
        <v>0</v>
      </c>
      <c r="Y48" s="6">
        <f ca="1">('TUSD BE'!$AM$9+'TUSD BF_350'!$AM$9+'TUSD CVA'!$AM$9)*1</f>
        <v>5.5779170347181353</v>
      </c>
      <c r="Z48" s="6"/>
      <c r="AA48" s="6"/>
      <c r="AB48" s="6">
        <f>$K$48*$V$48</f>
        <v>3036.875</v>
      </c>
      <c r="AC48" s="6">
        <f>$M$48*$W$48</f>
        <v>0</v>
      </c>
      <c r="AD48" s="6">
        <f>$O$48*$X$48</f>
        <v>0</v>
      </c>
      <c r="AE48" s="6">
        <f ca="1">$K$48*$Y$48</f>
        <v>2998.1304061609976</v>
      </c>
      <c r="AF48" s="6">
        <f>$M$48*$Z$48</f>
        <v>0</v>
      </c>
      <c r="AG48" s="6">
        <f>$O$48*$AA$48</f>
        <v>0</v>
      </c>
    </row>
    <row r="49" spans="1:33" ht="11.25" customHeight="1" x14ac:dyDescent="0.25">
      <c r="A49" s="4" t="s">
        <v>55</v>
      </c>
      <c r="B49" s="4" t="s">
        <v>38</v>
      </c>
      <c r="C49" s="4" t="s">
        <v>58</v>
      </c>
      <c r="D49" s="4" t="s">
        <v>25</v>
      </c>
      <c r="E49" s="4" t="s">
        <v>25</v>
      </c>
      <c r="F49" s="4" t="s">
        <v>25</v>
      </c>
      <c r="G49" s="4" t="s">
        <v>61</v>
      </c>
      <c r="H49" s="4" t="s">
        <v>25</v>
      </c>
      <c r="I49" s="5">
        <v>44713</v>
      </c>
      <c r="J49" s="6">
        <v>780</v>
      </c>
      <c r="K49" s="6">
        <v>390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60</v>
      </c>
      <c r="R49" s="4">
        <v>2430</v>
      </c>
      <c r="S49" s="6">
        <v>5</v>
      </c>
      <c r="T49" s="6">
        <v>0</v>
      </c>
      <c r="U49" s="6">
        <v>0</v>
      </c>
      <c r="V49" s="6">
        <f>IF(ISERROR(VLOOKUP($S$49,'TAR FIN'!$A$1:$O$86,15,0)),0,VLOOKUP($S$49,'TAR FIN'!$A$1:$O$86,15,0))</f>
        <v>5.65</v>
      </c>
      <c r="W49" s="6">
        <f>IF(ISERROR(VLOOKUP($T$49,'TAR FIN'!$A$1:$O$86,15,0)),0,VLOOKUP($T$49,'TAR FIN'!$A$1:$O$86,15,0))</f>
        <v>0</v>
      </c>
      <c r="X49" s="6">
        <f>IF(ISERROR(VLOOKUP($U$49,'TAR FIN'!$A$1:$O$86,15,0)),0,VLOOKUP($U$49,'TAR FIN'!$A$1:$O$86,15,0))</f>
        <v>0</v>
      </c>
      <c r="Y49" s="6">
        <f ca="1">('TUSD BE'!$AM$9+'TUSD BF_350'!$AM$9+'TUSD CVA'!$AM$9)*1</f>
        <v>5.5779170347181353</v>
      </c>
      <c r="Z49" s="6"/>
      <c r="AA49" s="6"/>
      <c r="AB49" s="6">
        <f>$K$49*$V$49</f>
        <v>2203.5</v>
      </c>
      <c r="AC49" s="6">
        <f>$M$49*$W$49</f>
        <v>0</v>
      </c>
      <c r="AD49" s="6">
        <f>$O$49*$X$49</f>
        <v>0</v>
      </c>
      <c r="AE49" s="6">
        <f ca="1">$K$49*$Y$49</f>
        <v>2175.3876435400725</v>
      </c>
      <c r="AF49" s="6">
        <f>$M$49*$Z$49</f>
        <v>0</v>
      </c>
      <c r="AG49" s="6">
        <f>$O$49*$AA$49</f>
        <v>0</v>
      </c>
    </row>
    <row r="50" spans="1:33" ht="11.25" customHeight="1" x14ac:dyDescent="0.25">
      <c r="A50" s="4" t="s">
        <v>21</v>
      </c>
      <c r="B50" s="4" t="s">
        <v>38</v>
      </c>
      <c r="C50" s="4" t="s">
        <v>39</v>
      </c>
      <c r="D50" s="4" t="s">
        <v>40</v>
      </c>
      <c r="E50" s="4" t="s">
        <v>25</v>
      </c>
      <c r="F50" s="4" t="s">
        <v>25</v>
      </c>
      <c r="G50" s="4" t="s">
        <v>25</v>
      </c>
      <c r="H50" s="4" t="s">
        <v>34</v>
      </c>
      <c r="I50" s="5">
        <v>44378</v>
      </c>
      <c r="J50" s="6">
        <v>0</v>
      </c>
      <c r="K50" s="6">
        <v>0</v>
      </c>
      <c r="L50" s="6">
        <v>99.381</v>
      </c>
      <c r="M50" s="6">
        <v>99.381</v>
      </c>
      <c r="N50" s="6">
        <v>99.381</v>
      </c>
      <c r="O50" s="6">
        <v>99.381</v>
      </c>
      <c r="P50" s="6">
        <v>0</v>
      </c>
      <c r="Q50" s="4" t="s">
        <v>26</v>
      </c>
      <c r="R50" s="4">
        <v>0</v>
      </c>
      <c r="S50" s="6">
        <v>0</v>
      </c>
      <c r="T50" s="6">
        <v>17</v>
      </c>
      <c r="U50" s="6">
        <v>78</v>
      </c>
      <c r="V50" s="6">
        <f>IF(ISERROR(VLOOKUP($S$50,'TAR FIN'!$A$1:$O$86,15,0)),0,VLOOKUP($S$50,'TAR FIN'!$A$1:$O$86,15,0))</f>
        <v>0</v>
      </c>
      <c r="W50" s="6">
        <f>IF(ISERROR(VLOOKUP($T$50,'TAR FIN'!$A$1:$O$86,15,0)),0,VLOOKUP($T$50,'TAR FIN'!$A$1:$O$86,15,0))</f>
        <v>71.260000000000005</v>
      </c>
      <c r="X50" s="6">
        <f>IF(ISERROR(VLOOKUP($U$50,'TAR FIN'!$A$1:$O$86,15,0)),0,VLOOKUP($U$50,'TAR FIN'!$A$1:$O$86,15,0))</f>
        <v>297.31</v>
      </c>
      <c r="Y50" s="6"/>
      <c r="Z50" s="6">
        <f ca="1">('TUSD BE'!$AM$12+'TUSD BF_350'!$AM$12+'TUSD CVA'!$AM$12)*1</f>
        <v>95.815448102611441</v>
      </c>
      <c r="AA50" s="6">
        <f ca="1">('TE BE'!$AB$6+'TE BF_350'!$AB$6+'TE CVA'!$AB$6)*1</f>
        <v>235.33989117487977</v>
      </c>
      <c r="AB50" s="6">
        <f>$K$50*$V$50</f>
        <v>0</v>
      </c>
      <c r="AC50" s="6">
        <f>$M$50*$W$50</f>
        <v>7081.8900600000006</v>
      </c>
      <c r="AD50" s="6">
        <f>$O$50*$X$50</f>
        <v>29546.965110000001</v>
      </c>
      <c r="AE50" s="6">
        <f>$K$50*$Y$50</f>
        <v>0</v>
      </c>
      <c r="AF50" s="6">
        <f ca="1">$M$50*$Z$50</f>
        <v>9522.2350478856279</v>
      </c>
      <c r="AG50" s="6">
        <f ca="1">$O$50*$AA$50</f>
        <v>23388.313724850726</v>
      </c>
    </row>
    <row r="51" spans="1:33" ht="11.25" customHeight="1" x14ac:dyDescent="0.25">
      <c r="A51" s="4" t="s">
        <v>27</v>
      </c>
      <c r="B51" s="4" t="s">
        <v>38</v>
      </c>
      <c r="C51" s="4" t="s">
        <v>39</v>
      </c>
      <c r="D51" s="4" t="s">
        <v>40</v>
      </c>
      <c r="E51" s="4" t="s">
        <v>25</v>
      </c>
      <c r="F51" s="4" t="s">
        <v>25</v>
      </c>
      <c r="G51" s="4" t="s">
        <v>25</v>
      </c>
      <c r="H51" s="4" t="s">
        <v>34</v>
      </c>
      <c r="I51" s="5">
        <v>44378</v>
      </c>
      <c r="J51" s="6">
        <v>0</v>
      </c>
      <c r="K51" s="6">
        <v>0</v>
      </c>
      <c r="L51" s="6">
        <v>105.495</v>
      </c>
      <c r="M51" s="6">
        <v>105.495</v>
      </c>
      <c r="N51" s="6">
        <v>105.495</v>
      </c>
      <c r="O51" s="6">
        <v>105.495</v>
      </c>
      <c r="P51" s="6">
        <v>0</v>
      </c>
      <c r="Q51" s="4" t="s">
        <v>26</v>
      </c>
      <c r="R51" s="4">
        <v>0</v>
      </c>
      <c r="S51" s="6">
        <v>0</v>
      </c>
      <c r="T51" s="6">
        <v>17</v>
      </c>
      <c r="U51" s="6">
        <v>78</v>
      </c>
      <c r="V51" s="6">
        <f>IF(ISERROR(VLOOKUP($S$51,'TAR FIN'!$A$1:$O$86,15,0)),0,VLOOKUP($S$51,'TAR FIN'!$A$1:$O$86,15,0))</f>
        <v>0</v>
      </c>
      <c r="W51" s="6">
        <f>IF(ISERROR(VLOOKUP($T$51,'TAR FIN'!$A$1:$O$86,15,0)),0,VLOOKUP($T$51,'TAR FIN'!$A$1:$O$86,15,0))</f>
        <v>71.260000000000005</v>
      </c>
      <c r="X51" s="6">
        <f>IF(ISERROR(VLOOKUP($U$51,'TAR FIN'!$A$1:$O$86,15,0)),0,VLOOKUP($U$51,'TAR FIN'!$A$1:$O$86,15,0))</f>
        <v>297.31</v>
      </c>
      <c r="Y51" s="6"/>
      <c r="Z51" s="6">
        <f ca="1">('TUSD BE'!$AM$12+'TUSD BF_350'!$AM$12+'TUSD CVA'!$AM$12)*1</f>
        <v>95.815448102611441</v>
      </c>
      <c r="AA51" s="6">
        <f ca="1">('TE BE'!$AB$6+'TE BF_350'!$AB$6+'TE CVA'!$AB$6)*1</f>
        <v>235.33989117487977</v>
      </c>
      <c r="AB51" s="6">
        <f>$K$51*$V$51</f>
        <v>0</v>
      </c>
      <c r="AC51" s="6">
        <f>$M$51*$W$51</f>
        <v>7517.5737000000008</v>
      </c>
      <c r="AD51" s="6">
        <f>$O$51*$X$51</f>
        <v>31364.71845</v>
      </c>
      <c r="AE51" s="6">
        <f>$K$51*$Y$51</f>
        <v>0</v>
      </c>
      <c r="AF51" s="6">
        <f ca="1">$M$51*$Z$51</f>
        <v>10108.050697584995</v>
      </c>
      <c r="AG51" s="6">
        <f ca="1">$O$51*$AA$51</f>
        <v>24827.181819493941</v>
      </c>
    </row>
    <row r="52" spans="1:33" ht="11.25" customHeight="1" x14ac:dyDescent="0.25">
      <c r="A52" s="4" t="s">
        <v>21</v>
      </c>
      <c r="B52" s="4" t="s">
        <v>38</v>
      </c>
      <c r="C52" s="4" t="s">
        <v>39</v>
      </c>
      <c r="D52" s="4" t="s">
        <v>40</v>
      </c>
      <c r="E52" s="4" t="s">
        <v>25</v>
      </c>
      <c r="F52" s="4" t="s">
        <v>25</v>
      </c>
      <c r="G52" s="4" t="s">
        <v>25</v>
      </c>
      <c r="H52" s="4" t="s">
        <v>34</v>
      </c>
      <c r="I52" s="5">
        <v>44409</v>
      </c>
      <c r="J52" s="6">
        <v>0</v>
      </c>
      <c r="K52" s="6">
        <v>0</v>
      </c>
      <c r="L52" s="6">
        <v>158.95400000000001</v>
      </c>
      <c r="M52" s="6">
        <v>158.95400000000001</v>
      </c>
      <c r="N52" s="6">
        <v>158.95400000000001</v>
      </c>
      <c r="O52" s="6">
        <v>158.95400000000001</v>
      </c>
      <c r="P52" s="6">
        <v>0</v>
      </c>
      <c r="Q52" s="4" t="s">
        <v>26</v>
      </c>
      <c r="R52" s="4">
        <v>0</v>
      </c>
      <c r="S52" s="6">
        <v>0</v>
      </c>
      <c r="T52" s="6">
        <v>17</v>
      </c>
      <c r="U52" s="6">
        <v>78</v>
      </c>
      <c r="V52" s="6">
        <f>IF(ISERROR(VLOOKUP($S$52,'TAR FIN'!$A$1:$O$86,15,0)),0,VLOOKUP($S$52,'TAR FIN'!$A$1:$O$86,15,0))</f>
        <v>0</v>
      </c>
      <c r="W52" s="6">
        <f>IF(ISERROR(VLOOKUP($T$52,'TAR FIN'!$A$1:$O$86,15,0)),0,VLOOKUP($T$52,'TAR FIN'!$A$1:$O$86,15,0))</f>
        <v>71.260000000000005</v>
      </c>
      <c r="X52" s="6">
        <f>IF(ISERROR(VLOOKUP($U$52,'TAR FIN'!$A$1:$O$86,15,0)),0,VLOOKUP($U$52,'TAR FIN'!$A$1:$O$86,15,0))</f>
        <v>297.31</v>
      </c>
      <c r="Y52" s="6"/>
      <c r="Z52" s="6">
        <f ca="1">('TUSD BE'!$AM$12+'TUSD BF_350'!$AM$12+'TUSD CVA'!$AM$12)*1</f>
        <v>95.815448102611441</v>
      </c>
      <c r="AA52" s="6">
        <f ca="1">('TE BE'!$AB$6+'TE BF_350'!$AB$6+'TE CVA'!$AB$6)*1</f>
        <v>235.33989117487977</v>
      </c>
      <c r="AB52" s="6">
        <f>$K$52*$V$52</f>
        <v>0</v>
      </c>
      <c r="AC52" s="6">
        <f>$M$52*$W$52</f>
        <v>11327.062040000001</v>
      </c>
      <c r="AD52" s="6">
        <f>$O$52*$X$52</f>
        <v>47258.613740000001</v>
      </c>
      <c r="AE52" s="6">
        <f>$K$52*$Y$52</f>
        <v>0</v>
      </c>
      <c r="AF52" s="6">
        <f ca="1">$M$52*$Z$52</f>
        <v>15230.248737702499</v>
      </c>
      <c r="AG52" s="6">
        <f ca="1">$O$52*$AA$52</f>
        <v>37408.21706181184</v>
      </c>
    </row>
    <row r="53" spans="1:33" ht="11.25" customHeight="1" x14ac:dyDescent="0.25">
      <c r="A53" s="4" t="s">
        <v>27</v>
      </c>
      <c r="B53" s="4" t="s">
        <v>38</v>
      </c>
      <c r="C53" s="4" t="s">
        <v>39</v>
      </c>
      <c r="D53" s="4" t="s">
        <v>40</v>
      </c>
      <c r="E53" s="4" t="s">
        <v>25</v>
      </c>
      <c r="F53" s="4" t="s">
        <v>25</v>
      </c>
      <c r="G53" s="4" t="s">
        <v>25</v>
      </c>
      <c r="H53" s="4" t="s">
        <v>34</v>
      </c>
      <c r="I53" s="5">
        <v>44409</v>
      </c>
      <c r="J53" s="6">
        <v>0</v>
      </c>
      <c r="K53" s="6">
        <v>0</v>
      </c>
      <c r="L53" s="6">
        <v>101.03700000000001</v>
      </c>
      <c r="M53" s="6">
        <v>101.03700000000001</v>
      </c>
      <c r="N53" s="6">
        <v>101.03700000000001</v>
      </c>
      <c r="O53" s="6">
        <v>101.03700000000001</v>
      </c>
      <c r="P53" s="6">
        <v>0</v>
      </c>
      <c r="Q53" s="4" t="s">
        <v>26</v>
      </c>
      <c r="R53" s="4">
        <v>0</v>
      </c>
      <c r="S53" s="6">
        <v>0</v>
      </c>
      <c r="T53" s="6">
        <v>17</v>
      </c>
      <c r="U53" s="6">
        <v>78</v>
      </c>
      <c r="V53" s="6">
        <f>IF(ISERROR(VLOOKUP($S$53,'TAR FIN'!$A$1:$O$86,15,0)),0,VLOOKUP($S$53,'TAR FIN'!$A$1:$O$86,15,0))</f>
        <v>0</v>
      </c>
      <c r="W53" s="6">
        <f>IF(ISERROR(VLOOKUP($T$53,'TAR FIN'!$A$1:$O$86,15,0)),0,VLOOKUP($T$53,'TAR FIN'!$A$1:$O$86,15,0))</f>
        <v>71.260000000000005</v>
      </c>
      <c r="X53" s="6">
        <f>IF(ISERROR(VLOOKUP($U$53,'TAR FIN'!$A$1:$O$86,15,0)),0,VLOOKUP($U$53,'TAR FIN'!$A$1:$O$86,15,0))</f>
        <v>297.31</v>
      </c>
      <c r="Y53" s="6"/>
      <c r="Z53" s="6">
        <f ca="1">('TUSD BE'!$AM$12+'TUSD BF_350'!$AM$12+'TUSD CVA'!$AM$12)*1</f>
        <v>95.815448102611441</v>
      </c>
      <c r="AA53" s="6">
        <f ca="1">('TE BE'!$AB$6+'TE BF_350'!$AB$6+'TE CVA'!$AB$6)*1</f>
        <v>235.33989117487977</v>
      </c>
      <c r="AB53" s="6">
        <f>$K$53*$V$53</f>
        <v>0</v>
      </c>
      <c r="AC53" s="6">
        <f>$M$53*$W$53</f>
        <v>7199.8966200000013</v>
      </c>
      <c r="AD53" s="6">
        <f>$O$53*$X$53</f>
        <v>30039.31047</v>
      </c>
      <c r="AE53" s="6">
        <f>$K$53*$Y$53</f>
        <v>0</v>
      </c>
      <c r="AF53" s="6">
        <f ca="1">$M$53*$Z$53</f>
        <v>9680.905429943552</v>
      </c>
      <c r="AG53" s="6">
        <f ca="1">$O$53*$AA$53</f>
        <v>23778.036584636327</v>
      </c>
    </row>
    <row r="54" spans="1:33" ht="11.25" customHeight="1" x14ac:dyDescent="0.25">
      <c r="A54" s="4" t="s">
        <v>21</v>
      </c>
      <c r="B54" s="4" t="s">
        <v>38</v>
      </c>
      <c r="C54" s="4" t="s">
        <v>39</v>
      </c>
      <c r="D54" s="4" t="s">
        <v>40</v>
      </c>
      <c r="E54" s="4" t="s">
        <v>25</v>
      </c>
      <c r="F54" s="4" t="s">
        <v>25</v>
      </c>
      <c r="G54" s="4" t="s">
        <v>25</v>
      </c>
      <c r="H54" s="4" t="s">
        <v>34</v>
      </c>
      <c r="I54" s="5">
        <v>44440</v>
      </c>
      <c r="J54" s="6">
        <v>0</v>
      </c>
      <c r="K54" s="6">
        <v>0</v>
      </c>
      <c r="L54" s="6">
        <v>108.143</v>
      </c>
      <c r="M54" s="6">
        <v>108.143</v>
      </c>
      <c r="N54" s="6">
        <v>108.143</v>
      </c>
      <c r="O54" s="6">
        <v>108.143</v>
      </c>
      <c r="P54" s="6">
        <v>0</v>
      </c>
      <c r="Q54" s="4" t="s">
        <v>26</v>
      </c>
      <c r="R54" s="4">
        <v>0</v>
      </c>
      <c r="S54" s="6">
        <v>0</v>
      </c>
      <c r="T54" s="6">
        <v>17</v>
      </c>
      <c r="U54" s="6">
        <v>78</v>
      </c>
      <c r="V54" s="6">
        <f>IF(ISERROR(VLOOKUP($S$54,'TAR FIN'!$A$1:$O$86,15,0)),0,VLOOKUP($S$54,'TAR FIN'!$A$1:$O$86,15,0))</f>
        <v>0</v>
      </c>
      <c r="W54" s="6">
        <f>IF(ISERROR(VLOOKUP($T$54,'TAR FIN'!$A$1:$O$86,15,0)),0,VLOOKUP($T$54,'TAR FIN'!$A$1:$O$86,15,0))</f>
        <v>71.260000000000005</v>
      </c>
      <c r="X54" s="6">
        <f>IF(ISERROR(VLOOKUP($U$54,'TAR FIN'!$A$1:$O$86,15,0)),0,VLOOKUP($U$54,'TAR FIN'!$A$1:$O$86,15,0))</f>
        <v>297.31</v>
      </c>
      <c r="Y54" s="6"/>
      <c r="Z54" s="6">
        <f ca="1">('TUSD BE'!$AM$12+'TUSD BF_350'!$AM$12+'TUSD CVA'!$AM$12)*1</f>
        <v>95.815448102611441</v>
      </c>
      <c r="AA54" s="6">
        <f ca="1">('TE BE'!$AB$6+'TE BF_350'!$AB$6+'TE CVA'!$AB$6)*1</f>
        <v>235.33989117487977</v>
      </c>
      <c r="AB54" s="6">
        <f>$K$54*$V$54</f>
        <v>0</v>
      </c>
      <c r="AC54" s="6">
        <f>$M$54*$W$54</f>
        <v>7706.2701800000004</v>
      </c>
      <c r="AD54" s="6">
        <f>$O$54*$X$54</f>
        <v>32151.995330000002</v>
      </c>
      <c r="AE54" s="6">
        <f>$K$54*$Y$54</f>
        <v>0</v>
      </c>
      <c r="AF54" s="6">
        <f ca="1">$M$54*$Z$54</f>
        <v>10361.77000416071</v>
      </c>
      <c r="AG54" s="6">
        <f ca="1">$O$54*$AA$54</f>
        <v>25450.361851325022</v>
      </c>
    </row>
    <row r="55" spans="1:33" ht="11.25" customHeight="1" x14ac:dyDescent="0.25">
      <c r="A55" s="4" t="s">
        <v>27</v>
      </c>
      <c r="B55" s="4" t="s">
        <v>38</v>
      </c>
      <c r="C55" s="4" t="s">
        <v>39</v>
      </c>
      <c r="D55" s="4" t="s">
        <v>40</v>
      </c>
      <c r="E55" s="4" t="s">
        <v>25</v>
      </c>
      <c r="F55" s="4" t="s">
        <v>25</v>
      </c>
      <c r="G55" s="4" t="s">
        <v>25</v>
      </c>
      <c r="H55" s="4" t="s">
        <v>34</v>
      </c>
      <c r="I55" s="5">
        <v>44440</v>
      </c>
      <c r="J55" s="6">
        <v>0</v>
      </c>
      <c r="K55" s="6">
        <v>0</v>
      </c>
      <c r="L55" s="6">
        <v>66.349000000000004</v>
      </c>
      <c r="M55" s="6">
        <v>66.349000000000004</v>
      </c>
      <c r="N55" s="6">
        <v>66.349000000000004</v>
      </c>
      <c r="O55" s="6">
        <v>66.349000000000004</v>
      </c>
      <c r="P55" s="6">
        <v>0</v>
      </c>
      <c r="Q55" s="4" t="s">
        <v>26</v>
      </c>
      <c r="R55" s="4">
        <v>0</v>
      </c>
      <c r="S55" s="6">
        <v>0</v>
      </c>
      <c r="T55" s="6">
        <v>17</v>
      </c>
      <c r="U55" s="6">
        <v>78</v>
      </c>
      <c r="V55" s="6">
        <f>IF(ISERROR(VLOOKUP($S$55,'TAR FIN'!$A$1:$O$86,15,0)),0,VLOOKUP($S$55,'TAR FIN'!$A$1:$O$86,15,0))</f>
        <v>0</v>
      </c>
      <c r="W55" s="6">
        <f>IF(ISERROR(VLOOKUP($T$55,'TAR FIN'!$A$1:$O$86,15,0)),0,VLOOKUP($T$55,'TAR FIN'!$A$1:$O$86,15,0))</f>
        <v>71.260000000000005</v>
      </c>
      <c r="X55" s="6">
        <f>IF(ISERROR(VLOOKUP($U$55,'TAR FIN'!$A$1:$O$86,15,0)),0,VLOOKUP($U$55,'TAR FIN'!$A$1:$O$86,15,0))</f>
        <v>297.31</v>
      </c>
      <c r="Y55" s="6"/>
      <c r="Z55" s="6">
        <f ca="1">('TUSD BE'!$AM$12+'TUSD BF_350'!$AM$12+'TUSD CVA'!$AM$12)*1</f>
        <v>95.815448102611441</v>
      </c>
      <c r="AA55" s="6">
        <f ca="1">('TE BE'!$AB$6+'TE BF_350'!$AB$6+'TE CVA'!$AB$6)*1</f>
        <v>235.33989117487977</v>
      </c>
      <c r="AB55" s="6">
        <f>$K$55*$V$55</f>
        <v>0</v>
      </c>
      <c r="AC55" s="6">
        <f>$M$55*$W$55</f>
        <v>4728.0297400000009</v>
      </c>
      <c r="AD55" s="6">
        <f>$O$55*$X$55</f>
        <v>19726.22119</v>
      </c>
      <c r="AE55" s="6">
        <f>$K$55*$Y$55</f>
        <v>0</v>
      </c>
      <c r="AF55" s="6">
        <f ca="1">$M$55*$Z$55</f>
        <v>6357.2591661601673</v>
      </c>
      <c r="AG55" s="6">
        <f ca="1">$O$55*$AA$55</f>
        <v>15614.566439562099</v>
      </c>
    </row>
    <row r="56" spans="1:33" ht="11.25" customHeight="1" x14ac:dyDescent="0.25">
      <c r="A56" s="4" t="s">
        <v>21</v>
      </c>
      <c r="B56" s="4" t="s">
        <v>38</v>
      </c>
      <c r="C56" s="4" t="s">
        <v>39</v>
      </c>
      <c r="D56" s="4" t="s">
        <v>40</v>
      </c>
      <c r="E56" s="4" t="s">
        <v>25</v>
      </c>
      <c r="F56" s="4" t="s">
        <v>25</v>
      </c>
      <c r="G56" s="4" t="s">
        <v>25</v>
      </c>
      <c r="H56" s="4" t="s">
        <v>34</v>
      </c>
      <c r="I56" s="5">
        <v>44470</v>
      </c>
      <c r="J56" s="6">
        <v>0</v>
      </c>
      <c r="K56" s="6">
        <v>0</v>
      </c>
      <c r="L56" s="6">
        <v>95.004999999999995</v>
      </c>
      <c r="M56" s="6">
        <v>95.004999999999995</v>
      </c>
      <c r="N56" s="6">
        <v>95.004999999999995</v>
      </c>
      <c r="O56" s="6">
        <v>95.004999999999995</v>
      </c>
      <c r="P56" s="6">
        <v>0</v>
      </c>
      <c r="Q56" s="4" t="s">
        <v>26</v>
      </c>
      <c r="R56" s="4">
        <v>0</v>
      </c>
      <c r="S56" s="6">
        <v>0</v>
      </c>
      <c r="T56" s="6">
        <v>17</v>
      </c>
      <c r="U56" s="6">
        <v>78</v>
      </c>
      <c r="V56" s="6">
        <f>IF(ISERROR(VLOOKUP($S$56,'TAR FIN'!$A$1:$O$86,15,0)),0,VLOOKUP($S$56,'TAR FIN'!$A$1:$O$86,15,0))</f>
        <v>0</v>
      </c>
      <c r="W56" s="6">
        <f>IF(ISERROR(VLOOKUP($T$56,'TAR FIN'!$A$1:$O$86,15,0)),0,VLOOKUP($T$56,'TAR FIN'!$A$1:$O$86,15,0))</f>
        <v>71.260000000000005</v>
      </c>
      <c r="X56" s="6">
        <f>IF(ISERROR(VLOOKUP($U$56,'TAR FIN'!$A$1:$O$86,15,0)),0,VLOOKUP($U$56,'TAR FIN'!$A$1:$O$86,15,0))</f>
        <v>297.31</v>
      </c>
      <c r="Y56" s="6"/>
      <c r="Z56" s="6">
        <f ca="1">('TUSD BE'!$AM$12+'TUSD BF_350'!$AM$12+'TUSD CVA'!$AM$12)*1</f>
        <v>95.815448102611441</v>
      </c>
      <c r="AA56" s="6">
        <f ca="1">('TE BE'!$AB$6+'TE BF_350'!$AB$6+'TE CVA'!$AB$6)*1</f>
        <v>235.33989117487977</v>
      </c>
      <c r="AB56" s="6">
        <f>$K$56*$V$56</f>
        <v>0</v>
      </c>
      <c r="AC56" s="6">
        <f>$M$56*$W$56</f>
        <v>6770.0563000000002</v>
      </c>
      <c r="AD56" s="6">
        <f>$O$56*$X$56</f>
        <v>28245.936549999999</v>
      </c>
      <c r="AE56" s="6">
        <f>$K$56*$Y$56</f>
        <v>0</v>
      </c>
      <c r="AF56" s="6">
        <f ca="1">$M$56*$Z$56</f>
        <v>9102.9466469885992</v>
      </c>
      <c r="AG56" s="6">
        <f ca="1">$O$56*$AA$56</f>
        <v>22358.466361069452</v>
      </c>
    </row>
    <row r="57" spans="1:33" ht="11.25" customHeight="1" x14ac:dyDescent="0.25">
      <c r="A57" s="4" t="s">
        <v>27</v>
      </c>
      <c r="B57" s="4" t="s">
        <v>38</v>
      </c>
      <c r="C57" s="4" t="s">
        <v>39</v>
      </c>
      <c r="D57" s="4" t="s">
        <v>40</v>
      </c>
      <c r="E57" s="4" t="s">
        <v>25</v>
      </c>
      <c r="F57" s="4" t="s">
        <v>25</v>
      </c>
      <c r="G57" s="4" t="s">
        <v>25</v>
      </c>
      <c r="H57" s="4" t="s">
        <v>34</v>
      </c>
      <c r="I57" s="5">
        <v>44470</v>
      </c>
      <c r="J57" s="6">
        <v>0</v>
      </c>
      <c r="K57" s="6">
        <v>0</v>
      </c>
      <c r="L57" s="6">
        <v>71.483000000000004</v>
      </c>
      <c r="M57" s="6">
        <v>71.483000000000004</v>
      </c>
      <c r="N57" s="6">
        <v>71.483000000000004</v>
      </c>
      <c r="O57" s="6">
        <v>71.483000000000004</v>
      </c>
      <c r="P57" s="6">
        <v>0</v>
      </c>
      <c r="Q57" s="4" t="s">
        <v>26</v>
      </c>
      <c r="R57" s="4">
        <v>0</v>
      </c>
      <c r="S57" s="6">
        <v>0</v>
      </c>
      <c r="T57" s="6">
        <v>17</v>
      </c>
      <c r="U57" s="6">
        <v>78</v>
      </c>
      <c r="V57" s="6">
        <f>IF(ISERROR(VLOOKUP($S$57,'TAR FIN'!$A$1:$O$86,15,0)),0,VLOOKUP($S$57,'TAR FIN'!$A$1:$O$86,15,0))</f>
        <v>0</v>
      </c>
      <c r="W57" s="6">
        <f>IF(ISERROR(VLOOKUP($T$57,'TAR FIN'!$A$1:$O$86,15,0)),0,VLOOKUP($T$57,'TAR FIN'!$A$1:$O$86,15,0))</f>
        <v>71.260000000000005</v>
      </c>
      <c r="X57" s="6">
        <f>IF(ISERROR(VLOOKUP($U$57,'TAR FIN'!$A$1:$O$86,15,0)),0,VLOOKUP($U$57,'TAR FIN'!$A$1:$O$86,15,0))</f>
        <v>297.31</v>
      </c>
      <c r="Y57" s="6"/>
      <c r="Z57" s="6">
        <f ca="1">('TUSD BE'!$AM$12+'TUSD BF_350'!$AM$12+'TUSD CVA'!$AM$12)*1</f>
        <v>95.815448102611441</v>
      </c>
      <c r="AA57" s="6">
        <f ca="1">('TE BE'!$AB$6+'TE BF_350'!$AB$6+'TE CVA'!$AB$6)*1</f>
        <v>235.33989117487977</v>
      </c>
      <c r="AB57" s="6">
        <f>$K$57*$V$57</f>
        <v>0</v>
      </c>
      <c r="AC57" s="6">
        <f>$M$57*$W$57</f>
        <v>5093.8785800000005</v>
      </c>
      <c r="AD57" s="6">
        <f>$O$57*$X$57</f>
        <v>21252.61073</v>
      </c>
      <c r="AE57" s="6">
        <f>$K$57*$Y$57</f>
        <v>0</v>
      </c>
      <c r="AF57" s="6">
        <f ca="1">$M$57*$Z$57</f>
        <v>6849.1756767189736</v>
      </c>
      <c r="AG57" s="6">
        <f ca="1">$O$57*$AA$57</f>
        <v>16822.801440853931</v>
      </c>
    </row>
    <row r="58" spans="1:33" ht="11.25" customHeight="1" x14ac:dyDescent="0.25">
      <c r="A58" s="4" t="s">
        <v>21</v>
      </c>
      <c r="B58" s="4" t="s">
        <v>38</v>
      </c>
      <c r="C58" s="4" t="s">
        <v>39</v>
      </c>
      <c r="D58" s="4" t="s">
        <v>40</v>
      </c>
      <c r="E58" s="4" t="s">
        <v>25</v>
      </c>
      <c r="F58" s="4" t="s">
        <v>25</v>
      </c>
      <c r="G58" s="4" t="s">
        <v>25</v>
      </c>
      <c r="H58" s="4" t="s">
        <v>34</v>
      </c>
      <c r="I58" s="5">
        <v>44501</v>
      </c>
      <c r="J58" s="6">
        <v>0</v>
      </c>
      <c r="K58" s="6">
        <v>0</v>
      </c>
      <c r="L58" s="6">
        <v>313.13099999999997</v>
      </c>
      <c r="M58" s="6">
        <v>313.13099999999997</v>
      </c>
      <c r="N58" s="6">
        <v>313.13099999999997</v>
      </c>
      <c r="O58" s="6">
        <v>313.13099999999997</v>
      </c>
      <c r="P58" s="6">
        <v>0</v>
      </c>
      <c r="Q58" s="4" t="s">
        <v>26</v>
      </c>
      <c r="R58" s="4">
        <v>0</v>
      </c>
      <c r="S58" s="6">
        <v>0</v>
      </c>
      <c r="T58" s="6">
        <v>17</v>
      </c>
      <c r="U58" s="6">
        <v>78</v>
      </c>
      <c r="V58" s="6">
        <f>IF(ISERROR(VLOOKUP($S$58,'TAR FIN'!$A$1:$O$86,15,0)),0,VLOOKUP($S$58,'TAR FIN'!$A$1:$O$86,15,0))</f>
        <v>0</v>
      </c>
      <c r="W58" s="6">
        <f>IF(ISERROR(VLOOKUP($T$58,'TAR FIN'!$A$1:$O$86,15,0)),0,VLOOKUP($T$58,'TAR FIN'!$A$1:$O$86,15,0))</f>
        <v>71.260000000000005</v>
      </c>
      <c r="X58" s="6">
        <f>IF(ISERROR(VLOOKUP($U$58,'TAR FIN'!$A$1:$O$86,15,0)),0,VLOOKUP($U$58,'TAR FIN'!$A$1:$O$86,15,0))</f>
        <v>297.31</v>
      </c>
      <c r="Y58" s="6"/>
      <c r="Z58" s="6">
        <f ca="1">('TUSD BE'!$AM$12+'TUSD BF_350'!$AM$12+'TUSD CVA'!$AM$12)*1</f>
        <v>95.815448102611441</v>
      </c>
      <c r="AA58" s="6">
        <f ca="1">('TE BE'!$AB$6+'TE BF_350'!$AB$6+'TE CVA'!$AB$6)*1</f>
        <v>235.33989117487977</v>
      </c>
      <c r="AB58" s="6">
        <f>$K$58*$V$58</f>
        <v>0</v>
      </c>
      <c r="AC58" s="6">
        <f>$M$58*$W$58</f>
        <v>22313.715059999999</v>
      </c>
      <c r="AD58" s="6">
        <f>$O$58*$X$58</f>
        <v>93096.977609999987</v>
      </c>
      <c r="AE58" s="6">
        <f>$K$58*$Y$58</f>
        <v>0</v>
      </c>
      <c r="AF58" s="6">
        <f ca="1">$M$58*$Z$58</f>
        <v>30002.78707981882</v>
      </c>
      <c r="AG58" s="6">
        <f ca="1">$O$58*$AA$58</f>
        <v>73692.215463481276</v>
      </c>
    </row>
    <row r="59" spans="1:33" ht="11.25" customHeight="1" x14ac:dyDescent="0.25">
      <c r="A59" s="4" t="s">
        <v>27</v>
      </c>
      <c r="B59" s="4" t="s">
        <v>38</v>
      </c>
      <c r="C59" s="4" t="s">
        <v>39</v>
      </c>
      <c r="D59" s="4" t="s">
        <v>40</v>
      </c>
      <c r="E59" s="4" t="s">
        <v>25</v>
      </c>
      <c r="F59" s="4" t="s">
        <v>25</v>
      </c>
      <c r="G59" s="4" t="s">
        <v>25</v>
      </c>
      <c r="H59" s="4" t="s">
        <v>34</v>
      </c>
      <c r="I59" s="5">
        <v>44501</v>
      </c>
      <c r="J59" s="6">
        <v>0</v>
      </c>
      <c r="K59" s="6">
        <v>0</v>
      </c>
      <c r="L59" s="6">
        <v>56.927999999999997</v>
      </c>
      <c r="M59" s="6">
        <v>56.927999999999997</v>
      </c>
      <c r="N59" s="6">
        <v>56.927999999999997</v>
      </c>
      <c r="O59" s="6">
        <v>56.927999999999997</v>
      </c>
      <c r="P59" s="6">
        <v>0</v>
      </c>
      <c r="Q59" s="4" t="s">
        <v>26</v>
      </c>
      <c r="R59" s="4">
        <v>0</v>
      </c>
      <c r="S59" s="6">
        <v>0</v>
      </c>
      <c r="T59" s="6">
        <v>17</v>
      </c>
      <c r="U59" s="6">
        <v>78</v>
      </c>
      <c r="V59" s="6">
        <f>IF(ISERROR(VLOOKUP($S$59,'TAR FIN'!$A$1:$O$86,15,0)),0,VLOOKUP($S$59,'TAR FIN'!$A$1:$O$86,15,0))</f>
        <v>0</v>
      </c>
      <c r="W59" s="6">
        <f>IF(ISERROR(VLOOKUP($T$59,'TAR FIN'!$A$1:$O$86,15,0)),0,VLOOKUP($T$59,'TAR FIN'!$A$1:$O$86,15,0))</f>
        <v>71.260000000000005</v>
      </c>
      <c r="X59" s="6">
        <f>IF(ISERROR(VLOOKUP($U$59,'TAR FIN'!$A$1:$O$86,15,0)),0,VLOOKUP($U$59,'TAR FIN'!$A$1:$O$86,15,0))</f>
        <v>297.31</v>
      </c>
      <c r="Y59" s="6"/>
      <c r="Z59" s="6">
        <f ca="1">('TUSD BE'!$AM$12+'TUSD BF_350'!$AM$12+'TUSD CVA'!$AM$12)*1</f>
        <v>95.815448102611441</v>
      </c>
      <c r="AA59" s="6">
        <f ca="1">('TE BE'!$AB$6+'TE BF_350'!$AB$6+'TE CVA'!$AB$6)*1</f>
        <v>235.33989117487977</v>
      </c>
      <c r="AB59" s="6">
        <f>$K$59*$V$59</f>
        <v>0</v>
      </c>
      <c r="AC59" s="6">
        <f>$M$59*$W$59</f>
        <v>4056.6892800000001</v>
      </c>
      <c r="AD59" s="6">
        <f>$O$59*$X$59</f>
        <v>16925.26368</v>
      </c>
      <c r="AE59" s="6">
        <f>$K$59*$Y$59</f>
        <v>0</v>
      </c>
      <c r="AF59" s="6">
        <f ca="1">$M$59*$Z$59</f>
        <v>5454.5818295854642</v>
      </c>
      <c r="AG59" s="6">
        <f ca="1">$O$59*$AA$59</f>
        <v>13397.429324803556</v>
      </c>
    </row>
    <row r="60" spans="1:33" ht="11.25" customHeight="1" x14ac:dyDescent="0.25">
      <c r="A60" s="4" t="s">
        <v>21</v>
      </c>
      <c r="B60" s="4" t="s">
        <v>38</v>
      </c>
      <c r="C60" s="4" t="s">
        <v>39</v>
      </c>
      <c r="D60" s="4" t="s">
        <v>40</v>
      </c>
      <c r="E60" s="4" t="s">
        <v>25</v>
      </c>
      <c r="F60" s="4" t="s">
        <v>25</v>
      </c>
      <c r="G60" s="4" t="s">
        <v>25</v>
      </c>
      <c r="H60" s="4" t="s">
        <v>34</v>
      </c>
      <c r="I60" s="5">
        <v>44531</v>
      </c>
      <c r="J60" s="6">
        <v>0</v>
      </c>
      <c r="K60" s="6">
        <v>0</v>
      </c>
      <c r="L60" s="6">
        <v>317.916</v>
      </c>
      <c r="M60" s="6">
        <v>317.916</v>
      </c>
      <c r="N60" s="6">
        <v>317.916</v>
      </c>
      <c r="O60" s="6">
        <v>317.916</v>
      </c>
      <c r="P60" s="6">
        <v>0</v>
      </c>
      <c r="Q60" s="4" t="s">
        <v>26</v>
      </c>
      <c r="R60" s="4">
        <v>0</v>
      </c>
      <c r="S60" s="6">
        <v>0</v>
      </c>
      <c r="T60" s="6">
        <v>17</v>
      </c>
      <c r="U60" s="6">
        <v>78</v>
      </c>
      <c r="V60" s="6">
        <f>IF(ISERROR(VLOOKUP($S$60,'TAR FIN'!$A$1:$O$86,15,0)),0,VLOOKUP($S$60,'TAR FIN'!$A$1:$O$86,15,0))</f>
        <v>0</v>
      </c>
      <c r="W60" s="6">
        <f>IF(ISERROR(VLOOKUP($T$60,'TAR FIN'!$A$1:$O$86,15,0)),0,VLOOKUP($T$60,'TAR FIN'!$A$1:$O$86,15,0))</f>
        <v>71.260000000000005</v>
      </c>
      <c r="X60" s="6">
        <f>IF(ISERROR(VLOOKUP($U$60,'TAR FIN'!$A$1:$O$86,15,0)),0,VLOOKUP($U$60,'TAR FIN'!$A$1:$O$86,15,0))</f>
        <v>297.31</v>
      </c>
      <c r="Y60" s="6"/>
      <c r="Z60" s="6">
        <f ca="1">('TUSD BE'!$AM$12+'TUSD BF_350'!$AM$12+'TUSD CVA'!$AM$12)*1</f>
        <v>95.815448102611441</v>
      </c>
      <c r="AA60" s="6">
        <f ca="1">('TE BE'!$AB$6+'TE BF_350'!$AB$6+'TE CVA'!$AB$6)*1</f>
        <v>235.33989117487977</v>
      </c>
      <c r="AB60" s="6">
        <f>$K$60*$V$60</f>
        <v>0</v>
      </c>
      <c r="AC60" s="6">
        <f>$M$60*$W$60</f>
        <v>22654.694160000003</v>
      </c>
      <c r="AD60" s="6">
        <f>$O$60*$X$60</f>
        <v>94519.605960000001</v>
      </c>
      <c r="AE60" s="6">
        <f>$K$60*$Y$60</f>
        <v>0</v>
      </c>
      <c r="AF60" s="6">
        <f ca="1">$M$60*$Z$60</f>
        <v>30461.26399898982</v>
      </c>
      <c r="AG60" s="6">
        <f ca="1">$O$60*$AA$60</f>
        <v>74818.316842753076</v>
      </c>
    </row>
    <row r="61" spans="1:33" ht="11.25" customHeight="1" x14ac:dyDescent="0.25">
      <c r="A61" s="4" t="s">
        <v>27</v>
      </c>
      <c r="B61" s="4" t="s">
        <v>38</v>
      </c>
      <c r="C61" s="4" t="s">
        <v>39</v>
      </c>
      <c r="D61" s="4" t="s">
        <v>40</v>
      </c>
      <c r="E61" s="4" t="s">
        <v>25</v>
      </c>
      <c r="F61" s="4" t="s">
        <v>25</v>
      </c>
      <c r="G61" s="4" t="s">
        <v>25</v>
      </c>
      <c r="H61" s="4" t="s">
        <v>34</v>
      </c>
      <c r="I61" s="5">
        <v>44531</v>
      </c>
      <c r="J61" s="6">
        <v>0</v>
      </c>
      <c r="K61" s="6">
        <v>0</v>
      </c>
      <c r="L61" s="6">
        <v>105.55200000000001</v>
      </c>
      <c r="M61" s="6">
        <v>105.55200000000001</v>
      </c>
      <c r="N61" s="6">
        <v>105.55200000000001</v>
      </c>
      <c r="O61" s="6">
        <v>105.55200000000001</v>
      </c>
      <c r="P61" s="6">
        <v>0</v>
      </c>
      <c r="Q61" s="4" t="s">
        <v>26</v>
      </c>
      <c r="R61" s="4">
        <v>0</v>
      </c>
      <c r="S61" s="6">
        <v>0</v>
      </c>
      <c r="T61" s="6">
        <v>17</v>
      </c>
      <c r="U61" s="6">
        <v>78</v>
      </c>
      <c r="V61" s="6">
        <f>IF(ISERROR(VLOOKUP($S$61,'TAR FIN'!$A$1:$O$86,15,0)),0,VLOOKUP($S$61,'TAR FIN'!$A$1:$O$86,15,0))</f>
        <v>0</v>
      </c>
      <c r="W61" s="6">
        <f>IF(ISERROR(VLOOKUP($T$61,'TAR FIN'!$A$1:$O$86,15,0)),0,VLOOKUP($T$61,'TAR FIN'!$A$1:$O$86,15,0))</f>
        <v>71.260000000000005</v>
      </c>
      <c r="X61" s="6">
        <f>IF(ISERROR(VLOOKUP($U$61,'TAR FIN'!$A$1:$O$86,15,0)),0,VLOOKUP($U$61,'TAR FIN'!$A$1:$O$86,15,0))</f>
        <v>297.31</v>
      </c>
      <c r="Y61" s="6"/>
      <c r="Z61" s="6">
        <f ca="1">('TUSD BE'!$AM$12+'TUSD BF_350'!$AM$12+'TUSD CVA'!$AM$12)*1</f>
        <v>95.815448102611441</v>
      </c>
      <c r="AA61" s="6">
        <f ca="1">('TE BE'!$AB$6+'TE BF_350'!$AB$6+'TE CVA'!$AB$6)*1</f>
        <v>235.33989117487977</v>
      </c>
      <c r="AB61" s="6">
        <f>$K$61*$V$61</f>
        <v>0</v>
      </c>
      <c r="AC61" s="6">
        <f>$M$61*$W$61</f>
        <v>7521.6355200000007</v>
      </c>
      <c r="AD61" s="6">
        <f>$O$61*$X$61</f>
        <v>31381.665120000001</v>
      </c>
      <c r="AE61" s="6">
        <f>$K$61*$Y$61</f>
        <v>0</v>
      </c>
      <c r="AF61" s="6">
        <f ca="1">$M$61*$Z$61</f>
        <v>10113.512178126843</v>
      </c>
      <c r="AG61" s="6">
        <f ca="1">$O$61*$AA$61</f>
        <v>24840.596193290912</v>
      </c>
    </row>
    <row r="62" spans="1:33" ht="11.25" customHeight="1" x14ac:dyDescent="0.25">
      <c r="A62" s="4" t="s">
        <v>21</v>
      </c>
      <c r="B62" s="4" t="s">
        <v>38</v>
      </c>
      <c r="C62" s="4" t="s">
        <v>39</v>
      </c>
      <c r="D62" s="4" t="s">
        <v>40</v>
      </c>
      <c r="E62" s="4" t="s">
        <v>25</v>
      </c>
      <c r="F62" s="4" t="s">
        <v>25</v>
      </c>
      <c r="G62" s="4" t="s">
        <v>25</v>
      </c>
      <c r="H62" s="4" t="s">
        <v>34</v>
      </c>
      <c r="I62" s="5">
        <v>44562</v>
      </c>
      <c r="J62" s="6">
        <v>0</v>
      </c>
      <c r="K62" s="6">
        <v>0</v>
      </c>
      <c r="L62" s="6">
        <v>446.358</v>
      </c>
      <c r="M62" s="6">
        <v>446.358</v>
      </c>
      <c r="N62" s="6">
        <v>446.358</v>
      </c>
      <c r="O62" s="6">
        <v>446.358</v>
      </c>
      <c r="P62" s="6">
        <v>0</v>
      </c>
      <c r="Q62" s="4" t="s">
        <v>26</v>
      </c>
      <c r="R62" s="4">
        <v>0</v>
      </c>
      <c r="S62" s="6">
        <v>0</v>
      </c>
      <c r="T62" s="6">
        <v>17</v>
      </c>
      <c r="U62" s="6">
        <v>78</v>
      </c>
      <c r="V62" s="6">
        <f>IF(ISERROR(VLOOKUP($S$62,'TAR FIN'!$A$1:$O$86,15,0)),0,VLOOKUP($S$62,'TAR FIN'!$A$1:$O$86,15,0))</f>
        <v>0</v>
      </c>
      <c r="W62" s="6">
        <f>IF(ISERROR(VLOOKUP($T$62,'TAR FIN'!$A$1:$O$86,15,0)),0,VLOOKUP($T$62,'TAR FIN'!$A$1:$O$86,15,0))</f>
        <v>71.260000000000005</v>
      </c>
      <c r="X62" s="6">
        <f>IF(ISERROR(VLOOKUP($U$62,'TAR FIN'!$A$1:$O$86,15,0)),0,VLOOKUP($U$62,'TAR FIN'!$A$1:$O$86,15,0))</f>
        <v>297.31</v>
      </c>
      <c r="Y62" s="6"/>
      <c r="Z62" s="6">
        <f ca="1">('TUSD BE'!$AM$12+'TUSD BF_350'!$AM$12+'TUSD CVA'!$AM$12)*1</f>
        <v>95.815448102611441</v>
      </c>
      <c r="AA62" s="6">
        <f ca="1">('TE BE'!$AB$6+'TE BF_350'!$AB$6+'TE CVA'!$AB$6)*1</f>
        <v>235.33989117487977</v>
      </c>
      <c r="AB62" s="6">
        <f>$K$62*$V$62</f>
        <v>0</v>
      </c>
      <c r="AC62" s="6">
        <f>$M$62*$W$62</f>
        <v>31807.471080000003</v>
      </c>
      <c r="AD62" s="6">
        <f>$O$62*$X$62</f>
        <v>132706.69698000001</v>
      </c>
      <c r="AE62" s="6">
        <f>$K$62*$Y$62</f>
        <v>0</v>
      </c>
      <c r="AF62" s="6">
        <f ca="1">$M$62*$Z$62</f>
        <v>42767.99178418544</v>
      </c>
      <c r="AG62" s="6">
        <f ca="1">$O$62*$AA$62</f>
        <v>105045.84314503698</v>
      </c>
    </row>
    <row r="63" spans="1:33" ht="11.25" customHeight="1" x14ac:dyDescent="0.25">
      <c r="A63" s="4" t="s">
        <v>27</v>
      </c>
      <c r="B63" s="4" t="s">
        <v>38</v>
      </c>
      <c r="C63" s="4" t="s">
        <v>39</v>
      </c>
      <c r="D63" s="4" t="s">
        <v>40</v>
      </c>
      <c r="E63" s="4" t="s">
        <v>25</v>
      </c>
      <c r="F63" s="4" t="s">
        <v>25</v>
      </c>
      <c r="G63" s="4" t="s">
        <v>25</v>
      </c>
      <c r="H63" s="4" t="s">
        <v>34</v>
      </c>
      <c r="I63" s="5">
        <v>44562</v>
      </c>
      <c r="J63" s="6">
        <v>0</v>
      </c>
      <c r="K63" s="6">
        <v>0</v>
      </c>
      <c r="L63" s="6">
        <v>134.19499999999999</v>
      </c>
      <c r="M63" s="6">
        <v>134.19499999999999</v>
      </c>
      <c r="N63" s="6">
        <v>134.19499999999999</v>
      </c>
      <c r="O63" s="6">
        <v>134.19499999999999</v>
      </c>
      <c r="P63" s="6">
        <v>0</v>
      </c>
      <c r="Q63" s="4" t="s">
        <v>26</v>
      </c>
      <c r="R63" s="4">
        <v>0</v>
      </c>
      <c r="S63" s="6">
        <v>0</v>
      </c>
      <c r="T63" s="6">
        <v>17</v>
      </c>
      <c r="U63" s="6">
        <v>78</v>
      </c>
      <c r="V63" s="6">
        <f>IF(ISERROR(VLOOKUP($S$63,'TAR FIN'!$A$1:$O$86,15,0)),0,VLOOKUP($S$63,'TAR FIN'!$A$1:$O$86,15,0))</f>
        <v>0</v>
      </c>
      <c r="W63" s="6">
        <f>IF(ISERROR(VLOOKUP($T$63,'TAR FIN'!$A$1:$O$86,15,0)),0,VLOOKUP($T$63,'TAR FIN'!$A$1:$O$86,15,0))</f>
        <v>71.260000000000005</v>
      </c>
      <c r="X63" s="6">
        <f>IF(ISERROR(VLOOKUP($U$63,'TAR FIN'!$A$1:$O$86,15,0)),0,VLOOKUP($U$63,'TAR FIN'!$A$1:$O$86,15,0))</f>
        <v>297.31</v>
      </c>
      <c r="Y63" s="6"/>
      <c r="Z63" s="6">
        <f ca="1">('TUSD BE'!$AM$12+'TUSD BF_350'!$AM$12+'TUSD CVA'!$AM$12)*1</f>
        <v>95.815448102611441</v>
      </c>
      <c r="AA63" s="6">
        <f ca="1">('TE BE'!$AB$6+'TE BF_350'!$AB$6+'TE CVA'!$AB$6)*1</f>
        <v>235.33989117487977</v>
      </c>
      <c r="AB63" s="6">
        <f>$K$63*$V$63</f>
        <v>0</v>
      </c>
      <c r="AC63" s="6">
        <f>$M$63*$W$63</f>
        <v>9562.7357000000011</v>
      </c>
      <c r="AD63" s="6">
        <f>$O$63*$X$63</f>
        <v>39897.515449999999</v>
      </c>
      <c r="AE63" s="6">
        <f>$K$63*$Y$63</f>
        <v>0</v>
      </c>
      <c r="AF63" s="6">
        <f ca="1">$M$63*$Z$63</f>
        <v>12857.954058129942</v>
      </c>
      <c r="AG63" s="6">
        <f ca="1">$O$63*$AA$63</f>
        <v>31581.43669621299</v>
      </c>
    </row>
    <row r="64" spans="1:33" ht="11.25" customHeight="1" x14ac:dyDescent="0.25">
      <c r="A64" s="4" t="s">
        <v>21</v>
      </c>
      <c r="B64" s="4" t="s">
        <v>38</v>
      </c>
      <c r="C64" s="4" t="s">
        <v>39</v>
      </c>
      <c r="D64" s="4" t="s">
        <v>40</v>
      </c>
      <c r="E64" s="4" t="s">
        <v>25</v>
      </c>
      <c r="F64" s="4" t="s">
        <v>25</v>
      </c>
      <c r="G64" s="4" t="s">
        <v>25</v>
      </c>
      <c r="H64" s="4" t="s">
        <v>34</v>
      </c>
      <c r="I64" s="5">
        <v>44593</v>
      </c>
      <c r="J64" s="6">
        <v>0</v>
      </c>
      <c r="K64" s="6">
        <v>0</v>
      </c>
      <c r="L64" s="6">
        <v>334.07</v>
      </c>
      <c r="M64" s="6">
        <v>334.07</v>
      </c>
      <c r="N64" s="6">
        <v>334.07</v>
      </c>
      <c r="O64" s="6">
        <v>334.07</v>
      </c>
      <c r="P64" s="6">
        <v>0</v>
      </c>
      <c r="Q64" s="4" t="s">
        <v>26</v>
      </c>
      <c r="R64" s="4">
        <v>0</v>
      </c>
      <c r="S64" s="6">
        <v>0</v>
      </c>
      <c r="T64" s="6">
        <v>17</v>
      </c>
      <c r="U64" s="6">
        <v>78</v>
      </c>
      <c r="V64" s="6">
        <f>IF(ISERROR(VLOOKUP($S$64,'TAR FIN'!$A$1:$O$86,15,0)),0,VLOOKUP($S$64,'TAR FIN'!$A$1:$O$86,15,0))</f>
        <v>0</v>
      </c>
      <c r="W64" s="6">
        <f>IF(ISERROR(VLOOKUP($T$64,'TAR FIN'!$A$1:$O$86,15,0)),0,VLOOKUP($T$64,'TAR FIN'!$A$1:$O$86,15,0))</f>
        <v>71.260000000000005</v>
      </c>
      <c r="X64" s="6">
        <f>IF(ISERROR(VLOOKUP($U$64,'TAR FIN'!$A$1:$O$86,15,0)),0,VLOOKUP($U$64,'TAR FIN'!$A$1:$O$86,15,0))</f>
        <v>297.31</v>
      </c>
      <c r="Y64" s="6"/>
      <c r="Z64" s="6">
        <f ca="1">('TUSD BE'!$AM$12+'TUSD BF_350'!$AM$12+'TUSD CVA'!$AM$12)*1</f>
        <v>95.815448102611441</v>
      </c>
      <c r="AA64" s="6">
        <f ca="1">('TE BE'!$AB$6+'TE BF_350'!$AB$6+'TE CVA'!$AB$6)*1</f>
        <v>235.33989117487977</v>
      </c>
      <c r="AB64" s="6">
        <f>$K$64*$V$64</f>
        <v>0</v>
      </c>
      <c r="AC64" s="6">
        <f>$M$64*$W$64</f>
        <v>23805.8282</v>
      </c>
      <c r="AD64" s="6">
        <f>$O$64*$X$64</f>
        <v>99322.351699999999</v>
      </c>
      <c r="AE64" s="6">
        <f>$K$64*$Y$64</f>
        <v>0</v>
      </c>
      <c r="AF64" s="6">
        <f ca="1">$M$64*$Z$64</f>
        <v>32009.066747639405</v>
      </c>
      <c r="AG64" s="6">
        <f ca="1">$O$64*$AA$64</f>
        <v>78619.997444792083</v>
      </c>
    </row>
    <row r="65" spans="1:33" ht="11.25" customHeight="1" x14ac:dyDescent="0.25">
      <c r="A65" s="4" t="s">
        <v>27</v>
      </c>
      <c r="B65" s="4" t="s">
        <v>38</v>
      </c>
      <c r="C65" s="4" t="s">
        <v>39</v>
      </c>
      <c r="D65" s="4" t="s">
        <v>40</v>
      </c>
      <c r="E65" s="4" t="s">
        <v>25</v>
      </c>
      <c r="F65" s="4" t="s">
        <v>25</v>
      </c>
      <c r="G65" s="4" t="s">
        <v>25</v>
      </c>
      <c r="H65" s="4" t="s">
        <v>34</v>
      </c>
      <c r="I65" s="5">
        <v>44593</v>
      </c>
      <c r="J65" s="6">
        <v>0</v>
      </c>
      <c r="K65" s="6">
        <v>0</v>
      </c>
      <c r="L65" s="6">
        <v>134.61500000000001</v>
      </c>
      <c r="M65" s="6">
        <v>134.61500000000001</v>
      </c>
      <c r="N65" s="6">
        <v>134.61500000000001</v>
      </c>
      <c r="O65" s="6">
        <v>134.61500000000001</v>
      </c>
      <c r="P65" s="6">
        <v>0</v>
      </c>
      <c r="Q65" s="4" t="s">
        <v>26</v>
      </c>
      <c r="R65" s="4">
        <v>0</v>
      </c>
      <c r="S65" s="6">
        <v>0</v>
      </c>
      <c r="T65" s="6">
        <v>17</v>
      </c>
      <c r="U65" s="6">
        <v>78</v>
      </c>
      <c r="V65" s="6">
        <f>IF(ISERROR(VLOOKUP($S$65,'TAR FIN'!$A$1:$O$86,15,0)),0,VLOOKUP($S$65,'TAR FIN'!$A$1:$O$86,15,0))</f>
        <v>0</v>
      </c>
      <c r="W65" s="6">
        <f>IF(ISERROR(VLOOKUP($T$65,'TAR FIN'!$A$1:$O$86,15,0)),0,VLOOKUP($T$65,'TAR FIN'!$A$1:$O$86,15,0))</f>
        <v>71.260000000000005</v>
      </c>
      <c r="X65" s="6">
        <f>IF(ISERROR(VLOOKUP($U$65,'TAR FIN'!$A$1:$O$86,15,0)),0,VLOOKUP($U$65,'TAR FIN'!$A$1:$O$86,15,0))</f>
        <v>297.31</v>
      </c>
      <c r="Y65" s="6"/>
      <c r="Z65" s="6">
        <f ca="1">('TUSD BE'!$AM$12+'TUSD BF_350'!$AM$12+'TUSD CVA'!$AM$12)*1</f>
        <v>95.815448102611441</v>
      </c>
      <c r="AA65" s="6">
        <f ca="1">('TE BE'!$AB$6+'TE BF_350'!$AB$6+'TE CVA'!$AB$6)*1</f>
        <v>235.33989117487977</v>
      </c>
      <c r="AB65" s="6">
        <f>$K$65*$V$65</f>
        <v>0</v>
      </c>
      <c r="AC65" s="6">
        <f>$M$65*$W$65</f>
        <v>9592.6649000000016</v>
      </c>
      <c r="AD65" s="6">
        <f>$O$65*$X$65</f>
        <v>40022.385650000004</v>
      </c>
      <c r="AE65" s="6">
        <f>$K$65*$Y$65</f>
        <v>0</v>
      </c>
      <c r="AF65" s="6">
        <f ca="1">$M$65*$Z$65</f>
        <v>12898.19654633304</v>
      </c>
      <c r="AG65" s="6">
        <f ca="1">$O$65*$AA$65</f>
        <v>31680.279450506441</v>
      </c>
    </row>
    <row r="66" spans="1:33" ht="11.25" customHeight="1" x14ac:dyDescent="0.25">
      <c r="A66" s="4" t="s">
        <v>21</v>
      </c>
      <c r="B66" s="4" t="s">
        <v>38</v>
      </c>
      <c r="C66" s="4" t="s">
        <v>39</v>
      </c>
      <c r="D66" s="4" t="s">
        <v>40</v>
      </c>
      <c r="E66" s="4" t="s">
        <v>25</v>
      </c>
      <c r="F66" s="4" t="s">
        <v>25</v>
      </c>
      <c r="G66" s="4" t="s">
        <v>25</v>
      </c>
      <c r="H66" s="4" t="s">
        <v>34</v>
      </c>
      <c r="I66" s="5">
        <v>44621</v>
      </c>
      <c r="J66" s="6">
        <v>0</v>
      </c>
      <c r="K66" s="6">
        <v>0</v>
      </c>
      <c r="L66" s="6">
        <v>398.065</v>
      </c>
      <c r="M66" s="6">
        <v>398.065</v>
      </c>
      <c r="N66" s="6">
        <v>398.065</v>
      </c>
      <c r="O66" s="6">
        <v>398.065</v>
      </c>
      <c r="P66" s="6">
        <v>0</v>
      </c>
      <c r="Q66" s="4" t="s">
        <v>26</v>
      </c>
      <c r="R66" s="4">
        <v>0</v>
      </c>
      <c r="S66" s="6">
        <v>0</v>
      </c>
      <c r="T66" s="6">
        <v>17</v>
      </c>
      <c r="U66" s="6">
        <v>78</v>
      </c>
      <c r="V66" s="6">
        <f>IF(ISERROR(VLOOKUP($S$66,'TAR FIN'!$A$1:$O$86,15,0)),0,VLOOKUP($S$66,'TAR FIN'!$A$1:$O$86,15,0))</f>
        <v>0</v>
      </c>
      <c r="W66" s="6">
        <f>IF(ISERROR(VLOOKUP($T$66,'TAR FIN'!$A$1:$O$86,15,0)),0,VLOOKUP($T$66,'TAR FIN'!$A$1:$O$86,15,0))</f>
        <v>71.260000000000005</v>
      </c>
      <c r="X66" s="6">
        <f>IF(ISERROR(VLOOKUP($U$66,'TAR FIN'!$A$1:$O$86,15,0)),0,VLOOKUP($U$66,'TAR FIN'!$A$1:$O$86,15,0))</f>
        <v>297.31</v>
      </c>
      <c r="Y66" s="6"/>
      <c r="Z66" s="6">
        <f ca="1">('TUSD BE'!$AM$12+'TUSD BF_350'!$AM$12+'TUSD CVA'!$AM$12)*1</f>
        <v>95.815448102611441</v>
      </c>
      <c r="AA66" s="6">
        <f ca="1">('TE BE'!$AB$6+'TE BF_350'!$AB$6+'TE CVA'!$AB$6)*1</f>
        <v>235.33989117487977</v>
      </c>
      <c r="AB66" s="6">
        <f>$K$66*$V$66</f>
        <v>0</v>
      </c>
      <c r="AC66" s="6">
        <f>$M$66*$W$66</f>
        <v>28366.111900000004</v>
      </c>
      <c r="AD66" s="6">
        <f>$O$66*$X$66</f>
        <v>118348.70514999999</v>
      </c>
      <c r="AE66" s="6">
        <f>$K$66*$Y$66</f>
        <v>0</v>
      </c>
      <c r="AF66" s="6">
        <f ca="1">$M$66*$Z$66</f>
        <v>38140.776348966021</v>
      </c>
      <c r="AG66" s="6">
        <f ca="1">$O$66*$AA$66</f>
        <v>93680.573780528517</v>
      </c>
    </row>
    <row r="67" spans="1:33" ht="11.25" customHeight="1" x14ac:dyDescent="0.25">
      <c r="A67" s="4" t="s">
        <v>27</v>
      </c>
      <c r="B67" s="4" t="s">
        <v>38</v>
      </c>
      <c r="C67" s="4" t="s">
        <v>39</v>
      </c>
      <c r="D67" s="4" t="s">
        <v>40</v>
      </c>
      <c r="E67" s="4" t="s">
        <v>25</v>
      </c>
      <c r="F67" s="4" t="s">
        <v>25</v>
      </c>
      <c r="G67" s="4" t="s">
        <v>25</v>
      </c>
      <c r="H67" s="4" t="s">
        <v>34</v>
      </c>
      <c r="I67" s="5">
        <v>44621</v>
      </c>
      <c r="J67" s="6">
        <v>0</v>
      </c>
      <c r="K67" s="6">
        <v>0</v>
      </c>
      <c r="L67" s="6">
        <v>62.463000000000001</v>
      </c>
      <c r="M67" s="6">
        <v>62.463000000000001</v>
      </c>
      <c r="N67" s="6">
        <v>62.463000000000001</v>
      </c>
      <c r="O67" s="6">
        <v>62.463000000000001</v>
      </c>
      <c r="P67" s="6">
        <v>0</v>
      </c>
      <c r="Q67" s="4" t="s">
        <v>26</v>
      </c>
      <c r="R67" s="4">
        <v>0</v>
      </c>
      <c r="S67" s="6">
        <v>0</v>
      </c>
      <c r="T67" s="6">
        <v>17</v>
      </c>
      <c r="U67" s="6">
        <v>78</v>
      </c>
      <c r="V67" s="6">
        <f>IF(ISERROR(VLOOKUP($S$67,'TAR FIN'!$A$1:$O$86,15,0)),0,VLOOKUP($S$67,'TAR FIN'!$A$1:$O$86,15,0))</f>
        <v>0</v>
      </c>
      <c r="W67" s="6">
        <f>IF(ISERROR(VLOOKUP($T$67,'TAR FIN'!$A$1:$O$86,15,0)),0,VLOOKUP($T$67,'TAR FIN'!$A$1:$O$86,15,0))</f>
        <v>71.260000000000005</v>
      </c>
      <c r="X67" s="6">
        <f>IF(ISERROR(VLOOKUP($U$67,'TAR FIN'!$A$1:$O$86,15,0)),0,VLOOKUP($U$67,'TAR FIN'!$A$1:$O$86,15,0))</f>
        <v>297.31</v>
      </c>
      <c r="Y67" s="6"/>
      <c r="Z67" s="6">
        <f ca="1">('TUSD BE'!$AM$12+'TUSD BF_350'!$AM$12+'TUSD CVA'!$AM$12)*1</f>
        <v>95.815448102611441</v>
      </c>
      <c r="AA67" s="6">
        <f ca="1">('TE BE'!$AB$6+'TE BF_350'!$AB$6+'TE CVA'!$AB$6)*1</f>
        <v>235.33989117487977</v>
      </c>
      <c r="AB67" s="6">
        <f>$K$67*$V$67</f>
        <v>0</v>
      </c>
      <c r="AC67" s="6">
        <f>$M$67*$W$67</f>
        <v>4451.1133800000007</v>
      </c>
      <c r="AD67" s="6">
        <f>$O$67*$X$67</f>
        <v>18570.874530000001</v>
      </c>
      <c r="AE67" s="6">
        <f>$K$67*$Y$67</f>
        <v>0</v>
      </c>
      <c r="AF67" s="6">
        <f ca="1">$M$67*$Z$67</f>
        <v>5984.9203348334186</v>
      </c>
      <c r="AG67" s="6">
        <f ca="1">$O$67*$AA$67</f>
        <v>14700.035622456515</v>
      </c>
    </row>
    <row r="68" spans="1:33" ht="11.25" customHeight="1" x14ac:dyDescent="0.25">
      <c r="A68" s="4" t="s">
        <v>21</v>
      </c>
      <c r="B68" s="4" t="s">
        <v>38</v>
      </c>
      <c r="C68" s="4" t="s">
        <v>39</v>
      </c>
      <c r="D68" s="4" t="s">
        <v>40</v>
      </c>
      <c r="E68" s="4" t="s">
        <v>25</v>
      </c>
      <c r="F68" s="4" t="s">
        <v>25</v>
      </c>
      <c r="G68" s="4" t="s">
        <v>25</v>
      </c>
      <c r="H68" s="4" t="s">
        <v>34</v>
      </c>
      <c r="I68" s="5">
        <v>44652</v>
      </c>
      <c r="J68" s="6">
        <v>0</v>
      </c>
      <c r="K68" s="6">
        <v>0</v>
      </c>
      <c r="L68" s="6">
        <v>94.784000000000006</v>
      </c>
      <c r="M68" s="6">
        <v>94.784000000000006</v>
      </c>
      <c r="N68" s="6">
        <v>94.784000000000006</v>
      </c>
      <c r="O68" s="6">
        <v>94.784000000000006</v>
      </c>
      <c r="P68" s="6">
        <v>0</v>
      </c>
      <c r="Q68" s="4" t="s">
        <v>26</v>
      </c>
      <c r="R68" s="4">
        <v>0</v>
      </c>
      <c r="S68" s="6">
        <v>0</v>
      </c>
      <c r="T68" s="6">
        <v>17</v>
      </c>
      <c r="U68" s="6">
        <v>78</v>
      </c>
      <c r="V68" s="6">
        <f>IF(ISERROR(VLOOKUP($S$68,'TAR FIN'!$A$1:$O$86,15,0)),0,VLOOKUP($S$68,'TAR FIN'!$A$1:$O$86,15,0))</f>
        <v>0</v>
      </c>
      <c r="W68" s="6">
        <f>IF(ISERROR(VLOOKUP($T$68,'TAR FIN'!$A$1:$O$86,15,0)),0,VLOOKUP($T$68,'TAR FIN'!$A$1:$O$86,15,0))</f>
        <v>71.260000000000005</v>
      </c>
      <c r="X68" s="6">
        <f>IF(ISERROR(VLOOKUP($U$68,'TAR FIN'!$A$1:$O$86,15,0)),0,VLOOKUP($U$68,'TAR FIN'!$A$1:$O$86,15,0))</f>
        <v>297.31</v>
      </c>
      <c r="Y68" s="6"/>
      <c r="Z68" s="6">
        <f ca="1">('TUSD BE'!$AM$12+'TUSD BF_350'!$AM$12+'TUSD CVA'!$AM$12)*1</f>
        <v>95.815448102611441</v>
      </c>
      <c r="AA68" s="6">
        <f ca="1">('TE BE'!$AB$6+'TE BF_350'!$AB$6+'TE CVA'!$AB$6)*1</f>
        <v>235.33989117487977</v>
      </c>
      <c r="AB68" s="6">
        <f>$K$68*$V$68</f>
        <v>0</v>
      </c>
      <c r="AC68" s="6">
        <f>$M$68*$W$68</f>
        <v>6754.3078400000013</v>
      </c>
      <c r="AD68" s="6">
        <f>$O$68*$X$68</f>
        <v>28180.231040000002</v>
      </c>
      <c r="AE68" s="6">
        <f>$K$68*$Y$68</f>
        <v>0</v>
      </c>
      <c r="AF68" s="6">
        <f ca="1">$M$68*$Z$68</f>
        <v>9081.771432957923</v>
      </c>
      <c r="AG68" s="6">
        <f ca="1">$O$68*$AA$68</f>
        <v>22306.456245119803</v>
      </c>
    </row>
    <row r="69" spans="1:33" ht="11.25" customHeight="1" x14ac:dyDescent="0.25">
      <c r="A69" s="4" t="s">
        <v>27</v>
      </c>
      <c r="B69" s="4" t="s">
        <v>38</v>
      </c>
      <c r="C69" s="4" t="s">
        <v>39</v>
      </c>
      <c r="D69" s="4" t="s">
        <v>40</v>
      </c>
      <c r="E69" s="4" t="s">
        <v>25</v>
      </c>
      <c r="F69" s="4" t="s">
        <v>25</v>
      </c>
      <c r="G69" s="4" t="s">
        <v>25</v>
      </c>
      <c r="H69" s="4" t="s">
        <v>34</v>
      </c>
      <c r="I69" s="5">
        <v>44652</v>
      </c>
      <c r="J69" s="6">
        <v>0</v>
      </c>
      <c r="K69" s="6">
        <v>0</v>
      </c>
      <c r="L69" s="6">
        <v>126.04600000000001</v>
      </c>
      <c r="M69" s="6">
        <v>126.04600000000001</v>
      </c>
      <c r="N69" s="6">
        <v>126.04600000000001</v>
      </c>
      <c r="O69" s="6">
        <v>126.04600000000001</v>
      </c>
      <c r="P69" s="6">
        <v>0</v>
      </c>
      <c r="Q69" s="4" t="s">
        <v>26</v>
      </c>
      <c r="R69" s="4">
        <v>0</v>
      </c>
      <c r="S69" s="6">
        <v>0</v>
      </c>
      <c r="T69" s="6">
        <v>17</v>
      </c>
      <c r="U69" s="6">
        <v>78</v>
      </c>
      <c r="V69" s="6">
        <f>IF(ISERROR(VLOOKUP($S$69,'TAR FIN'!$A$1:$O$86,15,0)),0,VLOOKUP($S$69,'TAR FIN'!$A$1:$O$86,15,0))</f>
        <v>0</v>
      </c>
      <c r="W69" s="6">
        <f>IF(ISERROR(VLOOKUP($T$69,'TAR FIN'!$A$1:$O$86,15,0)),0,VLOOKUP($T$69,'TAR FIN'!$A$1:$O$86,15,0))</f>
        <v>71.260000000000005</v>
      </c>
      <c r="X69" s="6">
        <f>IF(ISERROR(VLOOKUP($U$69,'TAR FIN'!$A$1:$O$86,15,0)),0,VLOOKUP($U$69,'TAR FIN'!$A$1:$O$86,15,0))</f>
        <v>297.31</v>
      </c>
      <c r="Y69" s="6"/>
      <c r="Z69" s="6">
        <f ca="1">('TUSD BE'!$AM$12+'TUSD BF_350'!$AM$12+'TUSD CVA'!$AM$12)*1</f>
        <v>95.815448102611441</v>
      </c>
      <c r="AA69" s="6">
        <f ca="1">('TE BE'!$AB$6+'TE BF_350'!$AB$6+'TE CVA'!$AB$6)*1</f>
        <v>235.33989117487977</v>
      </c>
      <c r="AB69" s="6">
        <f>$K$69*$V$69</f>
        <v>0</v>
      </c>
      <c r="AC69" s="6">
        <f>$M$69*$W$69</f>
        <v>8982.0379600000015</v>
      </c>
      <c r="AD69" s="6">
        <f>$O$69*$X$69</f>
        <v>37474.736260000005</v>
      </c>
      <c r="AE69" s="6">
        <f>$K$69*$Y$69</f>
        <v>0</v>
      </c>
      <c r="AF69" s="6">
        <f ca="1">$M$69*$Z$69</f>
        <v>12077.153971541762</v>
      </c>
      <c r="AG69" s="6">
        <f ca="1">$O$69*$AA$69</f>
        <v>29663.651923028898</v>
      </c>
    </row>
    <row r="70" spans="1:33" ht="11.25" customHeight="1" x14ac:dyDescent="0.25">
      <c r="A70" s="4" t="s">
        <v>21</v>
      </c>
      <c r="B70" s="4" t="s">
        <v>38</v>
      </c>
      <c r="C70" s="4" t="s">
        <v>39</v>
      </c>
      <c r="D70" s="4" t="s">
        <v>40</v>
      </c>
      <c r="E70" s="4" t="s">
        <v>25</v>
      </c>
      <c r="F70" s="4" t="s">
        <v>25</v>
      </c>
      <c r="G70" s="4" t="s">
        <v>25</v>
      </c>
      <c r="H70" s="4" t="s">
        <v>34</v>
      </c>
      <c r="I70" s="5">
        <v>44682</v>
      </c>
      <c r="J70" s="6">
        <v>0</v>
      </c>
      <c r="K70" s="6">
        <v>0</v>
      </c>
      <c r="L70" s="6">
        <v>109.345</v>
      </c>
      <c r="M70" s="6">
        <v>109.345</v>
      </c>
      <c r="N70" s="6">
        <v>109.345</v>
      </c>
      <c r="O70" s="6">
        <v>109.345</v>
      </c>
      <c r="P70" s="6">
        <v>0</v>
      </c>
      <c r="Q70" s="4" t="s">
        <v>26</v>
      </c>
      <c r="R70" s="4">
        <v>0</v>
      </c>
      <c r="S70" s="6">
        <v>0</v>
      </c>
      <c r="T70" s="6">
        <v>17</v>
      </c>
      <c r="U70" s="6">
        <v>78</v>
      </c>
      <c r="V70" s="6">
        <f>IF(ISERROR(VLOOKUP($S$70,'TAR FIN'!$A$1:$O$86,15,0)),0,VLOOKUP($S$70,'TAR FIN'!$A$1:$O$86,15,0))</f>
        <v>0</v>
      </c>
      <c r="W70" s="6">
        <f>IF(ISERROR(VLOOKUP($T$70,'TAR FIN'!$A$1:$O$86,15,0)),0,VLOOKUP($T$70,'TAR FIN'!$A$1:$O$86,15,0))</f>
        <v>71.260000000000005</v>
      </c>
      <c r="X70" s="6">
        <f>IF(ISERROR(VLOOKUP($U$70,'TAR FIN'!$A$1:$O$86,15,0)),0,VLOOKUP($U$70,'TAR FIN'!$A$1:$O$86,15,0))</f>
        <v>297.31</v>
      </c>
      <c r="Y70" s="6"/>
      <c r="Z70" s="6">
        <f ca="1">('TUSD BE'!$AM$12+'TUSD BF_350'!$AM$12+'TUSD CVA'!$AM$12)*1</f>
        <v>95.815448102611441</v>
      </c>
      <c r="AA70" s="6">
        <f ca="1">('TE BE'!$AB$6+'TE BF_350'!$AB$6+'TE CVA'!$AB$6)*1</f>
        <v>235.33989117487977</v>
      </c>
      <c r="AB70" s="6">
        <f>$K$70*$V$70</f>
        <v>0</v>
      </c>
      <c r="AC70" s="6">
        <f>$M$70*$W$70</f>
        <v>7791.9247000000005</v>
      </c>
      <c r="AD70" s="6">
        <f>$O$70*$X$70</f>
        <v>32509.361949999999</v>
      </c>
      <c r="AE70" s="6">
        <f>$K$70*$Y$70</f>
        <v>0</v>
      </c>
      <c r="AF70" s="6">
        <f ca="1">$M$70*$Z$70</f>
        <v>10476.940172780049</v>
      </c>
      <c r="AG70" s="6">
        <f ca="1">$O$70*$AA$70</f>
        <v>25733.240400517228</v>
      </c>
    </row>
    <row r="71" spans="1:33" ht="11.25" customHeight="1" x14ac:dyDescent="0.25">
      <c r="A71" s="4" t="s">
        <v>27</v>
      </c>
      <c r="B71" s="4" t="s">
        <v>38</v>
      </c>
      <c r="C71" s="4" t="s">
        <v>39</v>
      </c>
      <c r="D71" s="4" t="s">
        <v>40</v>
      </c>
      <c r="E71" s="4" t="s">
        <v>25</v>
      </c>
      <c r="F71" s="4" t="s">
        <v>25</v>
      </c>
      <c r="G71" s="4" t="s">
        <v>25</v>
      </c>
      <c r="H71" s="4" t="s">
        <v>34</v>
      </c>
      <c r="I71" s="5">
        <v>44682</v>
      </c>
      <c r="J71" s="6">
        <v>0</v>
      </c>
      <c r="K71" s="6">
        <v>0</v>
      </c>
      <c r="L71" s="6">
        <v>83.072000000000003</v>
      </c>
      <c r="M71" s="6">
        <v>83.072000000000003</v>
      </c>
      <c r="N71" s="6">
        <v>83.072000000000003</v>
      </c>
      <c r="O71" s="6">
        <v>83.072000000000003</v>
      </c>
      <c r="P71" s="6">
        <v>0</v>
      </c>
      <c r="Q71" s="4" t="s">
        <v>26</v>
      </c>
      <c r="R71" s="4">
        <v>0</v>
      </c>
      <c r="S71" s="6">
        <v>0</v>
      </c>
      <c r="T71" s="6">
        <v>17</v>
      </c>
      <c r="U71" s="6">
        <v>78</v>
      </c>
      <c r="V71" s="6">
        <f>IF(ISERROR(VLOOKUP($S$71,'TAR FIN'!$A$1:$O$86,15,0)),0,VLOOKUP($S$71,'TAR FIN'!$A$1:$O$86,15,0))</f>
        <v>0</v>
      </c>
      <c r="W71" s="6">
        <f>IF(ISERROR(VLOOKUP($T$71,'TAR FIN'!$A$1:$O$86,15,0)),0,VLOOKUP($T$71,'TAR FIN'!$A$1:$O$86,15,0))</f>
        <v>71.260000000000005</v>
      </c>
      <c r="X71" s="6">
        <f>IF(ISERROR(VLOOKUP($U$71,'TAR FIN'!$A$1:$O$86,15,0)),0,VLOOKUP($U$71,'TAR FIN'!$A$1:$O$86,15,0))</f>
        <v>297.31</v>
      </c>
      <c r="Y71" s="6"/>
      <c r="Z71" s="6">
        <f ca="1">('TUSD BE'!$AM$12+'TUSD BF_350'!$AM$12+'TUSD CVA'!$AM$12)*1</f>
        <v>95.815448102611441</v>
      </c>
      <c r="AA71" s="6">
        <f ca="1">('TE BE'!$AB$6+'TE BF_350'!$AB$6+'TE CVA'!$AB$6)*1</f>
        <v>235.33989117487977</v>
      </c>
      <c r="AB71" s="6">
        <f>$K$71*$V$71</f>
        <v>0</v>
      </c>
      <c r="AC71" s="6">
        <f>$M$71*$W$71</f>
        <v>5919.7107200000009</v>
      </c>
      <c r="AD71" s="6">
        <f>$O$71*$X$71</f>
        <v>24698.136320000001</v>
      </c>
      <c r="AE71" s="6">
        <f>$K$71*$Y$71</f>
        <v>0</v>
      </c>
      <c r="AF71" s="6">
        <f ca="1">$M$71*$Z$71</f>
        <v>7959.5809047801376</v>
      </c>
      <c r="AG71" s="6">
        <f ca="1">$O$71*$AA$71</f>
        <v>19550.155439679613</v>
      </c>
    </row>
    <row r="72" spans="1:33" ht="11.25" customHeight="1" x14ac:dyDescent="0.25">
      <c r="A72" s="4" t="s">
        <v>55</v>
      </c>
      <c r="B72" s="4" t="s">
        <v>38</v>
      </c>
      <c r="C72" s="4" t="s">
        <v>39</v>
      </c>
      <c r="D72" s="4" t="s">
        <v>40</v>
      </c>
      <c r="E72" s="4" t="s">
        <v>25</v>
      </c>
      <c r="F72" s="4" t="s">
        <v>25</v>
      </c>
      <c r="G72" s="4" t="s">
        <v>25</v>
      </c>
      <c r="H72" s="4" t="s">
        <v>34</v>
      </c>
      <c r="I72" s="5">
        <v>44713</v>
      </c>
      <c r="J72" s="6">
        <v>0</v>
      </c>
      <c r="K72" s="6">
        <v>0</v>
      </c>
      <c r="L72" s="6">
        <v>109.345</v>
      </c>
      <c r="M72" s="6">
        <v>109.345</v>
      </c>
      <c r="N72" s="6">
        <v>109.345</v>
      </c>
      <c r="O72" s="6">
        <v>109.345</v>
      </c>
      <c r="P72" s="6">
        <v>0</v>
      </c>
      <c r="Q72" s="4" t="s">
        <v>26</v>
      </c>
      <c r="R72" s="4">
        <v>0</v>
      </c>
      <c r="S72" s="6">
        <v>0</v>
      </c>
      <c r="T72" s="6">
        <v>17</v>
      </c>
      <c r="U72" s="6">
        <v>78</v>
      </c>
      <c r="V72" s="6">
        <f>IF(ISERROR(VLOOKUP($S$72,'TAR FIN'!$A$1:$O$86,15,0)),0,VLOOKUP($S$72,'TAR FIN'!$A$1:$O$86,15,0))</f>
        <v>0</v>
      </c>
      <c r="W72" s="6">
        <f>IF(ISERROR(VLOOKUP($T$72,'TAR FIN'!$A$1:$O$86,15,0)),0,VLOOKUP($T$72,'TAR FIN'!$A$1:$O$86,15,0))</f>
        <v>71.260000000000005</v>
      </c>
      <c r="X72" s="6">
        <f>IF(ISERROR(VLOOKUP($U$72,'TAR FIN'!$A$1:$O$86,15,0)),0,VLOOKUP($U$72,'TAR FIN'!$A$1:$O$86,15,0))</f>
        <v>297.31</v>
      </c>
      <c r="Y72" s="6"/>
      <c r="Z72" s="6">
        <f ca="1">('TUSD BE'!$AM$12+'TUSD BF_350'!$AM$12+'TUSD CVA'!$AM$12)*1</f>
        <v>95.815448102611441</v>
      </c>
      <c r="AA72" s="6">
        <f ca="1">('TE BE'!$AB$6+'TE BF_350'!$AB$6+'TE CVA'!$AB$6)*1</f>
        <v>235.33989117487977</v>
      </c>
      <c r="AB72" s="6">
        <f>$K$72*$V$72</f>
        <v>0</v>
      </c>
      <c r="AC72" s="6">
        <f>$M$72*$W$72</f>
        <v>7791.9247000000005</v>
      </c>
      <c r="AD72" s="6">
        <f>$O$72*$X$72</f>
        <v>32509.361949999999</v>
      </c>
      <c r="AE72" s="6">
        <f>$K$72*$Y$72</f>
        <v>0</v>
      </c>
      <c r="AF72" s="6">
        <f ca="1">$M$72*$Z$72</f>
        <v>10476.940172780049</v>
      </c>
      <c r="AG72" s="6">
        <f ca="1">$O$72*$AA$72</f>
        <v>25733.240400517228</v>
      </c>
    </row>
    <row r="73" spans="1:33" ht="11.25" customHeight="1" x14ac:dyDescent="0.25">
      <c r="A73" s="4" t="s">
        <v>55</v>
      </c>
      <c r="B73" s="4" t="s">
        <v>38</v>
      </c>
      <c r="C73" s="4" t="s">
        <v>39</v>
      </c>
      <c r="D73" s="4" t="s">
        <v>40</v>
      </c>
      <c r="E73" s="4" t="s">
        <v>25</v>
      </c>
      <c r="F73" s="4" t="s">
        <v>25</v>
      </c>
      <c r="G73" s="4" t="s">
        <v>25</v>
      </c>
      <c r="H73" s="4" t="s">
        <v>34</v>
      </c>
      <c r="I73" s="5">
        <v>44713</v>
      </c>
      <c r="J73" s="6">
        <v>0</v>
      </c>
      <c r="K73" s="6">
        <v>0</v>
      </c>
      <c r="L73" s="6">
        <v>83.072000000000003</v>
      </c>
      <c r="M73" s="6">
        <v>83.072000000000003</v>
      </c>
      <c r="N73" s="6">
        <v>83.072000000000003</v>
      </c>
      <c r="O73" s="6">
        <v>83.072000000000003</v>
      </c>
      <c r="P73" s="6">
        <v>0</v>
      </c>
      <c r="Q73" s="4" t="s">
        <v>26</v>
      </c>
      <c r="R73" s="4">
        <v>0</v>
      </c>
      <c r="S73" s="6">
        <v>0</v>
      </c>
      <c r="T73" s="6">
        <v>17</v>
      </c>
      <c r="U73" s="6">
        <v>78</v>
      </c>
      <c r="V73" s="6">
        <f>IF(ISERROR(VLOOKUP($S$73,'TAR FIN'!$A$1:$O$86,15,0)),0,VLOOKUP($S$73,'TAR FIN'!$A$1:$O$86,15,0))</f>
        <v>0</v>
      </c>
      <c r="W73" s="6">
        <f>IF(ISERROR(VLOOKUP($T$73,'TAR FIN'!$A$1:$O$86,15,0)),0,VLOOKUP($T$73,'TAR FIN'!$A$1:$O$86,15,0))</f>
        <v>71.260000000000005</v>
      </c>
      <c r="X73" s="6">
        <f>IF(ISERROR(VLOOKUP($U$73,'TAR FIN'!$A$1:$O$86,15,0)),0,VLOOKUP($U$73,'TAR FIN'!$A$1:$O$86,15,0))</f>
        <v>297.31</v>
      </c>
      <c r="Y73" s="6"/>
      <c r="Z73" s="6">
        <f ca="1">('TUSD BE'!$AM$12+'TUSD BF_350'!$AM$12+'TUSD CVA'!$AM$12)*1</f>
        <v>95.815448102611441</v>
      </c>
      <c r="AA73" s="6">
        <f ca="1">('TE BE'!$AB$6+'TE BF_350'!$AB$6+'TE CVA'!$AB$6)*1</f>
        <v>235.33989117487977</v>
      </c>
      <c r="AB73" s="6">
        <f>$K$73*$V$73</f>
        <v>0</v>
      </c>
      <c r="AC73" s="6">
        <f>$M$73*$W$73</f>
        <v>5919.7107200000009</v>
      </c>
      <c r="AD73" s="6">
        <f>$O$73*$X$73</f>
        <v>24698.136320000001</v>
      </c>
      <c r="AE73" s="6">
        <f>$K$73*$Y$73</f>
        <v>0</v>
      </c>
      <c r="AF73" s="6">
        <f ca="1">$M$73*$Z$73</f>
        <v>7959.5809047801376</v>
      </c>
      <c r="AG73" s="6">
        <f ca="1">$O$73*$AA$73</f>
        <v>19550.155439679613</v>
      </c>
    </row>
    <row r="74" spans="1:33" ht="11.25" customHeight="1" x14ac:dyDescent="0.25">
      <c r="A74" s="4" t="s">
        <v>21</v>
      </c>
      <c r="B74" s="4" t="s">
        <v>38</v>
      </c>
      <c r="C74" s="4" t="s">
        <v>39</v>
      </c>
      <c r="D74" s="4" t="s">
        <v>40</v>
      </c>
      <c r="E74" s="4" t="s">
        <v>25</v>
      </c>
      <c r="F74" s="4" t="s">
        <v>25</v>
      </c>
      <c r="G74" s="4" t="s">
        <v>25</v>
      </c>
      <c r="H74" s="4" t="s">
        <v>25</v>
      </c>
      <c r="I74" s="5">
        <v>44378</v>
      </c>
      <c r="J74" s="6">
        <v>1028</v>
      </c>
      <c r="K74" s="6">
        <v>1028</v>
      </c>
      <c r="L74" s="6">
        <v>0</v>
      </c>
      <c r="M74" s="6">
        <v>0</v>
      </c>
      <c r="N74" s="6">
        <v>0</v>
      </c>
      <c r="O74" s="6">
        <v>0</v>
      </c>
      <c r="P74" s="6">
        <v>15</v>
      </c>
      <c r="Q74" s="4" t="s">
        <v>26</v>
      </c>
      <c r="R74" s="4">
        <v>0</v>
      </c>
      <c r="S74" s="6">
        <v>19</v>
      </c>
      <c r="T74" s="6">
        <v>0</v>
      </c>
      <c r="U74" s="6">
        <v>0</v>
      </c>
      <c r="V74" s="6">
        <f>IF(ISERROR(VLOOKUP($S$74,'TAR FIN'!$A$1:$O$86,15,0)),0,VLOOKUP($S$74,'TAR FIN'!$A$1:$O$86,15,0))</f>
        <v>16.29</v>
      </c>
      <c r="W74" s="6">
        <f>IF(ISERROR(VLOOKUP($T$74,'TAR FIN'!$A$1:$O$86,15,0)),0,VLOOKUP($T$74,'TAR FIN'!$A$1:$O$86,15,0))</f>
        <v>0</v>
      </c>
      <c r="X74" s="6">
        <f>IF(ISERROR(VLOOKUP($U$74,'TAR FIN'!$A$1:$O$86,15,0)),0,VLOOKUP($U$74,'TAR FIN'!$A$1:$O$86,15,0))</f>
        <v>0</v>
      </c>
      <c r="Y74" s="6">
        <f ca="1">('TUSD BE'!$AM$10+'TUSD BF_350'!$AM$10+'TUSD CVA'!$AM$10)*1</f>
        <v>21.139573525578484</v>
      </c>
      <c r="Z74" s="6"/>
      <c r="AA74" s="6"/>
      <c r="AB74" s="6">
        <f>$K$74*$V$74</f>
        <v>16746.12</v>
      </c>
      <c r="AC74" s="6">
        <f>$M$74*$W$74</f>
        <v>0</v>
      </c>
      <c r="AD74" s="6">
        <f>$O$74*$X$74</f>
        <v>0</v>
      </c>
      <c r="AE74" s="6">
        <f ca="1">$K$74*$Y$74</f>
        <v>21731.481584294681</v>
      </c>
      <c r="AF74" s="6">
        <f>$M$74*$Z$74</f>
        <v>0</v>
      </c>
      <c r="AG74" s="6">
        <f>$O$74*$AA$74</f>
        <v>0</v>
      </c>
    </row>
    <row r="75" spans="1:33" ht="11.25" customHeight="1" x14ac:dyDescent="0.25">
      <c r="A75" s="4" t="s">
        <v>27</v>
      </c>
      <c r="B75" s="4" t="s">
        <v>38</v>
      </c>
      <c r="C75" s="4" t="s">
        <v>39</v>
      </c>
      <c r="D75" s="4" t="s">
        <v>40</v>
      </c>
      <c r="E75" s="4" t="s">
        <v>25</v>
      </c>
      <c r="F75" s="4" t="s">
        <v>25</v>
      </c>
      <c r="G75" s="4" t="s">
        <v>25</v>
      </c>
      <c r="H75" s="4" t="s">
        <v>25</v>
      </c>
      <c r="I75" s="5">
        <v>44378</v>
      </c>
      <c r="J75" s="6">
        <v>1973</v>
      </c>
      <c r="K75" s="6">
        <v>1973</v>
      </c>
      <c r="L75" s="6">
        <v>0</v>
      </c>
      <c r="M75" s="6">
        <v>0</v>
      </c>
      <c r="N75" s="6">
        <v>0</v>
      </c>
      <c r="O75" s="6">
        <v>0</v>
      </c>
      <c r="P75" s="6">
        <v>11</v>
      </c>
      <c r="Q75" s="4" t="s">
        <v>26</v>
      </c>
      <c r="R75" s="4">
        <v>0</v>
      </c>
      <c r="S75" s="6">
        <v>19</v>
      </c>
      <c r="T75" s="6">
        <v>0</v>
      </c>
      <c r="U75" s="6">
        <v>0</v>
      </c>
      <c r="V75" s="6">
        <f>IF(ISERROR(VLOOKUP($S$75,'TAR FIN'!$A$1:$O$86,15,0)),0,VLOOKUP($S$75,'TAR FIN'!$A$1:$O$86,15,0))</f>
        <v>16.29</v>
      </c>
      <c r="W75" s="6">
        <f>IF(ISERROR(VLOOKUP($T$75,'TAR FIN'!$A$1:$O$86,15,0)),0,VLOOKUP($T$75,'TAR FIN'!$A$1:$O$86,15,0))</f>
        <v>0</v>
      </c>
      <c r="X75" s="6">
        <f>IF(ISERROR(VLOOKUP($U$75,'TAR FIN'!$A$1:$O$86,15,0)),0,VLOOKUP($U$75,'TAR FIN'!$A$1:$O$86,15,0))</f>
        <v>0</v>
      </c>
      <c r="Y75" s="6">
        <f ca="1">('TUSD BE'!$AM$10+'TUSD BF_350'!$AM$10+'TUSD CVA'!$AM$10)*1</f>
        <v>21.139573525578484</v>
      </c>
      <c r="Z75" s="6"/>
      <c r="AA75" s="6"/>
      <c r="AB75" s="6">
        <f>$K$75*$V$75</f>
        <v>32140.17</v>
      </c>
      <c r="AC75" s="6">
        <f>$M$75*$W$75</f>
        <v>0</v>
      </c>
      <c r="AD75" s="6">
        <f>$O$75*$X$75</f>
        <v>0</v>
      </c>
      <c r="AE75" s="6">
        <f ca="1">$K$75*$Y$75</f>
        <v>41708.378565966348</v>
      </c>
      <c r="AF75" s="6">
        <f>$M$75*$Z$75</f>
        <v>0</v>
      </c>
      <c r="AG75" s="6">
        <f>$O$75*$AA$75</f>
        <v>0</v>
      </c>
    </row>
    <row r="76" spans="1:33" ht="11.25" customHeight="1" x14ac:dyDescent="0.25">
      <c r="A76" s="4" t="s">
        <v>21</v>
      </c>
      <c r="B76" s="4" t="s">
        <v>38</v>
      </c>
      <c r="C76" s="4" t="s">
        <v>39</v>
      </c>
      <c r="D76" s="4" t="s">
        <v>40</v>
      </c>
      <c r="E76" s="4" t="s">
        <v>25</v>
      </c>
      <c r="F76" s="4" t="s">
        <v>25</v>
      </c>
      <c r="G76" s="4" t="s">
        <v>25</v>
      </c>
      <c r="H76" s="4" t="s">
        <v>25</v>
      </c>
      <c r="I76" s="5">
        <v>44409</v>
      </c>
      <c r="J76" s="6">
        <v>1974</v>
      </c>
      <c r="K76" s="6">
        <v>1974</v>
      </c>
      <c r="L76" s="6">
        <v>0</v>
      </c>
      <c r="M76" s="6">
        <v>0</v>
      </c>
      <c r="N76" s="6">
        <v>0</v>
      </c>
      <c r="O76" s="6">
        <v>0</v>
      </c>
      <c r="P76" s="6">
        <v>18</v>
      </c>
      <c r="Q76" s="4" t="s">
        <v>26</v>
      </c>
      <c r="R76" s="4">
        <v>0</v>
      </c>
      <c r="S76" s="6">
        <v>19</v>
      </c>
      <c r="T76" s="6">
        <v>0</v>
      </c>
      <c r="U76" s="6">
        <v>0</v>
      </c>
      <c r="V76" s="6">
        <f>IF(ISERROR(VLOOKUP($S$76,'TAR FIN'!$A$1:$O$86,15,0)),0,VLOOKUP($S$76,'TAR FIN'!$A$1:$O$86,15,0))</f>
        <v>16.29</v>
      </c>
      <c r="W76" s="6">
        <f>IF(ISERROR(VLOOKUP($T$76,'TAR FIN'!$A$1:$O$86,15,0)),0,VLOOKUP($T$76,'TAR FIN'!$A$1:$O$86,15,0))</f>
        <v>0</v>
      </c>
      <c r="X76" s="6">
        <f>IF(ISERROR(VLOOKUP($U$76,'TAR FIN'!$A$1:$O$86,15,0)),0,VLOOKUP($U$76,'TAR FIN'!$A$1:$O$86,15,0))</f>
        <v>0</v>
      </c>
      <c r="Y76" s="6">
        <f ca="1">('TUSD BE'!$AM$10+'TUSD BF_350'!$AM$10+'TUSD CVA'!$AM$10)*1</f>
        <v>21.139573525578484</v>
      </c>
      <c r="Z76" s="6"/>
      <c r="AA76" s="6"/>
      <c r="AB76" s="6">
        <f>$K$76*$V$76</f>
        <v>32156.46</v>
      </c>
      <c r="AC76" s="6">
        <f>$M$76*$W$76</f>
        <v>0</v>
      </c>
      <c r="AD76" s="6">
        <f>$O$76*$X$76</f>
        <v>0</v>
      </c>
      <c r="AE76" s="6">
        <f ca="1">$K$76*$Y$76</f>
        <v>41729.518139491927</v>
      </c>
      <c r="AF76" s="6">
        <f>$M$76*$Z$76</f>
        <v>0</v>
      </c>
      <c r="AG76" s="6">
        <f>$O$76*$AA$76</f>
        <v>0</v>
      </c>
    </row>
    <row r="77" spans="1:33" ht="11.25" customHeight="1" x14ac:dyDescent="0.25">
      <c r="A77" s="4" t="s">
        <v>27</v>
      </c>
      <c r="B77" s="4" t="s">
        <v>38</v>
      </c>
      <c r="C77" s="4" t="s">
        <v>39</v>
      </c>
      <c r="D77" s="4" t="s">
        <v>40</v>
      </c>
      <c r="E77" s="4" t="s">
        <v>25</v>
      </c>
      <c r="F77" s="4" t="s">
        <v>25</v>
      </c>
      <c r="G77" s="4" t="s">
        <v>25</v>
      </c>
      <c r="H77" s="4" t="s">
        <v>25</v>
      </c>
      <c r="I77" s="5">
        <v>44409</v>
      </c>
      <c r="J77" s="6">
        <v>1000</v>
      </c>
      <c r="K77" s="6">
        <v>1000</v>
      </c>
      <c r="L77" s="6">
        <v>0</v>
      </c>
      <c r="M77" s="6">
        <v>0</v>
      </c>
      <c r="N77" s="6">
        <v>0</v>
      </c>
      <c r="O77" s="6">
        <v>0</v>
      </c>
      <c r="P77" s="6">
        <v>8</v>
      </c>
      <c r="Q77" s="4" t="s">
        <v>26</v>
      </c>
      <c r="R77" s="4">
        <v>0</v>
      </c>
      <c r="S77" s="6">
        <v>19</v>
      </c>
      <c r="T77" s="6">
        <v>0</v>
      </c>
      <c r="U77" s="6">
        <v>0</v>
      </c>
      <c r="V77" s="6">
        <f>IF(ISERROR(VLOOKUP($S$77,'TAR FIN'!$A$1:$O$86,15,0)),0,VLOOKUP($S$77,'TAR FIN'!$A$1:$O$86,15,0))</f>
        <v>16.29</v>
      </c>
      <c r="W77" s="6">
        <f>IF(ISERROR(VLOOKUP($T$77,'TAR FIN'!$A$1:$O$86,15,0)),0,VLOOKUP($T$77,'TAR FIN'!$A$1:$O$86,15,0))</f>
        <v>0</v>
      </c>
      <c r="X77" s="6">
        <f>IF(ISERROR(VLOOKUP($U$77,'TAR FIN'!$A$1:$O$86,15,0)),0,VLOOKUP($U$77,'TAR FIN'!$A$1:$O$86,15,0))</f>
        <v>0</v>
      </c>
      <c r="Y77" s="6">
        <f ca="1">('TUSD BE'!$AM$10+'TUSD BF_350'!$AM$10+'TUSD CVA'!$AM$10)*1</f>
        <v>21.139573525578484</v>
      </c>
      <c r="Z77" s="6"/>
      <c r="AA77" s="6"/>
      <c r="AB77" s="6">
        <f>$K$77*$V$77</f>
        <v>16290</v>
      </c>
      <c r="AC77" s="6">
        <f>$M$77*$W$77</f>
        <v>0</v>
      </c>
      <c r="AD77" s="6">
        <f>$O$77*$X$77</f>
        <v>0</v>
      </c>
      <c r="AE77" s="6">
        <f ca="1">$K$77*$Y$77</f>
        <v>21139.573525578486</v>
      </c>
      <c r="AF77" s="6">
        <f>$M$77*$Z$77</f>
        <v>0</v>
      </c>
      <c r="AG77" s="6">
        <f>$O$77*$AA$77</f>
        <v>0</v>
      </c>
    </row>
    <row r="78" spans="1:33" ht="11.25" customHeight="1" x14ac:dyDescent="0.25">
      <c r="A78" s="4" t="s">
        <v>21</v>
      </c>
      <c r="B78" s="4" t="s">
        <v>38</v>
      </c>
      <c r="C78" s="4" t="s">
        <v>39</v>
      </c>
      <c r="D78" s="4" t="s">
        <v>40</v>
      </c>
      <c r="E78" s="4" t="s">
        <v>25</v>
      </c>
      <c r="F78" s="4" t="s">
        <v>25</v>
      </c>
      <c r="G78" s="4" t="s">
        <v>25</v>
      </c>
      <c r="H78" s="4" t="s">
        <v>25</v>
      </c>
      <c r="I78" s="5">
        <v>44440</v>
      </c>
      <c r="J78" s="6">
        <v>1463</v>
      </c>
      <c r="K78" s="6">
        <v>1463</v>
      </c>
      <c r="L78" s="6">
        <v>0</v>
      </c>
      <c r="M78" s="6">
        <v>0</v>
      </c>
      <c r="N78" s="6">
        <v>0</v>
      </c>
      <c r="O78" s="6">
        <v>0</v>
      </c>
      <c r="P78" s="6">
        <v>17</v>
      </c>
      <c r="Q78" s="4" t="s">
        <v>26</v>
      </c>
      <c r="R78" s="4">
        <v>0</v>
      </c>
      <c r="S78" s="6">
        <v>19</v>
      </c>
      <c r="T78" s="6">
        <v>0</v>
      </c>
      <c r="U78" s="6">
        <v>0</v>
      </c>
      <c r="V78" s="6">
        <f>IF(ISERROR(VLOOKUP($S$78,'TAR FIN'!$A$1:$O$86,15,0)),0,VLOOKUP($S$78,'TAR FIN'!$A$1:$O$86,15,0))</f>
        <v>16.29</v>
      </c>
      <c r="W78" s="6">
        <f>IF(ISERROR(VLOOKUP($T$78,'TAR FIN'!$A$1:$O$86,15,0)),0,VLOOKUP($T$78,'TAR FIN'!$A$1:$O$86,15,0))</f>
        <v>0</v>
      </c>
      <c r="X78" s="6">
        <f>IF(ISERROR(VLOOKUP($U$78,'TAR FIN'!$A$1:$O$86,15,0)),0,VLOOKUP($U$78,'TAR FIN'!$A$1:$O$86,15,0))</f>
        <v>0</v>
      </c>
      <c r="Y78" s="6">
        <f ca="1">('TUSD BE'!$AM$10+'TUSD BF_350'!$AM$10+'TUSD CVA'!$AM$10)*1</f>
        <v>21.139573525578484</v>
      </c>
      <c r="Z78" s="6"/>
      <c r="AA78" s="6"/>
      <c r="AB78" s="6">
        <f>$K$78*$V$78</f>
        <v>23832.27</v>
      </c>
      <c r="AC78" s="6">
        <f>$M$78*$W$78</f>
        <v>0</v>
      </c>
      <c r="AD78" s="6">
        <f>$O$78*$X$78</f>
        <v>0</v>
      </c>
      <c r="AE78" s="6">
        <f ca="1">$K$78*$Y$78</f>
        <v>30927.196067921323</v>
      </c>
      <c r="AF78" s="6">
        <f>$M$78*$Z$78</f>
        <v>0</v>
      </c>
      <c r="AG78" s="6">
        <f>$O$78*$AA$78</f>
        <v>0</v>
      </c>
    </row>
    <row r="79" spans="1:33" ht="11.25" customHeight="1" x14ac:dyDescent="0.25">
      <c r="A79" s="4" t="s">
        <v>27</v>
      </c>
      <c r="B79" s="4" t="s">
        <v>38</v>
      </c>
      <c r="C79" s="4" t="s">
        <v>39</v>
      </c>
      <c r="D79" s="4" t="s">
        <v>40</v>
      </c>
      <c r="E79" s="4" t="s">
        <v>25</v>
      </c>
      <c r="F79" s="4" t="s">
        <v>25</v>
      </c>
      <c r="G79" s="4" t="s">
        <v>25</v>
      </c>
      <c r="H79" s="4" t="s">
        <v>25</v>
      </c>
      <c r="I79" s="5">
        <v>44440</v>
      </c>
      <c r="J79" s="6">
        <v>1476</v>
      </c>
      <c r="K79" s="6">
        <v>1476</v>
      </c>
      <c r="L79" s="6">
        <v>0</v>
      </c>
      <c r="M79" s="6">
        <v>0</v>
      </c>
      <c r="N79" s="6">
        <v>0</v>
      </c>
      <c r="O79" s="6">
        <v>0</v>
      </c>
      <c r="P79" s="6">
        <v>9</v>
      </c>
      <c r="Q79" s="4" t="s">
        <v>26</v>
      </c>
      <c r="R79" s="4">
        <v>0</v>
      </c>
      <c r="S79" s="6">
        <v>19</v>
      </c>
      <c r="T79" s="6">
        <v>0</v>
      </c>
      <c r="U79" s="6">
        <v>0</v>
      </c>
      <c r="V79" s="6">
        <f>IF(ISERROR(VLOOKUP($S$79,'TAR FIN'!$A$1:$O$86,15,0)),0,VLOOKUP($S$79,'TAR FIN'!$A$1:$O$86,15,0))</f>
        <v>16.29</v>
      </c>
      <c r="W79" s="6">
        <f>IF(ISERROR(VLOOKUP($T$79,'TAR FIN'!$A$1:$O$86,15,0)),0,VLOOKUP($T$79,'TAR FIN'!$A$1:$O$86,15,0))</f>
        <v>0</v>
      </c>
      <c r="X79" s="6">
        <f>IF(ISERROR(VLOOKUP($U$79,'TAR FIN'!$A$1:$O$86,15,0)),0,VLOOKUP($U$79,'TAR FIN'!$A$1:$O$86,15,0))</f>
        <v>0</v>
      </c>
      <c r="Y79" s="6">
        <f ca="1">('TUSD BE'!$AM$10+'TUSD BF_350'!$AM$10+'TUSD CVA'!$AM$10)*1</f>
        <v>21.139573525578484</v>
      </c>
      <c r="Z79" s="6"/>
      <c r="AA79" s="6"/>
      <c r="AB79" s="6">
        <f>$K$79*$V$79</f>
        <v>24044.039999999997</v>
      </c>
      <c r="AC79" s="6">
        <f>$M$79*$W$79</f>
        <v>0</v>
      </c>
      <c r="AD79" s="6">
        <f>$O$79*$X$79</f>
        <v>0</v>
      </c>
      <c r="AE79" s="6">
        <f ca="1">$K$79*$Y$79</f>
        <v>31202.010523753841</v>
      </c>
      <c r="AF79" s="6">
        <f>$M$79*$Z$79</f>
        <v>0</v>
      </c>
      <c r="AG79" s="6">
        <f>$O$79*$AA$79</f>
        <v>0</v>
      </c>
    </row>
    <row r="80" spans="1:33" ht="11.25" customHeight="1" x14ac:dyDescent="0.25">
      <c r="A80" s="4" t="s">
        <v>21</v>
      </c>
      <c r="B80" s="4" t="s">
        <v>38</v>
      </c>
      <c r="C80" s="4" t="s">
        <v>39</v>
      </c>
      <c r="D80" s="4" t="s">
        <v>40</v>
      </c>
      <c r="E80" s="4" t="s">
        <v>25</v>
      </c>
      <c r="F80" s="4" t="s">
        <v>25</v>
      </c>
      <c r="G80" s="4" t="s">
        <v>25</v>
      </c>
      <c r="H80" s="4" t="s">
        <v>25</v>
      </c>
      <c r="I80" s="5">
        <v>44470</v>
      </c>
      <c r="J80" s="6">
        <v>997</v>
      </c>
      <c r="K80" s="6">
        <v>997</v>
      </c>
      <c r="L80" s="6">
        <v>0</v>
      </c>
      <c r="M80" s="6">
        <v>0</v>
      </c>
      <c r="N80" s="6">
        <v>0</v>
      </c>
      <c r="O80" s="6">
        <v>0</v>
      </c>
      <c r="P80" s="6">
        <v>15</v>
      </c>
      <c r="Q80" s="4" t="s">
        <v>26</v>
      </c>
      <c r="R80" s="4">
        <v>0</v>
      </c>
      <c r="S80" s="6">
        <v>19</v>
      </c>
      <c r="T80" s="6">
        <v>0</v>
      </c>
      <c r="U80" s="6">
        <v>0</v>
      </c>
      <c r="V80" s="6">
        <f>IF(ISERROR(VLOOKUP($S$80,'TAR FIN'!$A$1:$O$86,15,0)),0,VLOOKUP($S$80,'TAR FIN'!$A$1:$O$86,15,0))</f>
        <v>16.29</v>
      </c>
      <c r="W80" s="6">
        <f>IF(ISERROR(VLOOKUP($T$80,'TAR FIN'!$A$1:$O$86,15,0)),0,VLOOKUP($T$80,'TAR FIN'!$A$1:$O$86,15,0))</f>
        <v>0</v>
      </c>
      <c r="X80" s="6">
        <f>IF(ISERROR(VLOOKUP($U$80,'TAR FIN'!$A$1:$O$86,15,0)),0,VLOOKUP($U$80,'TAR FIN'!$A$1:$O$86,15,0))</f>
        <v>0</v>
      </c>
      <c r="Y80" s="6">
        <f ca="1">('TUSD BE'!$AM$10+'TUSD BF_350'!$AM$10+'TUSD CVA'!$AM$10)*1</f>
        <v>21.139573525578484</v>
      </c>
      <c r="Z80" s="6"/>
      <c r="AA80" s="6"/>
      <c r="AB80" s="6">
        <f>$K$80*$V$80</f>
        <v>16241.13</v>
      </c>
      <c r="AC80" s="6">
        <f>$M$80*$W$80</f>
        <v>0</v>
      </c>
      <c r="AD80" s="6">
        <f>$O$80*$X$80</f>
        <v>0</v>
      </c>
      <c r="AE80" s="6">
        <f ca="1">$K$80*$Y$80</f>
        <v>21076.154805001748</v>
      </c>
      <c r="AF80" s="6">
        <f>$M$80*$Z$80</f>
        <v>0</v>
      </c>
      <c r="AG80" s="6">
        <f>$O$80*$AA$80</f>
        <v>0</v>
      </c>
    </row>
    <row r="81" spans="1:33" ht="11.25" customHeight="1" x14ac:dyDescent="0.25">
      <c r="A81" s="4" t="s">
        <v>27</v>
      </c>
      <c r="B81" s="4" t="s">
        <v>38</v>
      </c>
      <c r="C81" s="4" t="s">
        <v>39</v>
      </c>
      <c r="D81" s="4" t="s">
        <v>40</v>
      </c>
      <c r="E81" s="4" t="s">
        <v>25</v>
      </c>
      <c r="F81" s="4" t="s">
        <v>25</v>
      </c>
      <c r="G81" s="4" t="s">
        <v>25</v>
      </c>
      <c r="H81" s="4" t="s">
        <v>25</v>
      </c>
      <c r="I81" s="5">
        <v>44470</v>
      </c>
      <c r="J81" s="6">
        <v>2263</v>
      </c>
      <c r="K81" s="6">
        <v>2263</v>
      </c>
      <c r="L81" s="6">
        <v>0</v>
      </c>
      <c r="M81" s="6">
        <v>0</v>
      </c>
      <c r="N81" s="6">
        <v>0</v>
      </c>
      <c r="O81" s="6">
        <v>0</v>
      </c>
      <c r="P81" s="6">
        <v>11</v>
      </c>
      <c r="Q81" s="4" t="s">
        <v>26</v>
      </c>
      <c r="R81" s="4">
        <v>0</v>
      </c>
      <c r="S81" s="6">
        <v>19</v>
      </c>
      <c r="T81" s="6">
        <v>0</v>
      </c>
      <c r="U81" s="6">
        <v>0</v>
      </c>
      <c r="V81" s="6">
        <f>IF(ISERROR(VLOOKUP($S$81,'TAR FIN'!$A$1:$O$86,15,0)),0,VLOOKUP($S$81,'TAR FIN'!$A$1:$O$86,15,0))</f>
        <v>16.29</v>
      </c>
      <c r="W81" s="6">
        <f>IF(ISERROR(VLOOKUP($T$81,'TAR FIN'!$A$1:$O$86,15,0)),0,VLOOKUP($T$81,'TAR FIN'!$A$1:$O$86,15,0))</f>
        <v>0</v>
      </c>
      <c r="X81" s="6">
        <f>IF(ISERROR(VLOOKUP($U$81,'TAR FIN'!$A$1:$O$86,15,0)),0,VLOOKUP($U$81,'TAR FIN'!$A$1:$O$86,15,0))</f>
        <v>0</v>
      </c>
      <c r="Y81" s="6">
        <f ca="1">('TUSD BE'!$AM$10+'TUSD BF_350'!$AM$10+'TUSD CVA'!$AM$10)*1</f>
        <v>21.139573525578484</v>
      </c>
      <c r="Z81" s="6"/>
      <c r="AA81" s="6"/>
      <c r="AB81" s="6">
        <f>$K$81*$V$81</f>
        <v>36864.269999999997</v>
      </c>
      <c r="AC81" s="6">
        <f>$M$81*$W$81</f>
        <v>0</v>
      </c>
      <c r="AD81" s="6">
        <f>$O$81*$X$81</f>
        <v>0</v>
      </c>
      <c r="AE81" s="6">
        <f ca="1">$K$81*$Y$81</f>
        <v>47838.854888384107</v>
      </c>
      <c r="AF81" s="6">
        <f>$M$81*$Z$81</f>
        <v>0</v>
      </c>
      <c r="AG81" s="6">
        <f>$O$81*$AA$81</f>
        <v>0</v>
      </c>
    </row>
    <row r="82" spans="1:33" ht="11.25" customHeight="1" x14ac:dyDescent="0.25">
      <c r="A82" s="4" t="s">
        <v>21</v>
      </c>
      <c r="B82" s="4" t="s">
        <v>38</v>
      </c>
      <c r="C82" s="4" t="s">
        <v>39</v>
      </c>
      <c r="D82" s="4" t="s">
        <v>40</v>
      </c>
      <c r="E82" s="4" t="s">
        <v>25</v>
      </c>
      <c r="F82" s="4" t="s">
        <v>25</v>
      </c>
      <c r="G82" s="4" t="s">
        <v>25</v>
      </c>
      <c r="H82" s="4" t="s">
        <v>25</v>
      </c>
      <c r="I82" s="5">
        <v>44501</v>
      </c>
      <c r="J82" s="6">
        <v>1977</v>
      </c>
      <c r="K82" s="6">
        <v>1977</v>
      </c>
      <c r="L82" s="6">
        <v>0</v>
      </c>
      <c r="M82" s="6">
        <v>0</v>
      </c>
      <c r="N82" s="6">
        <v>0</v>
      </c>
      <c r="O82" s="6">
        <v>0</v>
      </c>
      <c r="P82" s="6">
        <v>18</v>
      </c>
      <c r="Q82" s="4" t="s">
        <v>26</v>
      </c>
      <c r="R82" s="4">
        <v>0</v>
      </c>
      <c r="S82" s="6">
        <v>19</v>
      </c>
      <c r="T82" s="6">
        <v>0</v>
      </c>
      <c r="U82" s="6">
        <v>0</v>
      </c>
      <c r="V82" s="6">
        <f>IF(ISERROR(VLOOKUP($S$82,'TAR FIN'!$A$1:$O$86,15,0)),0,VLOOKUP($S$82,'TAR FIN'!$A$1:$O$86,15,0))</f>
        <v>16.29</v>
      </c>
      <c r="W82" s="6">
        <f>IF(ISERROR(VLOOKUP($T$82,'TAR FIN'!$A$1:$O$86,15,0)),0,VLOOKUP($T$82,'TAR FIN'!$A$1:$O$86,15,0))</f>
        <v>0</v>
      </c>
      <c r="X82" s="6">
        <f>IF(ISERROR(VLOOKUP($U$82,'TAR FIN'!$A$1:$O$86,15,0)),0,VLOOKUP($U$82,'TAR FIN'!$A$1:$O$86,15,0))</f>
        <v>0</v>
      </c>
      <c r="Y82" s="6">
        <f ca="1">('TUSD BE'!$AM$10+'TUSD BF_350'!$AM$10+'TUSD CVA'!$AM$10)*1</f>
        <v>21.139573525578484</v>
      </c>
      <c r="Z82" s="6"/>
      <c r="AA82" s="6"/>
      <c r="AB82" s="6">
        <f>$K$82*$V$82</f>
        <v>32205.329999999998</v>
      </c>
      <c r="AC82" s="6">
        <f>$M$82*$W$82</f>
        <v>0</v>
      </c>
      <c r="AD82" s="6">
        <f>$O$82*$X$82</f>
        <v>0</v>
      </c>
      <c r="AE82" s="6">
        <f ca="1">$K$82*$Y$82</f>
        <v>41792.936860068665</v>
      </c>
      <c r="AF82" s="6">
        <f>$M$82*$Z$82</f>
        <v>0</v>
      </c>
      <c r="AG82" s="6">
        <f>$O$82*$AA$82</f>
        <v>0</v>
      </c>
    </row>
    <row r="83" spans="1:33" ht="11.25" customHeight="1" x14ac:dyDescent="0.25">
      <c r="A83" s="4" t="s">
        <v>27</v>
      </c>
      <c r="B83" s="4" t="s">
        <v>38</v>
      </c>
      <c r="C83" s="4" t="s">
        <v>39</v>
      </c>
      <c r="D83" s="4" t="s">
        <v>40</v>
      </c>
      <c r="E83" s="4" t="s">
        <v>25</v>
      </c>
      <c r="F83" s="4" t="s">
        <v>25</v>
      </c>
      <c r="G83" s="4" t="s">
        <v>25</v>
      </c>
      <c r="H83" s="4" t="s">
        <v>25</v>
      </c>
      <c r="I83" s="5">
        <v>44501</v>
      </c>
      <c r="J83" s="6">
        <v>1146</v>
      </c>
      <c r="K83" s="6">
        <v>1146</v>
      </c>
      <c r="L83" s="6">
        <v>0</v>
      </c>
      <c r="M83" s="6">
        <v>0</v>
      </c>
      <c r="N83" s="6">
        <v>0</v>
      </c>
      <c r="O83" s="6">
        <v>0</v>
      </c>
      <c r="P83" s="6">
        <v>8</v>
      </c>
      <c r="Q83" s="4" t="s">
        <v>26</v>
      </c>
      <c r="R83" s="4">
        <v>0</v>
      </c>
      <c r="S83" s="6">
        <v>19</v>
      </c>
      <c r="T83" s="6">
        <v>0</v>
      </c>
      <c r="U83" s="6">
        <v>0</v>
      </c>
      <c r="V83" s="6">
        <f>IF(ISERROR(VLOOKUP($S$83,'TAR FIN'!$A$1:$O$86,15,0)),0,VLOOKUP($S$83,'TAR FIN'!$A$1:$O$86,15,0))</f>
        <v>16.29</v>
      </c>
      <c r="W83" s="6">
        <f>IF(ISERROR(VLOOKUP($T$83,'TAR FIN'!$A$1:$O$86,15,0)),0,VLOOKUP($T$83,'TAR FIN'!$A$1:$O$86,15,0))</f>
        <v>0</v>
      </c>
      <c r="X83" s="6">
        <f>IF(ISERROR(VLOOKUP($U$83,'TAR FIN'!$A$1:$O$86,15,0)),0,VLOOKUP($U$83,'TAR FIN'!$A$1:$O$86,15,0))</f>
        <v>0</v>
      </c>
      <c r="Y83" s="6">
        <f ca="1">('TUSD BE'!$AM$10+'TUSD BF_350'!$AM$10+'TUSD CVA'!$AM$10)*1</f>
        <v>21.139573525578484</v>
      </c>
      <c r="Z83" s="6"/>
      <c r="AA83" s="6"/>
      <c r="AB83" s="6">
        <f>$K$83*$V$83</f>
        <v>18668.34</v>
      </c>
      <c r="AC83" s="6">
        <f>$M$83*$W$83</f>
        <v>0</v>
      </c>
      <c r="AD83" s="6">
        <f>$O$83*$X$83</f>
        <v>0</v>
      </c>
      <c r="AE83" s="6">
        <f ca="1">$K$83*$Y$83</f>
        <v>24225.951260312944</v>
      </c>
      <c r="AF83" s="6">
        <f>$M$83*$Z$83</f>
        <v>0</v>
      </c>
      <c r="AG83" s="6">
        <f>$O$83*$AA$83</f>
        <v>0</v>
      </c>
    </row>
    <row r="84" spans="1:33" ht="11.25" customHeight="1" x14ac:dyDescent="0.25">
      <c r="A84" s="4" t="s">
        <v>21</v>
      </c>
      <c r="B84" s="4" t="s">
        <v>38</v>
      </c>
      <c r="C84" s="4" t="s">
        <v>39</v>
      </c>
      <c r="D84" s="4" t="s">
        <v>40</v>
      </c>
      <c r="E84" s="4" t="s">
        <v>25</v>
      </c>
      <c r="F84" s="4" t="s">
        <v>25</v>
      </c>
      <c r="G84" s="4" t="s">
        <v>25</v>
      </c>
      <c r="H84" s="4" t="s">
        <v>25</v>
      </c>
      <c r="I84" s="5">
        <v>44531</v>
      </c>
      <c r="J84" s="6">
        <v>2089</v>
      </c>
      <c r="K84" s="6">
        <v>2089</v>
      </c>
      <c r="L84" s="6">
        <v>0</v>
      </c>
      <c r="M84" s="6">
        <v>0</v>
      </c>
      <c r="N84" s="6">
        <v>0</v>
      </c>
      <c r="O84" s="6">
        <v>0</v>
      </c>
      <c r="P84" s="6">
        <v>20</v>
      </c>
      <c r="Q84" s="4" t="s">
        <v>26</v>
      </c>
      <c r="R84" s="4">
        <v>0</v>
      </c>
      <c r="S84" s="6">
        <v>19</v>
      </c>
      <c r="T84" s="6">
        <v>0</v>
      </c>
      <c r="U84" s="6">
        <v>0</v>
      </c>
      <c r="V84" s="6">
        <f>IF(ISERROR(VLOOKUP($S$84,'TAR FIN'!$A$1:$O$86,15,0)),0,VLOOKUP($S$84,'TAR FIN'!$A$1:$O$86,15,0))</f>
        <v>16.29</v>
      </c>
      <c r="W84" s="6">
        <f>IF(ISERROR(VLOOKUP($T$84,'TAR FIN'!$A$1:$O$86,15,0)),0,VLOOKUP($T$84,'TAR FIN'!$A$1:$O$86,15,0))</f>
        <v>0</v>
      </c>
      <c r="X84" s="6">
        <f>IF(ISERROR(VLOOKUP($U$84,'TAR FIN'!$A$1:$O$86,15,0)),0,VLOOKUP($U$84,'TAR FIN'!$A$1:$O$86,15,0))</f>
        <v>0</v>
      </c>
      <c r="Y84" s="6">
        <f ca="1">('TUSD BE'!$AM$10+'TUSD BF_350'!$AM$10+'TUSD CVA'!$AM$10)*1</f>
        <v>21.139573525578484</v>
      </c>
      <c r="Z84" s="6"/>
      <c r="AA84" s="6"/>
      <c r="AB84" s="6">
        <f>$K$84*$V$84</f>
        <v>34029.81</v>
      </c>
      <c r="AC84" s="6">
        <f>$M$84*$W$84</f>
        <v>0</v>
      </c>
      <c r="AD84" s="6">
        <f>$O$84*$X$84</f>
        <v>0</v>
      </c>
      <c r="AE84" s="6">
        <f ca="1">$K$84*$Y$84</f>
        <v>44160.569094933453</v>
      </c>
      <c r="AF84" s="6">
        <f>$M$84*$Z$84</f>
        <v>0</v>
      </c>
      <c r="AG84" s="6">
        <f>$O$84*$AA$84</f>
        <v>0</v>
      </c>
    </row>
    <row r="85" spans="1:33" ht="11.25" customHeight="1" x14ac:dyDescent="0.25">
      <c r="A85" s="4" t="s">
        <v>27</v>
      </c>
      <c r="B85" s="4" t="s">
        <v>38</v>
      </c>
      <c r="C85" s="4" t="s">
        <v>39</v>
      </c>
      <c r="D85" s="4" t="s">
        <v>40</v>
      </c>
      <c r="E85" s="4" t="s">
        <v>25</v>
      </c>
      <c r="F85" s="4" t="s">
        <v>25</v>
      </c>
      <c r="G85" s="4" t="s">
        <v>25</v>
      </c>
      <c r="H85" s="4" t="s">
        <v>25</v>
      </c>
      <c r="I85" s="5">
        <v>44531</v>
      </c>
      <c r="J85" s="6">
        <v>792</v>
      </c>
      <c r="K85" s="6">
        <v>792</v>
      </c>
      <c r="L85" s="6">
        <v>0</v>
      </c>
      <c r="M85" s="6">
        <v>0</v>
      </c>
      <c r="N85" s="6">
        <v>0</v>
      </c>
      <c r="O85" s="6">
        <v>0</v>
      </c>
      <c r="P85" s="6">
        <v>5</v>
      </c>
      <c r="Q85" s="4" t="s">
        <v>26</v>
      </c>
      <c r="R85" s="4">
        <v>0</v>
      </c>
      <c r="S85" s="6">
        <v>19</v>
      </c>
      <c r="T85" s="6">
        <v>0</v>
      </c>
      <c r="U85" s="6">
        <v>0</v>
      </c>
      <c r="V85" s="6">
        <f>IF(ISERROR(VLOOKUP($S$85,'TAR FIN'!$A$1:$O$86,15,0)),0,VLOOKUP($S$85,'TAR FIN'!$A$1:$O$86,15,0))</f>
        <v>16.29</v>
      </c>
      <c r="W85" s="6">
        <f>IF(ISERROR(VLOOKUP($T$85,'TAR FIN'!$A$1:$O$86,15,0)),0,VLOOKUP($T$85,'TAR FIN'!$A$1:$O$86,15,0))</f>
        <v>0</v>
      </c>
      <c r="X85" s="6">
        <f>IF(ISERROR(VLOOKUP($U$85,'TAR FIN'!$A$1:$O$86,15,0)),0,VLOOKUP($U$85,'TAR FIN'!$A$1:$O$86,15,0))</f>
        <v>0</v>
      </c>
      <c r="Y85" s="6">
        <f ca="1">('TUSD BE'!$AM$10+'TUSD BF_350'!$AM$10+'TUSD CVA'!$AM$10)*1</f>
        <v>21.139573525578484</v>
      </c>
      <c r="Z85" s="6"/>
      <c r="AA85" s="6"/>
      <c r="AB85" s="6">
        <f>$K$85*$V$85</f>
        <v>12901.679999999998</v>
      </c>
      <c r="AC85" s="6">
        <f>$M$85*$W$85</f>
        <v>0</v>
      </c>
      <c r="AD85" s="6">
        <f>$O$85*$X$85</f>
        <v>0</v>
      </c>
      <c r="AE85" s="6">
        <f ca="1">$K$85*$Y$85</f>
        <v>16742.542232258158</v>
      </c>
      <c r="AF85" s="6">
        <f>$M$85*$Z$85</f>
        <v>0</v>
      </c>
      <c r="AG85" s="6">
        <f>$O$85*$AA$85</f>
        <v>0</v>
      </c>
    </row>
    <row r="86" spans="1:33" ht="11.25" customHeight="1" x14ac:dyDescent="0.25">
      <c r="A86" s="4" t="s">
        <v>21</v>
      </c>
      <c r="B86" s="4" t="s">
        <v>38</v>
      </c>
      <c r="C86" s="4" t="s">
        <v>39</v>
      </c>
      <c r="D86" s="4" t="s">
        <v>40</v>
      </c>
      <c r="E86" s="4" t="s">
        <v>25</v>
      </c>
      <c r="F86" s="4" t="s">
        <v>25</v>
      </c>
      <c r="G86" s="4" t="s">
        <v>25</v>
      </c>
      <c r="H86" s="4" t="s">
        <v>25</v>
      </c>
      <c r="I86" s="5">
        <v>44562</v>
      </c>
      <c r="J86" s="6">
        <v>2564</v>
      </c>
      <c r="K86" s="6">
        <v>2564</v>
      </c>
      <c r="L86" s="6">
        <v>0</v>
      </c>
      <c r="M86" s="6">
        <v>0</v>
      </c>
      <c r="N86" s="6">
        <v>0</v>
      </c>
      <c r="O86" s="6">
        <v>0</v>
      </c>
      <c r="P86" s="6">
        <v>22</v>
      </c>
      <c r="Q86" s="4" t="s">
        <v>26</v>
      </c>
      <c r="R86" s="4">
        <v>0</v>
      </c>
      <c r="S86" s="6">
        <v>19</v>
      </c>
      <c r="T86" s="6">
        <v>0</v>
      </c>
      <c r="U86" s="6">
        <v>0</v>
      </c>
      <c r="V86" s="6">
        <f>IF(ISERROR(VLOOKUP($S$86,'TAR FIN'!$A$1:$O$86,15,0)),0,VLOOKUP($S$86,'TAR FIN'!$A$1:$O$86,15,0))</f>
        <v>16.29</v>
      </c>
      <c r="W86" s="6">
        <f>IF(ISERROR(VLOOKUP($T$86,'TAR FIN'!$A$1:$O$86,15,0)),0,VLOOKUP($T$86,'TAR FIN'!$A$1:$O$86,15,0))</f>
        <v>0</v>
      </c>
      <c r="X86" s="6">
        <f>IF(ISERROR(VLOOKUP($U$86,'TAR FIN'!$A$1:$O$86,15,0)),0,VLOOKUP($U$86,'TAR FIN'!$A$1:$O$86,15,0))</f>
        <v>0</v>
      </c>
      <c r="Y86" s="6">
        <f ca="1">('TUSD BE'!$AM$10+'TUSD BF_350'!$AM$10+'TUSD CVA'!$AM$10)*1</f>
        <v>21.139573525578484</v>
      </c>
      <c r="Z86" s="6"/>
      <c r="AA86" s="6"/>
      <c r="AB86" s="6">
        <f>$K$86*$V$86</f>
        <v>41767.56</v>
      </c>
      <c r="AC86" s="6">
        <f>$M$86*$W$86</f>
        <v>0</v>
      </c>
      <c r="AD86" s="6">
        <f>$O$86*$X$86</f>
        <v>0</v>
      </c>
      <c r="AE86" s="6">
        <f ca="1">$K$86*$Y$86</f>
        <v>54201.866519583236</v>
      </c>
      <c r="AF86" s="6">
        <f>$M$86*$Z$86</f>
        <v>0</v>
      </c>
      <c r="AG86" s="6">
        <f>$O$86*$AA$86</f>
        <v>0</v>
      </c>
    </row>
    <row r="87" spans="1:33" ht="11.25" customHeight="1" x14ac:dyDescent="0.25">
      <c r="A87" s="4" t="s">
        <v>27</v>
      </c>
      <c r="B87" s="4" t="s">
        <v>38</v>
      </c>
      <c r="C87" s="4" t="s">
        <v>39</v>
      </c>
      <c r="D87" s="4" t="s">
        <v>40</v>
      </c>
      <c r="E87" s="4" t="s">
        <v>25</v>
      </c>
      <c r="F87" s="4" t="s">
        <v>25</v>
      </c>
      <c r="G87" s="4" t="s">
        <v>25</v>
      </c>
      <c r="H87" s="4" t="s">
        <v>25</v>
      </c>
      <c r="I87" s="5">
        <v>44562</v>
      </c>
      <c r="J87" s="6">
        <v>610</v>
      </c>
      <c r="K87" s="6">
        <v>610</v>
      </c>
      <c r="L87" s="6">
        <v>0</v>
      </c>
      <c r="M87" s="6">
        <v>0</v>
      </c>
      <c r="N87" s="6">
        <v>0</v>
      </c>
      <c r="O87" s="6">
        <v>0</v>
      </c>
      <c r="P87" s="6">
        <v>3</v>
      </c>
      <c r="Q87" s="4" t="s">
        <v>26</v>
      </c>
      <c r="R87" s="4">
        <v>0</v>
      </c>
      <c r="S87" s="6">
        <v>19</v>
      </c>
      <c r="T87" s="6">
        <v>0</v>
      </c>
      <c r="U87" s="6">
        <v>0</v>
      </c>
      <c r="V87" s="6">
        <f>IF(ISERROR(VLOOKUP($S$87,'TAR FIN'!$A$1:$O$86,15,0)),0,VLOOKUP($S$87,'TAR FIN'!$A$1:$O$86,15,0))</f>
        <v>16.29</v>
      </c>
      <c r="W87" s="6">
        <f>IF(ISERROR(VLOOKUP($T$87,'TAR FIN'!$A$1:$O$86,15,0)),0,VLOOKUP($T$87,'TAR FIN'!$A$1:$O$86,15,0))</f>
        <v>0</v>
      </c>
      <c r="X87" s="6">
        <f>IF(ISERROR(VLOOKUP($U$87,'TAR FIN'!$A$1:$O$86,15,0)),0,VLOOKUP($U$87,'TAR FIN'!$A$1:$O$86,15,0))</f>
        <v>0</v>
      </c>
      <c r="Y87" s="6">
        <f ca="1">('TUSD BE'!$AM$10+'TUSD BF_350'!$AM$10+'TUSD CVA'!$AM$10)*1</f>
        <v>21.139573525578484</v>
      </c>
      <c r="Z87" s="6"/>
      <c r="AA87" s="6"/>
      <c r="AB87" s="6">
        <f>$K$87*$V$87</f>
        <v>9936.9</v>
      </c>
      <c r="AC87" s="6">
        <f>$M$87*$W$87</f>
        <v>0</v>
      </c>
      <c r="AD87" s="6">
        <f>$O$87*$X$87</f>
        <v>0</v>
      </c>
      <c r="AE87" s="6">
        <f ca="1">$K$87*$Y$87</f>
        <v>12895.139850602875</v>
      </c>
      <c r="AF87" s="6">
        <f>$M$87*$Z$87</f>
        <v>0</v>
      </c>
      <c r="AG87" s="6">
        <f>$O$87*$AA$87</f>
        <v>0</v>
      </c>
    </row>
    <row r="88" spans="1:33" ht="11.25" customHeight="1" x14ac:dyDescent="0.25">
      <c r="A88" s="4" t="s">
        <v>21</v>
      </c>
      <c r="B88" s="4" t="s">
        <v>38</v>
      </c>
      <c r="C88" s="4" t="s">
        <v>39</v>
      </c>
      <c r="D88" s="4" t="s">
        <v>40</v>
      </c>
      <c r="E88" s="4" t="s">
        <v>25</v>
      </c>
      <c r="F88" s="4" t="s">
        <v>25</v>
      </c>
      <c r="G88" s="4" t="s">
        <v>25</v>
      </c>
      <c r="H88" s="4" t="s">
        <v>25</v>
      </c>
      <c r="I88" s="5">
        <v>44593</v>
      </c>
      <c r="J88" s="6">
        <v>2362</v>
      </c>
      <c r="K88" s="6">
        <v>2362</v>
      </c>
      <c r="L88" s="6">
        <v>0</v>
      </c>
      <c r="M88" s="6">
        <v>0</v>
      </c>
      <c r="N88" s="6">
        <v>0</v>
      </c>
      <c r="O88" s="6">
        <v>0</v>
      </c>
      <c r="P88" s="6">
        <v>22</v>
      </c>
      <c r="Q88" s="4" t="s">
        <v>26</v>
      </c>
      <c r="R88" s="4">
        <v>0</v>
      </c>
      <c r="S88" s="6">
        <v>19</v>
      </c>
      <c r="T88" s="6">
        <v>0</v>
      </c>
      <c r="U88" s="6">
        <v>0</v>
      </c>
      <c r="V88" s="6">
        <f>IF(ISERROR(VLOOKUP($S$88,'TAR FIN'!$A$1:$O$86,15,0)),0,VLOOKUP($S$88,'TAR FIN'!$A$1:$O$86,15,0))</f>
        <v>16.29</v>
      </c>
      <c r="W88" s="6">
        <f>IF(ISERROR(VLOOKUP($T$88,'TAR FIN'!$A$1:$O$86,15,0)),0,VLOOKUP($T$88,'TAR FIN'!$A$1:$O$86,15,0))</f>
        <v>0</v>
      </c>
      <c r="X88" s="6">
        <f>IF(ISERROR(VLOOKUP($U$88,'TAR FIN'!$A$1:$O$86,15,0)),0,VLOOKUP($U$88,'TAR FIN'!$A$1:$O$86,15,0))</f>
        <v>0</v>
      </c>
      <c r="Y88" s="6">
        <f ca="1">('TUSD BE'!$AM$10+'TUSD BF_350'!$AM$10+'TUSD CVA'!$AM$10)*1</f>
        <v>21.139573525578484</v>
      </c>
      <c r="Z88" s="6"/>
      <c r="AA88" s="6"/>
      <c r="AB88" s="6">
        <f>$K$88*$V$88</f>
        <v>38476.979999999996</v>
      </c>
      <c r="AC88" s="6">
        <f>$M$88*$W$88</f>
        <v>0</v>
      </c>
      <c r="AD88" s="6">
        <f>$O$88*$X$88</f>
        <v>0</v>
      </c>
      <c r="AE88" s="6">
        <f ca="1">$K$88*$Y$88</f>
        <v>49931.67266741638</v>
      </c>
      <c r="AF88" s="6">
        <f>$M$88*$Z$88</f>
        <v>0</v>
      </c>
      <c r="AG88" s="6">
        <f>$O$88*$AA$88</f>
        <v>0</v>
      </c>
    </row>
    <row r="89" spans="1:33" ht="11.25" customHeight="1" x14ac:dyDescent="0.25">
      <c r="A89" s="4" t="s">
        <v>27</v>
      </c>
      <c r="B89" s="4" t="s">
        <v>38</v>
      </c>
      <c r="C89" s="4" t="s">
        <v>39</v>
      </c>
      <c r="D89" s="4" t="s">
        <v>40</v>
      </c>
      <c r="E89" s="4" t="s">
        <v>25</v>
      </c>
      <c r="F89" s="4" t="s">
        <v>25</v>
      </c>
      <c r="G89" s="4" t="s">
        <v>25</v>
      </c>
      <c r="H89" s="4" t="s">
        <v>25</v>
      </c>
      <c r="I89" s="5">
        <v>44593</v>
      </c>
      <c r="J89" s="6">
        <v>578</v>
      </c>
      <c r="K89" s="6">
        <v>578</v>
      </c>
      <c r="L89" s="6">
        <v>0</v>
      </c>
      <c r="M89" s="6">
        <v>0</v>
      </c>
      <c r="N89" s="6">
        <v>0</v>
      </c>
      <c r="O89" s="6">
        <v>0</v>
      </c>
      <c r="P89" s="6">
        <v>3</v>
      </c>
      <c r="Q89" s="4" t="s">
        <v>26</v>
      </c>
      <c r="R89" s="4">
        <v>0</v>
      </c>
      <c r="S89" s="6">
        <v>19</v>
      </c>
      <c r="T89" s="6">
        <v>0</v>
      </c>
      <c r="U89" s="6">
        <v>0</v>
      </c>
      <c r="V89" s="6">
        <f>IF(ISERROR(VLOOKUP($S$89,'TAR FIN'!$A$1:$O$86,15,0)),0,VLOOKUP($S$89,'TAR FIN'!$A$1:$O$86,15,0))</f>
        <v>16.29</v>
      </c>
      <c r="W89" s="6">
        <f>IF(ISERROR(VLOOKUP($T$89,'TAR FIN'!$A$1:$O$86,15,0)),0,VLOOKUP($T$89,'TAR FIN'!$A$1:$O$86,15,0))</f>
        <v>0</v>
      </c>
      <c r="X89" s="6">
        <f>IF(ISERROR(VLOOKUP($U$89,'TAR FIN'!$A$1:$O$86,15,0)),0,VLOOKUP($U$89,'TAR FIN'!$A$1:$O$86,15,0))</f>
        <v>0</v>
      </c>
      <c r="Y89" s="6">
        <f ca="1">('TUSD BE'!$AM$10+'TUSD BF_350'!$AM$10+'TUSD CVA'!$AM$10)*1</f>
        <v>21.139573525578484</v>
      </c>
      <c r="Z89" s="6"/>
      <c r="AA89" s="6"/>
      <c r="AB89" s="6">
        <f>$K$89*$V$89</f>
        <v>9415.619999999999</v>
      </c>
      <c r="AC89" s="6">
        <f>$M$89*$W$89</f>
        <v>0</v>
      </c>
      <c r="AD89" s="6">
        <f>$O$89*$X$89</f>
        <v>0</v>
      </c>
      <c r="AE89" s="6">
        <f ca="1">$K$89*$Y$89</f>
        <v>12218.673497784364</v>
      </c>
      <c r="AF89" s="6">
        <f>$M$89*$Z$89</f>
        <v>0</v>
      </c>
      <c r="AG89" s="6">
        <f>$O$89*$AA$89</f>
        <v>0</v>
      </c>
    </row>
    <row r="90" spans="1:33" ht="11.25" customHeight="1" x14ac:dyDescent="0.25">
      <c r="A90" s="4" t="s">
        <v>21</v>
      </c>
      <c r="B90" s="4" t="s">
        <v>38</v>
      </c>
      <c r="C90" s="4" t="s">
        <v>39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25</v>
      </c>
      <c r="I90" s="5">
        <v>44621</v>
      </c>
      <c r="J90" s="6">
        <v>2379</v>
      </c>
      <c r="K90" s="6">
        <v>2379</v>
      </c>
      <c r="L90" s="6">
        <v>0</v>
      </c>
      <c r="M90" s="6">
        <v>0</v>
      </c>
      <c r="N90" s="6">
        <v>0</v>
      </c>
      <c r="O90" s="6">
        <v>0</v>
      </c>
      <c r="P90" s="6">
        <v>22</v>
      </c>
      <c r="Q90" s="4" t="s">
        <v>26</v>
      </c>
      <c r="R90" s="4">
        <v>0</v>
      </c>
      <c r="S90" s="6">
        <v>19</v>
      </c>
      <c r="T90" s="6">
        <v>0</v>
      </c>
      <c r="U90" s="6">
        <v>0</v>
      </c>
      <c r="V90" s="6">
        <f>IF(ISERROR(VLOOKUP($S$90,'TAR FIN'!$A$1:$O$86,15,0)),0,VLOOKUP($S$90,'TAR FIN'!$A$1:$O$86,15,0))</f>
        <v>16.29</v>
      </c>
      <c r="W90" s="6">
        <f>IF(ISERROR(VLOOKUP($T$90,'TAR FIN'!$A$1:$O$86,15,0)),0,VLOOKUP($T$90,'TAR FIN'!$A$1:$O$86,15,0))</f>
        <v>0</v>
      </c>
      <c r="X90" s="6">
        <f>IF(ISERROR(VLOOKUP($U$90,'TAR FIN'!$A$1:$O$86,15,0)),0,VLOOKUP($U$90,'TAR FIN'!$A$1:$O$86,15,0))</f>
        <v>0</v>
      </c>
      <c r="Y90" s="6">
        <f ca="1">('TUSD BE'!$AM$10+'TUSD BF_350'!$AM$10+'TUSD CVA'!$AM$10)*1</f>
        <v>21.139573525578484</v>
      </c>
      <c r="Z90" s="6"/>
      <c r="AA90" s="6"/>
      <c r="AB90" s="6">
        <f>$K$90*$V$90</f>
        <v>38753.909999999996</v>
      </c>
      <c r="AC90" s="6">
        <f>$M$90*$W$90</f>
        <v>0</v>
      </c>
      <c r="AD90" s="6">
        <f>$O$90*$X$90</f>
        <v>0</v>
      </c>
      <c r="AE90" s="6">
        <f ca="1">$K$90*$Y$90</f>
        <v>50291.045417351212</v>
      </c>
      <c r="AF90" s="6">
        <f>$M$90*$Z$90</f>
        <v>0</v>
      </c>
      <c r="AG90" s="6">
        <f>$O$90*$AA$90</f>
        <v>0</v>
      </c>
    </row>
    <row r="91" spans="1:33" ht="11.25" customHeight="1" x14ac:dyDescent="0.25">
      <c r="A91" s="4" t="s">
        <v>27</v>
      </c>
      <c r="B91" s="4" t="s">
        <v>38</v>
      </c>
      <c r="C91" s="4" t="s">
        <v>39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25</v>
      </c>
      <c r="I91" s="5">
        <v>44621</v>
      </c>
      <c r="J91" s="6">
        <v>622</v>
      </c>
      <c r="K91" s="6">
        <v>622</v>
      </c>
      <c r="L91" s="6">
        <v>0</v>
      </c>
      <c r="M91" s="6">
        <v>0</v>
      </c>
      <c r="N91" s="6">
        <v>0</v>
      </c>
      <c r="O91" s="6">
        <v>0</v>
      </c>
      <c r="P91" s="6">
        <v>4</v>
      </c>
      <c r="Q91" s="4" t="s">
        <v>26</v>
      </c>
      <c r="R91" s="4">
        <v>0</v>
      </c>
      <c r="S91" s="6">
        <v>19</v>
      </c>
      <c r="T91" s="6">
        <v>0</v>
      </c>
      <c r="U91" s="6">
        <v>0</v>
      </c>
      <c r="V91" s="6">
        <f>IF(ISERROR(VLOOKUP($S$91,'TAR FIN'!$A$1:$O$86,15,0)),0,VLOOKUP($S$91,'TAR FIN'!$A$1:$O$86,15,0))</f>
        <v>16.29</v>
      </c>
      <c r="W91" s="6">
        <f>IF(ISERROR(VLOOKUP($T$91,'TAR FIN'!$A$1:$O$86,15,0)),0,VLOOKUP($T$91,'TAR FIN'!$A$1:$O$86,15,0))</f>
        <v>0</v>
      </c>
      <c r="X91" s="6">
        <f>IF(ISERROR(VLOOKUP($U$91,'TAR FIN'!$A$1:$O$86,15,0)),0,VLOOKUP($U$91,'TAR FIN'!$A$1:$O$86,15,0))</f>
        <v>0</v>
      </c>
      <c r="Y91" s="6">
        <f ca="1">('TUSD BE'!$AM$10+'TUSD BF_350'!$AM$10+'TUSD CVA'!$AM$10)*1</f>
        <v>21.139573525578484</v>
      </c>
      <c r="Z91" s="6"/>
      <c r="AA91" s="6"/>
      <c r="AB91" s="6">
        <f>$K$91*$V$91</f>
        <v>10132.379999999999</v>
      </c>
      <c r="AC91" s="6">
        <f>$M$91*$W$91</f>
        <v>0</v>
      </c>
      <c r="AD91" s="6">
        <f>$O$91*$X$91</f>
        <v>0</v>
      </c>
      <c r="AE91" s="6">
        <f ca="1">$K$91*$Y$91</f>
        <v>13148.814732909817</v>
      </c>
      <c r="AF91" s="6">
        <f>$M$91*$Z$91</f>
        <v>0</v>
      </c>
      <c r="AG91" s="6">
        <f>$O$91*$AA$91</f>
        <v>0</v>
      </c>
    </row>
    <row r="92" spans="1:33" ht="11.25" customHeight="1" x14ac:dyDescent="0.25">
      <c r="A92" s="4" t="s">
        <v>21</v>
      </c>
      <c r="B92" s="4" t="s">
        <v>38</v>
      </c>
      <c r="C92" s="4" t="s">
        <v>39</v>
      </c>
      <c r="D92" s="4" t="s">
        <v>40</v>
      </c>
      <c r="E92" s="4" t="s">
        <v>25</v>
      </c>
      <c r="F92" s="4" t="s">
        <v>25</v>
      </c>
      <c r="G92" s="4" t="s">
        <v>25</v>
      </c>
      <c r="H92" s="4" t="s">
        <v>25</v>
      </c>
      <c r="I92" s="5">
        <v>44652</v>
      </c>
      <c r="J92" s="6">
        <v>894</v>
      </c>
      <c r="K92" s="6">
        <v>894</v>
      </c>
      <c r="L92" s="6">
        <v>0</v>
      </c>
      <c r="M92" s="6">
        <v>0</v>
      </c>
      <c r="N92" s="6">
        <v>0</v>
      </c>
      <c r="O92" s="6">
        <v>0</v>
      </c>
      <c r="P92" s="6">
        <v>14</v>
      </c>
      <c r="Q92" s="4" t="s">
        <v>26</v>
      </c>
      <c r="R92" s="4">
        <v>0</v>
      </c>
      <c r="S92" s="6">
        <v>19</v>
      </c>
      <c r="T92" s="6">
        <v>0</v>
      </c>
      <c r="U92" s="6">
        <v>0</v>
      </c>
      <c r="V92" s="6">
        <f>IF(ISERROR(VLOOKUP($S$92,'TAR FIN'!$A$1:$O$86,15,0)),0,VLOOKUP($S$92,'TAR FIN'!$A$1:$O$86,15,0))</f>
        <v>16.29</v>
      </c>
      <c r="W92" s="6">
        <f>IF(ISERROR(VLOOKUP($T$92,'TAR FIN'!$A$1:$O$86,15,0)),0,VLOOKUP($T$92,'TAR FIN'!$A$1:$O$86,15,0))</f>
        <v>0</v>
      </c>
      <c r="X92" s="6">
        <f>IF(ISERROR(VLOOKUP($U$92,'TAR FIN'!$A$1:$O$86,15,0)),0,VLOOKUP($U$92,'TAR FIN'!$A$1:$O$86,15,0))</f>
        <v>0</v>
      </c>
      <c r="Y92" s="6">
        <f ca="1">('TUSD BE'!$AM$10+'TUSD BF_350'!$AM$10+'TUSD CVA'!$AM$10)*1</f>
        <v>21.139573525578484</v>
      </c>
      <c r="Z92" s="6"/>
      <c r="AA92" s="6"/>
      <c r="AB92" s="6">
        <f>$K$92*$V$92</f>
        <v>14563.259999999998</v>
      </c>
      <c r="AC92" s="6">
        <f>$M$92*$W$92</f>
        <v>0</v>
      </c>
      <c r="AD92" s="6">
        <f>$O$92*$X$92</f>
        <v>0</v>
      </c>
      <c r="AE92" s="6">
        <f ca="1">$K$92*$Y$92</f>
        <v>18898.778731867165</v>
      </c>
      <c r="AF92" s="6">
        <f>$M$92*$Z$92</f>
        <v>0</v>
      </c>
      <c r="AG92" s="6">
        <f>$O$92*$AA$92</f>
        <v>0</v>
      </c>
    </row>
    <row r="93" spans="1:33" ht="11.25" customHeight="1" x14ac:dyDescent="0.25">
      <c r="A93" s="4" t="s">
        <v>27</v>
      </c>
      <c r="B93" s="4" t="s">
        <v>38</v>
      </c>
      <c r="C93" s="4" t="s">
        <v>39</v>
      </c>
      <c r="D93" s="4" t="s">
        <v>40</v>
      </c>
      <c r="E93" s="4" t="s">
        <v>25</v>
      </c>
      <c r="F93" s="4" t="s">
        <v>25</v>
      </c>
      <c r="G93" s="4" t="s">
        <v>25</v>
      </c>
      <c r="H93" s="4" t="s">
        <v>25</v>
      </c>
      <c r="I93" s="5">
        <v>44652</v>
      </c>
      <c r="J93" s="6">
        <v>2347</v>
      </c>
      <c r="K93" s="6">
        <v>2347</v>
      </c>
      <c r="L93" s="6">
        <v>0</v>
      </c>
      <c r="M93" s="6">
        <v>0</v>
      </c>
      <c r="N93" s="6">
        <v>0</v>
      </c>
      <c r="O93" s="6">
        <v>0</v>
      </c>
      <c r="P93" s="6">
        <v>12</v>
      </c>
      <c r="Q93" s="4" t="s">
        <v>26</v>
      </c>
      <c r="R93" s="4">
        <v>0</v>
      </c>
      <c r="S93" s="6">
        <v>19</v>
      </c>
      <c r="T93" s="6">
        <v>0</v>
      </c>
      <c r="U93" s="6">
        <v>0</v>
      </c>
      <c r="V93" s="6">
        <f>IF(ISERROR(VLOOKUP($S$93,'TAR FIN'!$A$1:$O$86,15,0)),0,VLOOKUP($S$93,'TAR FIN'!$A$1:$O$86,15,0))</f>
        <v>16.29</v>
      </c>
      <c r="W93" s="6">
        <f>IF(ISERROR(VLOOKUP($T$93,'TAR FIN'!$A$1:$O$86,15,0)),0,VLOOKUP($T$93,'TAR FIN'!$A$1:$O$86,15,0))</f>
        <v>0</v>
      </c>
      <c r="X93" s="6">
        <f>IF(ISERROR(VLOOKUP($U$93,'TAR FIN'!$A$1:$O$86,15,0)),0,VLOOKUP($U$93,'TAR FIN'!$A$1:$O$86,15,0))</f>
        <v>0</v>
      </c>
      <c r="Y93" s="6">
        <f ca="1">('TUSD BE'!$AM$10+'TUSD BF_350'!$AM$10+'TUSD CVA'!$AM$10)*1</f>
        <v>21.139573525578484</v>
      </c>
      <c r="Z93" s="6"/>
      <c r="AA93" s="6"/>
      <c r="AB93" s="6">
        <f>$K$93*$V$93</f>
        <v>38232.629999999997</v>
      </c>
      <c r="AC93" s="6">
        <f>$M$93*$W$93</f>
        <v>0</v>
      </c>
      <c r="AD93" s="6">
        <f>$O$93*$X$93</f>
        <v>0</v>
      </c>
      <c r="AE93" s="6">
        <f ca="1">$K$93*$Y$93</f>
        <v>49614.5790645327</v>
      </c>
      <c r="AF93" s="6">
        <f>$M$93*$Z$93</f>
        <v>0</v>
      </c>
      <c r="AG93" s="6">
        <f>$O$93*$AA$93</f>
        <v>0</v>
      </c>
    </row>
    <row r="94" spans="1:33" ht="11.25" customHeight="1" x14ac:dyDescent="0.25">
      <c r="A94" s="4" t="s">
        <v>21</v>
      </c>
      <c r="B94" s="4" t="s">
        <v>38</v>
      </c>
      <c r="C94" s="4" t="s">
        <v>39</v>
      </c>
      <c r="D94" s="4" t="s">
        <v>40</v>
      </c>
      <c r="E94" s="4" t="s">
        <v>25</v>
      </c>
      <c r="F94" s="4" t="s">
        <v>25</v>
      </c>
      <c r="G94" s="4" t="s">
        <v>25</v>
      </c>
      <c r="H94" s="4" t="s">
        <v>25</v>
      </c>
      <c r="I94" s="5">
        <v>44682</v>
      </c>
      <c r="J94" s="6">
        <v>886</v>
      </c>
      <c r="K94" s="6">
        <v>886</v>
      </c>
      <c r="L94" s="6">
        <v>0</v>
      </c>
      <c r="M94" s="6">
        <v>0</v>
      </c>
      <c r="N94" s="6">
        <v>0</v>
      </c>
      <c r="O94" s="6">
        <v>0</v>
      </c>
      <c r="P94" s="6">
        <v>14</v>
      </c>
      <c r="Q94" s="4" t="s">
        <v>26</v>
      </c>
      <c r="R94" s="4">
        <v>0</v>
      </c>
      <c r="S94" s="6">
        <v>19</v>
      </c>
      <c r="T94" s="6">
        <v>0</v>
      </c>
      <c r="U94" s="6">
        <v>0</v>
      </c>
      <c r="V94" s="6">
        <f>IF(ISERROR(VLOOKUP($S$94,'TAR FIN'!$A$1:$O$86,15,0)),0,VLOOKUP($S$94,'TAR FIN'!$A$1:$O$86,15,0))</f>
        <v>16.29</v>
      </c>
      <c r="W94" s="6">
        <f>IF(ISERROR(VLOOKUP($T$94,'TAR FIN'!$A$1:$O$86,15,0)),0,VLOOKUP($T$94,'TAR FIN'!$A$1:$O$86,15,0))</f>
        <v>0</v>
      </c>
      <c r="X94" s="6">
        <f>IF(ISERROR(VLOOKUP($U$94,'TAR FIN'!$A$1:$O$86,15,0)),0,VLOOKUP($U$94,'TAR FIN'!$A$1:$O$86,15,0))</f>
        <v>0</v>
      </c>
      <c r="Y94" s="6">
        <f ca="1">('TUSD BE'!$AM$10+'TUSD BF_350'!$AM$10+'TUSD CVA'!$AM$10)*1</f>
        <v>21.139573525578484</v>
      </c>
      <c r="Z94" s="6"/>
      <c r="AA94" s="6"/>
      <c r="AB94" s="6">
        <f>$K$94*$V$94</f>
        <v>14432.939999999999</v>
      </c>
      <c r="AC94" s="6">
        <f>$M$94*$W$94</f>
        <v>0</v>
      </c>
      <c r="AD94" s="6">
        <f>$O$94*$X$94</f>
        <v>0</v>
      </c>
      <c r="AE94" s="6">
        <f ca="1">$K$94*$Y$94</f>
        <v>18729.662143662536</v>
      </c>
      <c r="AF94" s="6">
        <f>$M$94*$Z$94</f>
        <v>0</v>
      </c>
      <c r="AG94" s="6">
        <f>$O$94*$AA$94</f>
        <v>0</v>
      </c>
    </row>
    <row r="95" spans="1:33" ht="11.25" customHeight="1" x14ac:dyDescent="0.25">
      <c r="A95" s="4" t="s">
        <v>27</v>
      </c>
      <c r="B95" s="4" t="s">
        <v>38</v>
      </c>
      <c r="C95" s="4" t="s">
        <v>39</v>
      </c>
      <c r="D95" s="4" t="s">
        <v>40</v>
      </c>
      <c r="E95" s="4" t="s">
        <v>25</v>
      </c>
      <c r="F95" s="4" t="s">
        <v>25</v>
      </c>
      <c r="G95" s="4" t="s">
        <v>25</v>
      </c>
      <c r="H95" s="4" t="s">
        <v>25</v>
      </c>
      <c r="I95" s="5">
        <v>44682</v>
      </c>
      <c r="J95" s="6">
        <v>2210</v>
      </c>
      <c r="K95" s="6">
        <v>2210</v>
      </c>
      <c r="L95" s="6">
        <v>0</v>
      </c>
      <c r="M95" s="6">
        <v>0</v>
      </c>
      <c r="N95" s="6">
        <v>0</v>
      </c>
      <c r="O95" s="6">
        <v>0</v>
      </c>
      <c r="P95" s="6">
        <v>12</v>
      </c>
      <c r="Q95" s="4" t="s">
        <v>26</v>
      </c>
      <c r="R95" s="4">
        <v>0</v>
      </c>
      <c r="S95" s="6">
        <v>19</v>
      </c>
      <c r="T95" s="6">
        <v>0</v>
      </c>
      <c r="U95" s="6">
        <v>0</v>
      </c>
      <c r="V95" s="6">
        <f>IF(ISERROR(VLOOKUP($S$95,'TAR FIN'!$A$1:$O$86,15,0)),0,VLOOKUP($S$95,'TAR FIN'!$A$1:$O$86,15,0))</f>
        <v>16.29</v>
      </c>
      <c r="W95" s="6">
        <f>IF(ISERROR(VLOOKUP($T$95,'TAR FIN'!$A$1:$O$86,15,0)),0,VLOOKUP($T$95,'TAR FIN'!$A$1:$O$86,15,0))</f>
        <v>0</v>
      </c>
      <c r="X95" s="6">
        <f>IF(ISERROR(VLOOKUP($U$95,'TAR FIN'!$A$1:$O$86,15,0)),0,VLOOKUP($U$95,'TAR FIN'!$A$1:$O$86,15,0))</f>
        <v>0</v>
      </c>
      <c r="Y95" s="6">
        <f ca="1">('TUSD BE'!$AM$10+'TUSD BF_350'!$AM$10+'TUSD CVA'!$AM$10)*1</f>
        <v>21.139573525578484</v>
      </c>
      <c r="Z95" s="6"/>
      <c r="AA95" s="6"/>
      <c r="AB95" s="6">
        <f>$K$95*$V$95</f>
        <v>36000.9</v>
      </c>
      <c r="AC95" s="6">
        <f>$M$95*$W$95</f>
        <v>0</v>
      </c>
      <c r="AD95" s="6">
        <f>$O$95*$X$95</f>
        <v>0</v>
      </c>
      <c r="AE95" s="6">
        <f ca="1">$K$95*$Y$95</f>
        <v>46718.457491528447</v>
      </c>
      <c r="AF95" s="6">
        <f>$M$95*$Z$95</f>
        <v>0</v>
      </c>
      <c r="AG95" s="6">
        <f>$O$95*$AA$95</f>
        <v>0</v>
      </c>
    </row>
    <row r="96" spans="1:33" ht="11.25" customHeight="1" x14ac:dyDescent="0.25">
      <c r="A96" s="4" t="s">
        <v>55</v>
      </c>
      <c r="B96" s="4" t="s">
        <v>38</v>
      </c>
      <c r="C96" s="4" t="s">
        <v>39</v>
      </c>
      <c r="D96" s="4" t="s">
        <v>40</v>
      </c>
      <c r="E96" s="4" t="s">
        <v>25</v>
      </c>
      <c r="F96" s="4" t="s">
        <v>25</v>
      </c>
      <c r="G96" s="4" t="s">
        <v>25</v>
      </c>
      <c r="H96" s="4" t="s">
        <v>25</v>
      </c>
      <c r="I96" s="5">
        <v>44713</v>
      </c>
      <c r="J96" s="6">
        <v>886</v>
      </c>
      <c r="K96" s="6">
        <v>886</v>
      </c>
      <c r="L96" s="6">
        <v>0</v>
      </c>
      <c r="M96" s="6">
        <v>0</v>
      </c>
      <c r="N96" s="6">
        <v>0</v>
      </c>
      <c r="O96" s="6">
        <v>0</v>
      </c>
      <c r="P96" s="6">
        <v>14</v>
      </c>
      <c r="Q96" s="4" t="s">
        <v>26</v>
      </c>
      <c r="R96" s="4">
        <v>0</v>
      </c>
      <c r="S96" s="6">
        <v>19</v>
      </c>
      <c r="T96" s="6">
        <v>0</v>
      </c>
      <c r="U96" s="6">
        <v>0</v>
      </c>
      <c r="V96" s="6">
        <f>IF(ISERROR(VLOOKUP($S$96,'TAR FIN'!$A$1:$O$86,15,0)),0,VLOOKUP($S$96,'TAR FIN'!$A$1:$O$86,15,0))</f>
        <v>16.29</v>
      </c>
      <c r="W96" s="6">
        <f>IF(ISERROR(VLOOKUP($T$96,'TAR FIN'!$A$1:$O$86,15,0)),0,VLOOKUP($T$96,'TAR FIN'!$A$1:$O$86,15,0))</f>
        <v>0</v>
      </c>
      <c r="X96" s="6">
        <f>IF(ISERROR(VLOOKUP($U$96,'TAR FIN'!$A$1:$O$86,15,0)),0,VLOOKUP($U$96,'TAR FIN'!$A$1:$O$86,15,0))</f>
        <v>0</v>
      </c>
      <c r="Y96" s="6">
        <f ca="1">('TUSD BE'!$AM$10+'TUSD BF_350'!$AM$10+'TUSD CVA'!$AM$10)*1</f>
        <v>21.139573525578484</v>
      </c>
      <c r="Z96" s="6"/>
      <c r="AA96" s="6"/>
      <c r="AB96" s="6">
        <f>$K$96*$V$96</f>
        <v>14432.939999999999</v>
      </c>
      <c r="AC96" s="6">
        <f>$M$96*$W$96</f>
        <v>0</v>
      </c>
      <c r="AD96" s="6">
        <f>$O$96*$X$96</f>
        <v>0</v>
      </c>
      <c r="AE96" s="6">
        <f ca="1">$K$96*$Y$96</f>
        <v>18729.662143662536</v>
      </c>
      <c r="AF96" s="6">
        <f>$M$96*$Z$96</f>
        <v>0</v>
      </c>
      <c r="AG96" s="6">
        <f>$O$96*$AA$96</f>
        <v>0</v>
      </c>
    </row>
    <row r="97" spans="1:33" ht="11.25" customHeight="1" x14ac:dyDescent="0.25">
      <c r="A97" s="4" t="s">
        <v>55</v>
      </c>
      <c r="B97" s="4" t="s">
        <v>38</v>
      </c>
      <c r="C97" s="4" t="s">
        <v>39</v>
      </c>
      <c r="D97" s="4" t="s">
        <v>40</v>
      </c>
      <c r="E97" s="4" t="s">
        <v>25</v>
      </c>
      <c r="F97" s="4" t="s">
        <v>25</v>
      </c>
      <c r="G97" s="4" t="s">
        <v>25</v>
      </c>
      <c r="H97" s="4" t="s">
        <v>25</v>
      </c>
      <c r="I97" s="5">
        <v>44713</v>
      </c>
      <c r="J97" s="6">
        <v>2210</v>
      </c>
      <c r="K97" s="6">
        <v>2210</v>
      </c>
      <c r="L97" s="6">
        <v>0</v>
      </c>
      <c r="M97" s="6">
        <v>0</v>
      </c>
      <c r="N97" s="6">
        <v>0</v>
      </c>
      <c r="O97" s="6">
        <v>0</v>
      </c>
      <c r="P97" s="6">
        <v>12</v>
      </c>
      <c r="Q97" s="4" t="s">
        <v>26</v>
      </c>
      <c r="R97" s="4">
        <v>0</v>
      </c>
      <c r="S97" s="6">
        <v>19</v>
      </c>
      <c r="T97" s="6">
        <v>0</v>
      </c>
      <c r="U97" s="6">
        <v>0</v>
      </c>
      <c r="V97" s="6">
        <f>IF(ISERROR(VLOOKUP($S$97,'TAR FIN'!$A$1:$O$86,15,0)),0,VLOOKUP($S$97,'TAR FIN'!$A$1:$O$86,15,0))</f>
        <v>16.29</v>
      </c>
      <c r="W97" s="6">
        <f>IF(ISERROR(VLOOKUP($T$97,'TAR FIN'!$A$1:$O$86,15,0)),0,VLOOKUP($T$97,'TAR FIN'!$A$1:$O$86,15,0))</f>
        <v>0</v>
      </c>
      <c r="X97" s="6">
        <f>IF(ISERROR(VLOOKUP($U$97,'TAR FIN'!$A$1:$O$86,15,0)),0,VLOOKUP($U$97,'TAR FIN'!$A$1:$O$86,15,0))</f>
        <v>0</v>
      </c>
      <c r="Y97" s="6">
        <f ca="1">('TUSD BE'!$AM$10+'TUSD BF_350'!$AM$10+'TUSD CVA'!$AM$10)*1</f>
        <v>21.139573525578484</v>
      </c>
      <c r="Z97" s="6"/>
      <c r="AA97" s="6"/>
      <c r="AB97" s="6">
        <f>$K$97*$V$97</f>
        <v>36000.9</v>
      </c>
      <c r="AC97" s="6">
        <f>$M$97*$W$97</f>
        <v>0</v>
      </c>
      <c r="AD97" s="6">
        <f>$O$97*$X$97</f>
        <v>0</v>
      </c>
      <c r="AE97" s="6">
        <f ca="1">$K$97*$Y$97</f>
        <v>46718.457491528447</v>
      </c>
      <c r="AF97" s="6">
        <f>$M$97*$Z$97</f>
        <v>0</v>
      </c>
      <c r="AG97" s="6">
        <f>$O$97*$AA$97</f>
        <v>0</v>
      </c>
    </row>
    <row r="98" spans="1:33" ht="11.25" customHeight="1" x14ac:dyDescent="0.25">
      <c r="A98" s="4" t="s">
        <v>21</v>
      </c>
      <c r="B98" s="4" t="s">
        <v>38</v>
      </c>
      <c r="C98" s="4" t="s">
        <v>39</v>
      </c>
      <c r="D98" s="4" t="s">
        <v>40</v>
      </c>
      <c r="E98" s="4" t="s">
        <v>25</v>
      </c>
      <c r="F98" s="4" t="s">
        <v>25</v>
      </c>
      <c r="G98" s="4" t="s">
        <v>25</v>
      </c>
      <c r="H98" s="4" t="s">
        <v>33</v>
      </c>
      <c r="I98" s="5">
        <v>44378</v>
      </c>
      <c r="J98" s="6">
        <v>0</v>
      </c>
      <c r="K98" s="6">
        <v>0</v>
      </c>
      <c r="L98" s="6">
        <v>10.646000000000001</v>
      </c>
      <c r="M98" s="6">
        <v>10.646000000000001</v>
      </c>
      <c r="N98" s="6">
        <v>10.646000000000001</v>
      </c>
      <c r="O98" s="6">
        <v>10.646000000000001</v>
      </c>
      <c r="P98" s="6">
        <v>0</v>
      </c>
      <c r="Q98" s="4" t="s">
        <v>26</v>
      </c>
      <c r="R98" s="4">
        <v>0</v>
      </c>
      <c r="S98" s="6">
        <v>0</v>
      </c>
      <c r="T98" s="6">
        <v>21</v>
      </c>
      <c r="U98" s="6">
        <v>66</v>
      </c>
      <c r="V98" s="6">
        <f>IF(ISERROR(VLOOKUP($S$98,'TAR FIN'!$A$1:$O$86,15,0)),0,VLOOKUP($S$98,'TAR FIN'!$A$1:$O$86,15,0))</f>
        <v>0</v>
      </c>
      <c r="W98" s="6">
        <f>IF(ISERROR(VLOOKUP($T$98,'TAR FIN'!$A$1:$O$86,15,0)),0,VLOOKUP($T$98,'TAR FIN'!$A$1:$O$86,15,0))</f>
        <v>596.78</v>
      </c>
      <c r="X98" s="6">
        <f>IF(ISERROR(VLOOKUP($U$98,'TAR FIN'!$A$1:$O$86,15,0)),0,VLOOKUP($U$98,'TAR FIN'!$A$1:$O$86,15,0))</f>
        <v>503.82</v>
      </c>
      <c r="Y98" s="6"/>
      <c r="Z98" s="6">
        <f ca="1">('TUSD BE'!$AM$11+'TUSD BF_350'!$AM$11+'TUSD CVA'!$AM$11)*1</f>
        <v>625.67033946440574</v>
      </c>
      <c r="AA98" s="6">
        <f ca="1">('TE BE'!$AB$5+'TE BF_350'!$AB$5+'TE CVA'!$AB$5)*1</f>
        <v>398.01664046087393</v>
      </c>
      <c r="AB98" s="6">
        <f>$K$98*$V$98</f>
        <v>0</v>
      </c>
      <c r="AC98" s="6">
        <f>$M$98*$W$98</f>
        <v>6353.31988</v>
      </c>
      <c r="AD98" s="6">
        <f>$O$98*$X$98</f>
        <v>5363.6677200000004</v>
      </c>
      <c r="AE98" s="6">
        <f>$K$98*$Y$98</f>
        <v>0</v>
      </c>
      <c r="AF98" s="6">
        <f ca="1">$M$98*$Z$98</f>
        <v>6660.8864339380643</v>
      </c>
      <c r="AG98" s="6">
        <f ca="1">$O$98*$AA$98</f>
        <v>4237.285154346464</v>
      </c>
    </row>
    <row r="99" spans="1:33" ht="11.25" customHeight="1" x14ac:dyDescent="0.25">
      <c r="A99" s="4" t="s">
        <v>27</v>
      </c>
      <c r="B99" s="4" t="s">
        <v>38</v>
      </c>
      <c r="C99" s="4" t="s">
        <v>39</v>
      </c>
      <c r="D99" s="4" t="s">
        <v>40</v>
      </c>
      <c r="E99" s="4" t="s">
        <v>25</v>
      </c>
      <c r="F99" s="4" t="s">
        <v>25</v>
      </c>
      <c r="G99" s="4" t="s">
        <v>25</v>
      </c>
      <c r="H99" s="4" t="s">
        <v>33</v>
      </c>
      <c r="I99" s="5">
        <v>44378</v>
      </c>
      <c r="J99" s="6">
        <v>0</v>
      </c>
      <c r="K99" s="6">
        <v>0</v>
      </c>
      <c r="L99" s="6">
        <v>6.1929999999999996</v>
      </c>
      <c r="M99" s="6">
        <v>6.1929999999999996</v>
      </c>
      <c r="N99" s="6">
        <v>6.1929999999999996</v>
      </c>
      <c r="O99" s="6">
        <v>6.1929999999999996</v>
      </c>
      <c r="P99" s="6">
        <v>0</v>
      </c>
      <c r="Q99" s="4" t="s">
        <v>26</v>
      </c>
      <c r="R99" s="4">
        <v>0</v>
      </c>
      <c r="S99" s="6">
        <v>0</v>
      </c>
      <c r="T99" s="6">
        <v>21</v>
      </c>
      <c r="U99" s="6">
        <v>66</v>
      </c>
      <c r="V99" s="6">
        <f>IF(ISERROR(VLOOKUP($S$99,'TAR FIN'!$A$1:$O$86,15,0)),0,VLOOKUP($S$99,'TAR FIN'!$A$1:$O$86,15,0))</f>
        <v>0</v>
      </c>
      <c r="W99" s="6">
        <f>IF(ISERROR(VLOOKUP($T$99,'TAR FIN'!$A$1:$O$86,15,0)),0,VLOOKUP($T$99,'TAR FIN'!$A$1:$O$86,15,0))</f>
        <v>596.78</v>
      </c>
      <c r="X99" s="6">
        <f>IF(ISERROR(VLOOKUP($U$99,'TAR FIN'!$A$1:$O$86,15,0)),0,VLOOKUP($U$99,'TAR FIN'!$A$1:$O$86,15,0))</f>
        <v>503.82</v>
      </c>
      <c r="Y99" s="6"/>
      <c r="Z99" s="6">
        <f ca="1">('TUSD BE'!$AM$11+'TUSD BF_350'!$AM$11+'TUSD CVA'!$AM$11)*1</f>
        <v>625.67033946440574</v>
      </c>
      <c r="AA99" s="6">
        <f ca="1">('TE BE'!$AB$5+'TE BF_350'!$AB$5+'TE CVA'!$AB$5)*1</f>
        <v>398.01664046087393</v>
      </c>
      <c r="AB99" s="6">
        <f>$K$99*$V$99</f>
        <v>0</v>
      </c>
      <c r="AC99" s="6">
        <f>$M$99*$W$99</f>
        <v>3695.8585399999997</v>
      </c>
      <c r="AD99" s="6">
        <f>$O$99*$X$99</f>
        <v>3120.15726</v>
      </c>
      <c r="AE99" s="6">
        <f>$K$99*$Y$99</f>
        <v>0</v>
      </c>
      <c r="AF99" s="6">
        <f ca="1">$M$99*$Z$99</f>
        <v>3874.7764123030647</v>
      </c>
      <c r="AG99" s="6">
        <f ca="1">$O$99*$AA$99</f>
        <v>2464.917054374192</v>
      </c>
    </row>
    <row r="100" spans="1:33" ht="11.25" customHeight="1" x14ac:dyDescent="0.25">
      <c r="A100" s="4" t="s">
        <v>21</v>
      </c>
      <c r="B100" s="4" t="s">
        <v>38</v>
      </c>
      <c r="C100" s="4" t="s">
        <v>39</v>
      </c>
      <c r="D100" s="4" t="s">
        <v>40</v>
      </c>
      <c r="E100" s="4" t="s">
        <v>25</v>
      </c>
      <c r="F100" s="4" t="s">
        <v>25</v>
      </c>
      <c r="G100" s="4" t="s">
        <v>25</v>
      </c>
      <c r="H100" s="4" t="s">
        <v>33</v>
      </c>
      <c r="I100" s="5">
        <v>44409</v>
      </c>
      <c r="J100" s="6">
        <v>0</v>
      </c>
      <c r="K100" s="6">
        <v>0</v>
      </c>
      <c r="L100" s="6">
        <v>13.403</v>
      </c>
      <c r="M100" s="6">
        <v>13.403</v>
      </c>
      <c r="N100" s="6">
        <v>13.403</v>
      </c>
      <c r="O100" s="6">
        <v>13.403</v>
      </c>
      <c r="P100" s="6">
        <v>0</v>
      </c>
      <c r="Q100" s="4" t="s">
        <v>26</v>
      </c>
      <c r="R100" s="4">
        <v>0</v>
      </c>
      <c r="S100" s="6">
        <v>0</v>
      </c>
      <c r="T100" s="6">
        <v>21</v>
      </c>
      <c r="U100" s="6">
        <v>66</v>
      </c>
      <c r="V100" s="6">
        <f>IF(ISERROR(VLOOKUP($S$100,'TAR FIN'!$A$1:$O$86,15,0)),0,VLOOKUP($S$100,'TAR FIN'!$A$1:$O$86,15,0))</f>
        <v>0</v>
      </c>
      <c r="W100" s="6">
        <f>IF(ISERROR(VLOOKUP($T$100,'TAR FIN'!$A$1:$O$86,15,0)),0,VLOOKUP($T$100,'TAR FIN'!$A$1:$O$86,15,0))</f>
        <v>596.78</v>
      </c>
      <c r="X100" s="6">
        <f>IF(ISERROR(VLOOKUP($U$100,'TAR FIN'!$A$1:$O$86,15,0)),0,VLOOKUP($U$100,'TAR FIN'!$A$1:$O$86,15,0))</f>
        <v>503.82</v>
      </c>
      <c r="Y100" s="6"/>
      <c r="Z100" s="6">
        <f ca="1">('TUSD BE'!$AM$11+'TUSD BF_350'!$AM$11+'TUSD CVA'!$AM$11)*1</f>
        <v>625.67033946440574</v>
      </c>
      <c r="AA100" s="6">
        <f ca="1">('TE BE'!$AB$5+'TE BF_350'!$AB$5+'TE CVA'!$AB$5)*1</f>
        <v>398.01664046087393</v>
      </c>
      <c r="AB100" s="6">
        <f>$K$100*$V$100</f>
        <v>0</v>
      </c>
      <c r="AC100" s="6">
        <f>$M$100*$W$100</f>
        <v>7998.6423400000003</v>
      </c>
      <c r="AD100" s="6">
        <f>$O$100*$X$100</f>
        <v>6752.6994599999998</v>
      </c>
      <c r="AE100" s="6">
        <f>$K$100*$Y$100</f>
        <v>0</v>
      </c>
      <c r="AF100" s="6">
        <f ca="1">$M$100*$Z$100</f>
        <v>8385.8595598414304</v>
      </c>
      <c r="AG100" s="6">
        <f ca="1">$O$100*$AA$100</f>
        <v>5334.6170320970932</v>
      </c>
    </row>
    <row r="101" spans="1:33" ht="11.25" customHeight="1" x14ac:dyDescent="0.25">
      <c r="A101" s="4" t="s">
        <v>27</v>
      </c>
      <c r="B101" s="4" t="s">
        <v>38</v>
      </c>
      <c r="C101" s="4" t="s">
        <v>39</v>
      </c>
      <c r="D101" s="4" t="s">
        <v>40</v>
      </c>
      <c r="E101" s="4" t="s">
        <v>25</v>
      </c>
      <c r="F101" s="4" t="s">
        <v>25</v>
      </c>
      <c r="G101" s="4" t="s">
        <v>25</v>
      </c>
      <c r="H101" s="4" t="s">
        <v>33</v>
      </c>
      <c r="I101" s="5">
        <v>44409</v>
      </c>
      <c r="J101" s="6">
        <v>0</v>
      </c>
      <c r="K101" s="6">
        <v>0</v>
      </c>
      <c r="L101" s="6">
        <v>7.7249999999999996</v>
      </c>
      <c r="M101" s="6">
        <v>7.7249999999999996</v>
      </c>
      <c r="N101" s="6">
        <v>7.7249999999999996</v>
      </c>
      <c r="O101" s="6">
        <v>7.7249999999999996</v>
      </c>
      <c r="P101" s="6">
        <v>0</v>
      </c>
      <c r="Q101" s="4" t="s">
        <v>26</v>
      </c>
      <c r="R101" s="4">
        <v>0</v>
      </c>
      <c r="S101" s="6">
        <v>0</v>
      </c>
      <c r="T101" s="6">
        <v>21</v>
      </c>
      <c r="U101" s="6">
        <v>66</v>
      </c>
      <c r="V101" s="6">
        <f>IF(ISERROR(VLOOKUP($S$101,'TAR FIN'!$A$1:$O$86,15,0)),0,VLOOKUP($S$101,'TAR FIN'!$A$1:$O$86,15,0))</f>
        <v>0</v>
      </c>
      <c r="W101" s="6">
        <f>IF(ISERROR(VLOOKUP($T$101,'TAR FIN'!$A$1:$O$86,15,0)),0,VLOOKUP($T$101,'TAR FIN'!$A$1:$O$86,15,0))</f>
        <v>596.78</v>
      </c>
      <c r="X101" s="6">
        <f>IF(ISERROR(VLOOKUP($U$101,'TAR FIN'!$A$1:$O$86,15,0)),0,VLOOKUP($U$101,'TAR FIN'!$A$1:$O$86,15,0))</f>
        <v>503.82</v>
      </c>
      <c r="Y101" s="6"/>
      <c r="Z101" s="6">
        <f ca="1">('TUSD BE'!$AM$11+'TUSD BF_350'!$AM$11+'TUSD CVA'!$AM$11)*1</f>
        <v>625.67033946440574</v>
      </c>
      <c r="AA101" s="6">
        <f ca="1">('TE BE'!$AB$5+'TE BF_350'!$AB$5+'TE CVA'!$AB$5)*1</f>
        <v>398.01664046087393</v>
      </c>
      <c r="AB101" s="6">
        <f>$K$101*$V$101</f>
        <v>0</v>
      </c>
      <c r="AC101" s="6">
        <f>$M$101*$W$101</f>
        <v>4610.1254999999992</v>
      </c>
      <c r="AD101" s="6">
        <f>$O$101*$X$101</f>
        <v>3892.0094999999997</v>
      </c>
      <c r="AE101" s="6">
        <f>$K$101*$Y$101</f>
        <v>0</v>
      </c>
      <c r="AF101" s="6">
        <f ca="1">$M$101*$Z$101</f>
        <v>4833.303372362534</v>
      </c>
      <c r="AG101" s="6">
        <f ca="1">$O$101*$AA$101</f>
        <v>3074.678547560251</v>
      </c>
    </row>
    <row r="102" spans="1:33" ht="11.25" customHeight="1" x14ac:dyDescent="0.25">
      <c r="A102" s="4" t="s">
        <v>21</v>
      </c>
      <c r="B102" s="4" t="s">
        <v>38</v>
      </c>
      <c r="C102" s="4" t="s">
        <v>39</v>
      </c>
      <c r="D102" s="4" t="s">
        <v>40</v>
      </c>
      <c r="E102" s="4" t="s">
        <v>25</v>
      </c>
      <c r="F102" s="4" t="s">
        <v>25</v>
      </c>
      <c r="G102" s="4" t="s">
        <v>25</v>
      </c>
      <c r="H102" s="4" t="s">
        <v>33</v>
      </c>
      <c r="I102" s="5">
        <v>44440</v>
      </c>
      <c r="J102" s="6">
        <v>0</v>
      </c>
      <c r="K102" s="6">
        <v>0</v>
      </c>
      <c r="L102" s="6">
        <v>11.365</v>
      </c>
      <c r="M102" s="6">
        <v>11.365</v>
      </c>
      <c r="N102" s="6">
        <v>11.365</v>
      </c>
      <c r="O102" s="6">
        <v>11.365</v>
      </c>
      <c r="P102" s="6">
        <v>0</v>
      </c>
      <c r="Q102" s="4" t="s">
        <v>26</v>
      </c>
      <c r="R102" s="4">
        <v>0</v>
      </c>
      <c r="S102" s="6">
        <v>0</v>
      </c>
      <c r="T102" s="6">
        <v>21</v>
      </c>
      <c r="U102" s="6">
        <v>66</v>
      </c>
      <c r="V102" s="6">
        <f>IF(ISERROR(VLOOKUP($S$102,'TAR FIN'!$A$1:$O$86,15,0)),0,VLOOKUP($S$102,'TAR FIN'!$A$1:$O$86,15,0))</f>
        <v>0</v>
      </c>
      <c r="W102" s="6">
        <f>IF(ISERROR(VLOOKUP($T$102,'TAR FIN'!$A$1:$O$86,15,0)),0,VLOOKUP($T$102,'TAR FIN'!$A$1:$O$86,15,0))</f>
        <v>596.78</v>
      </c>
      <c r="X102" s="6">
        <f>IF(ISERROR(VLOOKUP($U$102,'TAR FIN'!$A$1:$O$86,15,0)),0,VLOOKUP($U$102,'TAR FIN'!$A$1:$O$86,15,0))</f>
        <v>503.82</v>
      </c>
      <c r="Y102" s="6"/>
      <c r="Z102" s="6">
        <f ca="1">('TUSD BE'!$AM$11+'TUSD BF_350'!$AM$11+'TUSD CVA'!$AM$11)*1</f>
        <v>625.67033946440574</v>
      </c>
      <c r="AA102" s="6">
        <f ca="1">('TE BE'!$AB$5+'TE BF_350'!$AB$5+'TE CVA'!$AB$5)*1</f>
        <v>398.01664046087393</v>
      </c>
      <c r="AB102" s="6">
        <f>$K$102*$V$102</f>
        <v>0</v>
      </c>
      <c r="AC102" s="6">
        <f>$M$102*$W$102</f>
        <v>6782.4047</v>
      </c>
      <c r="AD102" s="6">
        <f>$O$102*$X$102</f>
        <v>5725.9143000000004</v>
      </c>
      <c r="AE102" s="6">
        <f>$K$102*$Y$102</f>
        <v>0</v>
      </c>
      <c r="AF102" s="6">
        <f ca="1">$M$102*$Z$102</f>
        <v>7110.7434080129715</v>
      </c>
      <c r="AG102" s="6">
        <f ca="1">$O$102*$AA$102</f>
        <v>4523.4591188378326</v>
      </c>
    </row>
    <row r="103" spans="1:33" ht="11.25" customHeight="1" x14ac:dyDescent="0.25">
      <c r="A103" s="4" t="s">
        <v>27</v>
      </c>
      <c r="B103" s="4" t="s">
        <v>38</v>
      </c>
      <c r="C103" s="4" t="s">
        <v>39</v>
      </c>
      <c r="D103" s="4" t="s">
        <v>40</v>
      </c>
      <c r="E103" s="4" t="s">
        <v>25</v>
      </c>
      <c r="F103" s="4" t="s">
        <v>25</v>
      </c>
      <c r="G103" s="4" t="s">
        <v>25</v>
      </c>
      <c r="H103" s="4" t="s">
        <v>33</v>
      </c>
      <c r="I103" s="5">
        <v>44440</v>
      </c>
      <c r="J103" s="6">
        <v>0</v>
      </c>
      <c r="K103" s="6">
        <v>0</v>
      </c>
      <c r="L103" s="6">
        <v>1.1859999999999999</v>
      </c>
      <c r="M103" s="6">
        <v>1.1859999999999999</v>
      </c>
      <c r="N103" s="6">
        <v>1.1859999999999999</v>
      </c>
      <c r="O103" s="6">
        <v>1.1859999999999999</v>
      </c>
      <c r="P103" s="6">
        <v>0</v>
      </c>
      <c r="Q103" s="4" t="s">
        <v>26</v>
      </c>
      <c r="R103" s="4">
        <v>0</v>
      </c>
      <c r="S103" s="6">
        <v>0</v>
      </c>
      <c r="T103" s="6">
        <v>21</v>
      </c>
      <c r="U103" s="6">
        <v>66</v>
      </c>
      <c r="V103" s="6">
        <f>IF(ISERROR(VLOOKUP($S$103,'TAR FIN'!$A$1:$O$86,15,0)),0,VLOOKUP($S$103,'TAR FIN'!$A$1:$O$86,15,0))</f>
        <v>0</v>
      </c>
      <c r="W103" s="6">
        <f>IF(ISERROR(VLOOKUP($T$103,'TAR FIN'!$A$1:$O$86,15,0)),0,VLOOKUP($T$103,'TAR FIN'!$A$1:$O$86,15,0))</f>
        <v>596.78</v>
      </c>
      <c r="X103" s="6">
        <f>IF(ISERROR(VLOOKUP($U$103,'TAR FIN'!$A$1:$O$86,15,0)),0,VLOOKUP($U$103,'TAR FIN'!$A$1:$O$86,15,0))</f>
        <v>503.82</v>
      </c>
      <c r="Y103" s="6"/>
      <c r="Z103" s="6">
        <f ca="1">('TUSD BE'!$AM$11+'TUSD BF_350'!$AM$11+'TUSD CVA'!$AM$11)*1</f>
        <v>625.67033946440574</v>
      </c>
      <c r="AA103" s="6">
        <f ca="1">('TE BE'!$AB$5+'TE BF_350'!$AB$5+'TE CVA'!$AB$5)*1</f>
        <v>398.01664046087393</v>
      </c>
      <c r="AB103" s="6">
        <f>$K$103*$V$103</f>
        <v>0</v>
      </c>
      <c r="AC103" s="6">
        <f>$M$103*$W$103</f>
        <v>707.78107999999997</v>
      </c>
      <c r="AD103" s="6">
        <f>$O$103*$X$103</f>
        <v>597.53051999999991</v>
      </c>
      <c r="AE103" s="6">
        <f>$K$103*$Y$103</f>
        <v>0</v>
      </c>
      <c r="AF103" s="6">
        <f ca="1">$M$103*$Z$103</f>
        <v>742.04502260478523</v>
      </c>
      <c r="AG103" s="6">
        <f ca="1">$O$103*$AA$103</f>
        <v>472.04773558659645</v>
      </c>
    </row>
    <row r="104" spans="1:33" ht="11.25" customHeight="1" x14ac:dyDescent="0.25">
      <c r="A104" s="4" t="s">
        <v>21</v>
      </c>
      <c r="B104" s="4" t="s">
        <v>38</v>
      </c>
      <c r="C104" s="4" t="s">
        <v>39</v>
      </c>
      <c r="D104" s="4" t="s">
        <v>40</v>
      </c>
      <c r="E104" s="4" t="s">
        <v>25</v>
      </c>
      <c r="F104" s="4" t="s">
        <v>25</v>
      </c>
      <c r="G104" s="4" t="s">
        <v>25</v>
      </c>
      <c r="H104" s="4" t="s">
        <v>33</v>
      </c>
      <c r="I104" s="5">
        <v>44470</v>
      </c>
      <c r="J104" s="6">
        <v>0</v>
      </c>
      <c r="K104" s="6">
        <v>0</v>
      </c>
      <c r="L104" s="6">
        <v>10.680999999999999</v>
      </c>
      <c r="M104" s="6">
        <v>10.680999999999999</v>
      </c>
      <c r="N104" s="6">
        <v>10.680999999999999</v>
      </c>
      <c r="O104" s="6">
        <v>10.680999999999999</v>
      </c>
      <c r="P104" s="6">
        <v>0</v>
      </c>
      <c r="Q104" s="4" t="s">
        <v>26</v>
      </c>
      <c r="R104" s="4">
        <v>0</v>
      </c>
      <c r="S104" s="6">
        <v>0</v>
      </c>
      <c r="T104" s="6">
        <v>21</v>
      </c>
      <c r="U104" s="6">
        <v>66</v>
      </c>
      <c r="V104" s="6">
        <f>IF(ISERROR(VLOOKUP($S$104,'TAR FIN'!$A$1:$O$86,15,0)),0,VLOOKUP($S$104,'TAR FIN'!$A$1:$O$86,15,0))</f>
        <v>0</v>
      </c>
      <c r="W104" s="6">
        <f>IF(ISERROR(VLOOKUP($T$104,'TAR FIN'!$A$1:$O$86,15,0)),0,VLOOKUP($T$104,'TAR FIN'!$A$1:$O$86,15,0))</f>
        <v>596.78</v>
      </c>
      <c r="X104" s="6">
        <f>IF(ISERROR(VLOOKUP($U$104,'TAR FIN'!$A$1:$O$86,15,0)),0,VLOOKUP($U$104,'TAR FIN'!$A$1:$O$86,15,0))</f>
        <v>503.82</v>
      </c>
      <c r="Y104" s="6"/>
      <c r="Z104" s="6">
        <f ca="1">('TUSD BE'!$AM$11+'TUSD BF_350'!$AM$11+'TUSD CVA'!$AM$11)*1</f>
        <v>625.67033946440574</v>
      </c>
      <c r="AA104" s="6">
        <f ca="1">('TE BE'!$AB$5+'TE BF_350'!$AB$5+'TE CVA'!$AB$5)*1</f>
        <v>398.01664046087393</v>
      </c>
      <c r="AB104" s="6">
        <f>$K$104*$V$104</f>
        <v>0</v>
      </c>
      <c r="AC104" s="6">
        <f>$M$104*$W$104</f>
        <v>6374.2071799999994</v>
      </c>
      <c r="AD104" s="6">
        <f>$O$104*$X$104</f>
        <v>5381.3014199999998</v>
      </c>
      <c r="AE104" s="6">
        <f>$K$104*$Y$104</f>
        <v>0</v>
      </c>
      <c r="AF104" s="6">
        <f ca="1">$M$104*$Z$104</f>
        <v>6682.7848958193172</v>
      </c>
      <c r="AG104" s="6">
        <f ca="1">$O$104*$AA$104</f>
        <v>4251.2157367625941</v>
      </c>
    </row>
    <row r="105" spans="1:33" ht="11.25" customHeight="1" x14ac:dyDescent="0.25">
      <c r="A105" s="4" t="s">
        <v>27</v>
      </c>
      <c r="B105" s="4" t="s">
        <v>38</v>
      </c>
      <c r="C105" s="4" t="s">
        <v>39</v>
      </c>
      <c r="D105" s="4" t="s">
        <v>40</v>
      </c>
      <c r="E105" s="4" t="s">
        <v>25</v>
      </c>
      <c r="F105" s="4" t="s">
        <v>25</v>
      </c>
      <c r="G105" s="4" t="s">
        <v>25</v>
      </c>
      <c r="H105" s="4" t="s">
        <v>33</v>
      </c>
      <c r="I105" s="5">
        <v>44470</v>
      </c>
      <c r="J105" s="6">
        <v>0</v>
      </c>
      <c r="K105" s="6">
        <v>0</v>
      </c>
      <c r="L105" s="6">
        <v>6.5030000000000001</v>
      </c>
      <c r="M105" s="6">
        <v>6.5030000000000001</v>
      </c>
      <c r="N105" s="6">
        <v>6.5030000000000001</v>
      </c>
      <c r="O105" s="6">
        <v>6.5030000000000001</v>
      </c>
      <c r="P105" s="6">
        <v>0</v>
      </c>
      <c r="Q105" s="4" t="s">
        <v>26</v>
      </c>
      <c r="R105" s="4">
        <v>0</v>
      </c>
      <c r="S105" s="6">
        <v>0</v>
      </c>
      <c r="T105" s="6">
        <v>21</v>
      </c>
      <c r="U105" s="6">
        <v>66</v>
      </c>
      <c r="V105" s="6">
        <f>IF(ISERROR(VLOOKUP($S$105,'TAR FIN'!$A$1:$O$86,15,0)),0,VLOOKUP($S$105,'TAR FIN'!$A$1:$O$86,15,0))</f>
        <v>0</v>
      </c>
      <c r="W105" s="6">
        <f>IF(ISERROR(VLOOKUP($T$105,'TAR FIN'!$A$1:$O$86,15,0)),0,VLOOKUP($T$105,'TAR FIN'!$A$1:$O$86,15,0))</f>
        <v>596.78</v>
      </c>
      <c r="X105" s="6">
        <f>IF(ISERROR(VLOOKUP($U$105,'TAR FIN'!$A$1:$O$86,15,0)),0,VLOOKUP($U$105,'TAR FIN'!$A$1:$O$86,15,0))</f>
        <v>503.82</v>
      </c>
      <c r="Y105" s="6"/>
      <c r="Z105" s="6">
        <f ca="1">('TUSD BE'!$AM$11+'TUSD BF_350'!$AM$11+'TUSD CVA'!$AM$11)*1</f>
        <v>625.67033946440574</v>
      </c>
      <c r="AA105" s="6">
        <f ca="1">('TE BE'!$AB$5+'TE BF_350'!$AB$5+'TE CVA'!$AB$5)*1</f>
        <v>398.01664046087393</v>
      </c>
      <c r="AB105" s="6">
        <f>$K$105*$V$105</f>
        <v>0</v>
      </c>
      <c r="AC105" s="6">
        <f>$M$105*$W$105</f>
        <v>3880.8603399999997</v>
      </c>
      <c r="AD105" s="6">
        <f>$O$105*$X$105</f>
        <v>3276.3414600000001</v>
      </c>
      <c r="AE105" s="6">
        <f>$K$105*$Y$105</f>
        <v>0</v>
      </c>
      <c r="AF105" s="6">
        <f ca="1">$M$105*$Z$105</f>
        <v>4068.7342175370304</v>
      </c>
      <c r="AG105" s="6">
        <f ca="1">$O$105*$AA$105</f>
        <v>2588.3022129170631</v>
      </c>
    </row>
    <row r="106" spans="1:33" ht="11.25" customHeight="1" x14ac:dyDescent="0.25">
      <c r="A106" s="4" t="s">
        <v>21</v>
      </c>
      <c r="B106" s="4" t="s">
        <v>38</v>
      </c>
      <c r="C106" s="4" t="s">
        <v>39</v>
      </c>
      <c r="D106" s="4" t="s">
        <v>40</v>
      </c>
      <c r="E106" s="4" t="s">
        <v>25</v>
      </c>
      <c r="F106" s="4" t="s">
        <v>25</v>
      </c>
      <c r="G106" s="4" t="s">
        <v>25</v>
      </c>
      <c r="H106" s="4" t="s">
        <v>33</v>
      </c>
      <c r="I106" s="5">
        <v>44501</v>
      </c>
      <c r="J106" s="6">
        <v>0</v>
      </c>
      <c r="K106" s="6">
        <v>0</v>
      </c>
      <c r="L106" s="6">
        <v>37.08</v>
      </c>
      <c r="M106" s="6">
        <v>37.08</v>
      </c>
      <c r="N106" s="6">
        <v>37.08</v>
      </c>
      <c r="O106" s="6">
        <v>37.08</v>
      </c>
      <c r="P106" s="6">
        <v>0</v>
      </c>
      <c r="Q106" s="4" t="s">
        <v>26</v>
      </c>
      <c r="R106" s="4">
        <v>0</v>
      </c>
      <c r="S106" s="6">
        <v>0</v>
      </c>
      <c r="T106" s="6">
        <v>21</v>
      </c>
      <c r="U106" s="6">
        <v>66</v>
      </c>
      <c r="V106" s="6">
        <f>IF(ISERROR(VLOOKUP($S$106,'TAR FIN'!$A$1:$O$86,15,0)),0,VLOOKUP($S$106,'TAR FIN'!$A$1:$O$86,15,0))</f>
        <v>0</v>
      </c>
      <c r="W106" s="6">
        <f>IF(ISERROR(VLOOKUP($T$106,'TAR FIN'!$A$1:$O$86,15,0)),0,VLOOKUP($T$106,'TAR FIN'!$A$1:$O$86,15,0))</f>
        <v>596.78</v>
      </c>
      <c r="X106" s="6">
        <f>IF(ISERROR(VLOOKUP($U$106,'TAR FIN'!$A$1:$O$86,15,0)),0,VLOOKUP($U$106,'TAR FIN'!$A$1:$O$86,15,0))</f>
        <v>503.82</v>
      </c>
      <c r="Y106" s="6"/>
      <c r="Z106" s="6">
        <f ca="1">('TUSD BE'!$AM$11+'TUSD BF_350'!$AM$11+'TUSD CVA'!$AM$11)*1</f>
        <v>625.67033946440574</v>
      </c>
      <c r="AA106" s="6">
        <f ca="1">('TE BE'!$AB$5+'TE BF_350'!$AB$5+'TE CVA'!$AB$5)*1</f>
        <v>398.01664046087393</v>
      </c>
      <c r="AB106" s="6">
        <f>$K$106*$V$106</f>
        <v>0</v>
      </c>
      <c r="AC106" s="6">
        <f>$M$106*$W$106</f>
        <v>22128.6024</v>
      </c>
      <c r="AD106" s="6">
        <f>$O$106*$X$106</f>
        <v>18681.6456</v>
      </c>
      <c r="AE106" s="6">
        <f>$K$106*$Y$106</f>
        <v>0</v>
      </c>
      <c r="AF106" s="6">
        <f ca="1">$M$106*$Z$106</f>
        <v>23199.856187340163</v>
      </c>
      <c r="AG106" s="6">
        <f ca="1">$O$106*$AA$106</f>
        <v>14758.457028289205</v>
      </c>
    </row>
    <row r="107" spans="1:33" ht="11.25" customHeight="1" x14ac:dyDescent="0.25">
      <c r="A107" s="4" t="s">
        <v>27</v>
      </c>
      <c r="B107" s="4" t="s">
        <v>38</v>
      </c>
      <c r="C107" s="4" t="s">
        <v>39</v>
      </c>
      <c r="D107" s="4" t="s">
        <v>40</v>
      </c>
      <c r="E107" s="4" t="s">
        <v>25</v>
      </c>
      <c r="F107" s="4" t="s">
        <v>25</v>
      </c>
      <c r="G107" s="4" t="s">
        <v>25</v>
      </c>
      <c r="H107" s="4" t="s">
        <v>33</v>
      </c>
      <c r="I107" s="5">
        <v>44501</v>
      </c>
      <c r="J107" s="6">
        <v>0</v>
      </c>
      <c r="K107" s="6">
        <v>0</v>
      </c>
      <c r="L107" s="6">
        <v>4.8920000000000003</v>
      </c>
      <c r="M107" s="6">
        <v>4.8920000000000003</v>
      </c>
      <c r="N107" s="6">
        <v>4.8920000000000003</v>
      </c>
      <c r="O107" s="6">
        <v>4.8920000000000003</v>
      </c>
      <c r="P107" s="6">
        <v>0</v>
      </c>
      <c r="Q107" s="4" t="s">
        <v>26</v>
      </c>
      <c r="R107" s="4">
        <v>0</v>
      </c>
      <c r="S107" s="6">
        <v>0</v>
      </c>
      <c r="T107" s="6">
        <v>21</v>
      </c>
      <c r="U107" s="6">
        <v>66</v>
      </c>
      <c r="V107" s="6">
        <f>IF(ISERROR(VLOOKUP($S$107,'TAR FIN'!$A$1:$O$86,15,0)),0,VLOOKUP($S$107,'TAR FIN'!$A$1:$O$86,15,0))</f>
        <v>0</v>
      </c>
      <c r="W107" s="6">
        <f>IF(ISERROR(VLOOKUP($T$107,'TAR FIN'!$A$1:$O$86,15,0)),0,VLOOKUP($T$107,'TAR FIN'!$A$1:$O$86,15,0))</f>
        <v>596.78</v>
      </c>
      <c r="X107" s="6">
        <f>IF(ISERROR(VLOOKUP($U$107,'TAR FIN'!$A$1:$O$86,15,0)),0,VLOOKUP($U$107,'TAR FIN'!$A$1:$O$86,15,0))</f>
        <v>503.82</v>
      </c>
      <c r="Y107" s="6"/>
      <c r="Z107" s="6">
        <f ca="1">('TUSD BE'!$AM$11+'TUSD BF_350'!$AM$11+'TUSD CVA'!$AM$11)*1</f>
        <v>625.67033946440574</v>
      </c>
      <c r="AA107" s="6">
        <f ca="1">('TE BE'!$AB$5+'TE BF_350'!$AB$5+'TE CVA'!$AB$5)*1</f>
        <v>398.01664046087393</v>
      </c>
      <c r="AB107" s="6">
        <f>$K$107*$V$107</f>
        <v>0</v>
      </c>
      <c r="AC107" s="6">
        <f>$M$107*$W$107</f>
        <v>2919.44776</v>
      </c>
      <c r="AD107" s="6">
        <f>$O$107*$X$107</f>
        <v>2464.6874400000002</v>
      </c>
      <c r="AE107" s="6">
        <f>$K$107*$Y$107</f>
        <v>0</v>
      </c>
      <c r="AF107" s="6">
        <f ca="1">$M$107*$Z$107</f>
        <v>3060.7793006598731</v>
      </c>
      <c r="AG107" s="6">
        <f ca="1">$O$107*$AA$107</f>
        <v>1947.0974051345954</v>
      </c>
    </row>
    <row r="108" spans="1:33" ht="11.25" customHeight="1" x14ac:dyDescent="0.25">
      <c r="A108" s="4" t="s">
        <v>21</v>
      </c>
      <c r="B108" s="4" t="s">
        <v>38</v>
      </c>
      <c r="C108" s="4" t="s">
        <v>39</v>
      </c>
      <c r="D108" s="4" t="s">
        <v>40</v>
      </c>
      <c r="E108" s="4" t="s">
        <v>25</v>
      </c>
      <c r="F108" s="4" t="s">
        <v>25</v>
      </c>
      <c r="G108" s="4" t="s">
        <v>25</v>
      </c>
      <c r="H108" s="4" t="s">
        <v>33</v>
      </c>
      <c r="I108" s="5">
        <v>44531</v>
      </c>
      <c r="J108" s="6">
        <v>0</v>
      </c>
      <c r="K108" s="6">
        <v>0</v>
      </c>
      <c r="L108" s="6">
        <v>30.876000000000001</v>
      </c>
      <c r="M108" s="6">
        <v>30.876000000000001</v>
      </c>
      <c r="N108" s="6">
        <v>30.876000000000001</v>
      </c>
      <c r="O108" s="6">
        <v>30.876000000000001</v>
      </c>
      <c r="P108" s="6">
        <v>0</v>
      </c>
      <c r="Q108" s="4" t="s">
        <v>26</v>
      </c>
      <c r="R108" s="4">
        <v>0</v>
      </c>
      <c r="S108" s="6">
        <v>0</v>
      </c>
      <c r="T108" s="6">
        <v>21</v>
      </c>
      <c r="U108" s="6">
        <v>66</v>
      </c>
      <c r="V108" s="6">
        <f>IF(ISERROR(VLOOKUP($S$108,'TAR FIN'!$A$1:$O$86,15,0)),0,VLOOKUP($S$108,'TAR FIN'!$A$1:$O$86,15,0))</f>
        <v>0</v>
      </c>
      <c r="W108" s="6">
        <f>IF(ISERROR(VLOOKUP($T$108,'TAR FIN'!$A$1:$O$86,15,0)),0,VLOOKUP($T$108,'TAR FIN'!$A$1:$O$86,15,0))</f>
        <v>596.78</v>
      </c>
      <c r="X108" s="6">
        <f>IF(ISERROR(VLOOKUP($U$108,'TAR FIN'!$A$1:$O$86,15,0)),0,VLOOKUP($U$108,'TAR FIN'!$A$1:$O$86,15,0))</f>
        <v>503.82</v>
      </c>
      <c r="Y108" s="6"/>
      <c r="Z108" s="6">
        <f ca="1">('TUSD BE'!$AM$11+'TUSD BF_350'!$AM$11+'TUSD CVA'!$AM$11)*1</f>
        <v>625.67033946440574</v>
      </c>
      <c r="AA108" s="6">
        <f ca="1">('TE BE'!$AB$5+'TE BF_350'!$AB$5+'TE CVA'!$AB$5)*1</f>
        <v>398.01664046087393</v>
      </c>
      <c r="AB108" s="6">
        <f>$K$108*$V$108</f>
        <v>0</v>
      </c>
      <c r="AC108" s="6">
        <f>$M$108*$W$108</f>
        <v>18426.17928</v>
      </c>
      <c r="AD108" s="6">
        <f>$O$108*$X$108</f>
        <v>15555.946320000001</v>
      </c>
      <c r="AE108" s="6">
        <f>$K$108*$Y$108</f>
        <v>0</v>
      </c>
      <c r="AF108" s="6">
        <f ca="1">$M$108*$Z$108</f>
        <v>19318.197401302994</v>
      </c>
      <c r="AG108" s="6">
        <f ca="1">$O$108*$AA$108</f>
        <v>12289.161790869945</v>
      </c>
    </row>
    <row r="109" spans="1:33" ht="11.25" customHeight="1" x14ac:dyDescent="0.25">
      <c r="A109" s="4" t="s">
        <v>27</v>
      </c>
      <c r="B109" s="4" t="s">
        <v>38</v>
      </c>
      <c r="C109" s="4" t="s">
        <v>39</v>
      </c>
      <c r="D109" s="4" t="s">
        <v>40</v>
      </c>
      <c r="E109" s="4" t="s">
        <v>25</v>
      </c>
      <c r="F109" s="4" t="s">
        <v>25</v>
      </c>
      <c r="G109" s="4" t="s">
        <v>25</v>
      </c>
      <c r="H109" s="4" t="s">
        <v>33</v>
      </c>
      <c r="I109" s="5">
        <v>44531</v>
      </c>
      <c r="J109" s="6">
        <v>0</v>
      </c>
      <c r="K109" s="6">
        <v>0</v>
      </c>
      <c r="L109" s="6">
        <v>7.8040000000000003</v>
      </c>
      <c r="M109" s="6">
        <v>7.8040000000000003</v>
      </c>
      <c r="N109" s="6">
        <v>7.8040000000000003</v>
      </c>
      <c r="O109" s="6">
        <v>7.8040000000000003</v>
      </c>
      <c r="P109" s="6">
        <v>0</v>
      </c>
      <c r="Q109" s="4" t="s">
        <v>26</v>
      </c>
      <c r="R109" s="4">
        <v>0</v>
      </c>
      <c r="S109" s="6">
        <v>0</v>
      </c>
      <c r="T109" s="6">
        <v>21</v>
      </c>
      <c r="U109" s="6">
        <v>66</v>
      </c>
      <c r="V109" s="6">
        <f>IF(ISERROR(VLOOKUP($S$109,'TAR FIN'!$A$1:$O$86,15,0)),0,VLOOKUP($S$109,'TAR FIN'!$A$1:$O$86,15,0))</f>
        <v>0</v>
      </c>
      <c r="W109" s="6">
        <f>IF(ISERROR(VLOOKUP($T$109,'TAR FIN'!$A$1:$O$86,15,0)),0,VLOOKUP($T$109,'TAR FIN'!$A$1:$O$86,15,0))</f>
        <v>596.78</v>
      </c>
      <c r="X109" s="6">
        <f>IF(ISERROR(VLOOKUP($U$109,'TAR FIN'!$A$1:$O$86,15,0)),0,VLOOKUP($U$109,'TAR FIN'!$A$1:$O$86,15,0))</f>
        <v>503.82</v>
      </c>
      <c r="Y109" s="6"/>
      <c r="Z109" s="6">
        <f ca="1">('TUSD BE'!$AM$11+'TUSD BF_350'!$AM$11+'TUSD CVA'!$AM$11)*1</f>
        <v>625.67033946440574</v>
      </c>
      <c r="AA109" s="6">
        <f ca="1">('TE BE'!$AB$5+'TE BF_350'!$AB$5+'TE CVA'!$AB$5)*1</f>
        <v>398.01664046087393</v>
      </c>
      <c r="AB109" s="6">
        <f>$K$109*$V$109</f>
        <v>0</v>
      </c>
      <c r="AC109" s="6">
        <f>$M$109*$W$109</f>
        <v>4657.2711200000003</v>
      </c>
      <c r="AD109" s="6">
        <f>$O$109*$X$109</f>
        <v>3931.8112799999999</v>
      </c>
      <c r="AE109" s="6">
        <f>$K$109*$Y$109</f>
        <v>0</v>
      </c>
      <c r="AF109" s="6">
        <f ca="1">$M$109*$Z$109</f>
        <v>4882.7313291802229</v>
      </c>
      <c r="AG109" s="6">
        <f ca="1">$O$109*$AA$109</f>
        <v>3106.1218621566604</v>
      </c>
    </row>
    <row r="110" spans="1:33" ht="11.25" customHeight="1" x14ac:dyDescent="0.25">
      <c r="A110" s="4" t="s">
        <v>21</v>
      </c>
      <c r="B110" s="4" t="s">
        <v>38</v>
      </c>
      <c r="C110" s="4" t="s">
        <v>39</v>
      </c>
      <c r="D110" s="4" t="s">
        <v>40</v>
      </c>
      <c r="E110" s="4" t="s">
        <v>25</v>
      </c>
      <c r="F110" s="4" t="s">
        <v>25</v>
      </c>
      <c r="G110" s="4" t="s">
        <v>25</v>
      </c>
      <c r="H110" s="4" t="s">
        <v>33</v>
      </c>
      <c r="I110" s="5">
        <v>44562</v>
      </c>
      <c r="J110" s="6">
        <v>0</v>
      </c>
      <c r="K110" s="6">
        <v>0</v>
      </c>
      <c r="L110" s="6">
        <v>34.972999999999999</v>
      </c>
      <c r="M110" s="6">
        <v>34.972999999999999</v>
      </c>
      <c r="N110" s="6">
        <v>34.972999999999999</v>
      </c>
      <c r="O110" s="6">
        <v>34.972999999999999</v>
      </c>
      <c r="P110" s="6">
        <v>0</v>
      </c>
      <c r="Q110" s="4" t="s">
        <v>26</v>
      </c>
      <c r="R110" s="4">
        <v>0</v>
      </c>
      <c r="S110" s="6">
        <v>0</v>
      </c>
      <c r="T110" s="6">
        <v>21</v>
      </c>
      <c r="U110" s="6">
        <v>66</v>
      </c>
      <c r="V110" s="6">
        <f>IF(ISERROR(VLOOKUP($S$110,'TAR FIN'!$A$1:$O$86,15,0)),0,VLOOKUP($S$110,'TAR FIN'!$A$1:$O$86,15,0))</f>
        <v>0</v>
      </c>
      <c r="W110" s="6">
        <f>IF(ISERROR(VLOOKUP($T$110,'TAR FIN'!$A$1:$O$86,15,0)),0,VLOOKUP($T$110,'TAR FIN'!$A$1:$O$86,15,0))</f>
        <v>596.78</v>
      </c>
      <c r="X110" s="6">
        <f>IF(ISERROR(VLOOKUP($U$110,'TAR FIN'!$A$1:$O$86,15,0)),0,VLOOKUP($U$110,'TAR FIN'!$A$1:$O$86,15,0))</f>
        <v>503.82</v>
      </c>
      <c r="Y110" s="6"/>
      <c r="Z110" s="6">
        <f ca="1">('TUSD BE'!$AM$11+'TUSD BF_350'!$AM$11+'TUSD CVA'!$AM$11)*1</f>
        <v>625.67033946440574</v>
      </c>
      <c r="AA110" s="6">
        <f ca="1">('TE BE'!$AB$5+'TE BF_350'!$AB$5+'TE CVA'!$AB$5)*1</f>
        <v>398.01664046087393</v>
      </c>
      <c r="AB110" s="6">
        <f>$K$110*$V$110</f>
        <v>0</v>
      </c>
      <c r="AC110" s="6">
        <f>$M$110*$W$110</f>
        <v>20871.18694</v>
      </c>
      <c r="AD110" s="6">
        <f>$O$110*$X$110</f>
        <v>17620.096859999998</v>
      </c>
      <c r="AE110" s="6">
        <f>$K$110*$Y$110</f>
        <v>0</v>
      </c>
      <c r="AF110" s="6">
        <f ca="1">$M$110*$Z$110</f>
        <v>21881.56878208866</v>
      </c>
      <c r="AG110" s="6">
        <f ca="1">$O$110*$AA$110</f>
        <v>13919.835966838144</v>
      </c>
    </row>
    <row r="111" spans="1:33" ht="11.25" customHeight="1" x14ac:dyDescent="0.25">
      <c r="A111" s="4" t="s">
        <v>27</v>
      </c>
      <c r="B111" s="4" t="s">
        <v>38</v>
      </c>
      <c r="C111" s="4" t="s">
        <v>39</v>
      </c>
      <c r="D111" s="4" t="s">
        <v>40</v>
      </c>
      <c r="E111" s="4" t="s">
        <v>25</v>
      </c>
      <c r="F111" s="4" t="s">
        <v>25</v>
      </c>
      <c r="G111" s="4" t="s">
        <v>25</v>
      </c>
      <c r="H111" s="4" t="s">
        <v>33</v>
      </c>
      <c r="I111" s="5">
        <v>44562</v>
      </c>
      <c r="J111" s="6">
        <v>0</v>
      </c>
      <c r="K111" s="6">
        <v>0</v>
      </c>
      <c r="L111" s="6">
        <v>13.972</v>
      </c>
      <c r="M111" s="6">
        <v>13.972</v>
      </c>
      <c r="N111" s="6">
        <v>13.972</v>
      </c>
      <c r="O111" s="6">
        <v>13.972</v>
      </c>
      <c r="P111" s="6">
        <v>0</v>
      </c>
      <c r="Q111" s="4" t="s">
        <v>26</v>
      </c>
      <c r="R111" s="4">
        <v>0</v>
      </c>
      <c r="S111" s="6">
        <v>0</v>
      </c>
      <c r="T111" s="6">
        <v>21</v>
      </c>
      <c r="U111" s="6">
        <v>66</v>
      </c>
      <c r="V111" s="6">
        <f>IF(ISERROR(VLOOKUP($S$111,'TAR FIN'!$A$1:$O$86,15,0)),0,VLOOKUP($S$111,'TAR FIN'!$A$1:$O$86,15,0))</f>
        <v>0</v>
      </c>
      <c r="W111" s="6">
        <f>IF(ISERROR(VLOOKUP($T$111,'TAR FIN'!$A$1:$O$86,15,0)),0,VLOOKUP($T$111,'TAR FIN'!$A$1:$O$86,15,0))</f>
        <v>596.78</v>
      </c>
      <c r="X111" s="6">
        <f>IF(ISERROR(VLOOKUP($U$111,'TAR FIN'!$A$1:$O$86,15,0)),0,VLOOKUP($U$111,'TAR FIN'!$A$1:$O$86,15,0))</f>
        <v>503.82</v>
      </c>
      <c r="Y111" s="6"/>
      <c r="Z111" s="6">
        <f ca="1">('TUSD BE'!$AM$11+'TUSD BF_350'!$AM$11+'TUSD CVA'!$AM$11)*1</f>
        <v>625.67033946440574</v>
      </c>
      <c r="AA111" s="6">
        <f ca="1">('TE BE'!$AB$5+'TE BF_350'!$AB$5+'TE CVA'!$AB$5)*1</f>
        <v>398.01664046087393</v>
      </c>
      <c r="AB111" s="6">
        <f>$K$111*$V$111</f>
        <v>0</v>
      </c>
      <c r="AC111" s="6">
        <f>$M$111*$W$111</f>
        <v>8338.2101599999987</v>
      </c>
      <c r="AD111" s="6">
        <f>$O$111*$X$111</f>
        <v>7039.3730399999995</v>
      </c>
      <c r="AE111" s="6">
        <f>$K$111*$Y$111</f>
        <v>0</v>
      </c>
      <c r="AF111" s="6">
        <f ca="1">$M$111*$Z$111</f>
        <v>8741.8659829966764</v>
      </c>
      <c r="AG111" s="6">
        <f ca="1">$O$111*$AA$111</f>
        <v>5561.0885005193304</v>
      </c>
    </row>
    <row r="112" spans="1:33" ht="11.25" customHeight="1" x14ac:dyDescent="0.25">
      <c r="A112" s="4" t="s">
        <v>21</v>
      </c>
      <c r="B112" s="4" t="s">
        <v>38</v>
      </c>
      <c r="C112" s="4" t="s">
        <v>39</v>
      </c>
      <c r="D112" s="4" t="s">
        <v>40</v>
      </c>
      <c r="E112" s="4" t="s">
        <v>25</v>
      </c>
      <c r="F112" s="4" t="s">
        <v>25</v>
      </c>
      <c r="G112" s="4" t="s">
        <v>25</v>
      </c>
      <c r="H112" s="4" t="s">
        <v>33</v>
      </c>
      <c r="I112" s="5">
        <v>44593</v>
      </c>
      <c r="J112" s="6">
        <v>0</v>
      </c>
      <c r="K112" s="6">
        <v>0</v>
      </c>
      <c r="L112" s="6">
        <v>27.006</v>
      </c>
      <c r="M112" s="6">
        <v>27.006</v>
      </c>
      <c r="N112" s="6">
        <v>27.006</v>
      </c>
      <c r="O112" s="6">
        <v>27.006</v>
      </c>
      <c r="P112" s="6">
        <v>0</v>
      </c>
      <c r="Q112" s="4" t="s">
        <v>26</v>
      </c>
      <c r="R112" s="4">
        <v>0</v>
      </c>
      <c r="S112" s="6">
        <v>0</v>
      </c>
      <c r="T112" s="6">
        <v>21</v>
      </c>
      <c r="U112" s="6">
        <v>66</v>
      </c>
      <c r="V112" s="6">
        <f>IF(ISERROR(VLOOKUP($S$112,'TAR FIN'!$A$1:$O$86,15,0)),0,VLOOKUP($S$112,'TAR FIN'!$A$1:$O$86,15,0))</f>
        <v>0</v>
      </c>
      <c r="W112" s="6">
        <f>IF(ISERROR(VLOOKUP($T$112,'TAR FIN'!$A$1:$O$86,15,0)),0,VLOOKUP($T$112,'TAR FIN'!$A$1:$O$86,15,0))</f>
        <v>596.78</v>
      </c>
      <c r="X112" s="6">
        <f>IF(ISERROR(VLOOKUP($U$112,'TAR FIN'!$A$1:$O$86,15,0)),0,VLOOKUP($U$112,'TAR FIN'!$A$1:$O$86,15,0))</f>
        <v>503.82</v>
      </c>
      <c r="Y112" s="6"/>
      <c r="Z112" s="6">
        <f ca="1">('TUSD BE'!$AM$11+'TUSD BF_350'!$AM$11+'TUSD CVA'!$AM$11)*1</f>
        <v>625.67033946440574</v>
      </c>
      <c r="AA112" s="6">
        <f ca="1">('TE BE'!$AB$5+'TE BF_350'!$AB$5+'TE CVA'!$AB$5)*1</f>
        <v>398.01664046087393</v>
      </c>
      <c r="AB112" s="6">
        <f>$K$112*$V$112</f>
        <v>0</v>
      </c>
      <c r="AC112" s="6">
        <f>$M$112*$W$112</f>
        <v>16116.640679999999</v>
      </c>
      <c r="AD112" s="6">
        <f>$O$112*$X$112</f>
        <v>13606.162920000001</v>
      </c>
      <c r="AE112" s="6">
        <f>$K$112*$Y$112</f>
        <v>0</v>
      </c>
      <c r="AF112" s="6">
        <f ca="1">$M$112*$Z$112</f>
        <v>16896.85318757574</v>
      </c>
      <c r="AG112" s="6">
        <f ca="1">$O$112*$AA$112</f>
        <v>10748.837392286361</v>
      </c>
    </row>
    <row r="113" spans="1:33" ht="11.25" customHeight="1" x14ac:dyDescent="0.25">
      <c r="A113" s="4" t="s">
        <v>27</v>
      </c>
      <c r="B113" s="4" t="s">
        <v>38</v>
      </c>
      <c r="C113" s="4" t="s">
        <v>39</v>
      </c>
      <c r="D113" s="4" t="s">
        <v>40</v>
      </c>
      <c r="E113" s="4" t="s">
        <v>25</v>
      </c>
      <c r="F113" s="4" t="s">
        <v>25</v>
      </c>
      <c r="G113" s="4" t="s">
        <v>25</v>
      </c>
      <c r="H113" s="4" t="s">
        <v>33</v>
      </c>
      <c r="I113" s="5">
        <v>44593</v>
      </c>
      <c r="J113" s="6">
        <v>0</v>
      </c>
      <c r="K113" s="6">
        <v>0</v>
      </c>
      <c r="L113" s="6">
        <v>13.486000000000001</v>
      </c>
      <c r="M113" s="6">
        <v>13.486000000000001</v>
      </c>
      <c r="N113" s="6">
        <v>13.486000000000001</v>
      </c>
      <c r="O113" s="6">
        <v>13.486000000000001</v>
      </c>
      <c r="P113" s="6">
        <v>0</v>
      </c>
      <c r="Q113" s="4" t="s">
        <v>26</v>
      </c>
      <c r="R113" s="4">
        <v>0</v>
      </c>
      <c r="S113" s="6">
        <v>0</v>
      </c>
      <c r="T113" s="6">
        <v>21</v>
      </c>
      <c r="U113" s="6">
        <v>66</v>
      </c>
      <c r="V113" s="6">
        <f>IF(ISERROR(VLOOKUP($S$113,'TAR FIN'!$A$1:$O$86,15,0)),0,VLOOKUP($S$113,'TAR FIN'!$A$1:$O$86,15,0))</f>
        <v>0</v>
      </c>
      <c r="W113" s="6">
        <f>IF(ISERROR(VLOOKUP($T$113,'TAR FIN'!$A$1:$O$86,15,0)),0,VLOOKUP($T$113,'TAR FIN'!$A$1:$O$86,15,0))</f>
        <v>596.78</v>
      </c>
      <c r="X113" s="6">
        <f>IF(ISERROR(VLOOKUP($U$113,'TAR FIN'!$A$1:$O$86,15,0)),0,VLOOKUP($U$113,'TAR FIN'!$A$1:$O$86,15,0))</f>
        <v>503.82</v>
      </c>
      <c r="Y113" s="6"/>
      <c r="Z113" s="6">
        <f ca="1">('TUSD BE'!$AM$11+'TUSD BF_350'!$AM$11+'TUSD CVA'!$AM$11)*1</f>
        <v>625.67033946440574</v>
      </c>
      <c r="AA113" s="6">
        <f ca="1">('TE BE'!$AB$5+'TE BF_350'!$AB$5+'TE CVA'!$AB$5)*1</f>
        <v>398.01664046087393</v>
      </c>
      <c r="AB113" s="6">
        <f>$K$113*$V$113</f>
        <v>0</v>
      </c>
      <c r="AC113" s="6">
        <f>$M$113*$W$113</f>
        <v>8048.17508</v>
      </c>
      <c r="AD113" s="6">
        <f>$O$113*$X$113</f>
        <v>6794.5165200000001</v>
      </c>
      <c r="AE113" s="6">
        <f>$K$113*$Y$113</f>
        <v>0</v>
      </c>
      <c r="AF113" s="6">
        <f ca="1">$M$113*$Z$113</f>
        <v>8437.7901980169754</v>
      </c>
      <c r="AG113" s="6">
        <f ca="1">$O$113*$AA$113</f>
        <v>5367.6524132553459</v>
      </c>
    </row>
    <row r="114" spans="1:33" ht="11.25" customHeight="1" x14ac:dyDescent="0.25">
      <c r="A114" s="4" t="s">
        <v>21</v>
      </c>
      <c r="B114" s="4" t="s">
        <v>38</v>
      </c>
      <c r="C114" s="4" t="s">
        <v>39</v>
      </c>
      <c r="D114" s="4" t="s">
        <v>40</v>
      </c>
      <c r="E114" s="4" t="s">
        <v>25</v>
      </c>
      <c r="F114" s="4" t="s">
        <v>25</v>
      </c>
      <c r="G114" s="4" t="s">
        <v>25</v>
      </c>
      <c r="H114" s="4" t="s">
        <v>33</v>
      </c>
      <c r="I114" s="5">
        <v>44621</v>
      </c>
      <c r="J114" s="6">
        <v>0</v>
      </c>
      <c r="K114" s="6">
        <v>0</v>
      </c>
      <c r="L114" s="6">
        <v>41.917000000000002</v>
      </c>
      <c r="M114" s="6">
        <v>41.917000000000002</v>
      </c>
      <c r="N114" s="6">
        <v>41.917000000000002</v>
      </c>
      <c r="O114" s="6">
        <v>41.917000000000002</v>
      </c>
      <c r="P114" s="6">
        <v>0</v>
      </c>
      <c r="Q114" s="4" t="s">
        <v>26</v>
      </c>
      <c r="R114" s="4">
        <v>0</v>
      </c>
      <c r="S114" s="6">
        <v>0</v>
      </c>
      <c r="T114" s="6">
        <v>21</v>
      </c>
      <c r="U114" s="6">
        <v>66</v>
      </c>
      <c r="V114" s="6">
        <f>IF(ISERROR(VLOOKUP($S$114,'TAR FIN'!$A$1:$O$86,15,0)),0,VLOOKUP($S$114,'TAR FIN'!$A$1:$O$86,15,0))</f>
        <v>0</v>
      </c>
      <c r="W114" s="6">
        <f>IF(ISERROR(VLOOKUP($T$114,'TAR FIN'!$A$1:$O$86,15,0)),0,VLOOKUP($T$114,'TAR FIN'!$A$1:$O$86,15,0))</f>
        <v>596.78</v>
      </c>
      <c r="X114" s="6">
        <f>IF(ISERROR(VLOOKUP($U$114,'TAR FIN'!$A$1:$O$86,15,0)),0,VLOOKUP($U$114,'TAR FIN'!$A$1:$O$86,15,0))</f>
        <v>503.82</v>
      </c>
      <c r="Y114" s="6"/>
      <c r="Z114" s="6">
        <f ca="1">('TUSD BE'!$AM$11+'TUSD BF_350'!$AM$11+'TUSD CVA'!$AM$11)*1</f>
        <v>625.67033946440574</v>
      </c>
      <c r="AA114" s="6">
        <f ca="1">('TE BE'!$AB$5+'TE BF_350'!$AB$5+'TE CVA'!$AB$5)*1</f>
        <v>398.01664046087393</v>
      </c>
      <c r="AB114" s="6">
        <f>$K$114*$V$114</f>
        <v>0</v>
      </c>
      <c r="AC114" s="6">
        <f>$M$114*$W$114</f>
        <v>25015.22726</v>
      </c>
      <c r="AD114" s="6">
        <f>$O$114*$X$114</f>
        <v>21118.622940000001</v>
      </c>
      <c r="AE114" s="6">
        <f>$K$114*$Y$114</f>
        <v>0</v>
      </c>
      <c r="AF114" s="6">
        <f ca="1">$M$114*$Z$114</f>
        <v>26226.223619329496</v>
      </c>
      <c r="AG114" s="6">
        <f ca="1">$O$114*$AA$114</f>
        <v>16683.663518198453</v>
      </c>
    </row>
    <row r="115" spans="1:33" ht="11.25" customHeight="1" x14ac:dyDescent="0.25">
      <c r="A115" s="4" t="s">
        <v>27</v>
      </c>
      <c r="B115" s="4" t="s">
        <v>38</v>
      </c>
      <c r="C115" s="4" t="s">
        <v>39</v>
      </c>
      <c r="D115" s="4" t="s">
        <v>40</v>
      </c>
      <c r="E115" s="4" t="s">
        <v>25</v>
      </c>
      <c r="F115" s="4" t="s">
        <v>25</v>
      </c>
      <c r="G115" s="4" t="s">
        <v>25</v>
      </c>
      <c r="H115" s="4" t="s">
        <v>33</v>
      </c>
      <c r="I115" s="5">
        <v>44621</v>
      </c>
      <c r="J115" s="6">
        <v>0</v>
      </c>
      <c r="K115" s="6">
        <v>0</v>
      </c>
      <c r="L115" s="6">
        <v>6.4909999999999997</v>
      </c>
      <c r="M115" s="6">
        <v>6.4909999999999997</v>
      </c>
      <c r="N115" s="6">
        <v>6.4909999999999997</v>
      </c>
      <c r="O115" s="6">
        <v>6.4909999999999997</v>
      </c>
      <c r="P115" s="6">
        <v>0</v>
      </c>
      <c r="Q115" s="4" t="s">
        <v>26</v>
      </c>
      <c r="R115" s="4">
        <v>0</v>
      </c>
      <c r="S115" s="6">
        <v>0</v>
      </c>
      <c r="T115" s="6">
        <v>21</v>
      </c>
      <c r="U115" s="6">
        <v>66</v>
      </c>
      <c r="V115" s="6">
        <f>IF(ISERROR(VLOOKUP($S$115,'TAR FIN'!$A$1:$O$86,15,0)),0,VLOOKUP($S$115,'TAR FIN'!$A$1:$O$86,15,0))</f>
        <v>0</v>
      </c>
      <c r="W115" s="6">
        <f>IF(ISERROR(VLOOKUP($T$115,'TAR FIN'!$A$1:$O$86,15,0)),0,VLOOKUP($T$115,'TAR FIN'!$A$1:$O$86,15,0))</f>
        <v>596.78</v>
      </c>
      <c r="X115" s="6">
        <f>IF(ISERROR(VLOOKUP($U$115,'TAR FIN'!$A$1:$O$86,15,0)),0,VLOOKUP($U$115,'TAR FIN'!$A$1:$O$86,15,0))</f>
        <v>503.82</v>
      </c>
      <c r="Y115" s="6"/>
      <c r="Z115" s="6">
        <f ca="1">('TUSD BE'!$AM$11+'TUSD BF_350'!$AM$11+'TUSD CVA'!$AM$11)*1</f>
        <v>625.67033946440574</v>
      </c>
      <c r="AA115" s="6">
        <f ca="1">('TE BE'!$AB$5+'TE BF_350'!$AB$5+'TE CVA'!$AB$5)*1</f>
        <v>398.01664046087393</v>
      </c>
      <c r="AB115" s="6">
        <f>$K$115*$V$115</f>
        <v>0</v>
      </c>
      <c r="AC115" s="6">
        <f>$M$115*$W$115</f>
        <v>3873.6989799999997</v>
      </c>
      <c r="AD115" s="6">
        <f>$O$115*$X$115</f>
        <v>3270.2956199999999</v>
      </c>
      <c r="AE115" s="6">
        <f>$K$115*$Y$115</f>
        <v>0</v>
      </c>
      <c r="AF115" s="6">
        <f ca="1">$M$115*$Z$115</f>
        <v>4061.2261734634576</v>
      </c>
      <c r="AG115" s="6">
        <f ca="1">$O$115*$AA$115</f>
        <v>2583.5260132315325</v>
      </c>
    </row>
    <row r="116" spans="1:33" ht="11.25" customHeight="1" x14ac:dyDescent="0.25">
      <c r="A116" s="4" t="s">
        <v>21</v>
      </c>
      <c r="B116" s="4" t="s">
        <v>38</v>
      </c>
      <c r="C116" s="4" t="s">
        <v>39</v>
      </c>
      <c r="D116" s="4" t="s">
        <v>40</v>
      </c>
      <c r="E116" s="4" t="s">
        <v>25</v>
      </c>
      <c r="F116" s="4" t="s">
        <v>25</v>
      </c>
      <c r="G116" s="4" t="s">
        <v>25</v>
      </c>
      <c r="H116" s="4" t="s">
        <v>33</v>
      </c>
      <c r="I116" s="5">
        <v>44652</v>
      </c>
      <c r="J116" s="6">
        <v>0</v>
      </c>
      <c r="K116" s="6">
        <v>0</v>
      </c>
      <c r="L116" s="6">
        <v>11.417</v>
      </c>
      <c r="M116" s="6">
        <v>11.417</v>
      </c>
      <c r="N116" s="6">
        <v>11.417</v>
      </c>
      <c r="O116" s="6">
        <v>11.417</v>
      </c>
      <c r="P116" s="6">
        <v>0</v>
      </c>
      <c r="Q116" s="4" t="s">
        <v>26</v>
      </c>
      <c r="R116" s="4">
        <v>0</v>
      </c>
      <c r="S116" s="6">
        <v>0</v>
      </c>
      <c r="T116" s="6">
        <v>21</v>
      </c>
      <c r="U116" s="6">
        <v>66</v>
      </c>
      <c r="V116" s="6">
        <f>IF(ISERROR(VLOOKUP($S$116,'TAR FIN'!$A$1:$O$86,15,0)),0,VLOOKUP($S$116,'TAR FIN'!$A$1:$O$86,15,0))</f>
        <v>0</v>
      </c>
      <c r="W116" s="6">
        <f>IF(ISERROR(VLOOKUP($T$116,'TAR FIN'!$A$1:$O$86,15,0)),0,VLOOKUP($T$116,'TAR FIN'!$A$1:$O$86,15,0))</f>
        <v>596.78</v>
      </c>
      <c r="X116" s="6">
        <f>IF(ISERROR(VLOOKUP($U$116,'TAR FIN'!$A$1:$O$86,15,0)),0,VLOOKUP($U$116,'TAR FIN'!$A$1:$O$86,15,0))</f>
        <v>503.82</v>
      </c>
      <c r="Y116" s="6"/>
      <c r="Z116" s="6">
        <f ca="1">('TUSD BE'!$AM$11+'TUSD BF_350'!$AM$11+'TUSD CVA'!$AM$11)*1</f>
        <v>625.67033946440574</v>
      </c>
      <c r="AA116" s="6">
        <f ca="1">('TE BE'!$AB$5+'TE BF_350'!$AB$5+'TE CVA'!$AB$5)*1</f>
        <v>398.01664046087393</v>
      </c>
      <c r="AB116" s="6">
        <f>$K$116*$V$116</f>
        <v>0</v>
      </c>
      <c r="AC116" s="6">
        <f>$M$116*$W$116</f>
        <v>6813.4372599999997</v>
      </c>
      <c r="AD116" s="6">
        <f>$O$116*$X$116</f>
        <v>5752.11294</v>
      </c>
      <c r="AE116" s="6">
        <f>$K$116*$Y$116</f>
        <v>0</v>
      </c>
      <c r="AF116" s="6">
        <f ca="1">$M$116*$Z$116</f>
        <v>7143.2782656651207</v>
      </c>
      <c r="AG116" s="6">
        <f ca="1">$O$116*$AA$116</f>
        <v>4544.1559841417975</v>
      </c>
    </row>
    <row r="117" spans="1:33" ht="11.25" customHeight="1" x14ac:dyDescent="0.25">
      <c r="A117" s="4" t="s">
        <v>27</v>
      </c>
      <c r="B117" s="4" t="s">
        <v>38</v>
      </c>
      <c r="C117" s="4" t="s">
        <v>39</v>
      </c>
      <c r="D117" s="4" t="s">
        <v>40</v>
      </c>
      <c r="E117" s="4" t="s">
        <v>25</v>
      </c>
      <c r="F117" s="4" t="s">
        <v>25</v>
      </c>
      <c r="G117" s="4" t="s">
        <v>25</v>
      </c>
      <c r="H117" s="4" t="s">
        <v>33</v>
      </c>
      <c r="I117" s="5">
        <v>44652</v>
      </c>
      <c r="J117" s="6">
        <v>0</v>
      </c>
      <c r="K117" s="6">
        <v>0</v>
      </c>
      <c r="L117" s="6">
        <v>9.8030000000000008</v>
      </c>
      <c r="M117" s="6">
        <v>9.8030000000000008</v>
      </c>
      <c r="N117" s="6">
        <v>9.8030000000000008</v>
      </c>
      <c r="O117" s="6">
        <v>9.8030000000000008</v>
      </c>
      <c r="P117" s="6">
        <v>0</v>
      </c>
      <c r="Q117" s="4" t="s">
        <v>26</v>
      </c>
      <c r="R117" s="4">
        <v>0</v>
      </c>
      <c r="S117" s="6">
        <v>0</v>
      </c>
      <c r="T117" s="6">
        <v>21</v>
      </c>
      <c r="U117" s="6">
        <v>66</v>
      </c>
      <c r="V117" s="6">
        <f>IF(ISERROR(VLOOKUP($S$117,'TAR FIN'!$A$1:$O$86,15,0)),0,VLOOKUP($S$117,'TAR FIN'!$A$1:$O$86,15,0))</f>
        <v>0</v>
      </c>
      <c r="W117" s="6">
        <f>IF(ISERROR(VLOOKUP($T$117,'TAR FIN'!$A$1:$O$86,15,0)),0,VLOOKUP($T$117,'TAR FIN'!$A$1:$O$86,15,0))</f>
        <v>596.78</v>
      </c>
      <c r="X117" s="6">
        <f>IF(ISERROR(VLOOKUP($U$117,'TAR FIN'!$A$1:$O$86,15,0)),0,VLOOKUP($U$117,'TAR FIN'!$A$1:$O$86,15,0))</f>
        <v>503.82</v>
      </c>
      <c r="Y117" s="6"/>
      <c r="Z117" s="6">
        <f ca="1">('TUSD BE'!$AM$11+'TUSD BF_350'!$AM$11+'TUSD CVA'!$AM$11)*1</f>
        <v>625.67033946440574</v>
      </c>
      <c r="AA117" s="6">
        <f ca="1">('TE BE'!$AB$5+'TE BF_350'!$AB$5+'TE CVA'!$AB$5)*1</f>
        <v>398.01664046087393</v>
      </c>
      <c r="AB117" s="6">
        <f>$K$117*$V$117</f>
        <v>0</v>
      </c>
      <c r="AC117" s="6">
        <f>$M$117*$W$117</f>
        <v>5850.23434</v>
      </c>
      <c r="AD117" s="6">
        <f>$O$117*$X$117</f>
        <v>4938.9474600000003</v>
      </c>
      <c r="AE117" s="6">
        <f>$K$117*$Y$117</f>
        <v>0</v>
      </c>
      <c r="AF117" s="6">
        <f ca="1">$M$117*$Z$117</f>
        <v>6133.4463377695702</v>
      </c>
      <c r="AG117" s="6">
        <f ca="1">$O$117*$AA$117</f>
        <v>3901.7571264379476</v>
      </c>
    </row>
    <row r="118" spans="1:33" ht="11.25" customHeight="1" x14ac:dyDescent="0.25">
      <c r="A118" s="4" t="s">
        <v>21</v>
      </c>
      <c r="B118" s="4" t="s">
        <v>38</v>
      </c>
      <c r="C118" s="4" t="s">
        <v>39</v>
      </c>
      <c r="D118" s="4" t="s">
        <v>40</v>
      </c>
      <c r="E118" s="4" t="s">
        <v>25</v>
      </c>
      <c r="F118" s="4" t="s">
        <v>25</v>
      </c>
      <c r="G118" s="4" t="s">
        <v>25</v>
      </c>
      <c r="H118" s="4" t="s">
        <v>33</v>
      </c>
      <c r="I118" s="5">
        <v>44682</v>
      </c>
      <c r="J118" s="6">
        <v>0</v>
      </c>
      <c r="K118" s="6">
        <v>0</v>
      </c>
      <c r="L118" s="6">
        <v>13.666</v>
      </c>
      <c r="M118" s="6">
        <v>13.666</v>
      </c>
      <c r="N118" s="6">
        <v>13.666</v>
      </c>
      <c r="O118" s="6">
        <v>13.666</v>
      </c>
      <c r="P118" s="6">
        <v>0</v>
      </c>
      <c r="Q118" s="4" t="s">
        <v>26</v>
      </c>
      <c r="R118" s="4">
        <v>0</v>
      </c>
      <c r="S118" s="6">
        <v>0</v>
      </c>
      <c r="T118" s="6">
        <v>21</v>
      </c>
      <c r="U118" s="6">
        <v>66</v>
      </c>
      <c r="V118" s="6">
        <f>IF(ISERROR(VLOOKUP($S$118,'TAR FIN'!$A$1:$O$86,15,0)),0,VLOOKUP($S$118,'TAR FIN'!$A$1:$O$86,15,0))</f>
        <v>0</v>
      </c>
      <c r="W118" s="6">
        <f>IF(ISERROR(VLOOKUP($T$118,'TAR FIN'!$A$1:$O$86,15,0)),0,VLOOKUP($T$118,'TAR FIN'!$A$1:$O$86,15,0))</f>
        <v>596.78</v>
      </c>
      <c r="X118" s="6">
        <f>IF(ISERROR(VLOOKUP($U$118,'TAR FIN'!$A$1:$O$86,15,0)),0,VLOOKUP($U$118,'TAR FIN'!$A$1:$O$86,15,0))</f>
        <v>503.82</v>
      </c>
      <c r="Y118" s="6"/>
      <c r="Z118" s="6">
        <f ca="1">('TUSD BE'!$AM$11+'TUSD BF_350'!$AM$11+'TUSD CVA'!$AM$11)*1</f>
        <v>625.67033946440574</v>
      </c>
      <c r="AA118" s="6">
        <f ca="1">('TE BE'!$AB$5+'TE BF_350'!$AB$5+'TE CVA'!$AB$5)*1</f>
        <v>398.01664046087393</v>
      </c>
      <c r="AB118" s="6">
        <f>$K$118*$V$118</f>
        <v>0</v>
      </c>
      <c r="AC118" s="6">
        <f>$M$118*$W$118</f>
        <v>8155.59548</v>
      </c>
      <c r="AD118" s="6">
        <f>$O$118*$X$118</f>
        <v>6885.2041200000003</v>
      </c>
      <c r="AE118" s="6">
        <f>$K$118*$Y$118</f>
        <v>0</v>
      </c>
      <c r="AF118" s="6">
        <f ca="1">$M$118*$Z$118</f>
        <v>8550.4108591205695</v>
      </c>
      <c r="AG118" s="6">
        <f ca="1">$O$118*$AA$118</f>
        <v>5439.2954085383035</v>
      </c>
    </row>
    <row r="119" spans="1:33" ht="11.25" customHeight="1" x14ac:dyDescent="0.25">
      <c r="A119" s="4" t="s">
        <v>27</v>
      </c>
      <c r="B119" s="4" t="s">
        <v>38</v>
      </c>
      <c r="C119" s="4" t="s">
        <v>39</v>
      </c>
      <c r="D119" s="4" t="s">
        <v>40</v>
      </c>
      <c r="E119" s="4" t="s">
        <v>25</v>
      </c>
      <c r="F119" s="4" t="s">
        <v>25</v>
      </c>
      <c r="G119" s="4" t="s">
        <v>25</v>
      </c>
      <c r="H119" s="4" t="s">
        <v>33</v>
      </c>
      <c r="I119" s="5">
        <v>44682</v>
      </c>
      <c r="J119" s="6">
        <v>0</v>
      </c>
      <c r="K119" s="6">
        <v>0</v>
      </c>
      <c r="L119" s="6">
        <v>5.7249999999999996</v>
      </c>
      <c r="M119" s="6">
        <v>5.7249999999999996</v>
      </c>
      <c r="N119" s="6">
        <v>5.7249999999999996</v>
      </c>
      <c r="O119" s="6">
        <v>5.7249999999999996</v>
      </c>
      <c r="P119" s="6">
        <v>0</v>
      </c>
      <c r="Q119" s="4" t="s">
        <v>26</v>
      </c>
      <c r="R119" s="4">
        <v>0</v>
      </c>
      <c r="S119" s="6">
        <v>0</v>
      </c>
      <c r="T119" s="6">
        <v>21</v>
      </c>
      <c r="U119" s="6">
        <v>66</v>
      </c>
      <c r="V119" s="6">
        <f>IF(ISERROR(VLOOKUP($S$119,'TAR FIN'!$A$1:$O$86,15,0)),0,VLOOKUP($S$119,'TAR FIN'!$A$1:$O$86,15,0))</f>
        <v>0</v>
      </c>
      <c r="W119" s="6">
        <f>IF(ISERROR(VLOOKUP($T$119,'TAR FIN'!$A$1:$O$86,15,0)),0,VLOOKUP($T$119,'TAR FIN'!$A$1:$O$86,15,0))</f>
        <v>596.78</v>
      </c>
      <c r="X119" s="6">
        <f>IF(ISERROR(VLOOKUP($U$119,'TAR FIN'!$A$1:$O$86,15,0)),0,VLOOKUP($U$119,'TAR FIN'!$A$1:$O$86,15,0))</f>
        <v>503.82</v>
      </c>
      <c r="Y119" s="6"/>
      <c r="Z119" s="6">
        <f ca="1">('TUSD BE'!$AM$11+'TUSD BF_350'!$AM$11+'TUSD CVA'!$AM$11)*1</f>
        <v>625.67033946440574</v>
      </c>
      <c r="AA119" s="6">
        <f ca="1">('TE BE'!$AB$5+'TE BF_350'!$AB$5+'TE CVA'!$AB$5)*1</f>
        <v>398.01664046087393</v>
      </c>
      <c r="AB119" s="6">
        <f>$K$119*$V$119</f>
        <v>0</v>
      </c>
      <c r="AC119" s="6">
        <f>$M$119*$W$119</f>
        <v>3416.5654999999997</v>
      </c>
      <c r="AD119" s="6">
        <f>$O$119*$X$119</f>
        <v>2884.3694999999998</v>
      </c>
      <c r="AE119" s="6">
        <f>$K$119*$Y$119</f>
        <v>0</v>
      </c>
      <c r="AF119" s="6">
        <f ca="1">$M$119*$Z$119</f>
        <v>3581.9626934337225</v>
      </c>
      <c r="AG119" s="6">
        <f ca="1">$O$119*$AA$119</f>
        <v>2278.645266638503</v>
      </c>
    </row>
    <row r="120" spans="1:33" ht="11.25" customHeight="1" x14ac:dyDescent="0.25">
      <c r="A120" s="4" t="s">
        <v>55</v>
      </c>
      <c r="B120" s="4" t="s">
        <v>38</v>
      </c>
      <c r="C120" s="4" t="s">
        <v>39</v>
      </c>
      <c r="D120" s="4" t="s">
        <v>40</v>
      </c>
      <c r="E120" s="4" t="s">
        <v>25</v>
      </c>
      <c r="F120" s="4" t="s">
        <v>25</v>
      </c>
      <c r="G120" s="4" t="s">
        <v>25</v>
      </c>
      <c r="H120" s="4" t="s">
        <v>33</v>
      </c>
      <c r="I120" s="5">
        <v>44713</v>
      </c>
      <c r="J120" s="6">
        <v>0</v>
      </c>
      <c r="K120" s="6">
        <v>0</v>
      </c>
      <c r="L120" s="6">
        <v>13.666</v>
      </c>
      <c r="M120" s="6">
        <v>13.666</v>
      </c>
      <c r="N120" s="6">
        <v>13.666</v>
      </c>
      <c r="O120" s="6">
        <v>13.666</v>
      </c>
      <c r="P120" s="6">
        <v>0</v>
      </c>
      <c r="Q120" s="4" t="s">
        <v>26</v>
      </c>
      <c r="R120" s="4">
        <v>0</v>
      </c>
      <c r="S120" s="6">
        <v>0</v>
      </c>
      <c r="T120" s="6">
        <v>21</v>
      </c>
      <c r="U120" s="6">
        <v>66</v>
      </c>
      <c r="V120" s="6">
        <f>IF(ISERROR(VLOOKUP($S$120,'TAR FIN'!$A$1:$O$86,15,0)),0,VLOOKUP($S$120,'TAR FIN'!$A$1:$O$86,15,0))</f>
        <v>0</v>
      </c>
      <c r="W120" s="6">
        <f>IF(ISERROR(VLOOKUP($T$120,'TAR FIN'!$A$1:$O$86,15,0)),0,VLOOKUP($T$120,'TAR FIN'!$A$1:$O$86,15,0))</f>
        <v>596.78</v>
      </c>
      <c r="X120" s="6">
        <f>IF(ISERROR(VLOOKUP($U$120,'TAR FIN'!$A$1:$O$86,15,0)),0,VLOOKUP($U$120,'TAR FIN'!$A$1:$O$86,15,0))</f>
        <v>503.82</v>
      </c>
      <c r="Y120" s="6"/>
      <c r="Z120" s="6">
        <f ca="1">('TUSD BE'!$AM$11+'TUSD BF_350'!$AM$11+'TUSD CVA'!$AM$11)*1</f>
        <v>625.67033946440574</v>
      </c>
      <c r="AA120" s="6">
        <f ca="1">('TE BE'!$AB$5+'TE BF_350'!$AB$5+'TE CVA'!$AB$5)*1</f>
        <v>398.01664046087393</v>
      </c>
      <c r="AB120" s="6">
        <f>$K$120*$V$120</f>
        <v>0</v>
      </c>
      <c r="AC120" s="6">
        <f>$M$120*$W$120</f>
        <v>8155.59548</v>
      </c>
      <c r="AD120" s="6">
        <f>$O$120*$X$120</f>
        <v>6885.2041200000003</v>
      </c>
      <c r="AE120" s="6">
        <f>$K$120*$Y$120</f>
        <v>0</v>
      </c>
      <c r="AF120" s="6">
        <f ca="1">$M$120*$Z$120</f>
        <v>8550.4108591205695</v>
      </c>
      <c r="AG120" s="6">
        <f ca="1">$O$120*$AA$120</f>
        <v>5439.2954085383035</v>
      </c>
    </row>
    <row r="121" spans="1:33" ht="11.25" customHeight="1" x14ac:dyDescent="0.25">
      <c r="A121" s="4" t="s">
        <v>55</v>
      </c>
      <c r="B121" s="4" t="s">
        <v>38</v>
      </c>
      <c r="C121" s="4" t="s">
        <v>39</v>
      </c>
      <c r="D121" s="4" t="s">
        <v>40</v>
      </c>
      <c r="E121" s="4" t="s">
        <v>25</v>
      </c>
      <c r="F121" s="4" t="s">
        <v>25</v>
      </c>
      <c r="G121" s="4" t="s">
        <v>25</v>
      </c>
      <c r="H121" s="4" t="s">
        <v>33</v>
      </c>
      <c r="I121" s="5">
        <v>44713</v>
      </c>
      <c r="J121" s="6">
        <v>0</v>
      </c>
      <c r="K121" s="6">
        <v>0</v>
      </c>
      <c r="L121" s="6">
        <v>5.7249999999999996</v>
      </c>
      <c r="M121" s="6">
        <v>5.7249999999999996</v>
      </c>
      <c r="N121" s="6">
        <v>5.7249999999999996</v>
      </c>
      <c r="O121" s="6">
        <v>5.7249999999999996</v>
      </c>
      <c r="P121" s="6">
        <v>0</v>
      </c>
      <c r="Q121" s="4" t="s">
        <v>26</v>
      </c>
      <c r="R121" s="4">
        <v>0</v>
      </c>
      <c r="S121" s="6">
        <v>0</v>
      </c>
      <c r="T121" s="6">
        <v>21</v>
      </c>
      <c r="U121" s="6">
        <v>66</v>
      </c>
      <c r="V121" s="6">
        <f>IF(ISERROR(VLOOKUP($S$121,'TAR FIN'!$A$1:$O$86,15,0)),0,VLOOKUP($S$121,'TAR FIN'!$A$1:$O$86,15,0))</f>
        <v>0</v>
      </c>
      <c r="W121" s="6">
        <f>IF(ISERROR(VLOOKUP($T$121,'TAR FIN'!$A$1:$O$86,15,0)),0,VLOOKUP($T$121,'TAR FIN'!$A$1:$O$86,15,0))</f>
        <v>596.78</v>
      </c>
      <c r="X121" s="6">
        <f>IF(ISERROR(VLOOKUP($U$121,'TAR FIN'!$A$1:$O$86,15,0)),0,VLOOKUP($U$121,'TAR FIN'!$A$1:$O$86,15,0))</f>
        <v>503.82</v>
      </c>
      <c r="Y121" s="6"/>
      <c r="Z121" s="6">
        <f ca="1">('TUSD BE'!$AM$11+'TUSD BF_350'!$AM$11+'TUSD CVA'!$AM$11)*1</f>
        <v>625.67033946440574</v>
      </c>
      <c r="AA121" s="6">
        <f ca="1">('TE BE'!$AB$5+'TE BF_350'!$AB$5+'TE CVA'!$AB$5)*1</f>
        <v>398.01664046087393</v>
      </c>
      <c r="AB121" s="6">
        <f>$K$121*$V$121</f>
        <v>0</v>
      </c>
      <c r="AC121" s="6">
        <f>$M$121*$W$121</f>
        <v>3416.5654999999997</v>
      </c>
      <c r="AD121" s="6">
        <f>$O$121*$X$121</f>
        <v>2884.3694999999998</v>
      </c>
      <c r="AE121" s="6">
        <f>$K$121*$Y$121</f>
        <v>0</v>
      </c>
      <c r="AF121" s="6">
        <f ca="1">$M$121*$Z$121</f>
        <v>3581.9626934337225</v>
      </c>
      <c r="AG121" s="6">
        <f ca="1">$O$121*$AA$121</f>
        <v>2278.645266638503</v>
      </c>
    </row>
    <row r="122" spans="1:33" ht="11.25" customHeight="1" x14ac:dyDescent="0.25">
      <c r="A122" s="4" t="s">
        <v>21</v>
      </c>
      <c r="B122" s="4" t="s">
        <v>38</v>
      </c>
      <c r="C122" s="4" t="s">
        <v>39</v>
      </c>
      <c r="D122" s="4" t="s">
        <v>37</v>
      </c>
      <c r="E122" s="4" t="s">
        <v>25</v>
      </c>
      <c r="F122" s="4" t="s">
        <v>56</v>
      </c>
      <c r="G122" s="4" t="s">
        <v>25</v>
      </c>
      <c r="H122" s="4" t="s">
        <v>34</v>
      </c>
      <c r="I122" s="5">
        <v>44378</v>
      </c>
      <c r="J122" s="6">
        <v>0</v>
      </c>
      <c r="K122" s="6">
        <v>0</v>
      </c>
      <c r="L122" s="6">
        <v>3583.413</v>
      </c>
      <c r="M122" s="6">
        <v>3583.413</v>
      </c>
      <c r="N122" s="6">
        <v>0</v>
      </c>
      <c r="O122" s="6">
        <v>0</v>
      </c>
      <c r="P122" s="6">
        <v>0</v>
      </c>
      <c r="Q122" s="4" t="s">
        <v>57</v>
      </c>
      <c r="R122" s="4">
        <v>0</v>
      </c>
      <c r="S122" s="6">
        <v>0</v>
      </c>
      <c r="T122" s="6">
        <v>17</v>
      </c>
      <c r="U122" s="6">
        <v>0</v>
      </c>
      <c r="V122" s="6">
        <f>IF(ISERROR(VLOOKUP($S$122,'TAR FIN'!$A$1:$O$86,15,0)),0,VLOOKUP($S$122,'TAR FIN'!$A$1:$O$86,15,0))</f>
        <v>0</v>
      </c>
      <c r="W122" s="6">
        <f>IF(ISERROR(VLOOKUP($T$122,'TAR FIN'!$A$1:$O$86,15,0)),0,VLOOKUP($T$122,'TAR FIN'!$A$1:$O$86,15,0))</f>
        <v>71.260000000000005</v>
      </c>
      <c r="X122" s="6">
        <f>IF(ISERROR(VLOOKUP($U$122,'TAR FIN'!$A$1:$O$86,15,0)),0,VLOOKUP($U$122,'TAR FIN'!$A$1:$O$86,15,0))</f>
        <v>0</v>
      </c>
      <c r="Y122" s="6"/>
      <c r="Z122" s="6">
        <f ca="1">('TUSD BE'!$AM$12+'TUSD BF_350'!$AM$12+'TUSD CVA'!$AM$12)*1</f>
        <v>95.815448102611441</v>
      </c>
      <c r="AA122" s="6"/>
      <c r="AB122" s="6">
        <f>$K$122*$V$122</f>
        <v>0</v>
      </c>
      <c r="AC122" s="6">
        <f>$M$122*$W$122</f>
        <v>255354.01038000002</v>
      </c>
      <c r="AD122" s="6">
        <f>$O$122*$X$122</f>
        <v>0</v>
      </c>
      <c r="AE122" s="6">
        <f>$K$122*$Y$122</f>
        <v>0</v>
      </c>
      <c r="AF122" s="6">
        <f ca="1">$M$122*$Z$122</f>
        <v>343346.32233172318</v>
      </c>
      <c r="AG122" s="6">
        <f>$O$122*$AA$122</f>
        <v>0</v>
      </c>
    </row>
    <row r="123" spans="1:33" ht="11.25" customHeight="1" x14ac:dyDescent="0.25">
      <c r="A123" s="4" t="s">
        <v>21</v>
      </c>
      <c r="B123" s="4" t="s">
        <v>38</v>
      </c>
      <c r="C123" s="4" t="s">
        <v>39</v>
      </c>
      <c r="D123" s="4" t="s">
        <v>37</v>
      </c>
      <c r="E123" s="4" t="s">
        <v>25</v>
      </c>
      <c r="F123" s="4" t="s">
        <v>56</v>
      </c>
      <c r="G123" s="4" t="s">
        <v>25</v>
      </c>
      <c r="H123" s="4" t="s">
        <v>34</v>
      </c>
      <c r="I123" s="5">
        <v>44409</v>
      </c>
      <c r="J123" s="6">
        <v>0</v>
      </c>
      <c r="K123" s="6">
        <v>0</v>
      </c>
      <c r="L123" s="6">
        <v>3805.9349999999999</v>
      </c>
      <c r="M123" s="6">
        <v>3805.9349999999999</v>
      </c>
      <c r="N123" s="6">
        <v>0</v>
      </c>
      <c r="O123" s="6">
        <v>0</v>
      </c>
      <c r="P123" s="6">
        <v>0</v>
      </c>
      <c r="Q123" s="4" t="s">
        <v>57</v>
      </c>
      <c r="R123" s="4">
        <v>0</v>
      </c>
      <c r="S123" s="6">
        <v>0</v>
      </c>
      <c r="T123" s="6">
        <v>17</v>
      </c>
      <c r="U123" s="6">
        <v>0</v>
      </c>
      <c r="V123" s="6">
        <f>IF(ISERROR(VLOOKUP($S$123,'TAR FIN'!$A$1:$O$86,15,0)),0,VLOOKUP($S$123,'TAR FIN'!$A$1:$O$86,15,0))</f>
        <v>0</v>
      </c>
      <c r="W123" s="6">
        <f>IF(ISERROR(VLOOKUP($T$123,'TAR FIN'!$A$1:$O$86,15,0)),0,VLOOKUP($T$123,'TAR FIN'!$A$1:$O$86,15,0))</f>
        <v>71.260000000000005</v>
      </c>
      <c r="X123" s="6">
        <f>IF(ISERROR(VLOOKUP($U$123,'TAR FIN'!$A$1:$O$86,15,0)),0,VLOOKUP($U$123,'TAR FIN'!$A$1:$O$86,15,0))</f>
        <v>0</v>
      </c>
      <c r="Y123" s="6"/>
      <c r="Z123" s="6">
        <f ca="1">('TUSD BE'!$AM$12+'TUSD BF_350'!$AM$12+'TUSD CVA'!$AM$12)*1</f>
        <v>95.815448102611441</v>
      </c>
      <c r="AA123" s="6"/>
      <c r="AB123" s="6">
        <f>$K$123*$V$123</f>
        <v>0</v>
      </c>
      <c r="AC123" s="6">
        <f>$M$123*$W$123</f>
        <v>271210.92810000002</v>
      </c>
      <c r="AD123" s="6">
        <f>$O$123*$X$123</f>
        <v>0</v>
      </c>
      <c r="AE123" s="6">
        <f>$K$123*$Y$123</f>
        <v>0</v>
      </c>
      <c r="AF123" s="6">
        <f ca="1">$M$123*$Z$123</f>
        <v>364667.36747441249</v>
      </c>
      <c r="AG123" s="6">
        <f>$O$123*$AA$123</f>
        <v>0</v>
      </c>
    </row>
    <row r="124" spans="1:33" ht="11.25" customHeight="1" x14ac:dyDescent="0.25">
      <c r="A124" s="4" t="s">
        <v>21</v>
      </c>
      <c r="B124" s="4" t="s">
        <v>38</v>
      </c>
      <c r="C124" s="4" t="s">
        <v>39</v>
      </c>
      <c r="D124" s="4" t="s">
        <v>37</v>
      </c>
      <c r="E124" s="4" t="s">
        <v>25</v>
      </c>
      <c r="F124" s="4" t="s">
        <v>56</v>
      </c>
      <c r="G124" s="4" t="s">
        <v>25</v>
      </c>
      <c r="H124" s="4" t="s">
        <v>34</v>
      </c>
      <c r="I124" s="5">
        <v>44440</v>
      </c>
      <c r="J124" s="6">
        <v>0</v>
      </c>
      <c r="K124" s="6">
        <v>0</v>
      </c>
      <c r="L124" s="6">
        <v>3521.2339999999999</v>
      </c>
      <c r="M124" s="6">
        <v>3521.2339999999999</v>
      </c>
      <c r="N124" s="6">
        <v>0</v>
      </c>
      <c r="O124" s="6">
        <v>0</v>
      </c>
      <c r="P124" s="6">
        <v>0</v>
      </c>
      <c r="Q124" s="4" t="s">
        <v>57</v>
      </c>
      <c r="R124" s="4">
        <v>0</v>
      </c>
      <c r="S124" s="6">
        <v>0</v>
      </c>
      <c r="T124" s="6">
        <v>17</v>
      </c>
      <c r="U124" s="6">
        <v>0</v>
      </c>
      <c r="V124" s="6">
        <f>IF(ISERROR(VLOOKUP($S$124,'TAR FIN'!$A$1:$O$86,15,0)),0,VLOOKUP($S$124,'TAR FIN'!$A$1:$O$86,15,0))</f>
        <v>0</v>
      </c>
      <c r="W124" s="6">
        <f>IF(ISERROR(VLOOKUP($T$124,'TAR FIN'!$A$1:$O$86,15,0)),0,VLOOKUP($T$124,'TAR FIN'!$A$1:$O$86,15,0))</f>
        <v>71.260000000000005</v>
      </c>
      <c r="X124" s="6">
        <f>IF(ISERROR(VLOOKUP($U$124,'TAR FIN'!$A$1:$O$86,15,0)),0,VLOOKUP($U$124,'TAR FIN'!$A$1:$O$86,15,0))</f>
        <v>0</v>
      </c>
      <c r="Y124" s="6"/>
      <c r="Z124" s="6">
        <f ca="1">('TUSD BE'!$AM$12+'TUSD BF_350'!$AM$12+'TUSD CVA'!$AM$12)*1</f>
        <v>95.815448102611441</v>
      </c>
      <c r="AA124" s="6"/>
      <c r="AB124" s="6">
        <f>$K$124*$V$124</f>
        <v>0</v>
      </c>
      <c r="AC124" s="6">
        <f>$M$124*$W$124</f>
        <v>250923.13484000001</v>
      </c>
      <c r="AD124" s="6">
        <f>$O$124*$X$124</f>
        <v>0</v>
      </c>
      <c r="AE124" s="6">
        <f>$K$124*$Y$124</f>
        <v>0</v>
      </c>
      <c r="AF124" s="6">
        <f ca="1">$M$124*$Z$124</f>
        <v>337388.61358415091</v>
      </c>
      <c r="AG124" s="6">
        <f>$O$124*$AA$124</f>
        <v>0</v>
      </c>
    </row>
    <row r="125" spans="1:33" ht="11.25" customHeight="1" x14ac:dyDescent="0.25">
      <c r="A125" s="4" t="s">
        <v>21</v>
      </c>
      <c r="B125" s="4" t="s">
        <v>38</v>
      </c>
      <c r="C125" s="4" t="s">
        <v>39</v>
      </c>
      <c r="D125" s="4" t="s">
        <v>37</v>
      </c>
      <c r="E125" s="4" t="s">
        <v>25</v>
      </c>
      <c r="F125" s="4" t="s">
        <v>56</v>
      </c>
      <c r="G125" s="4" t="s">
        <v>25</v>
      </c>
      <c r="H125" s="4" t="s">
        <v>34</v>
      </c>
      <c r="I125" s="5">
        <v>44470</v>
      </c>
      <c r="J125" s="6">
        <v>0</v>
      </c>
      <c r="K125" s="6">
        <v>0</v>
      </c>
      <c r="L125" s="6">
        <v>3488.46</v>
      </c>
      <c r="M125" s="6">
        <v>3488.46</v>
      </c>
      <c r="N125" s="6">
        <v>0</v>
      </c>
      <c r="O125" s="6">
        <v>0</v>
      </c>
      <c r="P125" s="6">
        <v>0</v>
      </c>
      <c r="Q125" s="4" t="s">
        <v>57</v>
      </c>
      <c r="R125" s="4">
        <v>0</v>
      </c>
      <c r="S125" s="6">
        <v>0</v>
      </c>
      <c r="T125" s="6">
        <v>17</v>
      </c>
      <c r="U125" s="6">
        <v>0</v>
      </c>
      <c r="V125" s="6">
        <f>IF(ISERROR(VLOOKUP($S$125,'TAR FIN'!$A$1:$O$86,15,0)),0,VLOOKUP($S$125,'TAR FIN'!$A$1:$O$86,15,0))</f>
        <v>0</v>
      </c>
      <c r="W125" s="6">
        <f>IF(ISERROR(VLOOKUP($T$125,'TAR FIN'!$A$1:$O$86,15,0)),0,VLOOKUP($T$125,'TAR FIN'!$A$1:$O$86,15,0))</f>
        <v>71.260000000000005</v>
      </c>
      <c r="X125" s="6">
        <f>IF(ISERROR(VLOOKUP($U$125,'TAR FIN'!$A$1:$O$86,15,0)),0,VLOOKUP($U$125,'TAR FIN'!$A$1:$O$86,15,0))</f>
        <v>0</v>
      </c>
      <c r="Y125" s="6"/>
      <c r="Z125" s="6">
        <f ca="1">('TUSD BE'!$AM$12+'TUSD BF_350'!$AM$12+'TUSD CVA'!$AM$12)*1</f>
        <v>95.815448102611441</v>
      </c>
      <c r="AA125" s="6"/>
      <c r="AB125" s="6">
        <f>$K$125*$V$125</f>
        <v>0</v>
      </c>
      <c r="AC125" s="6">
        <f>$M$125*$W$125</f>
        <v>248587.65960000001</v>
      </c>
      <c r="AD125" s="6">
        <f>$O$125*$X$125</f>
        <v>0</v>
      </c>
      <c r="AE125" s="6">
        <f>$K$125*$Y$125</f>
        <v>0</v>
      </c>
      <c r="AF125" s="6">
        <f ca="1">$M$125*$Z$125</f>
        <v>334248.35808803589</v>
      </c>
      <c r="AG125" s="6">
        <f>$O$125*$AA$125</f>
        <v>0</v>
      </c>
    </row>
    <row r="126" spans="1:33" ht="11.25" customHeight="1" x14ac:dyDescent="0.25">
      <c r="A126" s="4" t="s">
        <v>21</v>
      </c>
      <c r="B126" s="4" t="s">
        <v>38</v>
      </c>
      <c r="C126" s="4" t="s">
        <v>39</v>
      </c>
      <c r="D126" s="4" t="s">
        <v>37</v>
      </c>
      <c r="E126" s="4" t="s">
        <v>25</v>
      </c>
      <c r="F126" s="4" t="s">
        <v>56</v>
      </c>
      <c r="G126" s="4" t="s">
        <v>25</v>
      </c>
      <c r="H126" s="4" t="s">
        <v>34</v>
      </c>
      <c r="I126" s="5">
        <v>44501</v>
      </c>
      <c r="J126" s="6">
        <v>0</v>
      </c>
      <c r="K126" s="6">
        <v>0</v>
      </c>
      <c r="L126" s="6">
        <v>3759.0949999999998</v>
      </c>
      <c r="M126" s="6">
        <v>3759.0949999999998</v>
      </c>
      <c r="N126" s="6">
        <v>0</v>
      </c>
      <c r="O126" s="6">
        <v>0</v>
      </c>
      <c r="P126" s="6">
        <v>0</v>
      </c>
      <c r="Q126" s="4" t="s">
        <v>57</v>
      </c>
      <c r="R126" s="4">
        <v>0</v>
      </c>
      <c r="S126" s="6">
        <v>0</v>
      </c>
      <c r="T126" s="6">
        <v>17</v>
      </c>
      <c r="U126" s="6">
        <v>0</v>
      </c>
      <c r="V126" s="6">
        <f>IF(ISERROR(VLOOKUP($S$126,'TAR FIN'!$A$1:$O$86,15,0)),0,VLOOKUP($S$126,'TAR FIN'!$A$1:$O$86,15,0))</f>
        <v>0</v>
      </c>
      <c r="W126" s="6">
        <f>IF(ISERROR(VLOOKUP($T$126,'TAR FIN'!$A$1:$O$86,15,0)),0,VLOOKUP($T$126,'TAR FIN'!$A$1:$O$86,15,0))</f>
        <v>71.260000000000005</v>
      </c>
      <c r="X126" s="6">
        <f>IF(ISERROR(VLOOKUP($U$126,'TAR FIN'!$A$1:$O$86,15,0)),0,VLOOKUP($U$126,'TAR FIN'!$A$1:$O$86,15,0))</f>
        <v>0</v>
      </c>
      <c r="Y126" s="6"/>
      <c r="Z126" s="6">
        <f ca="1">('TUSD BE'!$AM$12+'TUSD BF_350'!$AM$12+'TUSD CVA'!$AM$12)*1</f>
        <v>95.815448102611441</v>
      </c>
      <c r="AA126" s="6"/>
      <c r="AB126" s="6">
        <f>$K$126*$V$126</f>
        <v>0</v>
      </c>
      <c r="AC126" s="6">
        <f>$M$126*$W$126</f>
        <v>267873.10970000003</v>
      </c>
      <c r="AD126" s="6">
        <f>$O$126*$X$126</f>
        <v>0</v>
      </c>
      <c r="AE126" s="6">
        <f>$K$126*$Y$126</f>
        <v>0</v>
      </c>
      <c r="AF126" s="6">
        <f ca="1">$M$126*$Z$126</f>
        <v>360179.37188528612</v>
      </c>
      <c r="AG126" s="6">
        <f>$O$126*$AA$126</f>
        <v>0</v>
      </c>
    </row>
    <row r="127" spans="1:33" ht="11.25" customHeight="1" x14ac:dyDescent="0.25">
      <c r="A127" s="4" t="s">
        <v>21</v>
      </c>
      <c r="B127" s="4" t="s">
        <v>38</v>
      </c>
      <c r="C127" s="4" t="s">
        <v>39</v>
      </c>
      <c r="D127" s="4" t="s">
        <v>37</v>
      </c>
      <c r="E127" s="4" t="s">
        <v>25</v>
      </c>
      <c r="F127" s="4" t="s">
        <v>56</v>
      </c>
      <c r="G127" s="4" t="s">
        <v>25</v>
      </c>
      <c r="H127" s="4" t="s">
        <v>34</v>
      </c>
      <c r="I127" s="5">
        <v>44531</v>
      </c>
      <c r="J127" s="6">
        <v>0</v>
      </c>
      <c r="K127" s="6">
        <v>0</v>
      </c>
      <c r="L127" s="6">
        <v>3501.3580000000002</v>
      </c>
      <c r="M127" s="6">
        <v>3501.3580000000002</v>
      </c>
      <c r="N127" s="6">
        <v>0</v>
      </c>
      <c r="O127" s="6">
        <v>0</v>
      </c>
      <c r="P127" s="6">
        <v>0</v>
      </c>
      <c r="Q127" s="4" t="s">
        <v>57</v>
      </c>
      <c r="R127" s="4">
        <v>0</v>
      </c>
      <c r="S127" s="6">
        <v>0</v>
      </c>
      <c r="T127" s="6">
        <v>17</v>
      </c>
      <c r="U127" s="6">
        <v>0</v>
      </c>
      <c r="V127" s="6">
        <f>IF(ISERROR(VLOOKUP($S$127,'TAR FIN'!$A$1:$O$86,15,0)),0,VLOOKUP($S$127,'TAR FIN'!$A$1:$O$86,15,0))</f>
        <v>0</v>
      </c>
      <c r="W127" s="6">
        <f>IF(ISERROR(VLOOKUP($T$127,'TAR FIN'!$A$1:$O$86,15,0)),0,VLOOKUP($T$127,'TAR FIN'!$A$1:$O$86,15,0))</f>
        <v>71.260000000000005</v>
      </c>
      <c r="X127" s="6">
        <f>IF(ISERROR(VLOOKUP($U$127,'TAR FIN'!$A$1:$O$86,15,0)),0,VLOOKUP($U$127,'TAR FIN'!$A$1:$O$86,15,0))</f>
        <v>0</v>
      </c>
      <c r="Y127" s="6"/>
      <c r="Z127" s="6">
        <f ca="1">('TUSD BE'!$AM$12+'TUSD BF_350'!$AM$12+'TUSD CVA'!$AM$12)*1</f>
        <v>95.815448102611441</v>
      </c>
      <c r="AA127" s="6"/>
      <c r="AB127" s="6">
        <f>$K$127*$V$127</f>
        <v>0</v>
      </c>
      <c r="AC127" s="6">
        <f>$M$127*$W$127</f>
        <v>249506.77108000003</v>
      </c>
      <c r="AD127" s="6">
        <f>$O$127*$X$127</f>
        <v>0</v>
      </c>
      <c r="AE127" s="6">
        <f>$K$127*$Y$127</f>
        <v>0</v>
      </c>
      <c r="AF127" s="6">
        <f ca="1">$M$127*$Z$127</f>
        <v>335484.18573766341</v>
      </c>
      <c r="AG127" s="6">
        <f>$O$127*$AA$127</f>
        <v>0</v>
      </c>
    </row>
    <row r="128" spans="1:33" ht="11.25" customHeight="1" x14ac:dyDescent="0.25">
      <c r="A128" s="4" t="s">
        <v>21</v>
      </c>
      <c r="B128" s="4" t="s">
        <v>38</v>
      </c>
      <c r="C128" s="4" t="s">
        <v>39</v>
      </c>
      <c r="D128" s="4" t="s">
        <v>37</v>
      </c>
      <c r="E128" s="4" t="s">
        <v>25</v>
      </c>
      <c r="F128" s="4" t="s">
        <v>56</v>
      </c>
      <c r="G128" s="4" t="s">
        <v>25</v>
      </c>
      <c r="H128" s="4" t="s">
        <v>34</v>
      </c>
      <c r="I128" s="5">
        <v>44562</v>
      </c>
      <c r="J128" s="6">
        <v>0</v>
      </c>
      <c r="K128" s="6">
        <v>0</v>
      </c>
      <c r="L128" s="6">
        <v>3808.7330000000002</v>
      </c>
      <c r="M128" s="6">
        <v>3808.7330000000002</v>
      </c>
      <c r="N128" s="6">
        <v>0</v>
      </c>
      <c r="O128" s="6">
        <v>0</v>
      </c>
      <c r="P128" s="6">
        <v>0</v>
      </c>
      <c r="Q128" s="4" t="s">
        <v>57</v>
      </c>
      <c r="R128" s="4">
        <v>0</v>
      </c>
      <c r="S128" s="6">
        <v>0</v>
      </c>
      <c r="T128" s="6">
        <v>17</v>
      </c>
      <c r="U128" s="6">
        <v>0</v>
      </c>
      <c r="V128" s="6">
        <f>IF(ISERROR(VLOOKUP($S$128,'TAR FIN'!$A$1:$O$86,15,0)),0,VLOOKUP($S$128,'TAR FIN'!$A$1:$O$86,15,0))</f>
        <v>0</v>
      </c>
      <c r="W128" s="6">
        <f>IF(ISERROR(VLOOKUP($T$128,'TAR FIN'!$A$1:$O$86,15,0)),0,VLOOKUP($T$128,'TAR FIN'!$A$1:$O$86,15,0))</f>
        <v>71.260000000000005</v>
      </c>
      <c r="X128" s="6">
        <f>IF(ISERROR(VLOOKUP($U$128,'TAR FIN'!$A$1:$O$86,15,0)),0,VLOOKUP($U$128,'TAR FIN'!$A$1:$O$86,15,0))</f>
        <v>0</v>
      </c>
      <c r="Y128" s="6"/>
      <c r="Z128" s="6">
        <f ca="1">('TUSD BE'!$AM$12+'TUSD BF_350'!$AM$12+'TUSD CVA'!$AM$12)*1</f>
        <v>95.815448102611441</v>
      </c>
      <c r="AA128" s="6"/>
      <c r="AB128" s="6">
        <f>$K$128*$V$128</f>
        <v>0</v>
      </c>
      <c r="AC128" s="6">
        <f>$M$128*$W$128</f>
        <v>271410.31358000002</v>
      </c>
      <c r="AD128" s="6">
        <f>$O$128*$X$128</f>
        <v>0</v>
      </c>
      <c r="AE128" s="6">
        <f>$K$128*$Y$128</f>
        <v>0</v>
      </c>
      <c r="AF128" s="6">
        <f ca="1">$M$128*$Z$128</f>
        <v>364935.45909820357</v>
      </c>
      <c r="AG128" s="6">
        <f>$O$128*$AA$128</f>
        <v>0</v>
      </c>
    </row>
    <row r="129" spans="1:33" ht="11.25" customHeight="1" x14ac:dyDescent="0.25">
      <c r="A129" s="4" t="s">
        <v>21</v>
      </c>
      <c r="B129" s="4" t="s">
        <v>38</v>
      </c>
      <c r="C129" s="4" t="s">
        <v>39</v>
      </c>
      <c r="D129" s="4" t="s">
        <v>37</v>
      </c>
      <c r="E129" s="4" t="s">
        <v>25</v>
      </c>
      <c r="F129" s="4" t="s">
        <v>56</v>
      </c>
      <c r="G129" s="4" t="s">
        <v>25</v>
      </c>
      <c r="H129" s="4" t="s">
        <v>34</v>
      </c>
      <c r="I129" s="5">
        <v>44593</v>
      </c>
      <c r="J129" s="6">
        <v>0</v>
      </c>
      <c r="K129" s="6">
        <v>0</v>
      </c>
      <c r="L129" s="6">
        <v>3887.973</v>
      </c>
      <c r="M129" s="6">
        <v>3887.973</v>
      </c>
      <c r="N129" s="6">
        <v>0</v>
      </c>
      <c r="O129" s="6">
        <v>0</v>
      </c>
      <c r="P129" s="6">
        <v>0</v>
      </c>
      <c r="Q129" s="4" t="s">
        <v>57</v>
      </c>
      <c r="R129" s="4">
        <v>0</v>
      </c>
      <c r="S129" s="6">
        <v>0</v>
      </c>
      <c r="T129" s="6">
        <v>17</v>
      </c>
      <c r="U129" s="6">
        <v>0</v>
      </c>
      <c r="V129" s="6">
        <f>IF(ISERROR(VLOOKUP($S$129,'TAR FIN'!$A$1:$O$86,15,0)),0,VLOOKUP($S$129,'TAR FIN'!$A$1:$O$86,15,0))</f>
        <v>0</v>
      </c>
      <c r="W129" s="6">
        <f>IF(ISERROR(VLOOKUP($T$129,'TAR FIN'!$A$1:$O$86,15,0)),0,VLOOKUP($T$129,'TAR FIN'!$A$1:$O$86,15,0))</f>
        <v>71.260000000000005</v>
      </c>
      <c r="X129" s="6">
        <f>IF(ISERROR(VLOOKUP($U$129,'TAR FIN'!$A$1:$O$86,15,0)),0,VLOOKUP($U$129,'TAR FIN'!$A$1:$O$86,15,0))</f>
        <v>0</v>
      </c>
      <c r="Y129" s="6"/>
      <c r="Z129" s="6">
        <f ca="1">('TUSD BE'!$AM$12+'TUSD BF_350'!$AM$12+'TUSD CVA'!$AM$12)*1</f>
        <v>95.815448102611441</v>
      </c>
      <c r="AA129" s="6"/>
      <c r="AB129" s="6">
        <f>$K$129*$V$129</f>
        <v>0</v>
      </c>
      <c r="AC129" s="6">
        <f>$M$129*$W$129</f>
        <v>277056.95598000003</v>
      </c>
      <c r="AD129" s="6">
        <f>$O$129*$X$129</f>
        <v>0</v>
      </c>
      <c r="AE129" s="6">
        <f>$K$129*$Y$129</f>
        <v>0</v>
      </c>
      <c r="AF129" s="6">
        <f ca="1">$M$129*$Z$129</f>
        <v>372527.87520585454</v>
      </c>
      <c r="AG129" s="6">
        <f>$O$129*$AA$129</f>
        <v>0</v>
      </c>
    </row>
    <row r="130" spans="1:33" ht="11.25" customHeight="1" x14ac:dyDescent="0.25">
      <c r="A130" s="4" t="s">
        <v>21</v>
      </c>
      <c r="B130" s="4" t="s">
        <v>38</v>
      </c>
      <c r="C130" s="4" t="s">
        <v>39</v>
      </c>
      <c r="D130" s="4" t="s">
        <v>37</v>
      </c>
      <c r="E130" s="4" t="s">
        <v>25</v>
      </c>
      <c r="F130" s="4" t="s">
        <v>56</v>
      </c>
      <c r="G130" s="4" t="s">
        <v>25</v>
      </c>
      <c r="H130" s="4" t="s">
        <v>34</v>
      </c>
      <c r="I130" s="5">
        <v>44621</v>
      </c>
      <c r="J130" s="6">
        <v>0</v>
      </c>
      <c r="K130" s="6">
        <v>0</v>
      </c>
      <c r="L130" s="6">
        <v>4502.0200000000004</v>
      </c>
      <c r="M130" s="6">
        <v>4502.0200000000004</v>
      </c>
      <c r="N130" s="6">
        <v>0</v>
      </c>
      <c r="O130" s="6">
        <v>0</v>
      </c>
      <c r="P130" s="6">
        <v>0</v>
      </c>
      <c r="Q130" s="4" t="s">
        <v>57</v>
      </c>
      <c r="R130" s="4">
        <v>0</v>
      </c>
      <c r="S130" s="6">
        <v>0</v>
      </c>
      <c r="T130" s="6">
        <v>17</v>
      </c>
      <c r="U130" s="6">
        <v>0</v>
      </c>
      <c r="V130" s="6">
        <f>IF(ISERROR(VLOOKUP($S$130,'TAR FIN'!$A$1:$O$86,15,0)),0,VLOOKUP($S$130,'TAR FIN'!$A$1:$O$86,15,0))</f>
        <v>0</v>
      </c>
      <c r="W130" s="6">
        <f>IF(ISERROR(VLOOKUP($T$130,'TAR FIN'!$A$1:$O$86,15,0)),0,VLOOKUP($T$130,'TAR FIN'!$A$1:$O$86,15,0))</f>
        <v>71.260000000000005</v>
      </c>
      <c r="X130" s="6">
        <f>IF(ISERROR(VLOOKUP($U$130,'TAR FIN'!$A$1:$O$86,15,0)),0,VLOOKUP($U$130,'TAR FIN'!$A$1:$O$86,15,0))</f>
        <v>0</v>
      </c>
      <c r="Y130" s="6"/>
      <c r="Z130" s="6">
        <f ca="1">('TUSD BE'!$AM$12+'TUSD BF_350'!$AM$12+'TUSD CVA'!$AM$12)*1</f>
        <v>95.815448102611441</v>
      </c>
      <c r="AA130" s="6"/>
      <c r="AB130" s="6">
        <f>$K$130*$V$130</f>
        <v>0</v>
      </c>
      <c r="AC130" s="6">
        <f>$M$130*$W$130</f>
        <v>320813.94520000007</v>
      </c>
      <c r="AD130" s="6">
        <f>$O$130*$X$130</f>
        <v>0</v>
      </c>
      <c r="AE130" s="6">
        <f>$K$130*$Y$130</f>
        <v>0</v>
      </c>
      <c r="AF130" s="6">
        <f ca="1">$M$130*$Z$130</f>
        <v>431363.06366691878</v>
      </c>
      <c r="AG130" s="6">
        <f>$O$130*$AA$130</f>
        <v>0</v>
      </c>
    </row>
    <row r="131" spans="1:33" ht="11.25" customHeight="1" x14ac:dyDescent="0.25">
      <c r="A131" s="4" t="s">
        <v>21</v>
      </c>
      <c r="B131" s="4" t="s">
        <v>38</v>
      </c>
      <c r="C131" s="4" t="s">
        <v>39</v>
      </c>
      <c r="D131" s="4" t="s">
        <v>37</v>
      </c>
      <c r="E131" s="4" t="s">
        <v>25</v>
      </c>
      <c r="F131" s="4" t="s">
        <v>56</v>
      </c>
      <c r="G131" s="4" t="s">
        <v>25</v>
      </c>
      <c r="H131" s="4" t="s">
        <v>34</v>
      </c>
      <c r="I131" s="5">
        <v>44652</v>
      </c>
      <c r="J131" s="6">
        <v>0</v>
      </c>
      <c r="K131" s="6">
        <v>0</v>
      </c>
      <c r="L131" s="6">
        <v>4039.2190000000001</v>
      </c>
      <c r="M131" s="6">
        <v>4039.2190000000001</v>
      </c>
      <c r="N131" s="6">
        <v>0</v>
      </c>
      <c r="O131" s="6">
        <v>0</v>
      </c>
      <c r="P131" s="6">
        <v>0</v>
      </c>
      <c r="Q131" s="4" t="s">
        <v>57</v>
      </c>
      <c r="R131" s="4">
        <v>0</v>
      </c>
      <c r="S131" s="6">
        <v>0</v>
      </c>
      <c r="T131" s="6">
        <v>17</v>
      </c>
      <c r="U131" s="6">
        <v>0</v>
      </c>
      <c r="V131" s="6">
        <f>IF(ISERROR(VLOOKUP($S$131,'TAR FIN'!$A$1:$O$86,15,0)),0,VLOOKUP($S$131,'TAR FIN'!$A$1:$O$86,15,0))</f>
        <v>0</v>
      </c>
      <c r="W131" s="6">
        <f>IF(ISERROR(VLOOKUP($T$131,'TAR FIN'!$A$1:$O$86,15,0)),0,VLOOKUP($T$131,'TAR FIN'!$A$1:$O$86,15,0))</f>
        <v>71.260000000000005</v>
      </c>
      <c r="X131" s="6">
        <f>IF(ISERROR(VLOOKUP($U$131,'TAR FIN'!$A$1:$O$86,15,0)),0,VLOOKUP($U$131,'TAR FIN'!$A$1:$O$86,15,0))</f>
        <v>0</v>
      </c>
      <c r="Y131" s="6"/>
      <c r="Z131" s="6">
        <f ca="1">('TUSD BE'!$AM$12+'TUSD BF_350'!$AM$12+'TUSD CVA'!$AM$12)*1</f>
        <v>95.815448102611441</v>
      </c>
      <c r="AA131" s="6"/>
      <c r="AB131" s="6">
        <f>$K$131*$V$131</f>
        <v>0</v>
      </c>
      <c r="AC131" s="6">
        <f>$M$131*$W$131</f>
        <v>287834.74594000005</v>
      </c>
      <c r="AD131" s="6">
        <f>$O$131*$X$131</f>
        <v>0</v>
      </c>
      <c r="AE131" s="6">
        <f>$K$131*$Y$131</f>
        <v>0</v>
      </c>
      <c r="AF131" s="6">
        <f ca="1">$M$131*$Z$131</f>
        <v>387019.57846958208</v>
      </c>
      <c r="AG131" s="6">
        <f>$O$131*$AA$131</f>
        <v>0</v>
      </c>
    </row>
    <row r="132" spans="1:33" ht="11.25" customHeight="1" x14ac:dyDescent="0.25">
      <c r="A132" s="4" t="s">
        <v>21</v>
      </c>
      <c r="B132" s="4" t="s">
        <v>38</v>
      </c>
      <c r="C132" s="4" t="s">
        <v>39</v>
      </c>
      <c r="D132" s="4" t="s">
        <v>37</v>
      </c>
      <c r="E132" s="4" t="s">
        <v>25</v>
      </c>
      <c r="F132" s="4" t="s">
        <v>56</v>
      </c>
      <c r="G132" s="4" t="s">
        <v>25</v>
      </c>
      <c r="H132" s="4" t="s">
        <v>34</v>
      </c>
      <c r="I132" s="5">
        <v>44682</v>
      </c>
      <c r="J132" s="6">
        <v>0</v>
      </c>
      <c r="K132" s="6">
        <v>0</v>
      </c>
      <c r="L132" s="6">
        <v>4380.7709999999997</v>
      </c>
      <c r="M132" s="6">
        <v>4380.7709999999997</v>
      </c>
      <c r="N132" s="6">
        <v>0</v>
      </c>
      <c r="O132" s="6">
        <v>0</v>
      </c>
      <c r="P132" s="6">
        <v>0</v>
      </c>
      <c r="Q132" s="4" t="s">
        <v>57</v>
      </c>
      <c r="R132" s="4">
        <v>0</v>
      </c>
      <c r="S132" s="6">
        <v>0</v>
      </c>
      <c r="T132" s="6">
        <v>17</v>
      </c>
      <c r="U132" s="6">
        <v>0</v>
      </c>
      <c r="V132" s="6">
        <f>IF(ISERROR(VLOOKUP($S$132,'TAR FIN'!$A$1:$O$86,15,0)),0,VLOOKUP($S$132,'TAR FIN'!$A$1:$O$86,15,0))</f>
        <v>0</v>
      </c>
      <c r="W132" s="6">
        <f>IF(ISERROR(VLOOKUP($T$132,'TAR FIN'!$A$1:$O$86,15,0)),0,VLOOKUP($T$132,'TAR FIN'!$A$1:$O$86,15,0))</f>
        <v>71.260000000000005</v>
      </c>
      <c r="X132" s="6">
        <f>IF(ISERROR(VLOOKUP($U$132,'TAR FIN'!$A$1:$O$86,15,0)),0,VLOOKUP($U$132,'TAR FIN'!$A$1:$O$86,15,0))</f>
        <v>0</v>
      </c>
      <c r="Y132" s="6"/>
      <c r="Z132" s="6">
        <f ca="1">('TUSD BE'!$AM$12+'TUSD BF_350'!$AM$12+'TUSD CVA'!$AM$12)*1</f>
        <v>95.815448102611441</v>
      </c>
      <c r="AA132" s="6"/>
      <c r="AB132" s="6">
        <f>$K$132*$V$132</f>
        <v>0</v>
      </c>
      <c r="AC132" s="6">
        <f>$M$132*$W$132</f>
        <v>312173.74145999999</v>
      </c>
      <c r="AD132" s="6">
        <f>$O$132*$X$132</f>
        <v>0</v>
      </c>
      <c r="AE132" s="6">
        <f>$K$132*$Y$132</f>
        <v>0</v>
      </c>
      <c r="AF132" s="6">
        <f ca="1">$M$132*$Z$132</f>
        <v>419745.53639992519</v>
      </c>
      <c r="AG132" s="6">
        <f>$O$132*$AA$132</f>
        <v>0</v>
      </c>
    </row>
    <row r="133" spans="1:33" ht="11.25" customHeight="1" x14ac:dyDescent="0.25">
      <c r="A133" s="4" t="s">
        <v>55</v>
      </c>
      <c r="B133" s="4" t="s">
        <v>38</v>
      </c>
      <c r="C133" s="4" t="s">
        <v>39</v>
      </c>
      <c r="D133" s="4" t="s">
        <v>37</v>
      </c>
      <c r="E133" s="4" t="s">
        <v>25</v>
      </c>
      <c r="F133" s="4" t="s">
        <v>56</v>
      </c>
      <c r="G133" s="4" t="s">
        <v>25</v>
      </c>
      <c r="H133" s="4" t="s">
        <v>34</v>
      </c>
      <c r="I133" s="5">
        <v>44713</v>
      </c>
      <c r="J133" s="6">
        <v>0</v>
      </c>
      <c r="K133" s="6">
        <v>0</v>
      </c>
      <c r="L133" s="6">
        <v>4380.7709999999997</v>
      </c>
      <c r="M133" s="6">
        <v>4380.7709999999997</v>
      </c>
      <c r="N133" s="6">
        <v>0</v>
      </c>
      <c r="O133" s="6">
        <v>0</v>
      </c>
      <c r="P133" s="6">
        <v>0</v>
      </c>
      <c r="Q133" s="4" t="s">
        <v>57</v>
      </c>
      <c r="R133" s="4">
        <v>0</v>
      </c>
      <c r="S133" s="6">
        <v>0</v>
      </c>
      <c r="T133" s="6">
        <v>17</v>
      </c>
      <c r="U133" s="6">
        <v>0</v>
      </c>
      <c r="V133" s="6">
        <f>IF(ISERROR(VLOOKUP($S$133,'TAR FIN'!$A$1:$O$86,15,0)),0,VLOOKUP($S$133,'TAR FIN'!$A$1:$O$86,15,0))</f>
        <v>0</v>
      </c>
      <c r="W133" s="6">
        <f>IF(ISERROR(VLOOKUP($T$133,'TAR FIN'!$A$1:$O$86,15,0)),0,VLOOKUP($T$133,'TAR FIN'!$A$1:$O$86,15,0))</f>
        <v>71.260000000000005</v>
      </c>
      <c r="X133" s="6">
        <f>IF(ISERROR(VLOOKUP($U$133,'TAR FIN'!$A$1:$O$86,15,0)),0,VLOOKUP($U$133,'TAR FIN'!$A$1:$O$86,15,0))</f>
        <v>0</v>
      </c>
      <c r="Y133" s="6"/>
      <c r="Z133" s="6">
        <f ca="1">('TUSD BE'!$AM$12+'TUSD BF_350'!$AM$12+'TUSD CVA'!$AM$12)*1</f>
        <v>95.815448102611441</v>
      </c>
      <c r="AA133" s="6"/>
      <c r="AB133" s="6">
        <f>$K$133*$V$133</f>
        <v>0</v>
      </c>
      <c r="AC133" s="6">
        <f>$M$133*$W$133</f>
        <v>312173.74145999999</v>
      </c>
      <c r="AD133" s="6">
        <f>$O$133*$X$133</f>
        <v>0</v>
      </c>
      <c r="AE133" s="6">
        <f>$K$133*$Y$133</f>
        <v>0</v>
      </c>
      <c r="AF133" s="6">
        <f ca="1">$M$133*$Z$133</f>
        <v>419745.53639992519</v>
      </c>
      <c r="AG133" s="6">
        <f>$O$133*$AA$133</f>
        <v>0</v>
      </c>
    </row>
    <row r="134" spans="1:33" ht="11.25" customHeight="1" x14ac:dyDescent="0.25">
      <c r="A134" s="4" t="s">
        <v>21</v>
      </c>
      <c r="B134" s="4" t="s">
        <v>38</v>
      </c>
      <c r="C134" s="4" t="s">
        <v>39</v>
      </c>
      <c r="D134" s="4" t="s">
        <v>37</v>
      </c>
      <c r="E134" s="4" t="s">
        <v>25</v>
      </c>
      <c r="F134" s="4" t="s">
        <v>56</v>
      </c>
      <c r="G134" s="4" t="s">
        <v>25</v>
      </c>
      <c r="H134" s="4" t="s">
        <v>25</v>
      </c>
      <c r="I134" s="5">
        <v>44378</v>
      </c>
      <c r="J134" s="6">
        <v>10417</v>
      </c>
      <c r="K134" s="6">
        <v>5208.5</v>
      </c>
      <c r="L134" s="6">
        <v>0</v>
      </c>
      <c r="M134" s="6">
        <v>0</v>
      </c>
      <c r="N134" s="6">
        <v>0</v>
      </c>
      <c r="O134" s="6">
        <v>0</v>
      </c>
      <c r="P134" s="6">
        <v>6</v>
      </c>
      <c r="Q134" s="4" t="s">
        <v>57</v>
      </c>
      <c r="R134" s="4">
        <v>0</v>
      </c>
      <c r="S134" s="6">
        <v>19</v>
      </c>
      <c r="T134" s="6">
        <v>0</v>
      </c>
      <c r="U134" s="6">
        <v>0</v>
      </c>
      <c r="V134" s="6">
        <f>IF(ISERROR(VLOOKUP($S$134,'TAR FIN'!$A$1:$O$86,15,0)),0,VLOOKUP($S$134,'TAR FIN'!$A$1:$O$86,15,0))</f>
        <v>16.29</v>
      </c>
      <c r="W134" s="6">
        <f>IF(ISERROR(VLOOKUP($T$134,'TAR FIN'!$A$1:$O$86,15,0)),0,VLOOKUP($T$134,'TAR FIN'!$A$1:$O$86,15,0))</f>
        <v>0</v>
      </c>
      <c r="X134" s="6">
        <f>IF(ISERROR(VLOOKUP($U$134,'TAR FIN'!$A$1:$O$86,15,0)),0,VLOOKUP($U$134,'TAR FIN'!$A$1:$O$86,15,0))</f>
        <v>0</v>
      </c>
      <c r="Y134" s="6">
        <f ca="1">('TUSD BE'!$AM$10+'TUSD BF_350'!$AM$10+'TUSD CVA'!$AM$10)*1</f>
        <v>21.139573525578484</v>
      </c>
      <c r="Z134" s="6"/>
      <c r="AA134" s="6"/>
      <c r="AB134" s="6">
        <f>$K$134*$V$134</f>
        <v>84846.464999999997</v>
      </c>
      <c r="AC134" s="6">
        <f>$M$134*$W$134</f>
        <v>0</v>
      </c>
      <c r="AD134" s="6">
        <f>$O$134*$X$134</f>
        <v>0</v>
      </c>
      <c r="AE134" s="6">
        <f ca="1">$K$134*$Y$134</f>
        <v>110105.46870797554</v>
      </c>
      <c r="AF134" s="6">
        <f>$M$134*$Z$134</f>
        <v>0</v>
      </c>
      <c r="AG134" s="6">
        <f>$O$134*$AA$134</f>
        <v>0</v>
      </c>
    </row>
    <row r="135" spans="1:33" ht="11.25" customHeight="1" x14ac:dyDescent="0.25">
      <c r="A135" s="4" t="s">
        <v>21</v>
      </c>
      <c r="B135" s="4" t="s">
        <v>38</v>
      </c>
      <c r="C135" s="4" t="s">
        <v>39</v>
      </c>
      <c r="D135" s="4" t="s">
        <v>37</v>
      </c>
      <c r="E135" s="4" t="s">
        <v>25</v>
      </c>
      <c r="F135" s="4" t="s">
        <v>56</v>
      </c>
      <c r="G135" s="4" t="s">
        <v>25</v>
      </c>
      <c r="H135" s="4" t="s">
        <v>25</v>
      </c>
      <c r="I135" s="5">
        <v>44409</v>
      </c>
      <c r="J135" s="6">
        <v>10895</v>
      </c>
      <c r="K135" s="6">
        <v>5447.5</v>
      </c>
      <c r="L135" s="6">
        <v>0</v>
      </c>
      <c r="M135" s="6">
        <v>0</v>
      </c>
      <c r="N135" s="6">
        <v>0</v>
      </c>
      <c r="O135" s="6">
        <v>0</v>
      </c>
      <c r="P135" s="6">
        <v>7</v>
      </c>
      <c r="Q135" s="4" t="s">
        <v>57</v>
      </c>
      <c r="R135" s="4">
        <v>0</v>
      </c>
      <c r="S135" s="6">
        <v>19</v>
      </c>
      <c r="T135" s="6">
        <v>0</v>
      </c>
      <c r="U135" s="6">
        <v>0</v>
      </c>
      <c r="V135" s="6">
        <f>IF(ISERROR(VLOOKUP($S$135,'TAR FIN'!$A$1:$O$86,15,0)),0,VLOOKUP($S$135,'TAR FIN'!$A$1:$O$86,15,0))</f>
        <v>16.29</v>
      </c>
      <c r="W135" s="6">
        <f>IF(ISERROR(VLOOKUP($T$135,'TAR FIN'!$A$1:$O$86,15,0)),0,VLOOKUP($T$135,'TAR FIN'!$A$1:$O$86,15,0))</f>
        <v>0</v>
      </c>
      <c r="X135" s="6">
        <f>IF(ISERROR(VLOOKUP($U$135,'TAR FIN'!$A$1:$O$86,15,0)),0,VLOOKUP($U$135,'TAR FIN'!$A$1:$O$86,15,0))</f>
        <v>0</v>
      </c>
      <c r="Y135" s="6">
        <f ca="1">('TUSD BE'!$AM$10+'TUSD BF_350'!$AM$10+'TUSD CVA'!$AM$10)*1</f>
        <v>21.139573525578484</v>
      </c>
      <c r="Z135" s="6"/>
      <c r="AA135" s="6"/>
      <c r="AB135" s="6">
        <f>$K$135*$V$135</f>
        <v>88739.774999999994</v>
      </c>
      <c r="AC135" s="6">
        <f>$M$135*$W$135</f>
        <v>0</v>
      </c>
      <c r="AD135" s="6">
        <f>$O$135*$X$135</f>
        <v>0</v>
      </c>
      <c r="AE135" s="6">
        <f ca="1">$K$135*$Y$135</f>
        <v>115157.82678058879</v>
      </c>
      <c r="AF135" s="6">
        <f>$M$135*$Z$135</f>
        <v>0</v>
      </c>
      <c r="AG135" s="6">
        <f>$O$135*$AA$135</f>
        <v>0</v>
      </c>
    </row>
    <row r="136" spans="1:33" ht="11.25" customHeight="1" x14ac:dyDescent="0.25">
      <c r="A136" s="4" t="s">
        <v>21</v>
      </c>
      <c r="B136" s="4" t="s">
        <v>38</v>
      </c>
      <c r="C136" s="4" t="s">
        <v>39</v>
      </c>
      <c r="D136" s="4" t="s">
        <v>37</v>
      </c>
      <c r="E136" s="4" t="s">
        <v>25</v>
      </c>
      <c r="F136" s="4" t="s">
        <v>56</v>
      </c>
      <c r="G136" s="4" t="s">
        <v>25</v>
      </c>
      <c r="H136" s="4" t="s">
        <v>25</v>
      </c>
      <c r="I136" s="5">
        <v>44440</v>
      </c>
      <c r="J136" s="6">
        <v>10925</v>
      </c>
      <c r="K136" s="6">
        <v>5462.5</v>
      </c>
      <c r="L136" s="6">
        <v>0</v>
      </c>
      <c r="M136" s="6">
        <v>0</v>
      </c>
      <c r="N136" s="6">
        <v>0</v>
      </c>
      <c r="O136" s="6">
        <v>0</v>
      </c>
      <c r="P136" s="6">
        <v>7</v>
      </c>
      <c r="Q136" s="4" t="s">
        <v>57</v>
      </c>
      <c r="R136" s="4">
        <v>0</v>
      </c>
      <c r="S136" s="6">
        <v>19</v>
      </c>
      <c r="T136" s="6">
        <v>0</v>
      </c>
      <c r="U136" s="6">
        <v>0</v>
      </c>
      <c r="V136" s="6">
        <f>IF(ISERROR(VLOOKUP($S$136,'TAR FIN'!$A$1:$O$86,15,0)),0,VLOOKUP($S$136,'TAR FIN'!$A$1:$O$86,15,0))</f>
        <v>16.29</v>
      </c>
      <c r="W136" s="6">
        <f>IF(ISERROR(VLOOKUP($T$136,'TAR FIN'!$A$1:$O$86,15,0)),0,VLOOKUP($T$136,'TAR FIN'!$A$1:$O$86,15,0))</f>
        <v>0</v>
      </c>
      <c r="X136" s="6">
        <f>IF(ISERROR(VLOOKUP($U$136,'TAR FIN'!$A$1:$O$86,15,0)),0,VLOOKUP($U$136,'TAR FIN'!$A$1:$O$86,15,0))</f>
        <v>0</v>
      </c>
      <c r="Y136" s="6">
        <f ca="1">('TUSD BE'!$AM$10+'TUSD BF_350'!$AM$10+'TUSD CVA'!$AM$10)*1</f>
        <v>21.139573525578484</v>
      </c>
      <c r="Z136" s="6"/>
      <c r="AA136" s="6"/>
      <c r="AB136" s="6">
        <f>$K$136*$V$136</f>
        <v>88984.125</v>
      </c>
      <c r="AC136" s="6">
        <f>$M$136*$W$136</f>
        <v>0</v>
      </c>
      <c r="AD136" s="6">
        <f>$O$136*$X$136</f>
        <v>0</v>
      </c>
      <c r="AE136" s="6">
        <f ca="1">$K$136*$Y$136</f>
        <v>115474.92038347248</v>
      </c>
      <c r="AF136" s="6">
        <f>$M$136*$Z$136</f>
        <v>0</v>
      </c>
      <c r="AG136" s="6">
        <f>$O$136*$AA$136</f>
        <v>0</v>
      </c>
    </row>
    <row r="137" spans="1:33" ht="11.25" customHeight="1" x14ac:dyDescent="0.25">
      <c r="A137" s="4" t="s">
        <v>21</v>
      </c>
      <c r="B137" s="4" t="s">
        <v>38</v>
      </c>
      <c r="C137" s="4" t="s">
        <v>39</v>
      </c>
      <c r="D137" s="4" t="s">
        <v>37</v>
      </c>
      <c r="E137" s="4" t="s">
        <v>25</v>
      </c>
      <c r="F137" s="4" t="s">
        <v>56</v>
      </c>
      <c r="G137" s="4" t="s">
        <v>25</v>
      </c>
      <c r="H137" s="4" t="s">
        <v>25</v>
      </c>
      <c r="I137" s="5">
        <v>44470</v>
      </c>
      <c r="J137" s="6">
        <v>10895</v>
      </c>
      <c r="K137" s="6">
        <v>5447.5</v>
      </c>
      <c r="L137" s="6">
        <v>0</v>
      </c>
      <c r="M137" s="6">
        <v>0</v>
      </c>
      <c r="N137" s="6">
        <v>0</v>
      </c>
      <c r="O137" s="6">
        <v>0</v>
      </c>
      <c r="P137" s="6">
        <v>7</v>
      </c>
      <c r="Q137" s="4" t="s">
        <v>57</v>
      </c>
      <c r="R137" s="4">
        <v>0</v>
      </c>
      <c r="S137" s="6">
        <v>19</v>
      </c>
      <c r="T137" s="6">
        <v>0</v>
      </c>
      <c r="U137" s="6">
        <v>0</v>
      </c>
      <c r="V137" s="6">
        <f>IF(ISERROR(VLOOKUP($S$137,'TAR FIN'!$A$1:$O$86,15,0)),0,VLOOKUP($S$137,'TAR FIN'!$A$1:$O$86,15,0))</f>
        <v>16.29</v>
      </c>
      <c r="W137" s="6">
        <f>IF(ISERROR(VLOOKUP($T$137,'TAR FIN'!$A$1:$O$86,15,0)),0,VLOOKUP($T$137,'TAR FIN'!$A$1:$O$86,15,0))</f>
        <v>0</v>
      </c>
      <c r="X137" s="6">
        <f>IF(ISERROR(VLOOKUP($U$137,'TAR FIN'!$A$1:$O$86,15,0)),0,VLOOKUP($U$137,'TAR FIN'!$A$1:$O$86,15,0))</f>
        <v>0</v>
      </c>
      <c r="Y137" s="6">
        <f ca="1">('TUSD BE'!$AM$10+'TUSD BF_350'!$AM$10+'TUSD CVA'!$AM$10)*1</f>
        <v>21.139573525578484</v>
      </c>
      <c r="Z137" s="6"/>
      <c r="AA137" s="6"/>
      <c r="AB137" s="6">
        <f>$K$137*$V$137</f>
        <v>88739.774999999994</v>
      </c>
      <c r="AC137" s="6">
        <f>$M$137*$W$137</f>
        <v>0</v>
      </c>
      <c r="AD137" s="6">
        <f>$O$137*$X$137</f>
        <v>0</v>
      </c>
      <c r="AE137" s="6">
        <f ca="1">$K$137*$Y$137</f>
        <v>115157.82678058879</v>
      </c>
      <c r="AF137" s="6">
        <f>$M$137*$Z$137</f>
        <v>0</v>
      </c>
      <c r="AG137" s="6">
        <f>$O$137*$AA$137</f>
        <v>0</v>
      </c>
    </row>
    <row r="138" spans="1:33" ht="11.25" customHeight="1" x14ac:dyDescent="0.25">
      <c r="A138" s="4" t="s">
        <v>21</v>
      </c>
      <c r="B138" s="4" t="s">
        <v>38</v>
      </c>
      <c r="C138" s="4" t="s">
        <v>39</v>
      </c>
      <c r="D138" s="4" t="s">
        <v>37</v>
      </c>
      <c r="E138" s="4" t="s">
        <v>25</v>
      </c>
      <c r="F138" s="4" t="s">
        <v>56</v>
      </c>
      <c r="G138" s="4" t="s">
        <v>25</v>
      </c>
      <c r="H138" s="4" t="s">
        <v>25</v>
      </c>
      <c r="I138" s="5">
        <v>44501</v>
      </c>
      <c r="J138" s="6">
        <v>11405</v>
      </c>
      <c r="K138" s="6">
        <v>5702.5</v>
      </c>
      <c r="L138" s="6">
        <v>0</v>
      </c>
      <c r="M138" s="6">
        <v>0</v>
      </c>
      <c r="N138" s="6">
        <v>0</v>
      </c>
      <c r="O138" s="6">
        <v>0</v>
      </c>
      <c r="P138" s="6">
        <v>8</v>
      </c>
      <c r="Q138" s="4" t="s">
        <v>57</v>
      </c>
      <c r="R138" s="4">
        <v>0</v>
      </c>
      <c r="S138" s="6">
        <v>19</v>
      </c>
      <c r="T138" s="6">
        <v>0</v>
      </c>
      <c r="U138" s="6">
        <v>0</v>
      </c>
      <c r="V138" s="6">
        <f>IF(ISERROR(VLOOKUP($S$138,'TAR FIN'!$A$1:$O$86,15,0)),0,VLOOKUP($S$138,'TAR FIN'!$A$1:$O$86,15,0))</f>
        <v>16.29</v>
      </c>
      <c r="W138" s="6">
        <f>IF(ISERROR(VLOOKUP($T$138,'TAR FIN'!$A$1:$O$86,15,0)),0,VLOOKUP($T$138,'TAR FIN'!$A$1:$O$86,15,0))</f>
        <v>0</v>
      </c>
      <c r="X138" s="6">
        <f>IF(ISERROR(VLOOKUP($U$138,'TAR FIN'!$A$1:$O$86,15,0)),0,VLOOKUP($U$138,'TAR FIN'!$A$1:$O$86,15,0))</f>
        <v>0</v>
      </c>
      <c r="Y138" s="6">
        <f ca="1">('TUSD BE'!$AM$10+'TUSD BF_350'!$AM$10+'TUSD CVA'!$AM$10)*1</f>
        <v>21.139573525578484</v>
      </c>
      <c r="Z138" s="6"/>
      <c r="AA138" s="6"/>
      <c r="AB138" s="6">
        <f>$K$138*$V$138</f>
        <v>92893.724999999991</v>
      </c>
      <c r="AC138" s="6">
        <f>$M$138*$W$138</f>
        <v>0</v>
      </c>
      <c r="AD138" s="6">
        <f>$O$138*$X$138</f>
        <v>0</v>
      </c>
      <c r="AE138" s="6">
        <f ca="1">$K$138*$Y$138</f>
        <v>120548.4180296113</v>
      </c>
      <c r="AF138" s="6">
        <f>$M$138*$Z$138</f>
        <v>0</v>
      </c>
      <c r="AG138" s="6">
        <f>$O$138*$AA$138</f>
        <v>0</v>
      </c>
    </row>
    <row r="139" spans="1:33" ht="11.25" customHeight="1" x14ac:dyDescent="0.25">
      <c r="A139" s="4" t="s">
        <v>21</v>
      </c>
      <c r="B139" s="4" t="s">
        <v>38</v>
      </c>
      <c r="C139" s="4" t="s">
        <v>39</v>
      </c>
      <c r="D139" s="4" t="s">
        <v>37</v>
      </c>
      <c r="E139" s="4" t="s">
        <v>25</v>
      </c>
      <c r="F139" s="4" t="s">
        <v>56</v>
      </c>
      <c r="G139" s="4" t="s">
        <v>25</v>
      </c>
      <c r="H139" s="4" t="s">
        <v>25</v>
      </c>
      <c r="I139" s="5">
        <v>44531</v>
      </c>
      <c r="J139" s="6">
        <v>11395</v>
      </c>
      <c r="K139" s="6">
        <v>5697.5</v>
      </c>
      <c r="L139" s="6">
        <v>0</v>
      </c>
      <c r="M139" s="6">
        <v>0</v>
      </c>
      <c r="N139" s="6">
        <v>0</v>
      </c>
      <c r="O139" s="6">
        <v>0</v>
      </c>
      <c r="P139" s="6">
        <v>8</v>
      </c>
      <c r="Q139" s="4" t="s">
        <v>57</v>
      </c>
      <c r="R139" s="4">
        <v>0</v>
      </c>
      <c r="S139" s="6">
        <v>19</v>
      </c>
      <c r="T139" s="6">
        <v>0</v>
      </c>
      <c r="U139" s="6">
        <v>0</v>
      </c>
      <c r="V139" s="6">
        <f>IF(ISERROR(VLOOKUP($S$139,'TAR FIN'!$A$1:$O$86,15,0)),0,VLOOKUP($S$139,'TAR FIN'!$A$1:$O$86,15,0))</f>
        <v>16.29</v>
      </c>
      <c r="W139" s="6">
        <f>IF(ISERROR(VLOOKUP($T$139,'TAR FIN'!$A$1:$O$86,15,0)),0,VLOOKUP($T$139,'TAR FIN'!$A$1:$O$86,15,0))</f>
        <v>0</v>
      </c>
      <c r="X139" s="6">
        <f>IF(ISERROR(VLOOKUP($U$139,'TAR FIN'!$A$1:$O$86,15,0)),0,VLOOKUP($U$139,'TAR FIN'!$A$1:$O$86,15,0))</f>
        <v>0</v>
      </c>
      <c r="Y139" s="6">
        <f ca="1">('TUSD BE'!$AM$10+'TUSD BF_350'!$AM$10+'TUSD CVA'!$AM$10)*1</f>
        <v>21.139573525578484</v>
      </c>
      <c r="Z139" s="6"/>
      <c r="AA139" s="6"/>
      <c r="AB139" s="6">
        <f>$K$139*$V$139</f>
        <v>92812.274999999994</v>
      </c>
      <c r="AC139" s="6">
        <f>$M$139*$W$139</f>
        <v>0</v>
      </c>
      <c r="AD139" s="6">
        <f>$O$139*$X$139</f>
        <v>0</v>
      </c>
      <c r="AE139" s="6">
        <f ca="1">$K$139*$Y$139</f>
        <v>120442.72016198341</v>
      </c>
      <c r="AF139" s="6">
        <f>$M$139*$Z$139</f>
        <v>0</v>
      </c>
      <c r="AG139" s="6">
        <f>$O$139*$AA$139</f>
        <v>0</v>
      </c>
    </row>
    <row r="140" spans="1:33" ht="11.25" customHeight="1" x14ac:dyDescent="0.25">
      <c r="A140" s="4" t="s">
        <v>21</v>
      </c>
      <c r="B140" s="4" t="s">
        <v>38</v>
      </c>
      <c r="C140" s="4" t="s">
        <v>39</v>
      </c>
      <c r="D140" s="4" t="s">
        <v>37</v>
      </c>
      <c r="E140" s="4" t="s">
        <v>25</v>
      </c>
      <c r="F140" s="4" t="s">
        <v>56</v>
      </c>
      <c r="G140" s="4" t="s">
        <v>25</v>
      </c>
      <c r="H140" s="4" t="s">
        <v>25</v>
      </c>
      <c r="I140" s="5">
        <v>44562</v>
      </c>
      <c r="J140" s="6">
        <v>11448</v>
      </c>
      <c r="K140" s="6">
        <v>5724</v>
      </c>
      <c r="L140" s="6">
        <v>0</v>
      </c>
      <c r="M140" s="6">
        <v>0</v>
      </c>
      <c r="N140" s="6">
        <v>0</v>
      </c>
      <c r="O140" s="6">
        <v>0</v>
      </c>
      <c r="P140" s="6">
        <v>8</v>
      </c>
      <c r="Q140" s="4" t="s">
        <v>57</v>
      </c>
      <c r="R140" s="4">
        <v>0</v>
      </c>
      <c r="S140" s="6">
        <v>19</v>
      </c>
      <c r="T140" s="6">
        <v>0</v>
      </c>
      <c r="U140" s="6">
        <v>0</v>
      </c>
      <c r="V140" s="6">
        <f>IF(ISERROR(VLOOKUP($S$140,'TAR FIN'!$A$1:$O$86,15,0)),0,VLOOKUP($S$140,'TAR FIN'!$A$1:$O$86,15,0))</f>
        <v>16.29</v>
      </c>
      <c r="W140" s="6">
        <f>IF(ISERROR(VLOOKUP($T$140,'TAR FIN'!$A$1:$O$86,15,0)),0,VLOOKUP($T$140,'TAR FIN'!$A$1:$O$86,15,0))</f>
        <v>0</v>
      </c>
      <c r="X140" s="6">
        <f>IF(ISERROR(VLOOKUP($U$140,'TAR FIN'!$A$1:$O$86,15,0)),0,VLOOKUP($U$140,'TAR FIN'!$A$1:$O$86,15,0))</f>
        <v>0</v>
      </c>
      <c r="Y140" s="6">
        <f ca="1">('TUSD BE'!$AM$10+'TUSD BF_350'!$AM$10+'TUSD CVA'!$AM$10)*1</f>
        <v>21.139573525578484</v>
      </c>
      <c r="Z140" s="6"/>
      <c r="AA140" s="6"/>
      <c r="AB140" s="6">
        <f>$K$140*$V$140</f>
        <v>93243.959999999992</v>
      </c>
      <c r="AC140" s="6">
        <f>$M$140*$W$140</f>
        <v>0</v>
      </c>
      <c r="AD140" s="6">
        <f>$O$140*$X$140</f>
        <v>0</v>
      </c>
      <c r="AE140" s="6">
        <f ca="1">$K$140*$Y$140</f>
        <v>121002.91886041124</v>
      </c>
      <c r="AF140" s="6">
        <f>$M$140*$Z$140</f>
        <v>0</v>
      </c>
      <c r="AG140" s="6">
        <f>$O$140*$AA$140</f>
        <v>0</v>
      </c>
    </row>
    <row r="141" spans="1:33" ht="11.25" customHeight="1" x14ac:dyDescent="0.25">
      <c r="A141" s="4" t="s">
        <v>21</v>
      </c>
      <c r="B141" s="4" t="s">
        <v>38</v>
      </c>
      <c r="C141" s="4" t="s">
        <v>39</v>
      </c>
      <c r="D141" s="4" t="s">
        <v>37</v>
      </c>
      <c r="E141" s="4" t="s">
        <v>25</v>
      </c>
      <c r="F141" s="4" t="s">
        <v>56</v>
      </c>
      <c r="G141" s="4" t="s">
        <v>25</v>
      </c>
      <c r="H141" s="4" t="s">
        <v>25</v>
      </c>
      <c r="I141" s="5">
        <v>44593</v>
      </c>
      <c r="J141" s="6">
        <v>12306</v>
      </c>
      <c r="K141" s="6">
        <v>6153</v>
      </c>
      <c r="L141" s="6">
        <v>0</v>
      </c>
      <c r="M141" s="6">
        <v>0</v>
      </c>
      <c r="N141" s="6">
        <v>0</v>
      </c>
      <c r="O141" s="6">
        <v>0</v>
      </c>
      <c r="P141" s="6">
        <v>9</v>
      </c>
      <c r="Q141" s="4" t="s">
        <v>57</v>
      </c>
      <c r="R141" s="4">
        <v>0</v>
      </c>
      <c r="S141" s="6">
        <v>19</v>
      </c>
      <c r="T141" s="6">
        <v>0</v>
      </c>
      <c r="U141" s="6">
        <v>0</v>
      </c>
      <c r="V141" s="6">
        <f>IF(ISERROR(VLOOKUP($S$141,'TAR FIN'!$A$1:$O$86,15,0)),0,VLOOKUP($S$141,'TAR FIN'!$A$1:$O$86,15,0))</f>
        <v>16.29</v>
      </c>
      <c r="W141" s="6">
        <f>IF(ISERROR(VLOOKUP($T$141,'TAR FIN'!$A$1:$O$86,15,0)),0,VLOOKUP($T$141,'TAR FIN'!$A$1:$O$86,15,0))</f>
        <v>0</v>
      </c>
      <c r="X141" s="6">
        <f>IF(ISERROR(VLOOKUP($U$141,'TAR FIN'!$A$1:$O$86,15,0)),0,VLOOKUP($U$141,'TAR FIN'!$A$1:$O$86,15,0))</f>
        <v>0</v>
      </c>
      <c r="Y141" s="6">
        <f ca="1">('TUSD BE'!$AM$10+'TUSD BF_350'!$AM$10+'TUSD CVA'!$AM$10)*1</f>
        <v>21.139573525578484</v>
      </c>
      <c r="Z141" s="6"/>
      <c r="AA141" s="6"/>
      <c r="AB141" s="6">
        <f>$K$141*$V$141</f>
        <v>100232.37</v>
      </c>
      <c r="AC141" s="6">
        <f>$M$141*$W$141</f>
        <v>0</v>
      </c>
      <c r="AD141" s="6">
        <f>$O$141*$X$141</f>
        <v>0</v>
      </c>
      <c r="AE141" s="6">
        <f ca="1">$K$141*$Y$141</f>
        <v>130071.79590288442</v>
      </c>
      <c r="AF141" s="6">
        <f>$M$141*$Z$141</f>
        <v>0</v>
      </c>
      <c r="AG141" s="6">
        <f>$O$141*$AA$141</f>
        <v>0</v>
      </c>
    </row>
    <row r="142" spans="1:33" ht="11.25" customHeight="1" x14ac:dyDescent="0.25">
      <c r="A142" s="4" t="s">
        <v>21</v>
      </c>
      <c r="B142" s="4" t="s">
        <v>38</v>
      </c>
      <c r="C142" s="4" t="s">
        <v>39</v>
      </c>
      <c r="D142" s="4" t="s">
        <v>37</v>
      </c>
      <c r="E142" s="4" t="s">
        <v>25</v>
      </c>
      <c r="F142" s="4" t="s">
        <v>56</v>
      </c>
      <c r="G142" s="4" t="s">
        <v>25</v>
      </c>
      <c r="H142" s="4" t="s">
        <v>25</v>
      </c>
      <c r="I142" s="5">
        <v>44621</v>
      </c>
      <c r="J142" s="6">
        <v>12381</v>
      </c>
      <c r="K142" s="6">
        <v>6190.5</v>
      </c>
      <c r="L142" s="6">
        <v>0</v>
      </c>
      <c r="M142" s="6">
        <v>0</v>
      </c>
      <c r="N142" s="6">
        <v>0</v>
      </c>
      <c r="O142" s="6">
        <v>0</v>
      </c>
      <c r="P142" s="6">
        <v>9</v>
      </c>
      <c r="Q142" s="4" t="s">
        <v>57</v>
      </c>
      <c r="R142" s="4">
        <v>0</v>
      </c>
      <c r="S142" s="6">
        <v>19</v>
      </c>
      <c r="T142" s="6">
        <v>0</v>
      </c>
      <c r="U142" s="6">
        <v>0</v>
      </c>
      <c r="V142" s="6">
        <f>IF(ISERROR(VLOOKUP($S$142,'TAR FIN'!$A$1:$O$86,15,0)),0,VLOOKUP($S$142,'TAR FIN'!$A$1:$O$86,15,0))</f>
        <v>16.29</v>
      </c>
      <c r="W142" s="6">
        <f>IF(ISERROR(VLOOKUP($T$142,'TAR FIN'!$A$1:$O$86,15,0)),0,VLOOKUP($T$142,'TAR FIN'!$A$1:$O$86,15,0))</f>
        <v>0</v>
      </c>
      <c r="X142" s="6">
        <f>IF(ISERROR(VLOOKUP($U$142,'TAR FIN'!$A$1:$O$86,15,0)),0,VLOOKUP($U$142,'TAR FIN'!$A$1:$O$86,15,0))</f>
        <v>0</v>
      </c>
      <c r="Y142" s="6">
        <f ca="1">('TUSD BE'!$AM$10+'TUSD BF_350'!$AM$10+'TUSD CVA'!$AM$10)*1</f>
        <v>21.139573525578484</v>
      </c>
      <c r="Z142" s="6"/>
      <c r="AA142" s="6"/>
      <c r="AB142" s="6">
        <f>$K$142*$V$142</f>
        <v>100843.245</v>
      </c>
      <c r="AC142" s="6">
        <f>$M$142*$W$142</f>
        <v>0</v>
      </c>
      <c r="AD142" s="6">
        <f>$O$142*$X$142</f>
        <v>0</v>
      </c>
      <c r="AE142" s="6">
        <f ca="1">$K$142*$Y$142</f>
        <v>130864.52991009361</v>
      </c>
      <c r="AF142" s="6">
        <f>$M$142*$Z$142</f>
        <v>0</v>
      </c>
      <c r="AG142" s="6">
        <f>$O$142*$AA$142</f>
        <v>0</v>
      </c>
    </row>
    <row r="143" spans="1:33" ht="11.25" customHeight="1" x14ac:dyDescent="0.25">
      <c r="A143" s="4" t="s">
        <v>21</v>
      </c>
      <c r="B143" s="4" t="s">
        <v>38</v>
      </c>
      <c r="C143" s="4" t="s">
        <v>39</v>
      </c>
      <c r="D143" s="4" t="s">
        <v>37</v>
      </c>
      <c r="E143" s="4" t="s">
        <v>25</v>
      </c>
      <c r="F143" s="4" t="s">
        <v>56</v>
      </c>
      <c r="G143" s="4" t="s">
        <v>25</v>
      </c>
      <c r="H143" s="4" t="s">
        <v>25</v>
      </c>
      <c r="I143" s="5">
        <v>44652</v>
      </c>
      <c r="J143" s="6">
        <v>12368</v>
      </c>
      <c r="K143" s="6">
        <v>6184</v>
      </c>
      <c r="L143" s="6">
        <v>0</v>
      </c>
      <c r="M143" s="6">
        <v>0</v>
      </c>
      <c r="N143" s="6">
        <v>0</v>
      </c>
      <c r="O143" s="6">
        <v>0</v>
      </c>
      <c r="P143" s="6">
        <v>9</v>
      </c>
      <c r="Q143" s="4" t="s">
        <v>57</v>
      </c>
      <c r="R143" s="4">
        <v>0</v>
      </c>
      <c r="S143" s="6">
        <v>19</v>
      </c>
      <c r="T143" s="6">
        <v>0</v>
      </c>
      <c r="U143" s="6">
        <v>0</v>
      </c>
      <c r="V143" s="6">
        <f>IF(ISERROR(VLOOKUP($S$143,'TAR FIN'!$A$1:$O$86,15,0)),0,VLOOKUP($S$143,'TAR FIN'!$A$1:$O$86,15,0))</f>
        <v>16.29</v>
      </c>
      <c r="W143" s="6">
        <f>IF(ISERROR(VLOOKUP($T$143,'TAR FIN'!$A$1:$O$86,15,0)),0,VLOOKUP($T$143,'TAR FIN'!$A$1:$O$86,15,0))</f>
        <v>0</v>
      </c>
      <c r="X143" s="6">
        <f>IF(ISERROR(VLOOKUP($U$143,'TAR FIN'!$A$1:$O$86,15,0)),0,VLOOKUP($U$143,'TAR FIN'!$A$1:$O$86,15,0))</f>
        <v>0</v>
      </c>
      <c r="Y143" s="6">
        <f ca="1">('TUSD BE'!$AM$10+'TUSD BF_350'!$AM$10+'TUSD CVA'!$AM$10)*1</f>
        <v>21.139573525578484</v>
      </c>
      <c r="Z143" s="6"/>
      <c r="AA143" s="6"/>
      <c r="AB143" s="6">
        <f>$K$143*$V$143</f>
        <v>100737.36</v>
      </c>
      <c r="AC143" s="6">
        <f>$M$143*$W$143</f>
        <v>0</v>
      </c>
      <c r="AD143" s="6">
        <f>$O$143*$X$143</f>
        <v>0</v>
      </c>
      <c r="AE143" s="6">
        <f ca="1">$K$143*$Y$143</f>
        <v>130727.12268217735</v>
      </c>
      <c r="AF143" s="6">
        <f>$M$143*$Z$143</f>
        <v>0</v>
      </c>
      <c r="AG143" s="6">
        <f>$O$143*$AA$143</f>
        <v>0</v>
      </c>
    </row>
    <row r="144" spans="1:33" ht="11.25" customHeight="1" x14ac:dyDescent="0.25">
      <c r="A144" s="4" t="s">
        <v>21</v>
      </c>
      <c r="B144" s="4" t="s">
        <v>38</v>
      </c>
      <c r="C144" s="4" t="s">
        <v>39</v>
      </c>
      <c r="D144" s="4" t="s">
        <v>37</v>
      </c>
      <c r="E144" s="4" t="s">
        <v>25</v>
      </c>
      <c r="F144" s="4" t="s">
        <v>56</v>
      </c>
      <c r="G144" s="4" t="s">
        <v>25</v>
      </c>
      <c r="H144" s="4" t="s">
        <v>25</v>
      </c>
      <c r="I144" s="5">
        <v>44682</v>
      </c>
      <c r="J144" s="6">
        <v>12339</v>
      </c>
      <c r="K144" s="6">
        <v>6169.5</v>
      </c>
      <c r="L144" s="6">
        <v>0</v>
      </c>
      <c r="M144" s="6">
        <v>0</v>
      </c>
      <c r="N144" s="6">
        <v>0</v>
      </c>
      <c r="O144" s="6">
        <v>0</v>
      </c>
      <c r="P144" s="6">
        <v>9</v>
      </c>
      <c r="Q144" s="4" t="s">
        <v>57</v>
      </c>
      <c r="R144" s="4">
        <v>0</v>
      </c>
      <c r="S144" s="6">
        <v>19</v>
      </c>
      <c r="T144" s="6">
        <v>0</v>
      </c>
      <c r="U144" s="6">
        <v>0</v>
      </c>
      <c r="V144" s="6">
        <f>IF(ISERROR(VLOOKUP($S$144,'TAR FIN'!$A$1:$O$86,15,0)),0,VLOOKUP($S$144,'TAR FIN'!$A$1:$O$86,15,0))</f>
        <v>16.29</v>
      </c>
      <c r="W144" s="6">
        <f>IF(ISERROR(VLOOKUP($T$144,'TAR FIN'!$A$1:$O$86,15,0)),0,VLOOKUP($T$144,'TAR FIN'!$A$1:$O$86,15,0))</f>
        <v>0</v>
      </c>
      <c r="X144" s="6">
        <f>IF(ISERROR(VLOOKUP($U$144,'TAR FIN'!$A$1:$O$86,15,0)),0,VLOOKUP($U$144,'TAR FIN'!$A$1:$O$86,15,0))</f>
        <v>0</v>
      </c>
      <c r="Y144" s="6">
        <f ca="1">('TUSD BE'!$AM$10+'TUSD BF_350'!$AM$10+'TUSD CVA'!$AM$10)*1</f>
        <v>21.139573525578484</v>
      </c>
      <c r="Z144" s="6"/>
      <c r="AA144" s="6"/>
      <c r="AB144" s="6">
        <f>$K$144*$V$144</f>
        <v>100501.155</v>
      </c>
      <c r="AC144" s="6">
        <f>$M$144*$W$144</f>
        <v>0</v>
      </c>
      <c r="AD144" s="6">
        <f>$O$144*$X$144</f>
        <v>0</v>
      </c>
      <c r="AE144" s="6">
        <f ca="1">$K$144*$Y$144</f>
        <v>130420.59886605646</v>
      </c>
      <c r="AF144" s="6">
        <f>$M$144*$Z$144</f>
        <v>0</v>
      </c>
      <c r="AG144" s="6">
        <f>$O$144*$AA$144</f>
        <v>0</v>
      </c>
    </row>
    <row r="145" spans="1:33" ht="11.25" customHeight="1" x14ac:dyDescent="0.25">
      <c r="A145" s="4" t="s">
        <v>55</v>
      </c>
      <c r="B145" s="4" t="s">
        <v>38</v>
      </c>
      <c r="C145" s="4" t="s">
        <v>39</v>
      </c>
      <c r="D145" s="4" t="s">
        <v>37</v>
      </c>
      <c r="E145" s="4" t="s">
        <v>25</v>
      </c>
      <c r="F145" s="4" t="s">
        <v>56</v>
      </c>
      <c r="G145" s="4" t="s">
        <v>25</v>
      </c>
      <c r="H145" s="4" t="s">
        <v>25</v>
      </c>
      <c r="I145" s="5">
        <v>44713</v>
      </c>
      <c r="J145" s="6">
        <v>12339</v>
      </c>
      <c r="K145" s="6">
        <v>6169.5</v>
      </c>
      <c r="L145" s="6">
        <v>0</v>
      </c>
      <c r="M145" s="6">
        <v>0</v>
      </c>
      <c r="N145" s="6">
        <v>0</v>
      </c>
      <c r="O145" s="6">
        <v>0</v>
      </c>
      <c r="P145" s="6">
        <v>9</v>
      </c>
      <c r="Q145" s="4" t="s">
        <v>57</v>
      </c>
      <c r="R145" s="4">
        <v>0</v>
      </c>
      <c r="S145" s="6">
        <v>19</v>
      </c>
      <c r="T145" s="6">
        <v>0</v>
      </c>
      <c r="U145" s="6">
        <v>0</v>
      </c>
      <c r="V145" s="6">
        <f>IF(ISERROR(VLOOKUP($S$145,'TAR FIN'!$A$1:$O$86,15,0)),0,VLOOKUP($S$145,'TAR FIN'!$A$1:$O$86,15,0))</f>
        <v>16.29</v>
      </c>
      <c r="W145" s="6">
        <f>IF(ISERROR(VLOOKUP($T$145,'TAR FIN'!$A$1:$O$86,15,0)),0,VLOOKUP($T$145,'TAR FIN'!$A$1:$O$86,15,0))</f>
        <v>0</v>
      </c>
      <c r="X145" s="6">
        <f>IF(ISERROR(VLOOKUP($U$145,'TAR FIN'!$A$1:$O$86,15,0)),0,VLOOKUP($U$145,'TAR FIN'!$A$1:$O$86,15,0))</f>
        <v>0</v>
      </c>
      <c r="Y145" s="6">
        <f ca="1">('TUSD BE'!$AM$10+'TUSD BF_350'!$AM$10+'TUSD CVA'!$AM$10)*1</f>
        <v>21.139573525578484</v>
      </c>
      <c r="Z145" s="6"/>
      <c r="AA145" s="6"/>
      <c r="AB145" s="6">
        <f>$K$145*$V$145</f>
        <v>100501.155</v>
      </c>
      <c r="AC145" s="6">
        <f>$M$145*$W$145</f>
        <v>0</v>
      </c>
      <c r="AD145" s="6">
        <f>$O$145*$X$145</f>
        <v>0</v>
      </c>
      <c r="AE145" s="6">
        <f ca="1">$K$145*$Y$145</f>
        <v>130420.59886605646</v>
      </c>
      <c r="AF145" s="6">
        <f>$M$145*$Z$145</f>
        <v>0</v>
      </c>
      <c r="AG145" s="6">
        <f>$O$145*$AA$145</f>
        <v>0</v>
      </c>
    </row>
    <row r="146" spans="1:33" ht="11.25" customHeight="1" x14ac:dyDescent="0.25">
      <c r="A146" s="4" t="s">
        <v>21</v>
      </c>
      <c r="B146" s="4" t="s">
        <v>38</v>
      </c>
      <c r="C146" s="4" t="s">
        <v>39</v>
      </c>
      <c r="D146" s="4" t="s">
        <v>37</v>
      </c>
      <c r="E146" s="4" t="s">
        <v>25</v>
      </c>
      <c r="F146" s="4" t="s">
        <v>56</v>
      </c>
      <c r="G146" s="4" t="s">
        <v>25</v>
      </c>
      <c r="H146" s="4" t="s">
        <v>33</v>
      </c>
      <c r="I146" s="5">
        <v>44378</v>
      </c>
      <c r="J146" s="6">
        <v>0</v>
      </c>
      <c r="K146" s="6">
        <v>0</v>
      </c>
      <c r="L146" s="6">
        <v>400.85399999999998</v>
      </c>
      <c r="M146" s="6">
        <v>222.99508019999999</v>
      </c>
      <c r="N146" s="6">
        <v>0</v>
      </c>
      <c r="O146" s="6">
        <v>0</v>
      </c>
      <c r="P146" s="6">
        <v>0</v>
      </c>
      <c r="Q146" s="4" t="s">
        <v>57</v>
      </c>
      <c r="R146" s="4">
        <v>0</v>
      </c>
      <c r="S146" s="6">
        <v>0</v>
      </c>
      <c r="T146" s="6">
        <v>21</v>
      </c>
      <c r="U146" s="6">
        <v>0</v>
      </c>
      <c r="V146" s="6">
        <f>IF(ISERROR(VLOOKUP($S$146,'TAR FIN'!$A$1:$O$86,15,0)),0,VLOOKUP($S$146,'TAR FIN'!$A$1:$O$86,15,0))</f>
        <v>0</v>
      </c>
      <c r="W146" s="6">
        <f>IF(ISERROR(VLOOKUP($T$146,'TAR FIN'!$A$1:$O$86,15,0)),0,VLOOKUP($T$146,'TAR FIN'!$A$1:$O$86,15,0))</f>
        <v>596.78</v>
      </c>
      <c r="X146" s="6">
        <f>IF(ISERROR(VLOOKUP($U$146,'TAR FIN'!$A$1:$O$86,15,0)),0,VLOOKUP($U$146,'TAR FIN'!$A$1:$O$86,15,0))</f>
        <v>0</v>
      </c>
      <c r="Y146" s="6"/>
      <c r="Z146" s="6">
        <f ca="1">('TUSD BE'!$AM$11+'TUSD BF_350'!$AM$11+'TUSD CVA'!$AM$11)*1</f>
        <v>625.67033946440574</v>
      </c>
      <c r="AA146" s="6"/>
      <c r="AB146" s="6">
        <f>$K$146*$V$146</f>
        <v>0</v>
      </c>
      <c r="AC146" s="6">
        <f>$M$146*$W$146</f>
        <v>133079.00396175598</v>
      </c>
      <c r="AD146" s="6">
        <f>$O$146*$X$146</f>
        <v>0</v>
      </c>
      <c r="AE146" s="6">
        <f>$K$146*$Y$146</f>
        <v>0</v>
      </c>
      <c r="AF146" s="6">
        <f ca="1">$M$146*$Z$146</f>
        <v>139521.40752762638</v>
      </c>
      <c r="AG146" s="6">
        <f>$O$146*$AA$146</f>
        <v>0</v>
      </c>
    </row>
    <row r="147" spans="1:33" ht="11.25" customHeight="1" x14ac:dyDescent="0.25">
      <c r="A147" s="4" t="s">
        <v>21</v>
      </c>
      <c r="B147" s="4" t="s">
        <v>38</v>
      </c>
      <c r="C147" s="4" t="s">
        <v>39</v>
      </c>
      <c r="D147" s="4" t="s">
        <v>37</v>
      </c>
      <c r="E147" s="4" t="s">
        <v>25</v>
      </c>
      <c r="F147" s="4" t="s">
        <v>56</v>
      </c>
      <c r="G147" s="4" t="s">
        <v>25</v>
      </c>
      <c r="H147" s="4" t="s">
        <v>33</v>
      </c>
      <c r="I147" s="5">
        <v>44409</v>
      </c>
      <c r="J147" s="6">
        <v>0</v>
      </c>
      <c r="K147" s="6">
        <v>0</v>
      </c>
      <c r="L147" s="6">
        <v>417.75700000000001</v>
      </c>
      <c r="M147" s="6">
        <v>233.8185929</v>
      </c>
      <c r="N147" s="6">
        <v>0</v>
      </c>
      <c r="O147" s="6">
        <v>0</v>
      </c>
      <c r="P147" s="6">
        <v>0</v>
      </c>
      <c r="Q147" s="4" t="s">
        <v>57</v>
      </c>
      <c r="R147" s="4">
        <v>0</v>
      </c>
      <c r="S147" s="6">
        <v>0</v>
      </c>
      <c r="T147" s="6">
        <v>21</v>
      </c>
      <c r="U147" s="6">
        <v>0</v>
      </c>
      <c r="V147" s="6">
        <f>IF(ISERROR(VLOOKUP($S$147,'TAR FIN'!$A$1:$O$86,15,0)),0,VLOOKUP($S$147,'TAR FIN'!$A$1:$O$86,15,0))</f>
        <v>0</v>
      </c>
      <c r="W147" s="6">
        <f>IF(ISERROR(VLOOKUP($T$147,'TAR FIN'!$A$1:$O$86,15,0)),0,VLOOKUP($T$147,'TAR FIN'!$A$1:$O$86,15,0))</f>
        <v>596.78</v>
      </c>
      <c r="X147" s="6">
        <f>IF(ISERROR(VLOOKUP($U$147,'TAR FIN'!$A$1:$O$86,15,0)),0,VLOOKUP($U$147,'TAR FIN'!$A$1:$O$86,15,0))</f>
        <v>0</v>
      </c>
      <c r="Y147" s="6"/>
      <c r="Z147" s="6">
        <f ca="1">('TUSD BE'!$AM$11+'TUSD BF_350'!$AM$11+'TUSD CVA'!$AM$11)*1</f>
        <v>625.67033946440574</v>
      </c>
      <c r="AA147" s="6"/>
      <c r="AB147" s="6">
        <f>$K$147*$V$147</f>
        <v>0</v>
      </c>
      <c r="AC147" s="6">
        <f>$M$147*$W$147</f>
        <v>139538.25987086201</v>
      </c>
      <c r="AD147" s="6">
        <f>$O$147*$X$147</f>
        <v>0</v>
      </c>
      <c r="AE147" s="6">
        <f>$K$147*$Y$147</f>
        <v>0</v>
      </c>
      <c r="AF147" s="6">
        <f ca="1">$M$147*$Z$147</f>
        <v>146293.35839283268</v>
      </c>
      <c r="AG147" s="6">
        <f>$O$147*$AA$147</f>
        <v>0</v>
      </c>
    </row>
    <row r="148" spans="1:33" ht="11.25" customHeight="1" x14ac:dyDescent="0.25">
      <c r="A148" s="4" t="s">
        <v>21</v>
      </c>
      <c r="B148" s="4" t="s">
        <v>38</v>
      </c>
      <c r="C148" s="4" t="s">
        <v>39</v>
      </c>
      <c r="D148" s="4" t="s">
        <v>37</v>
      </c>
      <c r="E148" s="4" t="s">
        <v>25</v>
      </c>
      <c r="F148" s="4" t="s">
        <v>56</v>
      </c>
      <c r="G148" s="4" t="s">
        <v>25</v>
      </c>
      <c r="H148" s="4" t="s">
        <v>33</v>
      </c>
      <c r="I148" s="5">
        <v>44440</v>
      </c>
      <c r="J148" s="6">
        <v>0</v>
      </c>
      <c r="K148" s="6">
        <v>0</v>
      </c>
      <c r="L148" s="6">
        <v>380.99599999999998</v>
      </c>
      <c r="M148" s="6">
        <v>213.24346120000001</v>
      </c>
      <c r="N148" s="6">
        <v>0</v>
      </c>
      <c r="O148" s="6">
        <v>0</v>
      </c>
      <c r="P148" s="6">
        <v>0</v>
      </c>
      <c r="Q148" s="4" t="s">
        <v>57</v>
      </c>
      <c r="R148" s="4">
        <v>0</v>
      </c>
      <c r="S148" s="6">
        <v>0</v>
      </c>
      <c r="T148" s="6">
        <v>21</v>
      </c>
      <c r="U148" s="6">
        <v>0</v>
      </c>
      <c r="V148" s="6">
        <f>IF(ISERROR(VLOOKUP($S$148,'TAR FIN'!$A$1:$O$86,15,0)),0,VLOOKUP($S$148,'TAR FIN'!$A$1:$O$86,15,0))</f>
        <v>0</v>
      </c>
      <c r="W148" s="6">
        <f>IF(ISERROR(VLOOKUP($T$148,'TAR FIN'!$A$1:$O$86,15,0)),0,VLOOKUP($T$148,'TAR FIN'!$A$1:$O$86,15,0))</f>
        <v>596.78</v>
      </c>
      <c r="X148" s="6">
        <f>IF(ISERROR(VLOOKUP($U$148,'TAR FIN'!$A$1:$O$86,15,0)),0,VLOOKUP($U$148,'TAR FIN'!$A$1:$O$86,15,0))</f>
        <v>0</v>
      </c>
      <c r="Y148" s="6"/>
      <c r="Z148" s="6">
        <f ca="1">('TUSD BE'!$AM$11+'TUSD BF_350'!$AM$11+'TUSD CVA'!$AM$11)*1</f>
        <v>625.67033946440574</v>
      </c>
      <c r="AA148" s="6"/>
      <c r="AB148" s="6">
        <f>$K$148*$V$148</f>
        <v>0</v>
      </c>
      <c r="AC148" s="6">
        <f>$M$148*$W$148</f>
        <v>127259.43277493601</v>
      </c>
      <c r="AD148" s="6">
        <f>$O$148*$X$148</f>
        <v>0</v>
      </c>
      <c r="AE148" s="6">
        <f>$K$148*$Y$148</f>
        <v>0</v>
      </c>
      <c r="AF148" s="6">
        <f ca="1">$M$148*$Z$148</f>
        <v>133420.10875756884</v>
      </c>
      <c r="AG148" s="6">
        <f>$O$148*$AA$148</f>
        <v>0</v>
      </c>
    </row>
    <row r="149" spans="1:33" ht="11.25" customHeight="1" x14ac:dyDescent="0.25">
      <c r="A149" s="4" t="s">
        <v>21</v>
      </c>
      <c r="B149" s="4" t="s">
        <v>38</v>
      </c>
      <c r="C149" s="4" t="s">
        <v>39</v>
      </c>
      <c r="D149" s="4" t="s">
        <v>37</v>
      </c>
      <c r="E149" s="4" t="s">
        <v>25</v>
      </c>
      <c r="F149" s="4" t="s">
        <v>56</v>
      </c>
      <c r="G149" s="4" t="s">
        <v>25</v>
      </c>
      <c r="H149" s="4" t="s">
        <v>33</v>
      </c>
      <c r="I149" s="5">
        <v>44470</v>
      </c>
      <c r="J149" s="6">
        <v>0</v>
      </c>
      <c r="K149" s="6">
        <v>0</v>
      </c>
      <c r="L149" s="6">
        <v>352.47500000000002</v>
      </c>
      <c r="M149" s="6">
        <v>197.2802575</v>
      </c>
      <c r="N149" s="6">
        <v>0</v>
      </c>
      <c r="O149" s="6">
        <v>0</v>
      </c>
      <c r="P149" s="6">
        <v>0</v>
      </c>
      <c r="Q149" s="4" t="s">
        <v>57</v>
      </c>
      <c r="R149" s="4">
        <v>0</v>
      </c>
      <c r="S149" s="6">
        <v>0</v>
      </c>
      <c r="T149" s="6">
        <v>21</v>
      </c>
      <c r="U149" s="6">
        <v>0</v>
      </c>
      <c r="V149" s="6">
        <f>IF(ISERROR(VLOOKUP($S$149,'TAR FIN'!$A$1:$O$86,15,0)),0,VLOOKUP($S$149,'TAR FIN'!$A$1:$O$86,15,0))</f>
        <v>0</v>
      </c>
      <c r="W149" s="6">
        <f>IF(ISERROR(VLOOKUP($T$149,'TAR FIN'!$A$1:$O$86,15,0)),0,VLOOKUP($T$149,'TAR FIN'!$A$1:$O$86,15,0))</f>
        <v>596.78</v>
      </c>
      <c r="X149" s="6">
        <f>IF(ISERROR(VLOOKUP($U$149,'TAR FIN'!$A$1:$O$86,15,0)),0,VLOOKUP($U$149,'TAR FIN'!$A$1:$O$86,15,0))</f>
        <v>0</v>
      </c>
      <c r="Y149" s="6"/>
      <c r="Z149" s="6">
        <f ca="1">('TUSD BE'!$AM$11+'TUSD BF_350'!$AM$11+'TUSD CVA'!$AM$11)*1</f>
        <v>625.67033946440574</v>
      </c>
      <c r="AA149" s="6"/>
      <c r="AB149" s="6">
        <f>$K$149*$V$149</f>
        <v>0</v>
      </c>
      <c r="AC149" s="6">
        <f>$M$149*$W$149</f>
        <v>117732.91207085</v>
      </c>
      <c r="AD149" s="6">
        <f>$O$149*$X$149</f>
        <v>0</v>
      </c>
      <c r="AE149" s="6">
        <f>$K$149*$Y$149</f>
        <v>0</v>
      </c>
      <c r="AF149" s="6">
        <f ca="1">$M$149*$Z$149</f>
        <v>123432.40567965039</v>
      </c>
      <c r="AG149" s="6">
        <f>$O$149*$AA$149</f>
        <v>0</v>
      </c>
    </row>
    <row r="150" spans="1:33" ht="11.25" customHeight="1" x14ac:dyDescent="0.25">
      <c r="A150" s="4" t="s">
        <v>21</v>
      </c>
      <c r="B150" s="4" t="s">
        <v>38</v>
      </c>
      <c r="C150" s="4" t="s">
        <v>39</v>
      </c>
      <c r="D150" s="4" t="s">
        <v>37</v>
      </c>
      <c r="E150" s="4" t="s">
        <v>25</v>
      </c>
      <c r="F150" s="4" t="s">
        <v>56</v>
      </c>
      <c r="G150" s="4" t="s">
        <v>25</v>
      </c>
      <c r="H150" s="4" t="s">
        <v>33</v>
      </c>
      <c r="I150" s="5">
        <v>44501</v>
      </c>
      <c r="J150" s="6">
        <v>0</v>
      </c>
      <c r="K150" s="6">
        <v>0</v>
      </c>
      <c r="L150" s="6">
        <v>395.25299999999999</v>
      </c>
      <c r="M150" s="6">
        <v>221.2231041</v>
      </c>
      <c r="N150" s="6">
        <v>0</v>
      </c>
      <c r="O150" s="6">
        <v>0</v>
      </c>
      <c r="P150" s="6">
        <v>0</v>
      </c>
      <c r="Q150" s="4" t="s">
        <v>57</v>
      </c>
      <c r="R150" s="4">
        <v>0</v>
      </c>
      <c r="S150" s="6">
        <v>0</v>
      </c>
      <c r="T150" s="6">
        <v>21</v>
      </c>
      <c r="U150" s="6">
        <v>0</v>
      </c>
      <c r="V150" s="6">
        <f>IF(ISERROR(VLOOKUP($S$150,'TAR FIN'!$A$1:$O$86,15,0)),0,VLOOKUP($S$150,'TAR FIN'!$A$1:$O$86,15,0))</f>
        <v>0</v>
      </c>
      <c r="W150" s="6">
        <f>IF(ISERROR(VLOOKUP($T$150,'TAR FIN'!$A$1:$O$86,15,0)),0,VLOOKUP($T$150,'TAR FIN'!$A$1:$O$86,15,0))</f>
        <v>596.78</v>
      </c>
      <c r="X150" s="6">
        <f>IF(ISERROR(VLOOKUP($U$150,'TAR FIN'!$A$1:$O$86,15,0)),0,VLOOKUP($U$150,'TAR FIN'!$A$1:$O$86,15,0))</f>
        <v>0</v>
      </c>
      <c r="Y150" s="6"/>
      <c r="Z150" s="6">
        <f ca="1">('TUSD BE'!$AM$11+'TUSD BF_350'!$AM$11+'TUSD CVA'!$AM$11)*1</f>
        <v>625.67033946440574</v>
      </c>
      <c r="AA150" s="6"/>
      <c r="AB150" s="6">
        <f>$K$150*$V$150</f>
        <v>0</v>
      </c>
      <c r="AC150" s="6">
        <f>$M$150*$W$150</f>
        <v>132021.524064798</v>
      </c>
      <c r="AD150" s="6">
        <f>$O$150*$X$150</f>
        <v>0</v>
      </c>
      <c r="AE150" s="6">
        <f>$K$150*$Y$150</f>
        <v>0</v>
      </c>
      <c r="AF150" s="6">
        <f ca="1">$M$150*$Z$150</f>
        <v>138412.73463961657</v>
      </c>
      <c r="AG150" s="6">
        <f>$O$150*$AA$150</f>
        <v>0</v>
      </c>
    </row>
    <row r="151" spans="1:33" ht="11.25" customHeight="1" x14ac:dyDescent="0.25">
      <c r="A151" s="4" t="s">
        <v>21</v>
      </c>
      <c r="B151" s="4" t="s">
        <v>38</v>
      </c>
      <c r="C151" s="4" t="s">
        <v>39</v>
      </c>
      <c r="D151" s="4" t="s">
        <v>37</v>
      </c>
      <c r="E151" s="4" t="s">
        <v>25</v>
      </c>
      <c r="F151" s="4" t="s">
        <v>56</v>
      </c>
      <c r="G151" s="4" t="s">
        <v>25</v>
      </c>
      <c r="H151" s="4" t="s">
        <v>33</v>
      </c>
      <c r="I151" s="5">
        <v>44531</v>
      </c>
      <c r="J151" s="6">
        <v>0</v>
      </c>
      <c r="K151" s="6">
        <v>0</v>
      </c>
      <c r="L151" s="6">
        <v>383.084</v>
      </c>
      <c r="M151" s="6">
        <v>214.41211480000001</v>
      </c>
      <c r="N151" s="6">
        <v>0</v>
      </c>
      <c r="O151" s="6">
        <v>0</v>
      </c>
      <c r="P151" s="6">
        <v>0</v>
      </c>
      <c r="Q151" s="4" t="s">
        <v>57</v>
      </c>
      <c r="R151" s="4">
        <v>0</v>
      </c>
      <c r="S151" s="6">
        <v>0</v>
      </c>
      <c r="T151" s="6">
        <v>21</v>
      </c>
      <c r="U151" s="6">
        <v>0</v>
      </c>
      <c r="V151" s="6">
        <f>IF(ISERROR(VLOOKUP($S$151,'TAR FIN'!$A$1:$O$86,15,0)),0,VLOOKUP($S$151,'TAR FIN'!$A$1:$O$86,15,0))</f>
        <v>0</v>
      </c>
      <c r="W151" s="6">
        <f>IF(ISERROR(VLOOKUP($T$151,'TAR FIN'!$A$1:$O$86,15,0)),0,VLOOKUP($T$151,'TAR FIN'!$A$1:$O$86,15,0))</f>
        <v>596.78</v>
      </c>
      <c r="X151" s="6">
        <f>IF(ISERROR(VLOOKUP($U$151,'TAR FIN'!$A$1:$O$86,15,0)),0,VLOOKUP($U$151,'TAR FIN'!$A$1:$O$86,15,0))</f>
        <v>0</v>
      </c>
      <c r="Y151" s="6"/>
      <c r="Z151" s="6">
        <f ca="1">('TUSD BE'!$AM$11+'TUSD BF_350'!$AM$11+'TUSD CVA'!$AM$11)*1</f>
        <v>625.67033946440574</v>
      </c>
      <c r="AA151" s="6"/>
      <c r="AB151" s="6">
        <f>$K$151*$V$151</f>
        <v>0</v>
      </c>
      <c r="AC151" s="6">
        <f>$M$151*$W$151</f>
        <v>127956.861870344</v>
      </c>
      <c r="AD151" s="6">
        <f>$O$151*$X$151</f>
        <v>0</v>
      </c>
      <c r="AE151" s="6">
        <f>$K$151*$Y$151</f>
        <v>0</v>
      </c>
      <c r="AF151" s="6">
        <f ca="1">$M$151*$Z$151</f>
        <v>134151.30065219715</v>
      </c>
      <c r="AG151" s="6">
        <f>$O$151*$AA$151</f>
        <v>0</v>
      </c>
    </row>
    <row r="152" spans="1:33" ht="11.25" customHeight="1" x14ac:dyDescent="0.25">
      <c r="A152" s="4" t="s">
        <v>21</v>
      </c>
      <c r="B152" s="4" t="s">
        <v>38</v>
      </c>
      <c r="C152" s="4" t="s">
        <v>39</v>
      </c>
      <c r="D152" s="4" t="s">
        <v>37</v>
      </c>
      <c r="E152" s="4" t="s">
        <v>25</v>
      </c>
      <c r="F152" s="4" t="s">
        <v>56</v>
      </c>
      <c r="G152" s="4" t="s">
        <v>25</v>
      </c>
      <c r="H152" s="4" t="s">
        <v>33</v>
      </c>
      <c r="I152" s="5">
        <v>44562</v>
      </c>
      <c r="J152" s="6">
        <v>0</v>
      </c>
      <c r="K152" s="6">
        <v>0</v>
      </c>
      <c r="L152" s="6">
        <v>410.00799999999998</v>
      </c>
      <c r="M152" s="6">
        <v>229.48147760000001</v>
      </c>
      <c r="N152" s="6">
        <v>0</v>
      </c>
      <c r="O152" s="6">
        <v>0</v>
      </c>
      <c r="P152" s="6">
        <v>0</v>
      </c>
      <c r="Q152" s="4" t="s">
        <v>57</v>
      </c>
      <c r="R152" s="4">
        <v>0</v>
      </c>
      <c r="S152" s="6">
        <v>0</v>
      </c>
      <c r="T152" s="6">
        <v>21</v>
      </c>
      <c r="U152" s="6">
        <v>0</v>
      </c>
      <c r="V152" s="6">
        <f>IF(ISERROR(VLOOKUP($S$152,'TAR FIN'!$A$1:$O$86,15,0)),0,VLOOKUP($S$152,'TAR FIN'!$A$1:$O$86,15,0))</f>
        <v>0</v>
      </c>
      <c r="W152" s="6">
        <f>IF(ISERROR(VLOOKUP($T$152,'TAR FIN'!$A$1:$O$86,15,0)),0,VLOOKUP($T$152,'TAR FIN'!$A$1:$O$86,15,0))</f>
        <v>596.78</v>
      </c>
      <c r="X152" s="6">
        <f>IF(ISERROR(VLOOKUP($U$152,'TAR FIN'!$A$1:$O$86,15,0)),0,VLOOKUP($U$152,'TAR FIN'!$A$1:$O$86,15,0))</f>
        <v>0</v>
      </c>
      <c r="Y152" s="6"/>
      <c r="Z152" s="6">
        <f ca="1">('TUSD BE'!$AM$11+'TUSD BF_350'!$AM$11+'TUSD CVA'!$AM$11)*1</f>
        <v>625.67033946440574</v>
      </c>
      <c r="AA152" s="6"/>
      <c r="AB152" s="6">
        <f>$K$152*$V$152</f>
        <v>0</v>
      </c>
      <c r="AC152" s="6">
        <f>$M$152*$W$152</f>
        <v>136949.956202128</v>
      </c>
      <c r="AD152" s="6">
        <f>$O$152*$X$152</f>
        <v>0</v>
      </c>
      <c r="AE152" s="6">
        <f>$K$152*$Y$152</f>
        <v>0</v>
      </c>
      <c r="AF152" s="6">
        <f ca="1">$M$152*$Z$152</f>
        <v>143579.75399078542</v>
      </c>
      <c r="AG152" s="6">
        <f>$O$152*$AA$152</f>
        <v>0</v>
      </c>
    </row>
    <row r="153" spans="1:33" ht="11.25" customHeight="1" x14ac:dyDescent="0.25">
      <c r="A153" s="4" t="s">
        <v>21</v>
      </c>
      <c r="B153" s="4" t="s">
        <v>38</v>
      </c>
      <c r="C153" s="4" t="s">
        <v>39</v>
      </c>
      <c r="D153" s="4" t="s">
        <v>37</v>
      </c>
      <c r="E153" s="4" t="s">
        <v>25</v>
      </c>
      <c r="F153" s="4" t="s">
        <v>56</v>
      </c>
      <c r="G153" s="4" t="s">
        <v>25</v>
      </c>
      <c r="H153" s="4" t="s">
        <v>33</v>
      </c>
      <c r="I153" s="5">
        <v>44593</v>
      </c>
      <c r="J153" s="6">
        <v>0</v>
      </c>
      <c r="K153" s="6">
        <v>0</v>
      </c>
      <c r="L153" s="6">
        <v>428.41199999999998</v>
      </c>
      <c r="M153" s="6">
        <v>239.7821964</v>
      </c>
      <c r="N153" s="6">
        <v>0</v>
      </c>
      <c r="O153" s="6">
        <v>0</v>
      </c>
      <c r="P153" s="6">
        <v>0</v>
      </c>
      <c r="Q153" s="4" t="s">
        <v>57</v>
      </c>
      <c r="R153" s="4">
        <v>0</v>
      </c>
      <c r="S153" s="6">
        <v>0</v>
      </c>
      <c r="T153" s="6">
        <v>21</v>
      </c>
      <c r="U153" s="6">
        <v>0</v>
      </c>
      <c r="V153" s="6">
        <f>IF(ISERROR(VLOOKUP($S$153,'TAR FIN'!$A$1:$O$86,15,0)),0,VLOOKUP($S$153,'TAR FIN'!$A$1:$O$86,15,0))</f>
        <v>0</v>
      </c>
      <c r="W153" s="6">
        <f>IF(ISERROR(VLOOKUP($T$153,'TAR FIN'!$A$1:$O$86,15,0)),0,VLOOKUP($T$153,'TAR FIN'!$A$1:$O$86,15,0))</f>
        <v>596.78</v>
      </c>
      <c r="X153" s="6">
        <f>IF(ISERROR(VLOOKUP($U$153,'TAR FIN'!$A$1:$O$86,15,0)),0,VLOOKUP($U$153,'TAR FIN'!$A$1:$O$86,15,0))</f>
        <v>0</v>
      </c>
      <c r="Y153" s="6"/>
      <c r="Z153" s="6">
        <f ca="1">('TUSD BE'!$AM$11+'TUSD BF_350'!$AM$11+'TUSD CVA'!$AM$11)*1</f>
        <v>625.67033946440574</v>
      </c>
      <c r="AA153" s="6"/>
      <c r="AB153" s="6">
        <f>$K$153*$V$153</f>
        <v>0</v>
      </c>
      <c r="AC153" s="6">
        <f>$M$153*$W$153</f>
        <v>143097.219167592</v>
      </c>
      <c r="AD153" s="6">
        <f>$O$153*$X$153</f>
        <v>0</v>
      </c>
      <c r="AE153" s="6">
        <f>$K$153*$Y$153</f>
        <v>0</v>
      </c>
      <c r="AF153" s="6">
        <f ca="1">$M$153*$Z$153</f>
        <v>150024.60821910881</v>
      </c>
      <c r="AG153" s="6">
        <f>$O$153*$AA$153</f>
        <v>0</v>
      </c>
    </row>
    <row r="154" spans="1:33" ht="11.25" customHeight="1" x14ac:dyDescent="0.25">
      <c r="A154" s="4" t="s">
        <v>21</v>
      </c>
      <c r="B154" s="4" t="s">
        <v>38</v>
      </c>
      <c r="C154" s="4" t="s">
        <v>39</v>
      </c>
      <c r="D154" s="4" t="s">
        <v>37</v>
      </c>
      <c r="E154" s="4" t="s">
        <v>25</v>
      </c>
      <c r="F154" s="4" t="s">
        <v>56</v>
      </c>
      <c r="G154" s="4" t="s">
        <v>25</v>
      </c>
      <c r="H154" s="4" t="s">
        <v>33</v>
      </c>
      <c r="I154" s="5">
        <v>44621</v>
      </c>
      <c r="J154" s="6">
        <v>0</v>
      </c>
      <c r="K154" s="6">
        <v>0</v>
      </c>
      <c r="L154" s="6">
        <v>492.738</v>
      </c>
      <c r="M154" s="6">
        <v>275.78545860000003</v>
      </c>
      <c r="N154" s="6">
        <v>0</v>
      </c>
      <c r="O154" s="6">
        <v>0</v>
      </c>
      <c r="P154" s="6">
        <v>0</v>
      </c>
      <c r="Q154" s="4" t="s">
        <v>57</v>
      </c>
      <c r="R154" s="4">
        <v>0</v>
      </c>
      <c r="S154" s="6">
        <v>0</v>
      </c>
      <c r="T154" s="6">
        <v>21</v>
      </c>
      <c r="U154" s="6">
        <v>0</v>
      </c>
      <c r="V154" s="6">
        <f>IF(ISERROR(VLOOKUP($S$154,'TAR FIN'!$A$1:$O$86,15,0)),0,VLOOKUP($S$154,'TAR FIN'!$A$1:$O$86,15,0))</f>
        <v>0</v>
      </c>
      <c r="W154" s="6">
        <f>IF(ISERROR(VLOOKUP($T$154,'TAR FIN'!$A$1:$O$86,15,0)),0,VLOOKUP($T$154,'TAR FIN'!$A$1:$O$86,15,0))</f>
        <v>596.78</v>
      </c>
      <c r="X154" s="6">
        <f>IF(ISERROR(VLOOKUP($U$154,'TAR FIN'!$A$1:$O$86,15,0)),0,VLOOKUP($U$154,'TAR FIN'!$A$1:$O$86,15,0))</f>
        <v>0</v>
      </c>
      <c r="Y154" s="6"/>
      <c r="Z154" s="6">
        <f ca="1">('TUSD BE'!$AM$11+'TUSD BF_350'!$AM$11+'TUSD CVA'!$AM$11)*1</f>
        <v>625.67033946440574</v>
      </c>
      <c r="AA154" s="6"/>
      <c r="AB154" s="6">
        <f>$K$154*$V$154</f>
        <v>0</v>
      </c>
      <c r="AC154" s="6">
        <f>$M$154*$W$154</f>
        <v>164583.24598330801</v>
      </c>
      <c r="AD154" s="6">
        <f>$O$154*$X$154</f>
        <v>0</v>
      </c>
      <c r="AE154" s="6">
        <f>$K$154*$Y$154</f>
        <v>0</v>
      </c>
      <c r="AF154" s="6">
        <f ca="1">$M$154*$Z$154</f>
        <v>172550.78150160884</v>
      </c>
      <c r="AG154" s="6">
        <f>$O$154*$AA$154</f>
        <v>0</v>
      </c>
    </row>
    <row r="155" spans="1:33" ht="11.25" customHeight="1" x14ac:dyDescent="0.25">
      <c r="A155" s="4" t="s">
        <v>21</v>
      </c>
      <c r="B155" s="4" t="s">
        <v>38</v>
      </c>
      <c r="C155" s="4" t="s">
        <v>39</v>
      </c>
      <c r="D155" s="4" t="s">
        <v>37</v>
      </c>
      <c r="E155" s="4" t="s">
        <v>25</v>
      </c>
      <c r="F155" s="4" t="s">
        <v>56</v>
      </c>
      <c r="G155" s="4" t="s">
        <v>25</v>
      </c>
      <c r="H155" s="4" t="s">
        <v>33</v>
      </c>
      <c r="I155" s="5">
        <v>44652</v>
      </c>
      <c r="J155" s="6">
        <v>0</v>
      </c>
      <c r="K155" s="6">
        <v>0</v>
      </c>
      <c r="L155" s="6">
        <v>423.49700000000001</v>
      </c>
      <c r="M155" s="6">
        <v>237.03127090000001</v>
      </c>
      <c r="N155" s="6">
        <v>0</v>
      </c>
      <c r="O155" s="6">
        <v>0</v>
      </c>
      <c r="P155" s="6">
        <v>0</v>
      </c>
      <c r="Q155" s="4" t="s">
        <v>57</v>
      </c>
      <c r="R155" s="4">
        <v>0</v>
      </c>
      <c r="S155" s="6">
        <v>0</v>
      </c>
      <c r="T155" s="6">
        <v>21</v>
      </c>
      <c r="U155" s="6">
        <v>0</v>
      </c>
      <c r="V155" s="6">
        <f>IF(ISERROR(VLOOKUP($S$155,'TAR FIN'!$A$1:$O$86,15,0)),0,VLOOKUP($S$155,'TAR FIN'!$A$1:$O$86,15,0))</f>
        <v>0</v>
      </c>
      <c r="W155" s="6">
        <f>IF(ISERROR(VLOOKUP($T$155,'TAR FIN'!$A$1:$O$86,15,0)),0,VLOOKUP($T$155,'TAR FIN'!$A$1:$O$86,15,0))</f>
        <v>596.78</v>
      </c>
      <c r="X155" s="6">
        <f>IF(ISERROR(VLOOKUP($U$155,'TAR FIN'!$A$1:$O$86,15,0)),0,VLOOKUP($U$155,'TAR FIN'!$A$1:$O$86,15,0))</f>
        <v>0</v>
      </c>
      <c r="Y155" s="6"/>
      <c r="Z155" s="6">
        <f ca="1">('TUSD BE'!$AM$11+'TUSD BF_350'!$AM$11+'TUSD CVA'!$AM$11)*1</f>
        <v>625.67033946440574</v>
      </c>
      <c r="AA155" s="6"/>
      <c r="AB155" s="6">
        <f>$K$155*$V$155</f>
        <v>0</v>
      </c>
      <c r="AC155" s="6">
        <f>$M$155*$W$155</f>
        <v>141455.52184770201</v>
      </c>
      <c r="AD155" s="6">
        <f>$O$155*$X$155</f>
        <v>0</v>
      </c>
      <c r="AE155" s="6">
        <f>$K$155*$Y$155</f>
        <v>0</v>
      </c>
      <c r="AF155" s="6">
        <f ca="1">$M$155*$Z$155</f>
        <v>148303.43572768252</v>
      </c>
      <c r="AG155" s="6">
        <f>$O$155*$AA$155</f>
        <v>0</v>
      </c>
    </row>
    <row r="156" spans="1:33" ht="11.25" customHeight="1" x14ac:dyDescent="0.25">
      <c r="A156" s="4" t="s">
        <v>21</v>
      </c>
      <c r="B156" s="4" t="s">
        <v>38</v>
      </c>
      <c r="C156" s="4" t="s">
        <v>39</v>
      </c>
      <c r="D156" s="4" t="s">
        <v>37</v>
      </c>
      <c r="E156" s="4" t="s">
        <v>25</v>
      </c>
      <c r="F156" s="4" t="s">
        <v>56</v>
      </c>
      <c r="G156" s="4" t="s">
        <v>25</v>
      </c>
      <c r="H156" s="4" t="s">
        <v>33</v>
      </c>
      <c r="I156" s="5">
        <v>44682</v>
      </c>
      <c r="J156" s="6">
        <v>0</v>
      </c>
      <c r="K156" s="6">
        <v>0</v>
      </c>
      <c r="L156" s="6">
        <v>495.89800000000002</v>
      </c>
      <c r="M156" s="6">
        <v>277.5541106</v>
      </c>
      <c r="N156" s="6">
        <v>0</v>
      </c>
      <c r="O156" s="6">
        <v>0</v>
      </c>
      <c r="P156" s="6">
        <v>0</v>
      </c>
      <c r="Q156" s="4" t="s">
        <v>57</v>
      </c>
      <c r="R156" s="4">
        <v>0</v>
      </c>
      <c r="S156" s="6">
        <v>0</v>
      </c>
      <c r="T156" s="6">
        <v>21</v>
      </c>
      <c r="U156" s="6">
        <v>0</v>
      </c>
      <c r="V156" s="6">
        <f>IF(ISERROR(VLOOKUP($S$156,'TAR FIN'!$A$1:$O$86,15,0)),0,VLOOKUP($S$156,'TAR FIN'!$A$1:$O$86,15,0))</f>
        <v>0</v>
      </c>
      <c r="W156" s="6">
        <f>IF(ISERROR(VLOOKUP($T$156,'TAR FIN'!$A$1:$O$86,15,0)),0,VLOOKUP($T$156,'TAR FIN'!$A$1:$O$86,15,0))</f>
        <v>596.78</v>
      </c>
      <c r="X156" s="6">
        <f>IF(ISERROR(VLOOKUP($U$156,'TAR FIN'!$A$1:$O$86,15,0)),0,VLOOKUP($U$156,'TAR FIN'!$A$1:$O$86,15,0))</f>
        <v>0</v>
      </c>
      <c r="Y156" s="6"/>
      <c r="Z156" s="6">
        <f ca="1">('TUSD BE'!$AM$11+'TUSD BF_350'!$AM$11+'TUSD CVA'!$AM$11)*1</f>
        <v>625.67033946440574</v>
      </c>
      <c r="AA156" s="6"/>
      <c r="AB156" s="6">
        <f>$K$156*$V$156</f>
        <v>0</v>
      </c>
      <c r="AC156" s="6">
        <f>$M$156*$W$156</f>
        <v>165638.742123868</v>
      </c>
      <c r="AD156" s="6">
        <f>$O$156*$X$156</f>
        <v>0</v>
      </c>
      <c r="AE156" s="6">
        <f>$K$156*$Y$156</f>
        <v>0</v>
      </c>
      <c r="AF156" s="6">
        <f ca="1">$M$156*$Z$156</f>
        <v>173657.37459884322</v>
      </c>
      <c r="AG156" s="6">
        <f>$O$156*$AA$156</f>
        <v>0</v>
      </c>
    </row>
    <row r="157" spans="1:33" ht="11.25" customHeight="1" x14ac:dyDescent="0.25">
      <c r="A157" s="4" t="s">
        <v>55</v>
      </c>
      <c r="B157" s="4" t="s">
        <v>38</v>
      </c>
      <c r="C157" s="4" t="s">
        <v>39</v>
      </c>
      <c r="D157" s="4" t="s">
        <v>37</v>
      </c>
      <c r="E157" s="4" t="s">
        <v>25</v>
      </c>
      <c r="F157" s="4" t="s">
        <v>56</v>
      </c>
      <c r="G157" s="4" t="s">
        <v>25</v>
      </c>
      <c r="H157" s="4" t="s">
        <v>33</v>
      </c>
      <c r="I157" s="5">
        <v>44713</v>
      </c>
      <c r="J157" s="6">
        <v>0</v>
      </c>
      <c r="K157" s="6">
        <v>0</v>
      </c>
      <c r="L157" s="6">
        <v>495.89800000000002</v>
      </c>
      <c r="M157" s="6">
        <v>277.5541106</v>
      </c>
      <c r="N157" s="6">
        <v>0</v>
      </c>
      <c r="O157" s="6">
        <v>0</v>
      </c>
      <c r="P157" s="6">
        <v>0</v>
      </c>
      <c r="Q157" s="4" t="s">
        <v>57</v>
      </c>
      <c r="R157" s="4">
        <v>0</v>
      </c>
      <c r="S157" s="6">
        <v>0</v>
      </c>
      <c r="T157" s="6">
        <v>21</v>
      </c>
      <c r="U157" s="6">
        <v>0</v>
      </c>
      <c r="V157" s="6">
        <f>IF(ISERROR(VLOOKUP($S$157,'TAR FIN'!$A$1:$O$86,15,0)),0,VLOOKUP($S$157,'TAR FIN'!$A$1:$O$86,15,0))</f>
        <v>0</v>
      </c>
      <c r="W157" s="6">
        <f>IF(ISERROR(VLOOKUP($T$157,'TAR FIN'!$A$1:$O$86,15,0)),0,VLOOKUP($T$157,'TAR FIN'!$A$1:$O$86,15,0))</f>
        <v>596.78</v>
      </c>
      <c r="X157" s="6">
        <f>IF(ISERROR(VLOOKUP($U$157,'TAR FIN'!$A$1:$O$86,15,0)),0,VLOOKUP($U$157,'TAR FIN'!$A$1:$O$86,15,0))</f>
        <v>0</v>
      </c>
      <c r="Y157" s="6"/>
      <c r="Z157" s="6">
        <f ca="1">('TUSD BE'!$AM$11+'TUSD BF_350'!$AM$11+'TUSD CVA'!$AM$11)*1</f>
        <v>625.67033946440574</v>
      </c>
      <c r="AA157" s="6"/>
      <c r="AB157" s="6">
        <f>$K$157*$V$157</f>
        <v>0</v>
      </c>
      <c r="AC157" s="6">
        <f>$M$157*$W$157</f>
        <v>165638.742123868</v>
      </c>
      <c r="AD157" s="6">
        <f>$O$157*$X$157</f>
        <v>0</v>
      </c>
      <c r="AE157" s="6">
        <f>$K$157*$Y$157</f>
        <v>0</v>
      </c>
      <c r="AF157" s="6">
        <f ca="1">$M$157*$Z$157</f>
        <v>173657.37459884322</v>
      </c>
      <c r="AG157" s="6">
        <f>$O$157*$AA$157</f>
        <v>0</v>
      </c>
    </row>
    <row r="158" spans="1:33" ht="11.25" customHeight="1" x14ac:dyDescent="0.25">
      <c r="A158" s="4" t="s">
        <v>21</v>
      </c>
      <c r="B158" s="4" t="s">
        <v>38</v>
      </c>
      <c r="C158" s="4" t="s">
        <v>39</v>
      </c>
      <c r="D158" s="4" t="s">
        <v>37</v>
      </c>
      <c r="E158" s="4" t="s">
        <v>25</v>
      </c>
      <c r="F158" s="4" t="s">
        <v>25</v>
      </c>
      <c r="G158" s="4" t="s">
        <v>25</v>
      </c>
      <c r="H158" s="4" t="s">
        <v>34</v>
      </c>
      <c r="I158" s="5">
        <v>44378</v>
      </c>
      <c r="J158" s="6">
        <v>0</v>
      </c>
      <c r="K158" s="6">
        <v>0</v>
      </c>
      <c r="L158" s="6">
        <v>953.23400000000004</v>
      </c>
      <c r="M158" s="6">
        <v>953.23400000000004</v>
      </c>
      <c r="N158" s="6">
        <v>953.23400000000004</v>
      </c>
      <c r="O158" s="6">
        <v>953.23400000000004</v>
      </c>
      <c r="P158" s="6">
        <v>0</v>
      </c>
      <c r="Q158" s="4" t="s">
        <v>26</v>
      </c>
      <c r="R158" s="4">
        <v>0</v>
      </c>
      <c r="S158" s="6">
        <v>0</v>
      </c>
      <c r="T158" s="6">
        <v>17</v>
      </c>
      <c r="U158" s="6">
        <v>78</v>
      </c>
      <c r="V158" s="6">
        <f>IF(ISERROR(VLOOKUP($S$158,'TAR FIN'!$A$1:$O$86,15,0)),0,VLOOKUP($S$158,'TAR FIN'!$A$1:$O$86,15,0))</f>
        <v>0</v>
      </c>
      <c r="W158" s="6">
        <f>IF(ISERROR(VLOOKUP($T$158,'TAR FIN'!$A$1:$O$86,15,0)),0,VLOOKUP($T$158,'TAR FIN'!$A$1:$O$86,15,0))</f>
        <v>71.260000000000005</v>
      </c>
      <c r="X158" s="6">
        <f>IF(ISERROR(VLOOKUP($U$158,'TAR FIN'!$A$1:$O$86,15,0)),0,VLOOKUP($U$158,'TAR FIN'!$A$1:$O$86,15,0))</f>
        <v>297.31</v>
      </c>
      <c r="Y158" s="6"/>
      <c r="Z158" s="6">
        <f ca="1">('TUSD BE'!$AM$12+'TUSD BF_350'!$AM$12+'TUSD CVA'!$AM$12)*1</f>
        <v>95.815448102611441</v>
      </c>
      <c r="AA158" s="6">
        <f ca="1">('TE BE'!$AB$6+'TE BF_350'!$AB$6+'TE CVA'!$AB$6)*1</f>
        <v>235.33989117487977</v>
      </c>
      <c r="AB158" s="6">
        <f>$K$158*$V$158</f>
        <v>0</v>
      </c>
      <c r="AC158" s="6">
        <f>$M$158*$W$158</f>
        <v>67927.454840000006</v>
      </c>
      <c r="AD158" s="6">
        <f>$O$158*$X$158</f>
        <v>283406.00054000004</v>
      </c>
      <c r="AE158" s="6">
        <f>$K$158*$Y$158</f>
        <v>0</v>
      </c>
      <c r="AF158" s="6">
        <f ca="1">$M$158*$Z$158</f>
        <v>91334.542856644723</v>
      </c>
      <c r="AG158" s="6">
        <f ca="1">$O$158*$AA$158</f>
        <v>224333.98582419535</v>
      </c>
    </row>
    <row r="159" spans="1:33" ht="11.25" customHeight="1" x14ac:dyDescent="0.25">
      <c r="A159" s="4" t="s">
        <v>27</v>
      </c>
      <c r="B159" s="4" t="s">
        <v>38</v>
      </c>
      <c r="C159" s="4" t="s">
        <v>39</v>
      </c>
      <c r="D159" s="4" t="s">
        <v>37</v>
      </c>
      <c r="E159" s="4" t="s">
        <v>25</v>
      </c>
      <c r="F159" s="4" t="s">
        <v>25</v>
      </c>
      <c r="G159" s="4" t="s">
        <v>25</v>
      </c>
      <c r="H159" s="4" t="s">
        <v>34</v>
      </c>
      <c r="I159" s="5">
        <v>44378</v>
      </c>
      <c r="J159" s="6">
        <v>0</v>
      </c>
      <c r="K159" s="6">
        <v>0</v>
      </c>
      <c r="L159" s="6">
        <v>86.888999999999996</v>
      </c>
      <c r="M159" s="6">
        <v>86.888999999999996</v>
      </c>
      <c r="N159" s="6">
        <v>86.888999999999996</v>
      </c>
      <c r="O159" s="6">
        <v>86.888999999999996</v>
      </c>
      <c r="P159" s="6">
        <v>0</v>
      </c>
      <c r="Q159" s="4" t="s">
        <v>26</v>
      </c>
      <c r="R159" s="4">
        <v>0</v>
      </c>
      <c r="S159" s="6">
        <v>0</v>
      </c>
      <c r="T159" s="6">
        <v>17</v>
      </c>
      <c r="U159" s="6">
        <v>78</v>
      </c>
      <c r="V159" s="6">
        <f>IF(ISERROR(VLOOKUP($S$159,'TAR FIN'!$A$1:$O$86,15,0)),0,VLOOKUP($S$159,'TAR FIN'!$A$1:$O$86,15,0))</f>
        <v>0</v>
      </c>
      <c r="W159" s="6">
        <f>IF(ISERROR(VLOOKUP($T$159,'TAR FIN'!$A$1:$O$86,15,0)),0,VLOOKUP($T$159,'TAR FIN'!$A$1:$O$86,15,0))</f>
        <v>71.260000000000005</v>
      </c>
      <c r="X159" s="6">
        <f>IF(ISERROR(VLOOKUP($U$159,'TAR FIN'!$A$1:$O$86,15,0)),0,VLOOKUP($U$159,'TAR FIN'!$A$1:$O$86,15,0))</f>
        <v>297.31</v>
      </c>
      <c r="Y159" s="6"/>
      <c r="Z159" s="6">
        <f ca="1">('TUSD BE'!$AM$12+'TUSD BF_350'!$AM$12+'TUSD CVA'!$AM$12)*1</f>
        <v>95.815448102611441</v>
      </c>
      <c r="AA159" s="6">
        <f ca="1">('TE BE'!$AB$6+'TE BF_350'!$AB$6+'TE CVA'!$AB$6)*1</f>
        <v>235.33989117487977</v>
      </c>
      <c r="AB159" s="6">
        <f>$K$159*$V$159</f>
        <v>0</v>
      </c>
      <c r="AC159" s="6">
        <f>$M$159*$W$159</f>
        <v>6191.7101400000001</v>
      </c>
      <c r="AD159" s="6">
        <f>$O$159*$X$159</f>
        <v>25832.96859</v>
      </c>
      <c r="AE159" s="6">
        <f>$K$159*$Y$159</f>
        <v>0</v>
      </c>
      <c r="AF159" s="6">
        <f ca="1">$M$159*$Z$159</f>
        <v>8325.3084701878051</v>
      </c>
      <c r="AG159" s="6">
        <f ca="1">$O$159*$AA$159</f>
        <v>20448.447804294126</v>
      </c>
    </row>
    <row r="160" spans="1:33" ht="11.25" customHeight="1" x14ac:dyDescent="0.25">
      <c r="A160" s="4" t="s">
        <v>21</v>
      </c>
      <c r="B160" s="4" t="s">
        <v>38</v>
      </c>
      <c r="C160" s="4" t="s">
        <v>39</v>
      </c>
      <c r="D160" s="4" t="s">
        <v>37</v>
      </c>
      <c r="E160" s="4" t="s">
        <v>25</v>
      </c>
      <c r="F160" s="4" t="s">
        <v>25</v>
      </c>
      <c r="G160" s="4" t="s">
        <v>25</v>
      </c>
      <c r="H160" s="4" t="s">
        <v>34</v>
      </c>
      <c r="I160" s="5">
        <v>44409</v>
      </c>
      <c r="J160" s="6">
        <v>0</v>
      </c>
      <c r="K160" s="6">
        <v>0</v>
      </c>
      <c r="L160" s="6">
        <v>806.63900000000001</v>
      </c>
      <c r="M160" s="6">
        <v>806.63900000000001</v>
      </c>
      <c r="N160" s="6">
        <v>806.63900000000001</v>
      </c>
      <c r="O160" s="6">
        <v>806.63900000000001</v>
      </c>
      <c r="P160" s="6">
        <v>0</v>
      </c>
      <c r="Q160" s="4" t="s">
        <v>26</v>
      </c>
      <c r="R160" s="4">
        <v>0</v>
      </c>
      <c r="S160" s="6">
        <v>0</v>
      </c>
      <c r="T160" s="6">
        <v>17</v>
      </c>
      <c r="U160" s="6">
        <v>78</v>
      </c>
      <c r="V160" s="6">
        <f>IF(ISERROR(VLOOKUP($S$160,'TAR FIN'!$A$1:$O$86,15,0)),0,VLOOKUP($S$160,'TAR FIN'!$A$1:$O$86,15,0))</f>
        <v>0</v>
      </c>
      <c r="W160" s="6">
        <f>IF(ISERROR(VLOOKUP($T$160,'TAR FIN'!$A$1:$O$86,15,0)),0,VLOOKUP($T$160,'TAR FIN'!$A$1:$O$86,15,0))</f>
        <v>71.260000000000005</v>
      </c>
      <c r="X160" s="6">
        <f>IF(ISERROR(VLOOKUP($U$160,'TAR FIN'!$A$1:$O$86,15,0)),0,VLOOKUP($U$160,'TAR FIN'!$A$1:$O$86,15,0))</f>
        <v>297.31</v>
      </c>
      <c r="Y160" s="6"/>
      <c r="Z160" s="6">
        <f ca="1">('TUSD BE'!$AM$12+'TUSD BF_350'!$AM$12+'TUSD CVA'!$AM$12)*1</f>
        <v>95.815448102611441</v>
      </c>
      <c r="AA160" s="6">
        <f ca="1">('TE BE'!$AB$6+'TE BF_350'!$AB$6+'TE CVA'!$AB$6)*1</f>
        <v>235.33989117487977</v>
      </c>
      <c r="AB160" s="6">
        <f>$K$160*$V$160</f>
        <v>0</v>
      </c>
      <c r="AC160" s="6">
        <f>$M$160*$W$160</f>
        <v>57481.095140000005</v>
      </c>
      <c r="AD160" s="6">
        <f>$O$160*$X$160</f>
        <v>239821.84109</v>
      </c>
      <c r="AE160" s="6">
        <f>$K$160*$Y$160</f>
        <v>0</v>
      </c>
      <c r="AF160" s="6">
        <f ca="1">$M$160*$Z$160</f>
        <v>77288.477242042398</v>
      </c>
      <c r="AG160" s="6">
        <f ca="1">$O$160*$AA$160</f>
        <v>189834.33447741385</v>
      </c>
    </row>
    <row r="161" spans="1:33" ht="11.25" customHeight="1" x14ac:dyDescent="0.25">
      <c r="A161" s="4" t="s">
        <v>27</v>
      </c>
      <c r="B161" s="4" t="s">
        <v>38</v>
      </c>
      <c r="C161" s="4" t="s">
        <v>39</v>
      </c>
      <c r="D161" s="4" t="s">
        <v>37</v>
      </c>
      <c r="E161" s="4" t="s">
        <v>25</v>
      </c>
      <c r="F161" s="4" t="s">
        <v>25</v>
      </c>
      <c r="G161" s="4" t="s">
        <v>25</v>
      </c>
      <c r="H161" s="4" t="s">
        <v>34</v>
      </c>
      <c r="I161" s="5">
        <v>44409</v>
      </c>
      <c r="J161" s="6">
        <v>0</v>
      </c>
      <c r="K161" s="6">
        <v>0</v>
      </c>
      <c r="L161" s="6">
        <v>78.623000000000005</v>
      </c>
      <c r="M161" s="6">
        <v>78.623000000000005</v>
      </c>
      <c r="N161" s="6">
        <v>78.623000000000005</v>
      </c>
      <c r="O161" s="6">
        <v>78.623000000000005</v>
      </c>
      <c r="P161" s="6">
        <v>0</v>
      </c>
      <c r="Q161" s="4" t="s">
        <v>26</v>
      </c>
      <c r="R161" s="4">
        <v>0</v>
      </c>
      <c r="S161" s="6">
        <v>0</v>
      </c>
      <c r="T161" s="6">
        <v>17</v>
      </c>
      <c r="U161" s="6">
        <v>78</v>
      </c>
      <c r="V161" s="6">
        <f>IF(ISERROR(VLOOKUP($S$161,'TAR FIN'!$A$1:$O$86,15,0)),0,VLOOKUP($S$161,'TAR FIN'!$A$1:$O$86,15,0))</f>
        <v>0</v>
      </c>
      <c r="W161" s="6">
        <f>IF(ISERROR(VLOOKUP($T$161,'TAR FIN'!$A$1:$O$86,15,0)),0,VLOOKUP($T$161,'TAR FIN'!$A$1:$O$86,15,0))</f>
        <v>71.260000000000005</v>
      </c>
      <c r="X161" s="6">
        <f>IF(ISERROR(VLOOKUP($U$161,'TAR FIN'!$A$1:$O$86,15,0)),0,VLOOKUP($U$161,'TAR FIN'!$A$1:$O$86,15,0))</f>
        <v>297.31</v>
      </c>
      <c r="Y161" s="6"/>
      <c r="Z161" s="6">
        <f ca="1">('TUSD BE'!$AM$12+'TUSD BF_350'!$AM$12+'TUSD CVA'!$AM$12)*1</f>
        <v>95.815448102611441</v>
      </c>
      <c r="AA161" s="6">
        <f ca="1">('TE BE'!$AB$6+'TE BF_350'!$AB$6+'TE CVA'!$AB$6)*1</f>
        <v>235.33989117487977</v>
      </c>
      <c r="AB161" s="6">
        <f>$K$161*$V$161</f>
        <v>0</v>
      </c>
      <c r="AC161" s="6">
        <f>$M$161*$W$161</f>
        <v>5602.6749800000007</v>
      </c>
      <c r="AD161" s="6">
        <f>$O$161*$X$161</f>
        <v>23375.404130000003</v>
      </c>
      <c r="AE161" s="6">
        <f>$K$161*$Y$161</f>
        <v>0</v>
      </c>
      <c r="AF161" s="6">
        <f ca="1">$M$161*$Z$161</f>
        <v>7533.2979761716197</v>
      </c>
      <c r="AG161" s="6">
        <f ca="1">$O$161*$AA$161</f>
        <v>18503.128263842573</v>
      </c>
    </row>
    <row r="162" spans="1:33" ht="11.25" customHeight="1" x14ac:dyDescent="0.25">
      <c r="A162" s="4" t="s">
        <v>21</v>
      </c>
      <c r="B162" s="4" t="s">
        <v>38</v>
      </c>
      <c r="C162" s="4" t="s">
        <v>39</v>
      </c>
      <c r="D162" s="4" t="s">
        <v>37</v>
      </c>
      <c r="E162" s="4" t="s">
        <v>25</v>
      </c>
      <c r="F162" s="4" t="s">
        <v>25</v>
      </c>
      <c r="G162" s="4" t="s">
        <v>25</v>
      </c>
      <c r="H162" s="4" t="s">
        <v>34</v>
      </c>
      <c r="I162" s="5">
        <v>44440</v>
      </c>
      <c r="J162" s="6">
        <v>0</v>
      </c>
      <c r="K162" s="6">
        <v>0</v>
      </c>
      <c r="L162" s="6">
        <v>779.10400000000004</v>
      </c>
      <c r="M162" s="6">
        <v>779.10400000000004</v>
      </c>
      <c r="N162" s="6">
        <v>779.10400000000004</v>
      </c>
      <c r="O162" s="6">
        <v>779.10400000000004</v>
      </c>
      <c r="P162" s="6">
        <v>0</v>
      </c>
      <c r="Q162" s="4" t="s">
        <v>26</v>
      </c>
      <c r="R162" s="4">
        <v>0</v>
      </c>
      <c r="S162" s="6">
        <v>0</v>
      </c>
      <c r="T162" s="6">
        <v>17</v>
      </c>
      <c r="U162" s="6">
        <v>78</v>
      </c>
      <c r="V162" s="6">
        <f>IF(ISERROR(VLOOKUP($S$162,'TAR FIN'!$A$1:$O$86,15,0)),0,VLOOKUP($S$162,'TAR FIN'!$A$1:$O$86,15,0))</f>
        <v>0</v>
      </c>
      <c r="W162" s="6">
        <f>IF(ISERROR(VLOOKUP($T$162,'TAR FIN'!$A$1:$O$86,15,0)),0,VLOOKUP($T$162,'TAR FIN'!$A$1:$O$86,15,0))</f>
        <v>71.260000000000005</v>
      </c>
      <c r="X162" s="6">
        <f>IF(ISERROR(VLOOKUP($U$162,'TAR FIN'!$A$1:$O$86,15,0)),0,VLOOKUP($U$162,'TAR FIN'!$A$1:$O$86,15,0))</f>
        <v>297.31</v>
      </c>
      <c r="Y162" s="6"/>
      <c r="Z162" s="6">
        <f ca="1">('TUSD BE'!$AM$12+'TUSD BF_350'!$AM$12+'TUSD CVA'!$AM$12)*1</f>
        <v>95.815448102611441</v>
      </c>
      <c r="AA162" s="6">
        <f ca="1">('TE BE'!$AB$6+'TE BF_350'!$AB$6+'TE CVA'!$AB$6)*1</f>
        <v>235.33989117487977</v>
      </c>
      <c r="AB162" s="6">
        <f>$K$162*$V$162</f>
        <v>0</v>
      </c>
      <c r="AC162" s="6">
        <f>$M$162*$W$162</f>
        <v>55518.951040000007</v>
      </c>
      <c r="AD162" s="6">
        <f>$O$162*$X$162</f>
        <v>231635.41024000003</v>
      </c>
      <c r="AE162" s="6">
        <f>$K$162*$Y$162</f>
        <v>0</v>
      </c>
      <c r="AF162" s="6">
        <f ca="1">$M$162*$Z$162</f>
        <v>74650.19887853699</v>
      </c>
      <c r="AG162" s="6">
        <f ca="1">$O$162*$AA$162</f>
        <v>183354.25057391354</v>
      </c>
    </row>
    <row r="163" spans="1:33" ht="11.25" customHeight="1" x14ac:dyDescent="0.25">
      <c r="A163" s="4" t="s">
        <v>27</v>
      </c>
      <c r="B163" s="4" t="s">
        <v>38</v>
      </c>
      <c r="C163" s="4" t="s">
        <v>39</v>
      </c>
      <c r="D163" s="4" t="s">
        <v>37</v>
      </c>
      <c r="E163" s="4" t="s">
        <v>25</v>
      </c>
      <c r="F163" s="4" t="s">
        <v>25</v>
      </c>
      <c r="G163" s="4" t="s">
        <v>25</v>
      </c>
      <c r="H163" s="4" t="s">
        <v>34</v>
      </c>
      <c r="I163" s="5">
        <v>44440</v>
      </c>
      <c r="J163" s="6">
        <v>0</v>
      </c>
      <c r="K163" s="6">
        <v>0</v>
      </c>
      <c r="L163" s="6">
        <v>67.760999999999996</v>
      </c>
      <c r="M163" s="6">
        <v>67.760999999999996</v>
      </c>
      <c r="N163" s="6">
        <v>67.760999999999996</v>
      </c>
      <c r="O163" s="6">
        <v>67.760999999999996</v>
      </c>
      <c r="P163" s="6">
        <v>0</v>
      </c>
      <c r="Q163" s="4" t="s">
        <v>26</v>
      </c>
      <c r="R163" s="4">
        <v>0</v>
      </c>
      <c r="S163" s="6">
        <v>0</v>
      </c>
      <c r="T163" s="6">
        <v>17</v>
      </c>
      <c r="U163" s="6">
        <v>78</v>
      </c>
      <c r="V163" s="6">
        <f>IF(ISERROR(VLOOKUP($S$163,'TAR FIN'!$A$1:$O$86,15,0)),0,VLOOKUP($S$163,'TAR FIN'!$A$1:$O$86,15,0))</f>
        <v>0</v>
      </c>
      <c r="W163" s="6">
        <f>IF(ISERROR(VLOOKUP($T$163,'TAR FIN'!$A$1:$O$86,15,0)),0,VLOOKUP($T$163,'TAR FIN'!$A$1:$O$86,15,0))</f>
        <v>71.260000000000005</v>
      </c>
      <c r="X163" s="6">
        <f>IF(ISERROR(VLOOKUP($U$163,'TAR FIN'!$A$1:$O$86,15,0)),0,VLOOKUP($U$163,'TAR FIN'!$A$1:$O$86,15,0))</f>
        <v>297.31</v>
      </c>
      <c r="Y163" s="6"/>
      <c r="Z163" s="6">
        <f ca="1">('TUSD BE'!$AM$12+'TUSD BF_350'!$AM$12+'TUSD CVA'!$AM$12)*1</f>
        <v>95.815448102611441</v>
      </c>
      <c r="AA163" s="6">
        <f ca="1">('TE BE'!$AB$6+'TE BF_350'!$AB$6+'TE CVA'!$AB$6)*1</f>
        <v>235.33989117487977</v>
      </c>
      <c r="AB163" s="6">
        <f>$K$163*$V$163</f>
        <v>0</v>
      </c>
      <c r="AC163" s="6">
        <f>$M$163*$W$163</f>
        <v>4828.6488600000002</v>
      </c>
      <c r="AD163" s="6">
        <f>$O$163*$X$163</f>
        <v>20146.02291</v>
      </c>
      <c r="AE163" s="6">
        <f>$K$163*$Y$163</f>
        <v>0</v>
      </c>
      <c r="AF163" s="6">
        <f ca="1">$M$163*$Z$163</f>
        <v>6492.5505788810533</v>
      </c>
      <c r="AG163" s="6">
        <f ca="1">$O$163*$AA$163</f>
        <v>15946.866365901027</v>
      </c>
    </row>
    <row r="164" spans="1:33" ht="11.25" customHeight="1" x14ac:dyDescent="0.25">
      <c r="A164" s="4" t="s">
        <v>21</v>
      </c>
      <c r="B164" s="4" t="s">
        <v>38</v>
      </c>
      <c r="C164" s="4" t="s">
        <v>39</v>
      </c>
      <c r="D164" s="4" t="s">
        <v>37</v>
      </c>
      <c r="E164" s="4" t="s">
        <v>25</v>
      </c>
      <c r="F164" s="4" t="s">
        <v>25</v>
      </c>
      <c r="G164" s="4" t="s">
        <v>25</v>
      </c>
      <c r="H164" s="4" t="s">
        <v>34</v>
      </c>
      <c r="I164" s="5">
        <v>44470</v>
      </c>
      <c r="J164" s="6">
        <v>0</v>
      </c>
      <c r="K164" s="6">
        <v>0</v>
      </c>
      <c r="L164" s="6">
        <v>797.78599999999994</v>
      </c>
      <c r="M164" s="6">
        <v>797.78599999999994</v>
      </c>
      <c r="N164" s="6">
        <v>797.78599999999994</v>
      </c>
      <c r="O164" s="6">
        <v>797.78599999999994</v>
      </c>
      <c r="P164" s="6">
        <v>0</v>
      </c>
      <c r="Q164" s="4" t="s">
        <v>26</v>
      </c>
      <c r="R164" s="4">
        <v>0</v>
      </c>
      <c r="S164" s="6">
        <v>0</v>
      </c>
      <c r="T164" s="6">
        <v>17</v>
      </c>
      <c r="U164" s="6">
        <v>78</v>
      </c>
      <c r="V164" s="6">
        <f>IF(ISERROR(VLOOKUP($S$164,'TAR FIN'!$A$1:$O$86,15,0)),0,VLOOKUP($S$164,'TAR FIN'!$A$1:$O$86,15,0))</f>
        <v>0</v>
      </c>
      <c r="W164" s="6">
        <f>IF(ISERROR(VLOOKUP($T$164,'TAR FIN'!$A$1:$O$86,15,0)),0,VLOOKUP($T$164,'TAR FIN'!$A$1:$O$86,15,0))</f>
        <v>71.260000000000005</v>
      </c>
      <c r="X164" s="6">
        <f>IF(ISERROR(VLOOKUP($U$164,'TAR FIN'!$A$1:$O$86,15,0)),0,VLOOKUP($U$164,'TAR FIN'!$A$1:$O$86,15,0))</f>
        <v>297.31</v>
      </c>
      <c r="Y164" s="6"/>
      <c r="Z164" s="6">
        <f ca="1">('TUSD BE'!$AM$12+'TUSD BF_350'!$AM$12+'TUSD CVA'!$AM$12)*1</f>
        <v>95.815448102611441</v>
      </c>
      <c r="AA164" s="6">
        <f ca="1">('TE BE'!$AB$6+'TE BF_350'!$AB$6+'TE CVA'!$AB$6)*1</f>
        <v>235.33989117487977</v>
      </c>
      <c r="AB164" s="6">
        <f>$K$164*$V$164</f>
        <v>0</v>
      </c>
      <c r="AC164" s="6">
        <f>$M$164*$W$164</f>
        <v>56850.230360000001</v>
      </c>
      <c r="AD164" s="6">
        <f>$O$164*$X$164</f>
        <v>237189.75566</v>
      </c>
      <c r="AE164" s="6">
        <f>$K$164*$Y$164</f>
        <v>0</v>
      </c>
      <c r="AF164" s="6">
        <f ca="1">$M$164*$Z$164</f>
        <v>76440.22307998997</v>
      </c>
      <c r="AG164" s="6">
        <f ca="1">$O$164*$AA$164</f>
        <v>187750.87042084261</v>
      </c>
    </row>
    <row r="165" spans="1:33" ht="11.25" customHeight="1" x14ac:dyDescent="0.25">
      <c r="A165" s="4" t="s">
        <v>27</v>
      </c>
      <c r="B165" s="4" t="s">
        <v>38</v>
      </c>
      <c r="C165" s="4" t="s">
        <v>39</v>
      </c>
      <c r="D165" s="4" t="s">
        <v>37</v>
      </c>
      <c r="E165" s="4" t="s">
        <v>25</v>
      </c>
      <c r="F165" s="4" t="s">
        <v>25</v>
      </c>
      <c r="G165" s="4" t="s">
        <v>25</v>
      </c>
      <c r="H165" s="4" t="s">
        <v>34</v>
      </c>
      <c r="I165" s="5">
        <v>44470</v>
      </c>
      <c r="J165" s="6">
        <v>0</v>
      </c>
      <c r="K165" s="6">
        <v>0</v>
      </c>
      <c r="L165" s="6">
        <v>34.271000000000001</v>
      </c>
      <c r="M165" s="6">
        <v>34.271000000000001</v>
      </c>
      <c r="N165" s="6">
        <v>34.271000000000001</v>
      </c>
      <c r="O165" s="6">
        <v>34.271000000000001</v>
      </c>
      <c r="P165" s="6">
        <v>0</v>
      </c>
      <c r="Q165" s="4" t="s">
        <v>26</v>
      </c>
      <c r="R165" s="4">
        <v>0</v>
      </c>
      <c r="S165" s="6">
        <v>0</v>
      </c>
      <c r="T165" s="6">
        <v>17</v>
      </c>
      <c r="U165" s="6">
        <v>78</v>
      </c>
      <c r="V165" s="6">
        <f>IF(ISERROR(VLOOKUP($S$165,'TAR FIN'!$A$1:$O$86,15,0)),0,VLOOKUP($S$165,'TAR FIN'!$A$1:$O$86,15,0))</f>
        <v>0</v>
      </c>
      <c r="W165" s="6">
        <f>IF(ISERROR(VLOOKUP($T$165,'TAR FIN'!$A$1:$O$86,15,0)),0,VLOOKUP($T$165,'TAR FIN'!$A$1:$O$86,15,0))</f>
        <v>71.260000000000005</v>
      </c>
      <c r="X165" s="6">
        <f>IF(ISERROR(VLOOKUP($U$165,'TAR FIN'!$A$1:$O$86,15,0)),0,VLOOKUP($U$165,'TAR FIN'!$A$1:$O$86,15,0))</f>
        <v>297.31</v>
      </c>
      <c r="Y165" s="6"/>
      <c r="Z165" s="6">
        <f ca="1">('TUSD BE'!$AM$12+'TUSD BF_350'!$AM$12+'TUSD CVA'!$AM$12)*1</f>
        <v>95.815448102611441</v>
      </c>
      <c r="AA165" s="6">
        <f ca="1">('TE BE'!$AB$6+'TE BF_350'!$AB$6+'TE CVA'!$AB$6)*1</f>
        <v>235.33989117487977</v>
      </c>
      <c r="AB165" s="6">
        <f>$K$165*$V$165</f>
        <v>0</v>
      </c>
      <c r="AC165" s="6">
        <f>$M$165*$W$165</f>
        <v>2442.15146</v>
      </c>
      <c r="AD165" s="6">
        <f>$O$165*$X$165</f>
        <v>10189.111010000001</v>
      </c>
      <c r="AE165" s="6">
        <f>$K$165*$Y$165</f>
        <v>0</v>
      </c>
      <c r="AF165" s="6">
        <f ca="1">$M$165*$Z$165</f>
        <v>3283.6912219245969</v>
      </c>
      <c r="AG165" s="6">
        <f ca="1">$O$165*$AA$165</f>
        <v>8065.3334104543046</v>
      </c>
    </row>
    <row r="166" spans="1:33" ht="11.25" customHeight="1" x14ac:dyDescent="0.25">
      <c r="A166" s="4" t="s">
        <v>21</v>
      </c>
      <c r="B166" s="4" t="s">
        <v>38</v>
      </c>
      <c r="C166" s="4" t="s">
        <v>39</v>
      </c>
      <c r="D166" s="4" t="s">
        <v>37</v>
      </c>
      <c r="E166" s="4" t="s">
        <v>25</v>
      </c>
      <c r="F166" s="4" t="s">
        <v>25</v>
      </c>
      <c r="G166" s="4" t="s">
        <v>25</v>
      </c>
      <c r="H166" s="4" t="s">
        <v>34</v>
      </c>
      <c r="I166" s="5">
        <v>44501</v>
      </c>
      <c r="J166" s="6">
        <v>0</v>
      </c>
      <c r="K166" s="6">
        <v>0</v>
      </c>
      <c r="L166" s="6">
        <v>666.92700000000002</v>
      </c>
      <c r="M166" s="6">
        <v>666.92700000000002</v>
      </c>
      <c r="N166" s="6">
        <v>666.92700000000002</v>
      </c>
      <c r="O166" s="6">
        <v>666.92700000000002</v>
      </c>
      <c r="P166" s="6">
        <v>0</v>
      </c>
      <c r="Q166" s="4" t="s">
        <v>26</v>
      </c>
      <c r="R166" s="4">
        <v>0</v>
      </c>
      <c r="S166" s="6">
        <v>0</v>
      </c>
      <c r="T166" s="6">
        <v>17</v>
      </c>
      <c r="U166" s="6">
        <v>78</v>
      </c>
      <c r="V166" s="6">
        <f>IF(ISERROR(VLOOKUP($S$166,'TAR FIN'!$A$1:$O$86,15,0)),0,VLOOKUP($S$166,'TAR FIN'!$A$1:$O$86,15,0))</f>
        <v>0</v>
      </c>
      <c r="W166" s="6">
        <f>IF(ISERROR(VLOOKUP($T$166,'TAR FIN'!$A$1:$O$86,15,0)),0,VLOOKUP($T$166,'TAR FIN'!$A$1:$O$86,15,0))</f>
        <v>71.260000000000005</v>
      </c>
      <c r="X166" s="6">
        <f>IF(ISERROR(VLOOKUP($U$166,'TAR FIN'!$A$1:$O$86,15,0)),0,VLOOKUP($U$166,'TAR FIN'!$A$1:$O$86,15,0))</f>
        <v>297.31</v>
      </c>
      <c r="Y166" s="6"/>
      <c r="Z166" s="6">
        <f ca="1">('TUSD BE'!$AM$12+'TUSD BF_350'!$AM$12+'TUSD CVA'!$AM$12)*1</f>
        <v>95.815448102611441</v>
      </c>
      <c r="AA166" s="6">
        <f ca="1">('TE BE'!$AB$6+'TE BF_350'!$AB$6+'TE CVA'!$AB$6)*1</f>
        <v>235.33989117487977</v>
      </c>
      <c r="AB166" s="6">
        <f>$K$166*$V$166</f>
        <v>0</v>
      </c>
      <c r="AC166" s="6">
        <f>$M$166*$W$166</f>
        <v>47525.218020000008</v>
      </c>
      <c r="AD166" s="6">
        <f>$O$166*$X$166</f>
        <v>198284.06637000002</v>
      </c>
      <c r="AE166" s="6">
        <f>$K$166*$Y$166</f>
        <v>0</v>
      </c>
      <c r="AF166" s="6">
        <f ca="1">$M$166*$Z$166</f>
        <v>63901.909356730343</v>
      </c>
      <c r="AG166" s="6">
        <f ca="1">$O$166*$AA$166</f>
        <v>156954.52760158904</v>
      </c>
    </row>
    <row r="167" spans="1:33" ht="11.25" customHeight="1" x14ac:dyDescent="0.25">
      <c r="A167" s="4" t="s">
        <v>27</v>
      </c>
      <c r="B167" s="4" t="s">
        <v>38</v>
      </c>
      <c r="C167" s="4" t="s">
        <v>39</v>
      </c>
      <c r="D167" s="4" t="s">
        <v>37</v>
      </c>
      <c r="E167" s="4" t="s">
        <v>25</v>
      </c>
      <c r="F167" s="4" t="s">
        <v>25</v>
      </c>
      <c r="G167" s="4" t="s">
        <v>25</v>
      </c>
      <c r="H167" s="4" t="s">
        <v>34</v>
      </c>
      <c r="I167" s="5">
        <v>44501</v>
      </c>
      <c r="J167" s="6">
        <v>0</v>
      </c>
      <c r="K167" s="6">
        <v>0</v>
      </c>
      <c r="L167" s="6">
        <v>48.011000000000003</v>
      </c>
      <c r="M167" s="6">
        <v>48.011000000000003</v>
      </c>
      <c r="N167" s="6">
        <v>48.011000000000003</v>
      </c>
      <c r="O167" s="6">
        <v>48.011000000000003</v>
      </c>
      <c r="P167" s="6">
        <v>0</v>
      </c>
      <c r="Q167" s="4" t="s">
        <v>26</v>
      </c>
      <c r="R167" s="4">
        <v>0</v>
      </c>
      <c r="S167" s="6">
        <v>0</v>
      </c>
      <c r="T167" s="6">
        <v>17</v>
      </c>
      <c r="U167" s="6">
        <v>78</v>
      </c>
      <c r="V167" s="6">
        <f>IF(ISERROR(VLOOKUP($S$167,'TAR FIN'!$A$1:$O$86,15,0)),0,VLOOKUP($S$167,'TAR FIN'!$A$1:$O$86,15,0))</f>
        <v>0</v>
      </c>
      <c r="W167" s="6">
        <f>IF(ISERROR(VLOOKUP($T$167,'TAR FIN'!$A$1:$O$86,15,0)),0,VLOOKUP($T$167,'TAR FIN'!$A$1:$O$86,15,0))</f>
        <v>71.260000000000005</v>
      </c>
      <c r="X167" s="6">
        <f>IF(ISERROR(VLOOKUP($U$167,'TAR FIN'!$A$1:$O$86,15,0)),0,VLOOKUP($U$167,'TAR FIN'!$A$1:$O$86,15,0))</f>
        <v>297.31</v>
      </c>
      <c r="Y167" s="6"/>
      <c r="Z167" s="6">
        <f ca="1">('TUSD BE'!$AM$12+'TUSD BF_350'!$AM$12+'TUSD CVA'!$AM$12)*1</f>
        <v>95.815448102611441</v>
      </c>
      <c r="AA167" s="6">
        <f ca="1">('TE BE'!$AB$6+'TE BF_350'!$AB$6+'TE CVA'!$AB$6)*1</f>
        <v>235.33989117487977</v>
      </c>
      <c r="AB167" s="6">
        <f>$K$167*$V$167</f>
        <v>0</v>
      </c>
      <c r="AC167" s="6">
        <f>$M$167*$W$167</f>
        <v>3421.2638600000005</v>
      </c>
      <c r="AD167" s="6">
        <f>$O$167*$X$167</f>
        <v>14274.15041</v>
      </c>
      <c r="AE167" s="6">
        <f>$K$167*$Y$167</f>
        <v>0</v>
      </c>
      <c r="AF167" s="6">
        <f ca="1">$M$167*$Z$167</f>
        <v>4600.1954788544781</v>
      </c>
      <c r="AG167" s="6">
        <f ca="1">$O$167*$AA$167</f>
        <v>11298.903515197153</v>
      </c>
    </row>
    <row r="168" spans="1:33" ht="11.25" customHeight="1" x14ac:dyDescent="0.25">
      <c r="A168" s="4" t="s">
        <v>21</v>
      </c>
      <c r="B168" s="4" t="s">
        <v>38</v>
      </c>
      <c r="C168" s="4" t="s">
        <v>39</v>
      </c>
      <c r="D168" s="4" t="s">
        <v>37</v>
      </c>
      <c r="E168" s="4" t="s">
        <v>25</v>
      </c>
      <c r="F168" s="4" t="s">
        <v>25</v>
      </c>
      <c r="G168" s="4" t="s">
        <v>25</v>
      </c>
      <c r="H168" s="4" t="s">
        <v>34</v>
      </c>
      <c r="I168" s="5">
        <v>44531</v>
      </c>
      <c r="J168" s="6">
        <v>0</v>
      </c>
      <c r="K168" s="6">
        <v>0</v>
      </c>
      <c r="L168" s="6">
        <v>649.78300000000002</v>
      </c>
      <c r="M168" s="6">
        <v>649.78300000000002</v>
      </c>
      <c r="N168" s="6">
        <v>649.78300000000002</v>
      </c>
      <c r="O168" s="6">
        <v>649.78300000000002</v>
      </c>
      <c r="P168" s="6">
        <v>0</v>
      </c>
      <c r="Q168" s="4" t="s">
        <v>26</v>
      </c>
      <c r="R168" s="4">
        <v>0</v>
      </c>
      <c r="S168" s="6">
        <v>0</v>
      </c>
      <c r="T168" s="6">
        <v>17</v>
      </c>
      <c r="U168" s="6">
        <v>78</v>
      </c>
      <c r="V168" s="6">
        <f>IF(ISERROR(VLOOKUP($S$168,'TAR FIN'!$A$1:$O$86,15,0)),0,VLOOKUP($S$168,'TAR FIN'!$A$1:$O$86,15,0))</f>
        <v>0</v>
      </c>
      <c r="W168" s="6">
        <f>IF(ISERROR(VLOOKUP($T$168,'TAR FIN'!$A$1:$O$86,15,0)),0,VLOOKUP($T$168,'TAR FIN'!$A$1:$O$86,15,0))</f>
        <v>71.260000000000005</v>
      </c>
      <c r="X168" s="6">
        <f>IF(ISERROR(VLOOKUP($U$168,'TAR FIN'!$A$1:$O$86,15,0)),0,VLOOKUP($U$168,'TAR FIN'!$A$1:$O$86,15,0))</f>
        <v>297.31</v>
      </c>
      <c r="Y168" s="6"/>
      <c r="Z168" s="6">
        <f ca="1">('TUSD BE'!$AM$12+'TUSD BF_350'!$AM$12+'TUSD CVA'!$AM$12)*1</f>
        <v>95.815448102611441</v>
      </c>
      <c r="AA168" s="6">
        <f ca="1">('TE BE'!$AB$6+'TE BF_350'!$AB$6+'TE CVA'!$AB$6)*1</f>
        <v>235.33989117487977</v>
      </c>
      <c r="AB168" s="6">
        <f>$K$168*$V$168</f>
        <v>0</v>
      </c>
      <c r="AC168" s="6">
        <f>$M$168*$W$168</f>
        <v>46303.536580000007</v>
      </c>
      <c r="AD168" s="6">
        <f>$O$168*$X$168</f>
        <v>193186.98373000001</v>
      </c>
      <c r="AE168" s="6">
        <f>$K$168*$Y$168</f>
        <v>0</v>
      </c>
      <c r="AF168" s="6">
        <f ca="1">$M$168*$Z$168</f>
        <v>62259.249314459172</v>
      </c>
      <c r="AG168" s="6">
        <f ca="1">$O$168*$AA$168</f>
        <v>152919.86050728691</v>
      </c>
    </row>
    <row r="169" spans="1:33" ht="11.25" customHeight="1" x14ac:dyDescent="0.25">
      <c r="A169" s="4" t="s">
        <v>27</v>
      </c>
      <c r="B169" s="4" t="s">
        <v>38</v>
      </c>
      <c r="C169" s="4" t="s">
        <v>39</v>
      </c>
      <c r="D169" s="4" t="s">
        <v>37</v>
      </c>
      <c r="E169" s="4" t="s">
        <v>25</v>
      </c>
      <c r="F169" s="4" t="s">
        <v>25</v>
      </c>
      <c r="G169" s="4" t="s">
        <v>25</v>
      </c>
      <c r="H169" s="4" t="s">
        <v>34</v>
      </c>
      <c r="I169" s="5">
        <v>44531</v>
      </c>
      <c r="J169" s="6">
        <v>0</v>
      </c>
      <c r="K169" s="6">
        <v>0</v>
      </c>
      <c r="L169" s="6">
        <v>44.158999999999999</v>
      </c>
      <c r="M169" s="6">
        <v>44.158999999999999</v>
      </c>
      <c r="N169" s="6">
        <v>44.158999999999999</v>
      </c>
      <c r="O169" s="6">
        <v>44.158999999999999</v>
      </c>
      <c r="P169" s="6">
        <v>0</v>
      </c>
      <c r="Q169" s="4" t="s">
        <v>26</v>
      </c>
      <c r="R169" s="4">
        <v>0</v>
      </c>
      <c r="S169" s="6">
        <v>0</v>
      </c>
      <c r="T169" s="6">
        <v>17</v>
      </c>
      <c r="U169" s="6">
        <v>78</v>
      </c>
      <c r="V169" s="6">
        <f>IF(ISERROR(VLOOKUP($S$169,'TAR FIN'!$A$1:$O$86,15,0)),0,VLOOKUP($S$169,'TAR FIN'!$A$1:$O$86,15,0))</f>
        <v>0</v>
      </c>
      <c r="W169" s="6">
        <f>IF(ISERROR(VLOOKUP($T$169,'TAR FIN'!$A$1:$O$86,15,0)),0,VLOOKUP($T$169,'TAR FIN'!$A$1:$O$86,15,0))</f>
        <v>71.260000000000005</v>
      </c>
      <c r="X169" s="6">
        <f>IF(ISERROR(VLOOKUP($U$169,'TAR FIN'!$A$1:$O$86,15,0)),0,VLOOKUP($U$169,'TAR FIN'!$A$1:$O$86,15,0))</f>
        <v>297.31</v>
      </c>
      <c r="Y169" s="6"/>
      <c r="Z169" s="6">
        <f ca="1">('TUSD BE'!$AM$12+'TUSD BF_350'!$AM$12+'TUSD CVA'!$AM$12)*1</f>
        <v>95.815448102611441</v>
      </c>
      <c r="AA169" s="6">
        <f ca="1">('TE BE'!$AB$6+'TE BF_350'!$AB$6+'TE CVA'!$AB$6)*1</f>
        <v>235.33989117487977</v>
      </c>
      <c r="AB169" s="6">
        <f>$K$169*$V$169</f>
        <v>0</v>
      </c>
      <c r="AC169" s="6">
        <f>$M$169*$W$169</f>
        <v>3146.77034</v>
      </c>
      <c r="AD169" s="6">
        <f>$O$169*$X$169</f>
        <v>13128.91229</v>
      </c>
      <c r="AE169" s="6">
        <f>$K$169*$Y$169</f>
        <v>0</v>
      </c>
      <c r="AF169" s="6">
        <f ca="1">$M$169*$Z$169</f>
        <v>4231.1143727632189</v>
      </c>
      <c r="AG169" s="6">
        <f ca="1">$O$169*$AA$169</f>
        <v>10392.374254391516</v>
      </c>
    </row>
    <row r="170" spans="1:33" ht="11.25" customHeight="1" x14ac:dyDescent="0.25">
      <c r="A170" s="4" t="s">
        <v>21</v>
      </c>
      <c r="B170" s="4" t="s">
        <v>38</v>
      </c>
      <c r="C170" s="4" t="s">
        <v>39</v>
      </c>
      <c r="D170" s="4" t="s">
        <v>37</v>
      </c>
      <c r="E170" s="4" t="s">
        <v>25</v>
      </c>
      <c r="F170" s="4" t="s">
        <v>25</v>
      </c>
      <c r="G170" s="4" t="s">
        <v>25</v>
      </c>
      <c r="H170" s="4" t="s">
        <v>34</v>
      </c>
      <c r="I170" s="5">
        <v>44562</v>
      </c>
      <c r="J170" s="6">
        <v>0</v>
      </c>
      <c r="K170" s="6">
        <v>0</v>
      </c>
      <c r="L170" s="6">
        <v>573.60400000000004</v>
      </c>
      <c r="M170" s="6">
        <v>573.60400000000004</v>
      </c>
      <c r="N170" s="6">
        <v>573.60400000000004</v>
      </c>
      <c r="O170" s="6">
        <v>573.60400000000004</v>
      </c>
      <c r="P170" s="6">
        <v>0</v>
      </c>
      <c r="Q170" s="4" t="s">
        <v>26</v>
      </c>
      <c r="R170" s="4">
        <v>0</v>
      </c>
      <c r="S170" s="6">
        <v>0</v>
      </c>
      <c r="T170" s="6">
        <v>17</v>
      </c>
      <c r="U170" s="6">
        <v>78</v>
      </c>
      <c r="V170" s="6">
        <f>IF(ISERROR(VLOOKUP($S$170,'TAR FIN'!$A$1:$O$86,15,0)),0,VLOOKUP($S$170,'TAR FIN'!$A$1:$O$86,15,0))</f>
        <v>0</v>
      </c>
      <c r="W170" s="6">
        <f>IF(ISERROR(VLOOKUP($T$170,'TAR FIN'!$A$1:$O$86,15,0)),0,VLOOKUP($T$170,'TAR FIN'!$A$1:$O$86,15,0))</f>
        <v>71.260000000000005</v>
      </c>
      <c r="X170" s="6">
        <f>IF(ISERROR(VLOOKUP($U$170,'TAR FIN'!$A$1:$O$86,15,0)),0,VLOOKUP($U$170,'TAR FIN'!$A$1:$O$86,15,0))</f>
        <v>297.31</v>
      </c>
      <c r="Y170" s="6"/>
      <c r="Z170" s="6">
        <f ca="1">('TUSD BE'!$AM$12+'TUSD BF_350'!$AM$12+'TUSD CVA'!$AM$12)*1</f>
        <v>95.815448102611441</v>
      </c>
      <c r="AA170" s="6">
        <f ca="1">('TE BE'!$AB$6+'TE BF_350'!$AB$6+'TE CVA'!$AB$6)*1</f>
        <v>235.33989117487977</v>
      </c>
      <c r="AB170" s="6">
        <f>$K$170*$V$170</f>
        <v>0</v>
      </c>
      <c r="AC170" s="6">
        <f>$M$170*$W$170</f>
        <v>40875.021040000007</v>
      </c>
      <c r="AD170" s="6">
        <f>$O$170*$X$170</f>
        <v>170538.20524000001</v>
      </c>
      <c r="AE170" s="6">
        <f>$K$170*$Y$170</f>
        <v>0</v>
      </c>
      <c r="AF170" s="6">
        <f ca="1">$M$170*$Z$170</f>
        <v>54960.124293450339</v>
      </c>
      <c r="AG170" s="6">
        <f ca="1">$O$170*$AA$170</f>
        <v>134991.90293747574</v>
      </c>
    </row>
    <row r="171" spans="1:33" ht="11.25" customHeight="1" x14ac:dyDescent="0.25">
      <c r="A171" s="4" t="s">
        <v>27</v>
      </c>
      <c r="B171" s="4" t="s">
        <v>38</v>
      </c>
      <c r="C171" s="4" t="s">
        <v>39</v>
      </c>
      <c r="D171" s="4" t="s">
        <v>37</v>
      </c>
      <c r="E171" s="4" t="s">
        <v>25</v>
      </c>
      <c r="F171" s="4" t="s">
        <v>25</v>
      </c>
      <c r="G171" s="4" t="s">
        <v>25</v>
      </c>
      <c r="H171" s="4" t="s">
        <v>34</v>
      </c>
      <c r="I171" s="5">
        <v>44562</v>
      </c>
      <c r="J171" s="6">
        <v>0</v>
      </c>
      <c r="K171" s="6">
        <v>0</v>
      </c>
      <c r="L171" s="6">
        <v>52.064</v>
      </c>
      <c r="M171" s="6">
        <v>52.064</v>
      </c>
      <c r="N171" s="6">
        <v>52.064</v>
      </c>
      <c r="O171" s="6">
        <v>52.064</v>
      </c>
      <c r="P171" s="6">
        <v>0</v>
      </c>
      <c r="Q171" s="4" t="s">
        <v>26</v>
      </c>
      <c r="R171" s="4">
        <v>0</v>
      </c>
      <c r="S171" s="6">
        <v>0</v>
      </c>
      <c r="T171" s="6">
        <v>17</v>
      </c>
      <c r="U171" s="6">
        <v>78</v>
      </c>
      <c r="V171" s="6">
        <f>IF(ISERROR(VLOOKUP($S$171,'TAR FIN'!$A$1:$O$86,15,0)),0,VLOOKUP($S$171,'TAR FIN'!$A$1:$O$86,15,0))</f>
        <v>0</v>
      </c>
      <c r="W171" s="6">
        <f>IF(ISERROR(VLOOKUP($T$171,'TAR FIN'!$A$1:$O$86,15,0)),0,VLOOKUP($T$171,'TAR FIN'!$A$1:$O$86,15,0))</f>
        <v>71.260000000000005</v>
      </c>
      <c r="X171" s="6">
        <f>IF(ISERROR(VLOOKUP($U$171,'TAR FIN'!$A$1:$O$86,15,0)),0,VLOOKUP($U$171,'TAR FIN'!$A$1:$O$86,15,0))</f>
        <v>297.31</v>
      </c>
      <c r="Y171" s="6"/>
      <c r="Z171" s="6">
        <f ca="1">('TUSD BE'!$AM$12+'TUSD BF_350'!$AM$12+'TUSD CVA'!$AM$12)*1</f>
        <v>95.815448102611441</v>
      </c>
      <c r="AA171" s="6">
        <f ca="1">('TE BE'!$AB$6+'TE BF_350'!$AB$6+'TE CVA'!$AB$6)*1</f>
        <v>235.33989117487977</v>
      </c>
      <c r="AB171" s="6">
        <f>$K$171*$V$171</f>
        <v>0</v>
      </c>
      <c r="AC171" s="6">
        <f>$M$171*$W$171</f>
        <v>3710.0806400000001</v>
      </c>
      <c r="AD171" s="6">
        <f>$O$171*$X$171</f>
        <v>15479.14784</v>
      </c>
      <c r="AE171" s="6">
        <f>$K$171*$Y$171</f>
        <v>0</v>
      </c>
      <c r="AF171" s="6">
        <f ca="1">$M$171*$Z$171</f>
        <v>4988.535490014362</v>
      </c>
      <c r="AG171" s="6">
        <f ca="1">$O$171*$AA$171</f>
        <v>12252.736094128941</v>
      </c>
    </row>
    <row r="172" spans="1:33" ht="11.25" customHeight="1" x14ac:dyDescent="0.25">
      <c r="A172" s="4" t="s">
        <v>21</v>
      </c>
      <c r="B172" s="4" t="s">
        <v>38</v>
      </c>
      <c r="C172" s="4" t="s">
        <v>39</v>
      </c>
      <c r="D172" s="4" t="s">
        <v>37</v>
      </c>
      <c r="E172" s="4" t="s">
        <v>25</v>
      </c>
      <c r="F172" s="4" t="s">
        <v>25</v>
      </c>
      <c r="G172" s="4" t="s">
        <v>25</v>
      </c>
      <c r="H172" s="4" t="s">
        <v>34</v>
      </c>
      <c r="I172" s="5">
        <v>44593</v>
      </c>
      <c r="J172" s="6">
        <v>0</v>
      </c>
      <c r="K172" s="6">
        <v>0</v>
      </c>
      <c r="L172" s="6">
        <v>334.14800000000002</v>
      </c>
      <c r="M172" s="6">
        <v>334.14800000000002</v>
      </c>
      <c r="N172" s="6">
        <v>334.14800000000002</v>
      </c>
      <c r="O172" s="6">
        <v>334.14800000000002</v>
      </c>
      <c r="P172" s="6">
        <v>0</v>
      </c>
      <c r="Q172" s="4" t="s">
        <v>26</v>
      </c>
      <c r="R172" s="4">
        <v>0</v>
      </c>
      <c r="S172" s="6">
        <v>0</v>
      </c>
      <c r="T172" s="6">
        <v>17</v>
      </c>
      <c r="U172" s="6">
        <v>78</v>
      </c>
      <c r="V172" s="6">
        <f>IF(ISERROR(VLOOKUP($S$172,'TAR FIN'!$A$1:$O$86,15,0)),0,VLOOKUP($S$172,'TAR FIN'!$A$1:$O$86,15,0))</f>
        <v>0</v>
      </c>
      <c r="W172" s="6">
        <f>IF(ISERROR(VLOOKUP($T$172,'TAR FIN'!$A$1:$O$86,15,0)),0,VLOOKUP($T$172,'TAR FIN'!$A$1:$O$86,15,0))</f>
        <v>71.260000000000005</v>
      </c>
      <c r="X172" s="6">
        <f>IF(ISERROR(VLOOKUP($U$172,'TAR FIN'!$A$1:$O$86,15,0)),0,VLOOKUP($U$172,'TAR FIN'!$A$1:$O$86,15,0))</f>
        <v>297.31</v>
      </c>
      <c r="Y172" s="6"/>
      <c r="Z172" s="6">
        <f ca="1">('TUSD BE'!$AM$12+'TUSD BF_350'!$AM$12+'TUSD CVA'!$AM$12)*1</f>
        <v>95.815448102611441</v>
      </c>
      <c r="AA172" s="6">
        <f ca="1">('TE BE'!$AB$6+'TE BF_350'!$AB$6+'TE CVA'!$AB$6)*1</f>
        <v>235.33989117487977</v>
      </c>
      <c r="AB172" s="6">
        <f>$K$172*$V$172</f>
        <v>0</v>
      </c>
      <c r="AC172" s="6">
        <f>$M$172*$W$172</f>
        <v>23811.386480000005</v>
      </c>
      <c r="AD172" s="6">
        <f>$O$172*$X$172</f>
        <v>99345.541880000004</v>
      </c>
      <c r="AE172" s="6">
        <f>$K$172*$Y$172</f>
        <v>0</v>
      </c>
      <c r="AF172" s="6">
        <f ca="1">$M$172*$Z$172</f>
        <v>32016.540352591412</v>
      </c>
      <c r="AG172" s="6">
        <f ca="1">$O$172*$AA$172</f>
        <v>78638.353956303734</v>
      </c>
    </row>
    <row r="173" spans="1:33" ht="11.25" customHeight="1" x14ac:dyDescent="0.25">
      <c r="A173" s="4" t="s">
        <v>27</v>
      </c>
      <c r="B173" s="4" t="s">
        <v>38</v>
      </c>
      <c r="C173" s="4" t="s">
        <v>39</v>
      </c>
      <c r="D173" s="4" t="s">
        <v>37</v>
      </c>
      <c r="E173" s="4" t="s">
        <v>25</v>
      </c>
      <c r="F173" s="4" t="s">
        <v>25</v>
      </c>
      <c r="G173" s="4" t="s">
        <v>25</v>
      </c>
      <c r="H173" s="4" t="s">
        <v>34</v>
      </c>
      <c r="I173" s="5">
        <v>44593</v>
      </c>
      <c r="J173" s="6">
        <v>0</v>
      </c>
      <c r="K173" s="6">
        <v>0</v>
      </c>
      <c r="L173" s="6">
        <v>84.363</v>
      </c>
      <c r="M173" s="6">
        <v>84.363</v>
      </c>
      <c r="N173" s="6">
        <v>84.363</v>
      </c>
      <c r="O173" s="6">
        <v>84.363</v>
      </c>
      <c r="P173" s="6">
        <v>0</v>
      </c>
      <c r="Q173" s="4" t="s">
        <v>26</v>
      </c>
      <c r="R173" s="4">
        <v>0</v>
      </c>
      <c r="S173" s="6">
        <v>0</v>
      </c>
      <c r="T173" s="6">
        <v>17</v>
      </c>
      <c r="U173" s="6">
        <v>78</v>
      </c>
      <c r="V173" s="6">
        <f>IF(ISERROR(VLOOKUP($S$173,'TAR FIN'!$A$1:$O$86,15,0)),0,VLOOKUP($S$173,'TAR FIN'!$A$1:$O$86,15,0))</f>
        <v>0</v>
      </c>
      <c r="W173" s="6">
        <f>IF(ISERROR(VLOOKUP($T$173,'TAR FIN'!$A$1:$O$86,15,0)),0,VLOOKUP($T$173,'TAR FIN'!$A$1:$O$86,15,0))</f>
        <v>71.260000000000005</v>
      </c>
      <c r="X173" s="6">
        <f>IF(ISERROR(VLOOKUP($U$173,'TAR FIN'!$A$1:$O$86,15,0)),0,VLOOKUP($U$173,'TAR FIN'!$A$1:$O$86,15,0))</f>
        <v>297.31</v>
      </c>
      <c r="Y173" s="6"/>
      <c r="Z173" s="6">
        <f ca="1">('TUSD BE'!$AM$12+'TUSD BF_350'!$AM$12+'TUSD CVA'!$AM$12)*1</f>
        <v>95.815448102611441</v>
      </c>
      <c r="AA173" s="6">
        <f ca="1">('TE BE'!$AB$6+'TE BF_350'!$AB$6+'TE CVA'!$AB$6)*1</f>
        <v>235.33989117487977</v>
      </c>
      <c r="AB173" s="6">
        <f>$K$173*$V$173</f>
        <v>0</v>
      </c>
      <c r="AC173" s="6">
        <f>$M$173*$W$173</f>
        <v>6011.7073800000007</v>
      </c>
      <c r="AD173" s="6">
        <f>$O$173*$X$173</f>
        <v>25081.963530000001</v>
      </c>
      <c r="AE173" s="6">
        <f>$K$173*$Y$173</f>
        <v>0</v>
      </c>
      <c r="AF173" s="6">
        <f ca="1">$M$173*$Z$173</f>
        <v>8083.2786482806086</v>
      </c>
      <c r="AG173" s="6">
        <f ca="1">$O$173*$AA$173</f>
        <v>19853.979239186381</v>
      </c>
    </row>
    <row r="174" spans="1:33" ht="11.25" customHeight="1" x14ac:dyDescent="0.25">
      <c r="A174" s="4" t="s">
        <v>21</v>
      </c>
      <c r="B174" s="4" t="s">
        <v>38</v>
      </c>
      <c r="C174" s="4" t="s">
        <v>39</v>
      </c>
      <c r="D174" s="4" t="s">
        <v>37</v>
      </c>
      <c r="E174" s="4" t="s">
        <v>25</v>
      </c>
      <c r="F174" s="4" t="s">
        <v>25</v>
      </c>
      <c r="G174" s="4" t="s">
        <v>25</v>
      </c>
      <c r="H174" s="4" t="s">
        <v>34</v>
      </c>
      <c r="I174" s="5">
        <v>44621</v>
      </c>
      <c r="J174" s="6">
        <v>0</v>
      </c>
      <c r="K174" s="6">
        <v>0</v>
      </c>
      <c r="L174" s="6">
        <v>376.52600000000001</v>
      </c>
      <c r="M174" s="6">
        <v>376.52600000000001</v>
      </c>
      <c r="N174" s="6">
        <v>376.52600000000001</v>
      </c>
      <c r="O174" s="6">
        <v>376.52600000000001</v>
      </c>
      <c r="P174" s="6">
        <v>0</v>
      </c>
      <c r="Q174" s="4" t="s">
        <v>26</v>
      </c>
      <c r="R174" s="4">
        <v>0</v>
      </c>
      <c r="S174" s="6">
        <v>0</v>
      </c>
      <c r="T174" s="6">
        <v>17</v>
      </c>
      <c r="U174" s="6">
        <v>78</v>
      </c>
      <c r="V174" s="6">
        <f>IF(ISERROR(VLOOKUP($S$174,'TAR FIN'!$A$1:$O$86,15,0)),0,VLOOKUP($S$174,'TAR FIN'!$A$1:$O$86,15,0))</f>
        <v>0</v>
      </c>
      <c r="W174" s="6">
        <f>IF(ISERROR(VLOOKUP($T$174,'TAR FIN'!$A$1:$O$86,15,0)),0,VLOOKUP($T$174,'TAR FIN'!$A$1:$O$86,15,0))</f>
        <v>71.260000000000005</v>
      </c>
      <c r="X174" s="6">
        <f>IF(ISERROR(VLOOKUP($U$174,'TAR FIN'!$A$1:$O$86,15,0)),0,VLOOKUP($U$174,'TAR FIN'!$A$1:$O$86,15,0))</f>
        <v>297.31</v>
      </c>
      <c r="Y174" s="6"/>
      <c r="Z174" s="6">
        <f ca="1">('TUSD BE'!$AM$12+'TUSD BF_350'!$AM$12+'TUSD CVA'!$AM$12)*1</f>
        <v>95.815448102611441</v>
      </c>
      <c r="AA174" s="6">
        <f ca="1">('TE BE'!$AB$6+'TE BF_350'!$AB$6+'TE CVA'!$AB$6)*1</f>
        <v>235.33989117487977</v>
      </c>
      <c r="AB174" s="6">
        <f>$K$174*$V$174</f>
        <v>0</v>
      </c>
      <c r="AC174" s="6">
        <f>$M$174*$W$174</f>
        <v>26831.242760000001</v>
      </c>
      <c r="AD174" s="6">
        <f>$O$174*$X$174</f>
        <v>111944.94506</v>
      </c>
      <c r="AE174" s="6">
        <f>$K$174*$Y$174</f>
        <v>0</v>
      </c>
      <c r="AF174" s="6">
        <f ca="1">$M$174*$Z$174</f>
        <v>36077.007412283878</v>
      </c>
      <c r="AG174" s="6">
        <f ca="1">$O$174*$AA$174</f>
        <v>88611.587864512781</v>
      </c>
    </row>
    <row r="175" spans="1:33" ht="11.25" customHeight="1" x14ac:dyDescent="0.25">
      <c r="A175" s="4" t="s">
        <v>27</v>
      </c>
      <c r="B175" s="4" t="s">
        <v>38</v>
      </c>
      <c r="C175" s="4" t="s">
        <v>39</v>
      </c>
      <c r="D175" s="4" t="s">
        <v>37</v>
      </c>
      <c r="E175" s="4" t="s">
        <v>25</v>
      </c>
      <c r="F175" s="4" t="s">
        <v>25</v>
      </c>
      <c r="G175" s="4" t="s">
        <v>25</v>
      </c>
      <c r="H175" s="4" t="s">
        <v>34</v>
      </c>
      <c r="I175" s="5">
        <v>44621</v>
      </c>
      <c r="J175" s="6">
        <v>0</v>
      </c>
      <c r="K175" s="6">
        <v>0</v>
      </c>
      <c r="L175" s="6">
        <v>136.93700000000001</v>
      </c>
      <c r="M175" s="6">
        <v>136.93700000000001</v>
      </c>
      <c r="N175" s="6">
        <v>136.93700000000001</v>
      </c>
      <c r="O175" s="6">
        <v>136.93700000000001</v>
      </c>
      <c r="P175" s="6">
        <v>0</v>
      </c>
      <c r="Q175" s="4" t="s">
        <v>26</v>
      </c>
      <c r="R175" s="4">
        <v>0</v>
      </c>
      <c r="S175" s="6">
        <v>0</v>
      </c>
      <c r="T175" s="6">
        <v>17</v>
      </c>
      <c r="U175" s="6">
        <v>78</v>
      </c>
      <c r="V175" s="6">
        <f>IF(ISERROR(VLOOKUP($S$175,'TAR FIN'!$A$1:$O$86,15,0)),0,VLOOKUP($S$175,'TAR FIN'!$A$1:$O$86,15,0))</f>
        <v>0</v>
      </c>
      <c r="W175" s="6">
        <f>IF(ISERROR(VLOOKUP($T$175,'TAR FIN'!$A$1:$O$86,15,0)),0,VLOOKUP($T$175,'TAR FIN'!$A$1:$O$86,15,0))</f>
        <v>71.260000000000005</v>
      </c>
      <c r="X175" s="6">
        <f>IF(ISERROR(VLOOKUP($U$175,'TAR FIN'!$A$1:$O$86,15,0)),0,VLOOKUP($U$175,'TAR FIN'!$A$1:$O$86,15,0))</f>
        <v>297.31</v>
      </c>
      <c r="Y175" s="6"/>
      <c r="Z175" s="6">
        <f ca="1">('TUSD BE'!$AM$12+'TUSD BF_350'!$AM$12+'TUSD CVA'!$AM$12)*1</f>
        <v>95.815448102611441</v>
      </c>
      <c r="AA175" s="6">
        <f ca="1">('TE BE'!$AB$6+'TE BF_350'!$AB$6+'TE CVA'!$AB$6)*1</f>
        <v>235.33989117487977</v>
      </c>
      <c r="AB175" s="6">
        <f>$K$175*$V$175</f>
        <v>0</v>
      </c>
      <c r="AC175" s="6">
        <f>$M$175*$W$175</f>
        <v>9758.1306200000017</v>
      </c>
      <c r="AD175" s="6">
        <f>$O$175*$X$175</f>
        <v>40712.73947</v>
      </c>
      <c r="AE175" s="6">
        <f>$K$175*$Y$175</f>
        <v>0</v>
      </c>
      <c r="AF175" s="6">
        <f ca="1">$M$175*$Z$175</f>
        <v>13120.680016827304</v>
      </c>
      <c r="AG175" s="6">
        <f ca="1">$O$175*$AA$175</f>
        <v>32226.738677814512</v>
      </c>
    </row>
    <row r="176" spans="1:33" ht="11.25" customHeight="1" x14ac:dyDescent="0.25">
      <c r="A176" s="4" t="s">
        <v>21</v>
      </c>
      <c r="B176" s="4" t="s">
        <v>38</v>
      </c>
      <c r="C176" s="4" t="s">
        <v>39</v>
      </c>
      <c r="D176" s="4" t="s">
        <v>37</v>
      </c>
      <c r="E176" s="4" t="s">
        <v>25</v>
      </c>
      <c r="F176" s="4" t="s">
        <v>25</v>
      </c>
      <c r="G176" s="4" t="s">
        <v>25</v>
      </c>
      <c r="H176" s="4" t="s">
        <v>34</v>
      </c>
      <c r="I176" s="5">
        <v>44652</v>
      </c>
      <c r="J176" s="6">
        <v>0</v>
      </c>
      <c r="K176" s="6">
        <v>0</v>
      </c>
      <c r="L176" s="6">
        <v>311.97199999999998</v>
      </c>
      <c r="M176" s="6">
        <v>311.97199999999998</v>
      </c>
      <c r="N176" s="6">
        <v>311.97199999999998</v>
      </c>
      <c r="O176" s="6">
        <v>311.97199999999998</v>
      </c>
      <c r="P176" s="6">
        <v>0</v>
      </c>
      <c r="Q176" s="4" t="s">
        <v>26</v>
      </c>
      <c r="R176" s="4">
        <v>0</v>
      </c>
      <c r="S176" s="6">
        <v>0</v>
      </c>
      <c r="T176" s="6">
        <v>17</v>
      </c>
      <c r="U176" s="6">
        <v>78</v>
      </c>
      <c r="V176" s="6">
        <f>IF(ISERROR(VLOOKUP($S$176,'TAR FIN'!$A$1:$O$86,15,0)),0,VLOOKUP($S$176,'TAR FIN'!$A$1:$O$86,15,0))</f>
        <v>0</v>
      </c>
      <c r="W176" s="6">
        <f>IF(ISERROR(VLOOKUP($T$176,'TAR FIN'!$A$1:$O$86,15,0)),0,VLOOKUP($T$176,'TAR FIN'!$A$1:$O$86,15,0))</f>
        <v>71.260000000000005</v>
      </c>
      <c r="X176" s="6">
        <f>IF(ISERROR(VLOOKUP($U$176,'TAR FIN'!$A$1:$O$86,15,0)),0,VLOOKUP($U$176,'TAR FIN'!$A$1:$O$86,15,0))</f>
        <v>297.31</v>
      </c>
      <c r="Y176" s="6"/>
      <c r="Z176" s="6">
        <f ca="1">('TUSD BE'!$AM$12+'TUSD BF_350'!$AM$12+'TUSD CVA'!$AM$12)*1</f>
        <v>95.815448102611441</v>
      </c>
      <c r="AA176" s="6">
        <f ca="1">('TE BE'!$AB$6+'TE BF_350'!$AB$6+'TE CVA'!$AB$6)*1</f>
        <v>235.33989117487977</v>
      </c>
      <c r="AB176" s="6">
        <f>$K$176*$V$176</f>
        <v>0</v>
      </c>
      <c r="AC176" s="6">
        <f>$M$176*$W$176</f>
        <v>22231.12472</v>
      </c>
      <c r="AD176" s="6">
        <f>$O$176*$X$176</f>
        <v>92752.395319999996</v>
      </c>
      <c r="AE176" s="6">
        <f>$K$176*$Y$176</f>
        <v>0</v>
      </c>
      <c r="AF176" s="6">
        <f ca="1">$M$176*$Z$176</f>
        <v>29891.736975467895</v>
      </c>
      <c r="AG176" s="6">
        <f ca="1">$O$176*$AA$176</f>
        <v>73419.456529609583</v>
      </c>
    </row>
    <row r="177" spans="1:33" ht="11.25" customHeight="1" x14ac:dyDescent="0.25">
      <c r="A177" s="4" t="s">
        <v>27</v>
      </c>
      <c r="B177" s="4" t="s">
        <v>38</v>
      </c>
      <c r="C177" s="4" t="s">
        <v>39</v>
      </c>
      <c r="D177" s="4" t="s">
        <v>37</v>
      </c>
      <c r="E177" s="4" t="s">
        <v>25</v>
      </c>
      <c r="F177" s="4" t="s">
        <v>25</v>
      </c>
      <c r="G177" s="4" t="s">
        <v>25</v>
      </c>
      <c r="H177" s="4" t="s">
        <v>34</v>
      </c>
      <c r="I177" s="5">
        <v>44652</v>
      </c>
      <c r="J177" s="6">
        <v>0</v>
      </c>
      <c r="K177" s="6">
        <v>0</v>
      </c>
      <c r="L177" s="6">
        <v>86.587999999999994</v>
      </c>
      <c r="M177" s="6">
        <v>86.587999999999994</v>
      </c>
      <c r="N177" s="6">
        <v>86.587999999999994</v>
      </c>
      <c r="O177" s="6">
        <v>86.587999999999994</v>
      </c>
      <c r="P177" s="6">
        <v>0</v>
      </c>
      <c r="Q177" s="4" t="s">
        <v>26</v>
      </c>
      <c r="R177" s="4">
        <v>0</v>
      </c>
      <c r="S177" s="6">
        <v>0</v>
      </c>
      <c r="T177" s="6">
        <v>17</v>
      </c>
      <c r="U177" s="6">
        <v>78</v>
      </c>
      <c r="V177" s="6">
        <f>IF(ISERROR(VLOOKUP($S$177,'TAR FIN'!$A$1:$O$86,15,0)),0,VLOOKUP($S$177,'TAR FIN'!$A$1:$O$86,15,0))</f>
        <v>0</v>
      </c>
      <c r="W177" s="6">
        <f>IF(ISERROR(VLOOKUP($T$177,'TAR FIN'!$A$1:$O$86,15,0)),0,VLOOKUP($T$177,'TAR FIN'!$A$1:$O$86,15,0))</f>
        <v>71.260000000000005</v>
      </c>
      <c r="X177" s="6">
        <f>IF(ISERROR(VLOOKUP($U$177,'TAR FIN'!$A$1:$O$86,15,0)),0,VLOOKUP($U$177,'TAR FIN'!$A$1:$O$86,15,0))</f>
        <v>297.31</v>
      </c>
      <c r="Y177" s="6"/>
      <c r="Z177" s="6">
        <f ca="1">('TUSD BE'!$AM$12+'TUSD BF_350'!$AM$12+'TUSD CVA'!$AM$12)*1</f>
        <v>95.815448102611441</v>
      </c>
      <c r="AA177" s="6">
        <f ca="1">('TE BE'!$AB$6+'TE BF_350'!$AB$6+'TE CVA'!$AB$6)*1</f>
        <v>235.33989117487977</v>
      </c>
      <c r="AB177" s="6">
        <f>$K$177*$V$177</f>
        <v>0</v>
      </c>
      <c r="AC177" s="6">
        <f>$M$177*$W$177</f>
        <v>6170.2608799999998</v>
      </c>
      <c r="AD177" s="6">
        <f>$O$177*$X$177</f>
        <v>25743.478279999999</v>
      </c>
      <c r="AE177" s="6">
        <f>$K$177*$Y$177</f>
        <v>0</v>
      </c>
      <c r="AF177" s="6">
        <f ca="1">$M$177*$Z$177</f>
        <v>8296.4680203089192</v>
      </c>
      <c r="AG177" s="6">
        <f ca="1">$O$177*$AA$177</f>
        <v>20377.610497050489</v>
      </c>
    </row>
    <row r="178" spans="1:33" ht="11.25" customHeight="1" x14ac:dyDescent="0.25">
      <c r="A178" s="4" t="s">
        <v>21</v>
      </c>
      <c r="B178" s="4" t="s">
        <v>38</v>
      </c>
      <c r="C178" s="4" t="s">
        <v>39</v>
      </c>
      <c r="D178" s="4" t="s">
        <v>37</v>
      </c>
      <c r="E178" s="4" t="s">
        <v>25</v>
      </c>
      <c r="F178" s="4" t="s">
        <v>25</v>
      </c>
      <c r="G178" s="4" t="s">
        <v>25</v>
      </c>
      <c r="H178" s="4" t="s">
        <v>34</v>
      </c>
      <c r="I178" s="5">
        <v>44682</v>
      </c>
      <c r="J178" s="6">
        <v>0</v>
      </c>
      <c r="K178" s="6">
        <v>0</v>
      </c>
      <c r="L178" s="6">
        <v>344.964</v>
      </c>
      <c r="M178" s="6">
        <v>344.964</v>
      </c>
      <c r="N178" s="6">
        <v>344.964</v>
      </c>
      <c r="O178" s="6">
        <v>344.964</v>
      </c>
      <c r="P178" s="6">
        <v>0</v>
      </c>
      <c r="Q178" s="4" t="s">
        <v>26</v>
      </c>
      <c r="R178" s="4">
        <v>0</v>
      </c>
      <c r="S178" s="6">
        <v>0</v>
      </c>
      <c r="T178" s="6">
        <v>17</v>
      </c>
      <c r="U178" s="6">
        <v>78</v>
      </c>
      <c r="V178" s="6">
        <f>IF(ISERROR(VLOOKUP($S$178,'TAR FIN'!$A$1:$O$86,15,0)),0,VLOOKUP($S$178,'TAR FIN'!$A$1:$O$86,15,0))</f>
        <v>0</v>
      </c>
      <c r="W178" s="6">
        <f>IF(ISERROR(VLOOKUP($T$178,'TAR FIN'!$A$1:$O$86,15,0)),0,VLOOKUP($T$178,'TAR FIN'!$A$1:$O$86,15,0))</f>
        <v>71.260000000000005</v>
      </c>
      <c r="X178" s="6">
        <f>IF(ISERROR(VLOOKUP($U$178,'TAR FIN'!$A$1:$O$86,15,0)),0,VLOOKUP($U$178,'TAR FIN'!$A$1:$O$86,15,0))</f>
        <v>297.31</v>
      </c>
      <c r="Y178" s="6"/>
      <c r="Z178" s="6">
        <f ca="1">('TUSD BE'!$AM$12+'TUSD BF_350'!$AM$12+'TUSD CVA'!$AM$12)*1</f>
        <v>95.815448102611441</v>
      </c>
      <c r="AA178" s="6">
        <f ca="1">('TE BE'!$AB$6+'TE BF_350'!$AB$6+'TE CVA'!$AB$6)*1</f>
        <v>235.33989117487977</v>
      </c>
      <c r="AB178" s="6">
        <f>$K$178*$V$178</f>
        <v>0</v>
      </c>
      <c r="AC178" s="6">
        <f>$M$178*$W$178</f>
        <v>24582.13464</v>
      </c>
      <c r="AD178" s="6">
        <f>$O$178*$X$178</f>
        <v>102561.24684000001</v>
      </c>
      <c r="AE178" s="6">
        <f>$K$178*$Y$178</f>
        <v>0</v>
      </c>
      <c r="AF178" s="6">
        <f ca="1">$M$178*$Z$178</f>
        <v>33052.880239269252</v>
      </c>
      <c r="AG178" s="6">
        <f ca="1">$O$178*$AA$178</f>
        <v>81183.790219251227</v>
      </c>
    </row>
    <row r="179" spans="1:33" ht="11.25" customHeight="1" x14ac:dyDescent="0.25">
      <c r="A179" s="4" t="s">
        <v>27</v>
      </c>
      <c r="B179" s="4" t="s">
        <v>38</v>
      </c>
      <c r="C179" s="4" t="s">
        <v>39</v>
      </c>
      <c r="D179" s="4" t="s">
        <v>37</v>
      </c>
      <c r="E179" s="4" t="s">
        <v>25</v>
      </c>
      <c r="F179" s="4" t="s">
        <v>25</v>
      </c>
      <c r="G179" s="4" t="s">
        <v>25</v>
      </c>
      <c r="H179" s="4" t="s">
        <v>34</v>
      </c>
      <c r="I179" s="5">
        <v>44682</v>
      </c>
      <c r="J179" s="6">
        <v>0</v>
      </c>
      <c r="K179" s="6">
        <v>0</v>
      </c>
      <c r="L179" s="6">
        <v>121.572</v>
      </c>
      <c r="M179" s="6">
        <v>121.572</v>
      </c>
      <c r="N179" s="6">
        <v>121.572</v>
      </c>
      <c r="O179" s="6">
        <v>121.572</v>
      </c>
      <c r="P179" s="6">
        <v>0</v>
      </c>
      <c r="Q179" s="4" t="s">
        <v>26</v>
      </c>
      <c r="R179" s="4">
        <v>0</v>
      </c>
      <c r="S179" s="6">
        <v>0</v>
      </c>
      <c r="T179" s="6">
        <v>17</v>
      </c>
      <c r="U179" s="6">
        <v>78</v>
      </c>
      <c r="V179" s="6">
        <f>IF(ISERROR(VLOOKUP($S$179,'TAR FIN'!$A$1:$O$86,15,0)),0,VLOOKUP($S$179,'TAR FIN'!$A$1:$O$86,15,0))</f>
        <v>0</v>
      </c>
      <c r="W179" s="6">
        <f>IF(ISERROR(VLOOKUP($T$179,'TAR FIN'!$A$1:$O$86,15,0)),0,VLOOKUP($T$179,'TAR FIN'!$A$1:$O$86,15,0))</f>
        <v>71.260000000000005</v>
      </c>
      <c r="X179" s="6">
        <f>IF(ISERROR(VLOOKUP($U$179,'TAR FIN'!$A$1:$O$86,15,0)),0,VLOOKUP($U$179,'TAR FIN'!$A$1:$O$86,15,0))</f>
        <v>297.31</v>
      </c>
      <c r="Y179" s="6"/>
      <c r="Z179" s="6">
        <f ca="1">('TUSD BE'!$AM$12+'TUSD BF_350'!$AM$12+'TUSD CVA'!$AM$12)*1</f>
        <v>95.815448102611441</v>
      </c>
      <c r="AA179" s="6">
        <f ca="1">('TE BE'!$AB$6+'TE BF_350'!$AB$6+'TE CVA'!$AB$6)*1</f>
        <v>235.33989117487977</v>
      </c>
      <c r="AB179" s="6">
        <f>$K$179*$V$179</f>
        <v>0</v>
      </c>
      <c r="AC179" s="6">
        <f>$M$179*$W$179</f>
        <v>8663.2207200000012</v>
      </c>
      <c r="AD179" s="6">
        <f>$O$179*$X$179</f>
        <v>36144.571320000003</v>
      </c>
      <c r="AE179" s="6">
        <f>$K$179*$Y$179</f>
        <v>0</v>
      </c>
      <c r="AF179" s="6">
        <f ca="1">$M$179*$Z$179</f>
        <v>11648.475656730678</v>
      </c>
      <c r="AG179" s="6">
        <f ca="1">$O$179*$AA$179</f>
        <v>28610.741249912484</v>
      </c>
    </row>
    <row r="180" spans="1:33" ht="11.25" customHeight="1" x14ac:dyDescent="0.25">
      <c r="A180" s="4" t="s">
        <v>55</v>
      </c>
      <c r="B180" s="4" t="s">
        <v>38</v>
      </c>
      <c r="C180" s="4" t="s">
        <v>39</v>
      </c>
      <c r="D180" s="4" t="s">
        <v>37</v>
      </c>
      <c r="E180" s="4" t="s">
        <v>25</v>
      </c>
      <c r="F180" s="4" t="s">
        <v>25</v>
      </c>
      <c r="G180" s="4" t="s">
        <v>25</v>
      </c>
      <c r="H180" s="4" t="s">
        <v>34</v>
      </c>
      <c r="I180" s="5">
        <v>44713</v>
      </c>
      <c r="J180" s="6">
        <v>0</v>
      </c>
      <c r="K180" s="6">
        <v>0</v>
      </c>
      <c r="L180" s="6">
        <v>344.964</v>
      </c>
      <c r="M180" s="6">
        <v>344.964</v>
      </c>
      <c r="N180" s="6">
        <v>344.964</v>
      </c>
      <c r="O180" s="6">
        <v>344.964</v>
      </c>
      <c r="P180" s="6">
        <v>0</v>
      </c>
      <c r="Q180" s="4" t="s">
        <v>26</v>
      </c>
      <c r="R180" s="4">
        <v>0</v>
      </c>
      <c r="S180" s="6">
        <v>0</v>
      </c>
      <c r="T180" s="6">
        <v>17</v>
      </c>
      <c r="U180" s="6">
        <v>78</v>
      </c>
      <c r="V180" s="6">
        <f>IF(ISERROR(VLOOKUP($S$180,'TAR FIN'!$A$1:$O$86,15,0)),0,VLOOKUP($S$180,'TAR FIN'!$A$1:$O$86,15,0))</f>
        <v>0</v>
      </c>
      <c r="W180" s="6">
        <f>IF(ISERROR(VLOOKUP($T$180,'TAR FIN'!$A$1:$O$86,15,0)),0,VLOOKUP($T$180,'TAR FIN'!$A$1:$O$86,15,0))</f>
        <v>71.260000000000005</v>
      </c>
      <c r="X180" s="6">
        <f>IF(ISERROR(VLOOKUP($U$180,'TAR FIN'!$A$1:$O$86,15,0)),0,VLOOKUP($U$180,'TAR FIN'!$A$1:$O$86,15,0))</f>
        <v>297.31</v>
      </c>
      <c r="Y180" s="6"/>
      <c r="Z180" s="6">
        <f ca="1">('TUSD BE'!$AM$12+'TUSD BF_350'!$AM$12+'TUSD CVA'!$AM$12)*1</f>
        <v>95.815448102611441</v>
      </c>
      <c r="AA180" s="6">
        <f ca="1">('TE BE'!$AB$6+'TE BF_350'!$AB$6+'TE CVA'!$AB$6)*1</f>
        <v>235.33989117487977</v>
      </c>
      <c r="AB180" s="6">
        <f>$K$180*$V$180</f>
        <v>0</v>
      </c>
      <c r="AC180" s="6">
        <f>$M$180*$W$180</f>
        <v>24582.13464</v>
      </c>
      <c r="AD180" s="6">
        <f>$O$180*$X$180</f>
        <v>102561.24684000001</v>
      </c>
      <c r="AE180" s="6">
        <f>$K$180*$Y$180</f>
        <v>0</v>
      </c>
      <c r="AF180" s="6">
        <f ca="1">$M$180*$Z$180</f>
        <v>33052.880239269252</v>
      </c>
      <c r="AG180" s="6">
        <f ca="1">$O$180*$AA$180</f>
        <v>81183.790219251227</v>
      </c>
    </row>
    <row r="181" spans="1:33" ht="11.25" customHeight="1" x14ac:dyDescent="0.25">
      <c r="A181" s="4" t="s">
        <v>55</v>
      </c>
      <c r="B181" s="4" t="s">
        <v>38</v>
      </c>
      <c r="C181" s="4" t="s">
        <v>39</v>
      </c>
      <c r="D181" s="4" t="s">
        <v>37</v>
      </c>
      <c r="E181" s="4" t="s">
        <v>25</v>
      </c>
      <c r="F181" s="4" t="s">
        <v>25</v>
      </c>
      <c r="G181" s="4" t="s">
        <v>25</v>
      </c>
      <c r="H181" s="4" t="s">
        <v>34</v>
      </c>
      <c r="I181" s="5">
        <v>44713</v>
      </c>
      <c r="J181" s="6">
        <v>0</v>
      </c>
      <c r="K181" s="6">
        <v>0</v>
      </c>
      <c r="L181" s="6">
        <v>121.572</v>
      </c>
      <c r="M181" s="6">
        <v>121.572</v>
      </c>
      <c r="N181" s="6">
        <v>121.572</v>
      </c>
      <c r="O181" s="6">
        <v>121.572</v>
      </c>
      <c r="P181" s="6">
        <v>0</v>
      </c>
      <c r="Q181" s="4" t="s">
        <v>26</v>
      </c>
      <c r="R181" s="4">
        <v>0</v>
      </c>
      <c r="S181" s="6">
        <v>0</v>
      </c>
      <c r="T181" s="6">
        <v>17</v>
      </c>
      <c r="U181" s="6">
        <v>78</v>
      </c>
      <c r="V181" s="6">
        <f>IF(ISERROR(VLOOKUP($S$181,'TAR FIN'!$A$1:$O$86,15,0)),0,VLOOKUP($S$181,'TAR FIN'!$A$1:$O$86,15,0))</f>
        <v>0</v>
      </c>
      <c r="W181" s="6">
        <f>IF(ISERROR(VLOOKUP($T$181,'TAR FIN'!$A$1:$O$86,15,0)),0,VLOOKUP($T$181,'TAR FIN'!$A$1:$O$86,15,0))</f>
        <v>71.260000000000005</v>
      </c>
      <c r="X181" s="6">
        <f>IF(ISERROR(VLOOKUP($U$181,'TAR FIN'!$A$1:$O$86,15,0)),0,VLOOKUP($U$181,'TAR FIN'!$A$1:$O$86,15,0))</f>
        <v>297.31</v>
      </c>
      <c r="Y181" s="6"/>
      <c r="Z181" s="6">
        <f ca="1">('TUSD BE'!$AM$12+'TUSD BF_350'!$AM$12+'TUSD CVA'!$AM$12)*1</f>
        <v>95.815448102611441</v>
      </c>
      <c r="AA181" s="6">
        <f ca="1">('TE BE'!$AB$6+'TE BF_350'!$AB$6+'TE CVA'!$AB$6)*1</f>
        <v>235.33989117487977</v>
      </c>
      <c r="AB181" s="6">
        <f>$K$181*$V$181</f>
        <v>0</v>
      </c>
      <c r="AC181" s="6">
        <f>$M$181*$W$181</f>
        <v>8663.2207200000012</v>
      </c>
      <c r="AD181" s="6">
        <f>$O$181*$X$181</f>
        <v>36144.571320000003</v>
      </c>
      <c r="AE181" s="6">
        <f>$K$181*$Y$181</f>
        <v>0</v>
      </c>
      <c r="AF181" s="6">
        <f ca="1">$M$181*$Z$181</f>
        <v>11648.475656730678</v>
      </c>
      <c r="AG181" s="6">
        <f ca="1">$O$181*$AA$181</f>
        <v>28610.741249912484</v>
      </c>
    </row>
    <row r="182" spans="1:33" ht="11.25" customHeight="1" x14ac:dyDescent="0.25">
      <c r="A182" s="4" t="s">
        <v>21</v>
      </c>
      <c r="B182" s="4" t="s">
        <v>38</v>
      </c>
      <c r="C182" s="4" t="s">
        <v>39</v>
      </c>
      <c r="D182" s="4" t="s">
        <v>37</v>
      </c>
      <c r="E182" s="4" t="s">
        <v>25</v>
      </c>
      <c r="F182" s="4" t="s">
        <v>25</v>
      </c>
      <c r="G182" s="4" t="s">
        <v>25</v>
      </c>
      <c r="H182" s="4" t="s">
        <v>25</v>
      </c>
      <c r="I182" s="5">
        <v>44378</v>
      </c>
      <c r="J182" s="6">
        <v>4762</v>
      </c>
      <c r="K182" s="6">
        <v>4762</v>
      </c>
      <c r="L182" s="6">
        <v>0</v>
      </c>
      <c r="M182" s="6">
        <v>0</v>
      </c>
      <c r="N182" s="6">
        <v>0</v>
      </c>
      <c r="O182" s="6">
        <v>0</v>
      </c>
      <c r="P182" s="6">
        <v>28</v>
      </c>
      <c r="Q182" s="4" t="s">
        <v>26</v>
      </c>
      <c r="R182" s="4">
        <v>0</v>
      </c>
      <c r="S182" s="6">
        <v>19</v>
      </c>
      <c r="T182" s="6">
        <v>0</v>
      </c>
      <c r="U182" s="6">
        <v>0</v>
      </c>
      <c r="V182" s="6">
        <f>IF(ISERROR(VLOOKUP($S$182,'TAR FIN'!$A$1:$O$86,15,0)),0,VLOOKUP($S$182,'TAR FIN'!$A$1:$O$86,15,0))</f>
        <v>16.29</v>
      </c>
      <c r="W182" s="6">
        <f>IF(ISERROR(VLOOKUP($T$182,'TAR FIN'!$A$1:$O$86,15,0)),0,VLOOKUP($T$182,'TAR FIN'!$A$1:$O$86,15,0))</f>
        <v>0</v>
      </c>
      <c r="X182" s="6">
        <f>IF(ISERROR(VLOOKUP($U$182,'TAR FIN'!$A$1:$O$86,15,0)),0,VLOOKUP($U$182,'TAR FIN'!$A$1:$O$86,15,0))</f>
        <v>0</v>
      </c>
      <c r="Y182" s="6">
        <f ca="1">('TUSD BE'!$AM$10+'TUSD BF_350'!$AM$10+'TUSD CVA'!$AM$10)*1</f>
        <v>21.139573525578484</v>
      </c>
      <c r="Z182" s="6"/>
      <c r="AA182" s="6"/>
      <c r="AB182" s="6">
        <f>$K$182*$V$182</f>
        <v>77572.98</v>
      </c>
      <c r="AC182" s="6">
        <f>$M$182*$W$182</f>
        <v>0</v>
      </c>
      <c r="AD182" s="6">
        <f>$O$182*$X$182</f>
        <v>0</v>
      </c>
      <c r="AE182" s="6">
        <f ca="1">$K$182*$Y$182</f>
        <v>100666.64912880474</v>
      </c>
      <c r="AF182" s="6">
        <f>$M$182*$Z$182</f>
        <v>0</v>
      </c>
      <c r="AG182" s="6">
        <f>$O$182*$AA$182</f>
        <v>0</v>
      </c>
    </row>
    <row r="183" spans="1:33" ht="11.25" customHeight="1" x14ac:dyDescent="0.25">
      <c r="A183" s="4" t="s">
        <v>27</v>
      </c>
      <c r="B183" s="4" t="s">
        <v>38</v>
      </c>
      <c r="C183" s="4" t="s">
        <v>39</v>
      </c>
      <c r="D183" s="4" t="s">
        <v>37</v>
      </c>
      <c r="E183" s="4" t="s">
        <v>25</v>
      </c>
      <c r="F183" s="4" t="s">
        <v>25</v>
      </c>
      <c r="G183" s="4" t="s">
        <v>25</v>
      </c>
      <c r="H183" s="4" t="s">
        <v>25</v>
      </c>
      <c r="I183" s="5">
        <v>44378</v>
      </c>
      <c r="J183" s="6">
        <v>847</v>
      </c>
      <c r="K183" s="6">
        <v>847</v>
      </c>
      <c r="L183" s="6">
        <v>0</v>
      </c>
      <c r="M183" s="6">
        <v>0</v>
      </c>
      <c r="N183" s="6">
        <v>0</v>
      </c>
      <c r="O183" s="6">
        <v>0</v>
      </c>
      <c r="P183" s="6">
        <v>7</v>
      </c>
      <c r="Q183" s="4" t="s">
        <v>26</v>
      </c>
      <c r="R183" s="4">
        <v>0</v>
      </c>
      <c r="S183" s="6">
        <v>19</v>
      </c>
      <c r="T183" s="6">
        <v>0</v>
      </c>
      <c r="U183" s="6">
        <v>0</v>
      </c>
      <c r="V183" s="6">
        <f>IF(ISERROR(VLOOKUP($S$183,'TAR FIN'!$A$1:$O$86,15,0)),0,VLOOKUP($S$183,'TAR FIN'!$A$1:$O$86,15,0))</f>
        <v>16.29</v>
      </c>
      <c r="W183" s="6">
        <f>IF(ISERROR(VLOOKUP($T$183,'TAR FIN'!$A$1:$O$86,15,0)),0,VLOOKUP($T$183,'TAR FIN'!$A$1:$O$86,15,0))</f>
        <v>0</v>
      </c>
      <c r="X183" s="6">
        <f>IF(ISERROR(VLOOKUP($U$183,'TAR FIN'!$A$1:$O$86,15,0)),0,VLOOKUP($U$183,'TAR FIN'!$A$1:$O$86,15,0))</f>
        <v>0</v>
      </c>
      <c r="Y183" s="6">
        <f ca="1">('TUSD BE'!$AM$10+'TUSD BF_350'!$AM$10+'TUSD CVA'!$AM$10)*1</f>
        <v>21.139573525578484</v>
      </c>
      <c r="Z183" s="6"/>
      <c r="AA183" s="6"/>
      <c r="AB183" s="6">
        <f>$K$183*$V$183</f>
        <v>13797.63</v>
      </c>
      <c r="AC183" s="6">
        <f>$M$183*$W$183</f>
        <v>0</v>
      </c>
      <c r="AD183" s="6">
        <f>$O$183*$X$183</f>
        <v>0</v>
      </c>
      <c r="AE183" s="6">
        <f ca="1">$K$183*$Y$183</f>
        <v>17905.218776164977</v>
      </c>
      <c r="AF183" s="6">
        <f>$M$183*$Z$183</f>
        <v>0</v>
      </c>
      <c r="AG183" s="6">
        <f>$O$183*$AA$183</f>
        <v>0</v>
      </c>
    </row>
    <row r="184" spans="1:33" ht="11.25" customHeight="1" x14ac:dyDescent="0.25">
      <c r="A184" s="4" t="s">
        <v>21</v>
      </c>
      <c r="B184" s="4" t="s">
        <v>38</v>
      </c>
      <c r="C184" s="4" t="s">
        <v>39</v>
      </c>
      <c r="D184" s="4" t="s">
        <v>37</v>
      </c>
      <c r="E184" s="4" t="s">
        <v>25</v>
      </c>
      <c r="F184" s="4" t="s">
        <v>25</v>
      </c>
      <c r="G184" s="4" t="s">
        <v>25</v>
      </c>
      <c r="H184" s="4" t="s">
        <v>25</v>
      </c>
      <c r="I184" s="5">
        <v>44409</v>
      </c>
      <c r="J184" s="6">
        <v>4340</v>
      </c>
      <c r="K184" s="6">
        <v>4340</v>
      </c>
      <c r="L184" s="6">
        <v>0</v>
      </c>
      <c r="M184" s="6">
        <v>0</v>
      </c>
      <c r="N184" s="6">
        <v>0</v>
      </c>
      <c r="O184" s="6">
        <v>0</v>
      </c>
      <c r="P184" s="6">
        <v>27</v>
      </c>
      <c r="Q184" s="4" t="s">
        <v>26</v>
      </c>
      <c r="R184" s="4">
        <v>0</v>
      </c>
      <c r="S184" s="6">
        <v>19</v>
      </c>
      <c r="T184" s="6">
        <v>0</v>
      </c>
      <c r="U184" s="6">
        <v>0</v>
      </c>
      <c r="V184" s="6">
        <f>IF(ISERROR(VLOOKUP($S$184,'TAR FIN'!$A$1:$O$86,15,0)),0,VLOOKUP($S$184,'TAR FIN'!$A$1:$O$86,15,0))</f>
        <v>16.29</v>
      </c>
      <c r="W184" s="6">
        <f>IF(ISERROR(VLOOKUP($T$184,'TAR FIN'!$A$1:$O$86,15,0)),0,VLOOKUP($T$184,'TAR FIN'!$A$1:$O$86,15,0))</f>
        <v>0</v>
      </c>
      <c r="X184" s="6">
        <f>IF(ISERROR(VLOOKUP($U$184,'TAR FIN'!$A$1:$O$86,15,0)),0,VLOOKUP($U$184,'TAR FIN'!$A$1:$O$86,15,0))</f>
        <v>0</v>
      </c>
      <c r="Y184" s="6">
        <f ca="1">('TUSD BE'!$AM$10+'TUSD BF_350'!$AM$10+'TUSD CVA'!$AM$10)*1</f>
        <v>21.139573525578484</v>
      </c>
      <c r="Z184" s="6"/>
      <c r="AA184" s="6"/>
      <c r="AB184" s="6">
        <f>$K$184*$V$184</f>
        <v>70698.599999999991</v>
      </c>
      <c r="AC184" s="6">
        <f>$M$184*$W$184</f>
        <v>0</v>
      </c>
      <c r="AD184" s="6">
        <f>$O$184*$X$184</f>
        <v>0</v>
      </c>
      <c r="AE184" s="6">
        <f ca="1">$K$184*$Y$184</f>
        <v>91745.749101010617</v>
      </c>
      <c r="AF184" s="6">
        <f>$M$184*$Z$184</f>
        <v>0</v>
      </c>
      <c r="AG184" s="6">
        <f>$O$184*$AA$184</f>
        <v>0</v>
      </c>
    </row>
    <row r="185" spans="1:33" ht="11.25" customHeight="1" x14ac:dyDescent="0.25">
      <c r="A185" s="4" t="s">
        <v>27</v>
      </c>
      <c r="B185" s="4" t="s">
        <v>38</v>
      </c>
      <c r="C185" s="4" t="s">
        <v>39</v>
      </c>
      <c r="D185" s="4" t="s">
        <v>37</v>
      </c>
      <c r="E185" s="4" t="s">
        <v>25</v>
      </c>
      <c r="F185" s="4" t="s">
        <v>25</v>
      </c>
      <c r="G185" s="4" t="s">
        <v>25</v>
      </c>
      <c r="H185" s="4" t="s">
        <v>25</v>
      </c>
      <c r="I185" s="5">
        <v>44409</v>
      </c>
      <c r="J185" s="6">
        <v>824</v>
      </c>
      <c r="K185" s="6">
        <v>824</v>
      </c>
      <c r="L185" s="6">
        <v>0</v>
      </c>
      <c r="M185" s="6">
        <v>0</v>
      </c>
      <c r="N185" s="6">
        <v>0</v>
      </c>
      <c r="O185" s="6">
        <v>0</v>
      </c>
      <c r="P185" s="6">
        <v>7</v>
      </c>
      <c r="Q185" s="4" t="s">
        <v>26</v>
      </c>
      <c r="R185" s="4">
        <v>0</v>
      </c>
      <c r="S185" s="6">
        <v>19</v>
      </c>
      <c r="T185" s="6">
        <v>0</v>
      </c>
      <c r="U185" s="6">
        <v>0</v>
      </c>
      <c r="V185" s="6">
        <f>IF(ISERROR(VLOOKUP($S$185,'TAR FIN'!$A$1:$O$86,15,0)),0,VLOOKUP($S$185,'TAR FIN'!$A$1:$O$86,15,0))</f>
        <v>16.29</v>
      </c>
      <c r="W185" s="6">
        <f>IF(ISERROR(VLOOKUP($T$185,'TAR FIN'!$A$1:$O$86,15,0)),0,VLOOKUP($T$185,'TAR FIN'!$A$1:$O$86,15,0))</f>
        <v>0</v>
      </c>
      <c r="X185" s="6">
        <f>IF(ISERROR(VLOOKUP($U$185,'TAR FIN'!$A$1:$O$86,15,0)),0,VLOOKUP($U$185,'TAR FIN'!$A$1:$O$86,15,0))</f>
        <v>0</v>
      </c>
      <c r="Y185" s="6">
        <f ca="1">('TUSD BE'!$AM$10+'TUSD BF_350'!$AM$10+'TUSD CVA'!$AM$10)*1</f>
        <v>21.139573525578484</v>
      </c>
      <c r="Z185" s="6"/>
      <c r="AA185" s="6"/>
      <c r="AB185" s="6">
        <f>$K$185*$V$185</f>
        <v>13422.96</v>
      </c>
      <c r="AC185" s="6">
        <f>$M$185*$W$185</f>
        <v>0</v>
      </c>
      <c r="AD185" s="6">
        <f>$O$185*$X$185</f>
        <v>0</v>
      </c>
      <c r="AE185" s="6">
        <f ca="1">$K$185*$Y$185</f>
        <v>17419.00858507667</v>
      </c>
      <c r="AF185" s="6">
        <f>$M$185*$Z$185</f>
        <v>0</v>
      </c>
      <c r="AG185" s="6">
        <f>$O$185*$AA$185</f>
        <v>0</v>
      </c>
    </row>
    <row r="186" spans="1:33" ht="11.25" customHeight="1" x14ac:dyDescent="0.25">
      <c r="A186" s="4" t="s">
        <v>21</v>
      </c>
      <c r="B186" s="4" t="s">
        <v>38</v>
      </c>
      <c r="C186" s="4" t="s">
        <v>39</v>
      </c>
      <c r="D186" s="4" t="s">
        <v>37</v>
      </c>
      <c r="E186" s="4" t="s">
        <v>25</v>
      </c>
      <c r="F186" s="4" t="s">
        <v>25</v>
      </c>
      <c r="G186" s="4" t="s">
        <v>25</v>
      </c>
      <c r="H186" s="4" t="s">
        <v>25</v>
      </c>
      <c r="I186" s="5">
        <v>44440</v>
      </c>
      <c r="J186" s="6">
        <v>4325</v>
      </c>
      <c r="K186" s="6">
        <v>4325</v>
      </c>
      <c r="L186" s="6">
        <v>0</v>
      </c>
      <c r="M186" s="6">
        <v>0</v>
      </c>
      <c r="N186" s="6">
        <v>0</v>
      </c>
      <c r="O186" s="6">
        <v>0</v>
      </c>
      <c r="P186" s="6">
        <v>27</v>
      </c>
      <c r="Q186" s="4" t="s">
        <v>26</v>
      </c>
      <c r="R186" s="4">
        <v>0</v>
      </c>
      <c r="S186" s="6">
        <v>19</v>
      </c>
      <c r="T186" s="6">
        <v>0</v>
      </c>
      <c r="U186" s="6">
        <v>0</v>
      </c>
      <c r="V186" s="6">
        <f>IF(ISERROR(VLOOKUP($S$186,'TAR FIN'!$A$1:$O$86,15,0)),0,VLOOKUP($S$186,'TAR FIN'!$A$1:$O$86,15,0))</f>
        <v>16.29</v>
      </c>
      <c r="W186" s="6">
        <f>IF(ISERROR(VLOOKUP($T$186,'TAR FIN'!$A$1:$O$86,15,0)),0,VLOOKUP($T$186,'TAR FIN'!$A$1:$O$86,15,0))</f>
        <v>0</v>
      </c>
      <c r="X186" s="6">
        <f>IF(ISERROR(VLOOKUP($U$186,'TAR FIN'!$A$1:$O$86,15,0)),0,VLOOKUP($U$186,'TAR FIN'!$A$1:$O$86,15,0))</f>
        <v>0</v>
      </c>
      <c r="Y186" s="6">
        <f ca="1">('TUSD BE'!$AM$10+'TUSD BF_350'!$AM$10+'TUSD CVA'!$AM$10)*1</f>
        <v>21.139573525578484</v>
      </c>
      <c r="Z186" s="6"/>
      <c r="AA186" s="6"/>
      <c r="AB186" s="6">
        <f>$K$186*$V$186</f>
        <v>70454.25</v>
      </c>
      <c r="AC186" s="6">
        <f>$M$186*$W$186</f>
        <v>0</v>
      </c>
      <c r="AD186" s="6">
        <f>$O$186*$X$186</f>
        <v>0</v>
      </c>
      <c r="AE186" s="6">
        <f ca="1">$K$186*$Y$186</f>
        <v>91428.655498126944</v>
      </c>
      <c r="AF186" s="6">
        <f>$M$186*$Z$186</f>
        <v>0</v>
      </c>
      <c r="AG186" s="6">
        <f>$O$186*$AA$186</f>
        <v>0</v>
      </c>
    </row>
    <row r="187" spans="1:33" ht="11.25" customHeight="1" x14ac:dyDescent="0.25">
      <c r="A187" s="4" t="s">
        <v>27</v>
      </c>
      <c r="B187" s="4" t="s">
        <v>38</v>
      </c>
      <c r="C187" s="4" t="s">
        <v>39</v>
      </c>
      <c r="D187" s="4" t="s">
        <v>37</v>
      </c>
      <c r="E187" s="4" t="s">
        <v>25</v>
      </c>
      <c r="F187" s="4" t="s">
        <v>25</v>
      </c>
      <c r="G187" s="4" t="s">
        <v>25</v>
      </c>
      <c r="H187" s="4" t="s">
        <v>25</v>
      </c>
      <c r="I187" s="5">
        <v>44440</v>
      </c>
      <c r="J187" s="6">
        <v>844</v>
      </c>
      <c r="K187" s="6">
        <v>844</v>
      </c>
      <c r="L187" s="6">
        <v>0</v>
      </c>
      <c r="M187" s="6">
        <v>0</v>
      </c>
      <c r="N187" s="6">
        <v>0</v>
      </c>
      <c r="O187" s="6">
        <v>0</v>
      </c>
      <c r="P187" s="6">
        <v>7</v>
      </c>
      <c r="Q187" s="4" t="s">
        <v>26</v>
      </c>
      <c r="R187" s="4">
        <v>0</v>
      </c>
      <c r="S187" s="6">
        <v>19</v>
      </c>
      <c r="T187" s="6">
        <v>0</v>
      </c>
      <c r="U187" s="6">
        <v>0</v>
      </c>
      <c r="V187" s="6">
        <f>IF(ISERROR(VLOOKUP($S$187,'TAR FIN'!$A$1:$O$86,15,0)),0,VLOOKUP($S$187,'TAR FIN'!$A$1:$O$86,15,0))</f>
        <v>16.29</v>
      </c>
      <c r="W187" s="6">
        <f>IF(ISERROR(VLOOKUP($T$187,'TAR FIN'!$A$1:$O$86,15,0)),0,VLOOKUP($T$187,'TAR FIN'!$A$1:$O$86,15,0))</f>
        <v>0</v>
      </c>
      <c r="X187" s="6">
        <f>IF(ISERROR(VLOOKUP($U$187,'TAR FIN'!$A$1:$O$86,15,0)),0,VLOOKUP($U$187,'TAR FIN'!$A$1:$O$86,15,0))</f>
        <v>0</v>
      </c>
      <c r="Y187" s="6">
        <f ca="1">('TUSD BE'!$AM$10+'TUSD BF_350'!$AM$10+'TUSD CVA'!$AM$10)*1</f>
        <v>21.139573525578484</v>
      </c>
      <c r="Z187" s="6"/>
      <c r="AA187" s="6"/>
      <c r="AB187" s="6">
        <f>$K$187*$V$187</f>
        <v>13748.759999999998</v>
      </c>
      <c r="AC187" s="6">
        <f>$M$187*$W$187</f>
        <v>0</v>
      </c>
      <c r="AD187" s="6">
        <f>$O$187*$X$187</f>
        <v>0</v>
      </c>
      <c r="AE187" s="6">
        <f ca="1">$K$187*$Y$187</f>
        <v>17841.800055588239</v>
      </c>
      <c r="AF187" s="6">
        <f>$M$187*$Z$187</f>
        <v>0</v>
      </c>
      <c r="AG187" s="6">
        <f>$O$187*$AA$187</f>
        <v>0</v>
      </c>
    </row>
    <row r="188" spans="1:33" ht="11.25" customHeight="1" x14ac:dyDescent="0.25">
      <c r="A188" s="4" t="s">
        <v>21</v>
      </c>
      <c r="B188" s="4" t="s">
        <v>38</v>
      </c>
      <c r="C188" s="4" t="s">
        <v>39</v>
      </c>
      <c r="D188" s="4" t="s">
        <v>37</v>
      </c>
      <c r="E188" s="4" t="s">
        <v>25</v>
      </c>
      <c r="F188" s="4" t="s">
        <v>25</v>
      </c>
      <c r="G188" s="4" t="s">
        <v>25</v>
      </c>
      <c r="H188" s="4" t="s">
        <v>25</v>
      </c>
      <c r="I188" s="5">
        <v>44470</v>
      </c>
      <c r="J188" s="6">
        <v>4335</v>
      </c>
      <c r="K188" s="6">
        <v>4335</v>
      </c>
      <c r="L188" s="6">
        <v>0</v>
      </c>
      <c r="M188" s="6">
        <v>0</v>
      </c>
      <c r="N188" s="6">
        <v>0</v>
      </c>
      <c r="O188" s="6">
        <v>0</v>
      </c>
      <c r="P188" s="6">
        <v>27</v>
      </c>
      <c r="Q188" s="4" t="s">
        <v>26</v>
      </c>
      <c r="R188" s="4">
        <v>0</v>
      </c>
      <c r="S188" s="6">
        <v>19</v>
      </c>
      <c r="T188" s="6">
        <v>0</v>
      </c>
      <c r="U188" s="6">
        <v>0</v>
      </c>
      <c r="V188" s="6">
        <f>IF(ISERROR(VLOOKUP($S$188,'TAR FIN'!$A$1:$O$86,15,0)),0,VLOOKUP($S$188,'TAR FIN'!$A$1:$O$86,15,0))</f>
        <v>16.29</v>
      </c>
      <c r="W188" s="6">
        <f>IF(ISERROR(VLOOKUP($T$188,'TAR FIN'!$A$1:$O$86,15,0)),0,VLOOKUP($T$188,'TAR FIN'!$A$1:$O$86,15,0))</f>
        <v>0</v>
      </c>
      <c r="X188" s="6">
        <f>IF(ISERROR(VLOOKUP($U$188,'TAR FIN'!$A$1:$O$86,15,0)),0,VLOOKUP($U$188,'TAR FIN'!$A$1:$O$86,15,0))</f>
        <v>0</v>
      </c>
      <c r="Y188" s="6">
        <f ca="1">('TUSD BE'!$AM$10+'TUSD BF_350'!$AM$10+'TUSD CVA'!$AM$10)*1</f>
        <v>21.139573525578484</v>
      </c>
      <c r="Z188" s="6"/>
      <c r="AA188" s="6"/>
      <c r="AB188" s="6">
        <f>$K$188*$V$188</f>
        <v>70617.149999999994</v>
      </c>
      <c r="AC188" s="6">
        <f>$M$188*$W$188</f>
        <v>0</v>
      </c>
      <c r="AD188" s="6">
        <f>$O$188*$X$188</f>
        <v>0</v>
      </c>
      <c r="AE188" s="6">
        <f ca="1">$K$188*$Y$188</f>
        <v>91640.051233382736</v>
      </c>
      <c r="AF188" s="6">
        <f>$M$188*$Z$188</f>
        <v>0</v>
      </c>
      <c r="AG188" s="6">
        <f>$O$188*$AA$188</f>
        <v>0</v>
      </c>
    </row>
    <row r="189" spans="1:33" ht="11.25" customHeight="1" x14ac:dyDescent="0.25">
      <c r="A189" s="4" t="s">
        <v>27</v>
      </c>
      <c r="B189" s="4" t="s">
        <v>38</v>
      </c>
      <c r="C189" s="4" t="s">
        <v>39</v>
      </c>
      <c r="D189" s="4" t="s">
        <v>37</v>
      </c>
      <c r="E189" s="4" t="s">
        <v>25</v>
      </c>
      <c r="F189" s="4" t="s">
        <v>25</v>
      </c>
      <c r="G189" s="4" t="s">
        <v>25</v>
      </c>
      <c r="H189" s="4" t="s">
        <v>25</v>
      </c>
      <c r="I189" s="5">
        <v>44470</v>
      </c>
      <c r="J189" s="6">
        <v>822</v>
      </c>
      <c r="K189" s="6">
        <v>822</v>
      </c>
      <c r="L189" s="6">
        <v>0</v>
      </c>
      <c r="M189" s="6">
        <v>0</v>
      </c>
      <c r="N189" s="6">
        <v>0</v>
      </c>
      <c r="O189" s="6">
        <v>0</v>
      </c>
      <c r="P189" s="6">
        <v>7</v>
      </c>
      <c r="Q189" s="4" t="s">
        <v>26</v>
      </c>
      <c r="R189" s="4">
        <v>0</v>
      </c>
      <c r="S189" s="6">
        <v>19</v>
      </c>
      <c r="T189" s="6">
        <v>0</v>
      </c>
      <c r="U189" s="6">
        <v>0</v>
      </c>
      <c r="V189" s="6">
        <f>IF(ISERROR(VLOOKUP($S$189,'TAR FIN'!$A$1:$O$86,15,0)),0,VLOOKUP($S$189,'TAR FIN'!$A$1:$O$86,15,0))</f>
        <v>16.29</v>
      </c>
      <c r="W189" s="6">
        <f>IF(ISERROR(VLOOKUP($T$189,'TAR FIN'!$A$1:$O$86,15,0)),0,VLOOKUP($T$189,'TAR FIN'!$A$1:$O$86,15,0))</f>
        <v>0</v>
      </c>
      <c r="X189" s="6">
        <f>IF(ISERROR(VLOOKUP($U$189,'TAR FIN'!$A$1:$O$86,15,0)),0,VLOOKUP($U$189,'TAR FIN'!$A$1:$O$86,15,0))</f>
        <v>0</v>
      </c>
      <c r="Y189" s="6">
        <f ca="1">('TUSD BE'!$AM$10+'TUSD BF_350'!$AM$10+'TUSD CVA'!$AM$10)*1</f>
        <v>21.139573525578484</v>
      </c>
      <c r="Z189" s="6"/>
      <c r="AA189" s="6"/>
      <c r="AB189" s="6">
        <f>$K$189*$V$189</f>
        <v>13390.38</v>
      </c>
      <c r="AC189" s="6">
        <f>$M$189*$W$189</f>
        <v>0</v>
      </c>
      <c r="AD189" s="6">
        <f>$O$189*$X$189</f>
        <v>0</v>
      </c>
      <c r="AE189" s="6">
        <f ca="1">$K$189*$Y$189</f>
        <v>17376.729438025515</v>
      </c>
      <c r="AF189" s="6">
        <f>$M$189*$Z$189</f>
        <v>0</v>
      </c>
      <c r="AG189" s="6">
        <f>$O$189*$AA$189</f>
        <v>0</v>
      </c>
    </row>
    <row r="190" spans="1:33" ht="11.25" customHeight="1" x14ac:dyDescent="0.25">
      <c r="A190" s="4" t="s">
        <v>21</v>
      </c>
      <c r="B190" s="4" t="s">
        <v>38</v>
      </c>
      <c r="C190" s="4" t="s">
        <v>39</v>
      </c>
      <c r="D190" s="4" t="s">
        <v>37</v>
      </c>
      <c r="E190" s="4" t="s">
        <v>25</v>
      </c>
      <c r="F190" s="4" t="s">
        <v>25</v>
      </c>
      <c r="G190" s="4" t="s">
        <v>25</v>
      </c>
      <c r="H190" s="4" t="s">
        <v>25</v>
      </c>
      <c r="I190" s="5">
        <v>44501</v>
      </c>
      <c r="J190" s="6">
        <v>3855</v>
      </c>
      <c r="K190" s="6">
        <v>3855</v>
      </c>
      <c r="L190" s="6">
        <v>0</v>
      </c>
      <c r="M190" s="6">
        <v>0</v>
      </c>
      <c r="N190" s="6">
        <v>0</v>
      </c>
      <c r="O190" s="6">
        <v>0</v>
      </c>
      <c r="P190" s="6">
        <v>25</v>
      </c>
      <c r="Q190" s="4" t="s">
        <v>26</v>
      </c>
      <c r="R190" s="4">
        <v>0</v>
      </c>
      <c r="S190" s="6">
        <v>19</v>
      </c>
      <c r="T190" s="6">
        <v>0</v>
      </c>
      <c r="U190" s="6">
        <v>0</v>
      </c>
      <c r="V190" s="6">
        <f>IF(ISERROR(VLOOKUP($S$190,'TAR FIN'!$A$1:$O$86,15,0)),0,VLOOKUP($S$190,'TAR FIN'!$A$1:$O$86,15,0))</f>
        <v>16.29</v>
      </c>
      <c r="W190" s="6">
        <f>IF(ISERROR(VLOOKUP($T$190,'TAR FIN'!$A$1:$O$86,15,0)),0,VLOOKUP($T$190,'TAR FIN'!$A$1:$O$86,15,0))</f>
        <v>0</v>
      </c>
      <c r="X190" s="6">
        <f>IF(ISERROR(VLOOKUP($U$190,'TAR FIN'!$A$1:$O$86,15,0)),0,VLOOKUP($U$190,'TAR FIN'!$A$1:$O$86,15,0))</f>
        <v>0</v>
      </c>
      <c r="Y190" s="6">
        <f ca="1">('TUSD BE'!$AM$10+'TUSD BF_350'!$AM$10+'TUSD CVA'!$AM$10)*1</f>
        <v>21.139573525578484</v>
      </c>
      <c r="Z190" s="6"/>
      <c r="AA190" s="6"/>
      <c r="AB190" s="6">
        <f>$K$190*$V$190</f>
        <v>62797.95</v>
      </c>
      <c r="AC190" s="6">
        <f>$M$190*$W$190</f>
        <v>0</v>
      </c>
      <c r="AD190" s="6">
        <f>$O$190*$X$190</f>
        <v>0</v>
      </c>
      <c r="AE190" s="6">
        <f ca="1">$K$190*$Y$190</f>
        <v>81493.055941105064</v>
      </c>
      <c r="AF190" s="6">
        <f>$M$190*$Z$190</f>
        <v>0</v>
      </c>
      <c r="AG190" s="6">
        <f>$O$190*$AA$190</f>
        <v>0</v>
      </c>
    </row>
    <row r="191" spans="1:33" ht="11.25" customHeight="1" x14ac:dyDescent="0.25">
      <c r="A191" s="4" t="s">
        <v>27</v>
      </c>
      <c r="B191" s="4" t="s">
        <v>38</v>
      </c>
      <c r="C191" s="4" t="s">
        <v>39</v>
      </c>
      <c r="D191" s="4" t="s">
        <v>37</v>
      </c>
      <c r="E191" s="4" t="s">
        <v>25</v>
      </c>
      <c r="F191" s="4" t="s">
        <v>25</v>
      </c>
      <c r="G191" s="4" t="s">
        <v>25</v>
      </c>
      <c r="H191" s="4" t="s">
        <v>25</v>
      </c>
      <c r="I191" s="5">
        <v>44501</v>
      </c>
      <c r="J191" s="6">
        <v>1074</v>
      </c>
      <c r="K191" s="6">
        <v>1074</v>
      </c>
      <c r="L191" s="6">
        <v>0</v>
      </c>
      <c r="M191" s="6">
        <v>0</v>
      </c>
      <c r="N191" s="6">
        <v>0</v>
      </c>
      <c r="O191" s="6">
        <v>0</v>
      </c>
      <c r="P191" s="6">
        <v>8</v>
      </c>
      <c r="Q191" s="4" t="s">
        <v>26</v>
      </c>
      <c r="R191" s="4">
        <v>0</v>
      </c>
      <c r="S191" s="6">
        <v>19</v>
      </c>
      <c r="T191" s="6">
        <v>0</v>
      </c>
      <c r="U191" s="6">
        <v>0</v>
      </c>
      <c r="V191" s="6">
        <f>IF(ISERROR(VLOOKUP($S$191,'TAR FIN'!$A$1:$O$86,15,0)),0,VLOOKUP($S$191,'TAR FIN'!$A$1:$O$86,15,0))</f>
        <v>16.29</v>
      </c>
      <c r="W191" s="6">
        <f>IF(ISERROR(VLOOKUP($T$191,'TAR FIN'!$A$1:$O$86,15,0)),0,VLOOKUP($T$191,'TAR FIN'!$A$1:$O$86,15,0))</f>
        <v>0</v>
      </c>
      <c r="X191" s="6">
        <f>IF(ISERROR(VLOOKUP($U$191,'TAR FIN'!$A$1:$O$86,15,0)),0,VLOOKUP($U$191,'TAR FIN'!$A$1:$O$86,15,0))</f>
        <v>0</v>
      </c>
      <c r="Y191" s="6">
        <f ca="1">('TUSD BE'!$AM$10+'TUSD BF_350'!$AM$10+'TUSD CVA'!$AM$10)*1</f>
        <v>21.139573525578484</v>
      </c>
      <c r="Z191" s="6"/>
      <c r="AA191" s="6"/>
      <c r="AB191" s="6">
        <f>$K$191*$V$191</f>
        <v>17495.46</v>
      </c>
      <c r="AC191" s="6">
        <f>$M$191*$W$191</f>
        <v>0</v>
      </c>
      <c r="AD191" s="6">
        <f>$O$191*$X$191</f>
        <v>0</v>
      </c>
      <c r="AE191" s="6">
        <f ca="1">$K$191*$Y$191</f>
        <v>22703.901966471291</v>
      </c>
      <c r="AF191" s="6">
        <f>$M$191*$Z$191</f>
        <v>0</v>
      </c>
      <c r="AG191" s="6">
        <f>$O$191*$AA$191</f>
        <v>0</v>
      </c>
    </row>
    <row r="192" spans="1:33" ht="11.25" customHeight="1" x14ac:dyDescent="0.25">
      <c r="A192" s="4" t="s">
        <v>21</v>
      </c>
      <c r="B192" s="4" t="s">
        <v>38</v>
      </c>
      <c r="C192" s="4" t="s">
        <v>39</v>
      </c>
      <c r="D192" s="4" t="s">
        <v>37</v>
      </c>
      <c r="E192" s="4" t="s">
        <v>25</v>
      </c>
      <c r="F192" s="4" t="s">
        <v>25</v>
      </c>
      <c r="G192" s="4" t="s">
        <v>25</v>
      </c>
      <c r="H192" s="4" t="s">
        <v>25</v>
      </c>
      <c r="I192" s="5">
        <v>44531</v>
      </c>
      <c r="J192" s="6">
        <v>3815</v>
      </c>
      <c r="K192" s="6">
        <v>3815</v>
      </c>
      <c r="L192" s="6">
        <v>0</v>
      </c>
      <c r="M192" s="6">
        <v>0</v>
      </c>
      <c r="N192" s="6">
        <v>0</v>
      </c>
      <c r="O192" s="6">
        <v>0</v>
      </c>
      <c r="P192" s="6">
        <v>24</v>
      </c>
      <c r="Q192" s="4" t="s">
        <v>26</v>
      </c>
      <c r="R192" s="4">
        <v>0</v>
      </c>
      <c r="S192" s="6">
        <v>19</v>
      </c>
      <c r="T192" s="6">
        <v>0</v>
      </c>
      <c r="U192" s="6">
        <v>0</v>
      </c>
      <c r="V192" s="6">
        <f>IF(ISERROR(VLOOKUP($S$192,'TAR FIN'!$A$1:$O$86,15,0)),0,VLOOKUP($S$192,'TAR FIN'!$A$1:$O$86,15,0))</f>
        <v>16.29</v>
      </c>
      <c r="W192" s="6">
        <f>IF(ISERROR(VLOOKUP($T$192,'TAR FIN'!$A$1:$O$86,15,0)),0,VLOOKUP($T$192,'TAR FIN'!$A$1:$O$86,15,0))</f>
        <v>0</v>
      </c>
      <c r="X192" s="6">
        <f>IF(ISERROR(VLOOKUP($U$192,'TAR FIN'!$A$1:$O$86,15,0)),0,VLOOKUP($U$192,'TAR FIN'!$A$1:$O$86,15,0))</f>
        <v>0</v>
      </c>
      <c r="Y192" s="6">
        <f ca="1">('TUSD BE'!$AM$10+'TUSD BF_350'!$AM$10+'TUSD CVA'!$AM$10)*1</f>
        <v>21.139573525578484</v>
      </c>
      <c r="Z192" s="6"/>
      <c r="AA192" s="6"/>
      <c r="AB192" s="6">
        <f>$K$192*$V$192</f>
        <v>62146.35</v>
      </c>
      <c r="AC192" s="6">
        <f>$M$192*$W$192</f>
        <v>0</v>
      </c>
      <c r="AD192" s="6">
        <f>$O$192*$X$192</f>
        <v>0</v>
      </c>
      <c r="AE192" s="6">
        <f ca="1">$K$192*$Y$192</f>
        <v>80647.473000081911</v>
      </c>
      <c r="AF192" s="6">
        <f>$M$192*$Z$192</f>
        <v>0</v>
      </c>
      <c r="AG192" s="6">
        <f>$O$192*$AA$192</f>
        <v>0</v>
      </c>
    </row>
    <row r="193" spans="1:33" ht="11.25" customHeight="1" x14ac:dyDescent="0.25">
      <c r="A193" s="4" t="s">
        <v>27</v>
      </c>
      <c r="B193" s="4" t="s">
        <v>38</v>
      </c>
      <c r="C193" s="4" t="s">
        <v>39</v>
      </c>
      <c r="D193" s="4" t="s">
        <v>37</v>
      </c>
      <c r="E193" s="4" t="s">
        <v>25</v>
      </c>
      <c r="F193" s="4" t="s">
        <v>25</v>
      </c>
      <c r="G193" s="4" t="s">
        <v>25</v>
      </c>
      <c r="H193" s="4" t="s">
        <v>25</v>
      </c>
      <c r="I193" s="5">
        <v>44531</v>
      </c>
      <c r="J193" s="6">
        <v>1199</v>
      </c>
      <c r="K193" s="6">
        <v>1199</v>
      </c>
      <c r="L193" s="6">
        <v>0</v>
      </c>
      <c r="M193" s="6">
        <v>0</v>
      </c>
      <c r="N193" s="6">
        <v>0</v>
      </c>
      <c r="O193" s="6">
        <v>0</v>
      </c>
      <c r="P193" s="6">
        <v>9</v>
      </c>
      <c r="Q193" s="4" t="s">
        <v>26</v>
      </c>
      <c r="R193" s="4">
        <v>0</v>
      </c>
      <c r="S193" s="6">
        <v>19</v>
      </c>
      <c r="T193" s="6">
        <v>0</v>
      </c>
      <c r="U193" s="6">
        <v>0</v>
      </c>
      <c r="V193" s="6">
        <f>IF(ISERROR(VLOOKUP($S$193,'TAR FIN'!$A$1:$O$86,15,0)),0,VLOOKUP($S$193,'TAR FIN'!$A$1:$O$86,15,0))</f>
        <v>16.29</v>
      </c>
      <c r="W193" s="6">
        <f>IF(ISERROR(VLOOKUP($T$193,'TAR FIN'!$A$1:$O$86,15,0)),0,VLOOKUP($T$193,'TAR FIN'!$A$1:$O$86,15,0))</f>
        <v>0</v>
      </c>
      <c r="X193" s="6">
        <f>IF(ISERROR(VLOOKUP($U$193,'TAR FIN'!$A$1:$O$86,15,0)),0,VLOOKUP($U$193,'TAR FIN'!$A$1:$O$86,15,0))</f>
        <v>0</v>
      </c>
      <c r="Y193" s="6">
        <f ca="1">('TUSD BE'!$AM$10+'TUSD BF_350'!$AM$10+'TUSD CVA'!$AM$10)*1</f>
        <v>21.139573525578484</v>
      </c>
      <c r="Z193" s="6"/>
      <c r="AA193" s="6"/>
      <c r="AB193" s="6">
        <f>$K$193*$V$193</f>
        <v>19531.71</v>
      </c>
      <c r="AC193" s="6">
        <f>$M$193*$W$193</f>
        <v>0</v>
      </c>
      <c r="AD193" s="6">
        <f>$O$193*$X$193</f>
        <v>0</v>
      </c>
      <c r="AE193" s="6">
        <f ca="1">$K$193*$Y$193</f>
        <v>25346.348657168604</v>
      </c>
      <c r="AF193" s="6">
        <f>$M$193*$Z$193</f>
        <v>0</v>
      </c>
      <c r="AG193" s="6">
        <f>$O$193*$AA$193</f>
        <v>0</v>
      </c>
    </row>
    <row r="194" spans="1:33" ht="11.25" customHeight="1" x14ac:dyDescent="0.25">
      <c r="A194" s="4" t="s">
        <v>21</v>
      </c>
      <c r="B194" s="4" t="s">
        <v>38</v>
      </c>
      <c r="C194" s="4" t="s">
        <v>39</v>
      </c>
      <c r="D194" s="4" t="s">
        <v>37</v>
      </c>
      <c r="E194" s="4" t="s">
        <v>25</v>
      </c>
      <c r="F194" s="4" t="s">
        <v>25</v>
      </c>
      <c r="G194" s="4" t="s">
        <v>25</v>
      </c>
      <c r="H194" s="4" t="s">
        <v>25</v>
      </c>
      <c r="I194" s="5">
        <v>44562</v>
      </c>
      <c r="J194" s="6">
        <v>3690</v>
      </c>
      <c r="K194" s="6">
        <v>3690</v>
      </c>
      <c r="L194" s="6">
        <v>0</v>
      </c>
      <c r="M194" s="6">
        <v>0</v>
      </c>
      <c r="N194" s="6">
        <v>0</v>
      </c>
      <c r="O194" s="6">
        <v>0</v>
      </c>
      <c r="P194" s="6">
        <v>24</v>
      </c>
      <c r="Q194" s="4" t="s">
        <v>26</v>
      </c>
      <c r="R194" s="4">
        <v>0</v>
      </c>
      <c r="S194" s="6">
        <v>19</v>
      </c>
      <c r="T194" s="6">
        <v>0</v>
      </c>
      <c r="U194" s="6">
        <v>0</v>
      </c>
      <c r="V194" s="6">
        <f>IF(ISERROR(VLOOKUP($S$194,'TAR FIN'!$A$1:$O$86,15,0)),0,VLOOKUP($S$194,'TAR FIN'!$A$1:$O$86,15,0))</f>
        <v>16.29</v>
      </c>
      <c r="W194" s="6">
        <f>IF(ISERROR(VLOOKUP($T$194,'TAR FIN'!$A$1:$O$86,15,0)),0,VLOOKUP($T$194,'TAR FIN'!$A$1:$O$86,15,0))</f>
        <v>0</v>
      </c>
      <c r="X194" s="6">
        <f>IF(ISERROR(VLOOKUP($U$194,'TAR FIN'!$A$1:$O$86,15,0)),0,VLOOKUP($U$194,'TAR FIN'!$A$1:$O$86,15,0))</f>
        <v>0</v>
      </c>
      <c r="Y194" s="6">
        <f ca="1">('TUSD BE'!$AM$10+'TUSD BF_350'!$AM$10+'TUSD CVA'!$AM$10)*1</f>
        <v>21.139573525578484</v>
      </c>
      <c r="Z194" s="6"/>
      <c r="AA194" s="6"/>
      <c r="AB194" s="6">
        <f>$K$194*$V$194</f>
        <v>60110.1</v>
      </c>
      <c r="AC194" s="6">
        <f>$M$194*$W$194</f>
        <v>0</v>
      </c>
      <c r="AD194" s="6">
        <f>$O$194*$X$194</f>
        <v>0</v>
      </c>
      <c r="AE194" s="6">
        <f ca="1">$K$194*$Y$194</f>
        <v>78005.026309384601</v>
      </c>
      <c r="AF194" s="6">
        <f>$M$194*$Z$194</f>
        <v>0</v>
      </c>
      <c r="AG194" s="6">
        <f>$O$194*$AA$194</f>
        <v>0</v>
      </c>
    </row>
    <row r="195" spans="1:33" ht="11.25" customHeight="1" x14ac:dyDescent="0.25">
      <c r="A195" s="4" t="s">
        <v>27</v>
      </c>
      <c r="B195" s="4" t="s">
        <v>38</v>
      </c>
      <c r="C195" s="4" t="s">
        <v>39</v>
      </c>
      <c r="D195" s="4" t="s">
        <v>37</v>
      </c>
      <c r="E195" s="4" t="s">
        <v>25</v>
      </c>
      <c r="F195" s="4" t="s">
        <v>25</v>
      </c>
      <c r="G195" s="4" t="s">
        <v>25</v>
      </c>
      <c r="H195" s="4" t="s">
        <v>25</v>
      </c>
      <c r="I195" s="5">
        <v>44562</v>
      </c>
      <c r="J195" s="6">
        <v>1139</v>
      </c>
      <c r="K195" s="6">
        <v>1139</v>
      </c>
      <c r="L195" s="6">
        <v>0</v>
      </c>
      <c r="M195" s="6">
        <v>0</v>
      </c>
      <c r="N195" s="6">
        <v>0</v>
      </c>
      <c r="O195" s="6">
        <v>0</v>
      </c>
      <c r="P195" s="6">
        <v>9</v>
      </c>
      <c r="Q195" s="4" t="s">
        <v>26</v>
      </c>
      <c r="R195" s="4">
        <v>0</v>
      </c>
      <c r="S195" s="6">
        <v>19</v>
      </c>
      <c r="T195" s="6">
        <v>0</v>
      </c>
      <c r="U195" s="6">
        <v>0</v>
      </c>
      <c r="V195" s="6">
        <f>IF(ISERROR(VLOOKUP($S$195,'TAR FIN'!$A$1:$O$86,15,0)),0,VLOOKUP($S$195,'TAR FIN'!$A$1:$O$86,15,0))</f>
        <v>16.29</v>
      </c>
      <c r="W195" s="6">
        <f>IF(ISERROR(VLOOKUP($T$195,'TAR FIN'!$A$1:$O$86,15,0)),0,VLOOKUP($T$195,'TAR FIN'!$A$1:$O$86,15,0))</f>
        <v>0</v>
      </c>
      <c r="X195" s="6">
        <f>IF(ISERROR(VLOOKUP($U$195,'TAR FIN'!$A$1:$O$86,15,0)),0,VLOOKUP($U$195,'TAR FIN'!$A$1:$O$86,15,0))</f>
        <v>0</v>
      </c>
      <c r="Y195" s="6">
        <f ca="1">('TUSD BE'!$AM$10+'TUSD BF_350'!$AM$10+'TUSD CVA'!$AM$10)*1</f>
        <v>21.139573525578484</v>
      </c>
      <c r="Z195" s="6"/>
      <c r="AA195" s="6"/>
      <c r="AB195" s="6">
        <f>$K$195*$V$195</f>
        <v>18554.309999999998</v>
      </c>
      <c r="AC195" s="6">
        <f>$M$195*$W$195</f>
        <v>0</v>
      </c>
      <c r="AD195" s="6">
        <f>$O$195*$X$195</f>
        <v>0</v>
      </c>
      <c r="AE195" s="6">
        <f ca="1">$K$195*$Y$195</f>
        <v>24077.974245633894</v>
      </c>
      <c r="AF195" s="6">
        <f>$M$195*$Z$195</f>
        <v>0</v>
      </c>
      <c r="AG195" s="6">
        <f>$O$195*$AA$195</f>
        <v>0</v>
      </c>
    </row>
    <row r="196" spans="1:33" ht="11.25" customHeight="1" x14ac:dyDescent="0.25">
      <c r="A196" s="4" t="s">
        <v>21</v>
      </c>
      <c r="B196" s="4" t="s">
        <v>38</v>
      </c>
      <c r="C196" s="4" t="s">
        <v>39</v>
      </c>
      <c r="D196" s="4" t="s">
        <v>37</v>
      </c>
      <c r="E196" s="4" t="s">
        <v>25</v>
      </c>
      <c r="F196" s="4" t="s">
        <v>25</v>
      </c>
      <c r="G196" s="4" t="s">
        <v>25</v>
      </c>
      <c r="H196" s="4" t="s">
        <v>25</v>
      </c>
      <c r="I196" s="5">
        <v>44593</v>
      </c>
      <c r="J196" s="6">
        <v>2915</v>
      </c>
      <c r="K196" s="6">
        <v>2915</v>
      </c>
      <c r="L196" s="6">
        <v>0</v>
      </c>
      <c r="M196" s="6">
        <v>0</v>
      </c>
      <c r="N196" s="6">
        <v>0</v>
      </c>
      <c r="O196" s="6">
        <v>0</v>
      </c>
      <c r="P196" s="6">
        <v>23</v>
      </c>
      <c r="Q196" s="4" t="s">
        <v>26</v>
      </c>
      <c r="R196" s="4">
        <v>0</v>
      </c>
      <c r="S196" s="6">
        <v>19</v>
      </c>
      <c r="T196" s="6">
        <v>0</v>
      </c>
      <c r="U196" s="6">
        <v>0</v>
      </c>
      <c r="V196" s="6">
        <f>IF(ISERROR(VLOOKUP($S$196,'TAR FIN'!$A$1:$O$86,15,0)),0,VLOOKUP($S$196,'TAR FIN'!$A$1:$O$86,15,0))</f>
        <v>16.29</v>
      </c>
      <c r="W196" s="6">
        <f>IF(ISERROR(VLOOKUP($T$196,'TAR FIN'!$A$1:$O$86,15,0)),0,VLOOKUP($T$196,'TAR FIN'!$A$1:$O$86,15,0))</f>
        <v>0</v>
      </c>
      <c r="X196" s="6">
        <f>IF(ISERROR(VLOOKUP($U$196,'TAR FIN'!$A$1:$O$86,15,0)),0,VLOOKUP($U$196,'TAR FIN'!$A$1:$O$86,15,0))</f>
        <v>0</v>
      </c>
      <c r="Y196" s="6">
        <f ca="1">('TUSD BE'!$AM$10+'TUSD BF_350'!$AM$10+'TUSD CVA'!$AM$10)*1</f>
        <v>21.139573525578484</v>
      </c>
      <c r="Z196" s="6"/>
      <c r="AA196" s="6"/>
      <c r="AB196" s="6">
        <f>$K$196*$V$196</f>
        <v>47485.35</v>
      </c>
      <c r="AC196" s="6">
        <f>$M$196*$W$196</f>
        <v>0</v>
      </c>
      <c r="AD196" s="6">
        <f>$O$196*$X$196</f>
        <v>0</v>
      </c>
      <c r="AE196" s="6">
        <f ca="1">$K$196*$Y$196</f>
        <v>61621.856827061281</v>
      </c>
      <c r="AF196" s="6">
        <f>$M$196*$Z$196</f>
        <v>0</v>
      </c>
      <c r="AG196" s="6">
        <f>$O$196*$AA$196</f>
        <v>0</v>
      </c>
    </row>
    <row r="197" spans="1:33" ht="11.25" customHeight="1" x14ac:dyDescent="0.25">
      <c r="A197" s="4" t="s">
        <v>27</v>
      </c>
      <c r="B197" s="4" t="s">
        <v>38</v>
      </c>
      <c r="C197" s="4" t="s">
        <v>39</v>
      </c>
      <c r="D197" s="4" t="s">
        <v>37</v>
      </c>
      <c r="E197" s="4" t="s">
        <v>25</v>
      </c>
      <c r="F197" s="4" t="s">
        <v>25</v>
      </c>
      <c r="G197" s="4" t="s">
        <v>25</v>
      </c>
      <c r="H197" s="4" t="s">
        <v>25</v>
      </c>
      <c r="I197" s="5">
        <v>44593</v>
      </c>
      <c r="J197" s="6">
        <v>1169</v>
      </c>
      <c r="K197" s="6">
        <v>1169</v>
      </c>
      <c r="L197" s="6">
        <v>0</v>
      </c>
      <c r="M197" s="6">
        <v>0</v>
      </c>
      <c r="N197" s="6">
        <v>0</v>
      </c>
      <c r="O197" s="6">
        <v>0</v>
      </c>
      <c r="P197" s="6">
        <v>9</v>
      </c>
      <c r="Q197" s="4" t="s">
        <v>26</v>
      </c>
      <c r="R197" s="4">
        <v>0</v>
      </c>
      <c r="S197" s="6">
        <v>19</v>
      </c>
      <c r="T197" s="6">
        <v>0</v>
      </c>
      <c r="U197" s="6">
        <v>0</v>
      </c>
      <c r="V197" s="6">
        <f>IF(ISERROR(VLOOKUP($S$197,'TAR FIN'!$A$1:$O$86,15,0)),0,VLOOKUP($S$197,'TAR FIN'!$A$1:$O$86,15,0))</f>
        <v>16.29</v>
      </c>
      <c r="W197" s="6">
        <f>IF(ISERROR(VLOOKUP($T$197,'TAR FIN'!$A$1:$O$86,15,0)),0,VLOOKUP($T$197,'TAR FIN'!$A$1:$O$86,15,0))</f>
        <v>0</v>
      </c>
      <c r="X197" s="6">
        <f>IF(ISERROR(VLOOKUP($U$197,'TAR FIN'!$A$1:$O$86,15,0)),0,VLOOKUP($U$197,'TAR FIN'!$A$1:$O$86,15,0))</f>
        <v>0</v>
      </c>
      <c r="Y197" s="6">
        <f ca="1">('TUSD BE'!$AM$10+'TUSD BF_350'!$AM$10+'TUSD CVA'!$AM$10)*1</f>
        <v>21.139573525578484</v>
      </c>
      <c r="Z197" s="6"/>
      <c r="AA197" s="6"/>
      <c r="AB197" s="6">
        <f>$K$197*$V$197</f>
        <v>19043.009999999998</v>
      </c>
      <c r="AC197" s="6">
        <f>$M$197*$W$197</f>
        <v>0</v>
      </c>
      <c r="AD197" s="6">
        <f>$O$197*$X$197</f>
        <v>0</v>
      </c>
      <c r="AE197" s="6">
        <f ca="1">$K$197*$Y$197</f>
        <v>24712.161451401247</v>
      </c>
      <c r="AF197" s="6">
        <f>$M$197*$Z$197</f>
        <v>0</v>
      </c>
      <c r="AG197" s="6">
        <f>$O$197*$AA$197</f>
        <v>0</v>
      </c>
    </row>
    <row r="198" spans="1:33" ht="11.25" customHeight="1" x14ac:dyDescent="0.25">
      <c r="A198" s="4" t="s">
        <v>21</v>
      </c>
      <c r="B198" s="4" t="s">
        <v>38</v>
      </c>
      <c r="C198" s="4" t="s">
        <v>39</v>
      </c>
      <c r="D198" s="4" t="s">
        <v>37</v>
      </c>
      <c r="E198" s="4" t="s">
        <v>25</v>
      </c>
      <c r="F198" s="4" t="s">
        <v>25</v>
      </c>
      <c r="G198" s="4" t="s">
        <v>25</v>
      </c>
      <c r="H198" s="4" t="s">
        <v>25</v>
      </c>
      <c r="I198" s="5">
        <v>44621</v>
      </c>
      <c r="J198" s="6">
        <v>2821</v>
      </c>
      <c r="K198" s="6">
        <v>2821</v>
      </c>
      <c r="L198" s="6">
        <v>0</v>
      </c>
      <c r="M198" s="6">
        <v>0</v>
      </c>
      <c r="N198" s="6">
        <v>0</v>
      </c>
      <c r="O198" s="6">
        <v>0</v>
      </c>
      <c r="P198" s="6">
        <v>23</v>
      </c>
      <c r="Q198" s="4" t="s">
        <v>26</v>
      </c>
      <c r="R198" s="4">
        <v>0</v>
      </c>
      <c r="S198" s="6">
        <v>19</v>
      </c>
      <c r="T198" s="6">
        <v>0</v>
      </c>
      <c r="U198" s="6">
        <v>0</v>
      </c>
      <c r="V198" s="6">
        <f>IF(ISERROR(VLOOKUP($S$198,'TAR FIN'!$A$1:$O$86,15,0)),0,VLOOKUP($S$198,'TAR FIN'!$A$1:$O$86,15,0))</f>
        <v>16.29</v>
      </c>
      <c r="W198" s="6">
        <f>IF(ISERROR(VLOOKUP($T$198,'TAR FIN'!$A$1:$O$86,15,0)),0,VLOOKUP($T$198,'TAR FIN'!$A$1:$O$86,15,0))</f>
        <v>0</v>
      </c>
      <c r="X198" s="6">
        <f>IF(ISERROR(VLOOKUP($U$198,'TAR FIN'!$A$1:$O$86,15,0)),0,VLOOKUP($U$198,'TAR FIN'!$A$1:$O$86,15,0))</f>
        <v>0</v>
      </c>
      <c r="Y198" s="6">
        <f ca="1">('TUSD BE'!$AM$10+'TUSD BF_350'!$AM$10+'TUSD CVA'!$AM$10)*1</f>
        <v>21.139573525578484</v>
      </c>
      <c r="Z198" s="6"/>
      <c r="AA198" s="6"/>
      <c r="AB198" s="6">
        <f>$K$198*$V$198</f>
        <v>45954.09</v>
      </c>
      <c r="AC198" s="6">
        <f>$M$198*$W$198</f>
        <v>0</v>
      </c>
      <c r="AD198" s="6">
        <f>$O$198*$X$198</f>
        <v>0</v>
      </c>
      <c r="AE198" s="6">
        <f ca="1">$K$198*$Y$198</f>
        <v>59634.736915656904</v>
      </c>
      <c r="AF198" s="6">
        <f>$M$198*$Z$198</f>
        <v>0</v>
      </c>
      <c r="AG198" s="6">
        <f>$O$198*$AA$198</f>
        <v>0</v>
      </c>
    </row>
    <row r="199" spans="1:33" ht="11.25" customHeight="1" x14ac:dyDescent="0.25">
      <c r="A199" s="4" t="s">
        <v>27</v>
      </c>
      <c r="B199" s="4" t="s">
        <v>38</v>
      </c>
      <c r="C199" s="4" t="s">
        <v>39</v>
      </c>
      <c r="D199" s="4" t="s">
        <v>37</v>
      </c>
      <c r="E199" s="4" t="s">
        <v>25</v>
      </c>
      <c r="F199" s="4" t="s">
        <v>25</v>
      </c>
      <c r="G199" s="4" t="s">
        <v>25</v>
      </c>
      <c r="H199" s="4" t="s">
        <v>25</v>
      </c>
      <c r="I199" s="5">
        <v>44621</v>
      </c>
      <c r="J199" s="6">
        <v>1283</v>
      </c>
      <c r="K199" s="6">
        <v>1283</v>
      </c>
      <c r="L199" s="6">
        <v>0</v>
      </c>
      <c r="M199" s="6">
        <v>0</v>
      </c>
      <c r="N199" s="6">
        <v>0</v>
      </c>
      <c r="O199" s="6">
        <v>0</v>
      </c>
      <c r="P199" s="6">
        <v>10</v>
      </c>
      <c r="Q199" s="4" t="s">
        <v>26</v>
      </c>
      <c r="R199" s="4">
        <v>0</v>
      </c>
      <c r="S199" s="6">
        <v>19</v>
      </c>
      <c r="T199" s="6">
        <v>0</v>
      </c>
      <c r="U199" s="6">
        <v>0</v>
      </c>
      <c r="V199" s="6">
        <f>IF(ISERROR(VLOOKUP($S$199,'TAR FIN'!$A$1:$O$86,15,0)),0,VLOOKUP($S$199,'TAR FIN'!$A$1:$O$86,15,0))</f>
        <v>16.29</v>
      </c>
      <c r="W199" s="6">
        <f>IF(ISERROR(VLOOKUP($T$199,'TAR FIN'!$A$1:$O$86,15,0)),0,VLOOKUP($T$199,'TAR FIN'!$A$1:$O$86,15,0))</f>
        <v>0</v>
      </c>
      <c r="X199" s="6">
        <f>IF(ISERROR(VLOOKUP($U$199,'TAR FIN'!$A$1:$O$86,15,0)),0,VLOOKUP($U$199,'TAR FIN'!$A$1:$O$86,15,0))</f>
        <v>0</v>
      </c>
      <c r="Y199" s="6">
        <f ca="1">('TUSD BE'!$AM$10+'TUSD BF_350'!$AM$10+'TUSD CVA'!$AM$10)*1</f>
        <v>21.139573525578484</v>
      </c>
      <c r="Z199" s="6"/>
      <c r="AA199" s="6"/>
      <c r="AB199" s="6">
        <f>$K$199*$V$199</f>
        <v>20900.07</v>
      </c>
      <c r="AC199" s="6">
        <f>$M$199*$W$199</f>
        <v>0</v>
      </c>
      <c r="AD199" s="6">
        <f>$O$199*$X$199</f>
        <v>0</v>
      </c>
      <c r="AE199" s="6">
        <f ca="1">$K$199*$Y$199</f>
        <v>27122.072833317194</v>
      </c>
      <c r="AF199" s="6">
        <f>$M$199*$Z$199</f>
        <v>0</v>
      </c>
      <c r="AG199" s="6">
        <f>$O$199*$AA$199</f>
        <v>0</v>
      </c>
    </row>
    <row r="200" spans="1:33" ht="11.25" customHeight="1" x14ac:dyDescent="0.25">
      <c r="A200" s="4" t="s">
        <v>21</v>
      </c>
      <c r="B200" s="4" t="s">
        <v>38</v>
      </c>
      <c r="C200" s="4" t="s">
        <v>39</v>
      </c>
      <c r="D200" s="4" t="s">
        <v>37</v>
      </c>
      <c r="E200" s="4" t="s">
        <v>25</v>
      </c>
      <c r="F200" s="4" t="s">
        <v>25</v>
      </c>
      <c r="G200" s="4" t="s">
        <v>25</v>
      </c>
      <c r="H200" s="4" t="s">
        <v>25</v>
      </c>
      <c r="I200" s="5">
        <v>44652</v>
      </c>
      <c r="J200" s="6">
        <v>3132</v>
      </c>
      <c r="K200" s="6">
        <v>3132</v>
      </c>
      <c r="L200" s="6">
        <v>0</v>
      </c>
      <c r="M200" s="6">
        <v>0</v>
      </c>
      <c r="N200" s="6">
        <v>0</v>
      </c>
      <c r="O200" s="6">
        <v>0</v>
      </c>
      <c r="P200" s="6">
        <v>23</v>
      </c>
      <c r="Q200" s="4" t="s">
        <v>26</v>
      </c>
      <c r="R200" s="4">
        <v>0</v>
      </c>
      <c r="S200" s="6">
        <v>19</v>
      </c>
      <c r="T200" s="6">
        <v>0</v>
      </c>
      <c r="U200" s="6">
        <v>0</v>
      </c>
      <c r="V200" s="6">
        <f>IF(ISERROR(VLOOKUP($S$200,'TAR FIN'!$A$1:$O$86,15,0)),0,VLOOKUP($S$200,'TAR FIN'!$A$1:$O$86,15,0))</f>
        <v>16.29</v>
      </c>
      <c r="W200" s="6">
        <f>IF(ISERROR(VLOOKUP($T$200,'TAR FIN'!$A$1:$O$86,15,0)),0,VLOOKUP($T$200,'TAR FIN'!$A$1:$O$86,15,0))</f>
        <v>0</v>
      </c>
      <c r="X200" s="6">
        <f>IF(ISERROR(VLOOKUP($U$200,'TAR FIN'!$A$1:$O$86,15,0)),0,VLOOKUP($U$200,'TAR FIN'!$A$1:$O$86,15,0))</f>
        <v>0</v>
      </c>
      <c r="Y200" s="6">
        <f ca="1">('TUSD BE'!$AM$10+'TUSD BF_350'!$AM$10+'TUSD CVA'!$AM$10)*1</f>
        <v>21.139573525578484</v>
      </c>
      <c r="Z200" s="6"/>
      <c r="AA200" s="6"/>
      <c r="AB200" s="6">
        <f>$K$200*$V$200</f>
        <v>51020.28</v>
      </c>
      <c r="AC200" s="6">
        <f>$M$200*$W$200</f>
        <v>0</v>
      </c>
      <c r="AD200" s="6">
        <f>$O$200*$X$200</f>
        <v>0</v>
      </c>
      <c r="AE200" s="6">
        <f ca="1">$K$200*$Y$200</f>
        <v>66209.144282111811</v>
      </c>
      <c r="AF200" s="6">
        <f>$M$200*$Z$200</f>
        <v>0</v>
      </c>
      <c r="AG200" s="6">
        <f>$O$200*$AA$200</f>
        <v>0</v>
      </c>
    </row>
    <row r="201" spans="1:33" ht="11.25" customHeight="1" x14ac:dyDescent="0.25">
      <c r="A201" s="4" t="s">
        <v>27</v>
      </c>
      <c r="B201" s="4" t="s">
        <v>38</v>
      </c>
      <c r="C201" s="4" t="s">
        <v>39</v>
      </c>
      <c r="D201" s="4" t="s">
        <v>37</v>
      </c>
      <c r="E201" s="4" t="s">
        <v>25</v>
      </c>
      <c r="F201" s="4" t="s">
        <v>25</v>
      </c>
      <c r="G201" s="4" t="s">
        <v>25</v>
      </c>
      <c r="H201" s="4" t="s">
        <v>25</v>
      </c>
      <c r="I201" s="5">
        <v>44652</v>
      </c>
      <c r="J201" s="6">
        <v>1318</v>
      </c>
      <c r="K201" s="6">
        <v>1318</v>
      </c>
      <c r="L201" s="6">
        <v>0</v>
      </c>
      <c r="M201" s="6">
        <v>0</v>
      </c>
      <c r="N201" s="6">
        <v>0</v>
      </c>
      <c r="O201" s="6">
        <v>0</v>
      </c>
      <c r="P201" s="6">
        <v>10</v>
      </c>
      <c r="Q201" s="4" t="s">
        <v>26</v>
      </c>
      <c r="R201" s="4">
        <v>0</v>
      </c>
      <c r="S201" s="6">
        <v>19</v>
      </c>
      <c r="T201" s="6">
        <v>0</v>
      </c>
      <c r="U201" s="6">
        <v>0</v>
      </c>
      <c r="V201" s="6">
        <f>IF(ISERROR(VLOOKUP($S$201,'TAR FIN'!$A$1:$O$86,15,0)),0,VLOOKUP($S$201,'TAR FIN'!$A$1:$O$86,15,0))</f>
        <v>16.29</v>
      </c>
      <c r="W201" s="6">
        <f>IF(ISERROR(VLOOKUP($T$201,'TAR FIN'!$A$1:$O$86,15,0)),0,VLOOKUP($T$201,'TAR FIN'!$A$1:$O$86,15,0))</f>
        <v>0</v>
      </c>
      <c r="X201" s="6">
        <f>IF(ISERROR(VLOOKUP($U$201,'TAR FIN'!$A$1:$O$86,15,0)),0,VLOOKUP($U$201,'TAR FIN'!$A$1:$O$86,15,0))</f>
        <v>0</v>
      </c>
      <c r="Y201" s="6">
        <f ca="1">('TUSD BE'!$AM$10+'TUSD BF_350'!$AM$10+'TUSD CVA'!$AM$10)*1</f>
        <v>21.139573525578484</v>
      </c>
      <c r="Z201" s="6"/>
      <c r="AA201" s="6"/>
      <c r="AB201" s="6">
        <f>$K$201*$V$201</f>
        <v>21470.219999999998</v>
      </c>
      <c r="AC201" s="6">
        <f>$M$201*$W$201</f>
        <v>0</v>
      </c>
      <c r="AD201" s="6">
        <f>$O$201*$X$201</f>
        <v>0</v>
      </c>
      <c r="AE201" s="6">
        <f ca="1">$K$201*$Y$201</f>
        <v>27861.957906712443</v>
      </c>
      <c r="AF201" s="6">
        <f>$M$201*$Z$201</f>
        <v>0</v>
      </c>
      <c r="AG201" s="6">
        <f>$O$201*$AA$201</f>
        <v>0</v>
      </c>
    </row>
    <row r="202" spans="1:33" ht="11.25" customHeight="1" x14ac:dyDescent="0.25">
      <c r="A202" s="4" t="s">
        <v>21</v>
      </c>
      <c r="B202" s="4" t="s">
        <v>38</v>
      </c>
      <c r="C202" s="4" t="s">
        <v>39</v>
      </c>
      <c r="D202" s="4" t="s">
        <v>37</v>
      </c>
      <c r="E202" s="4" t="s">
        <v>25</v>
      </c>
      <c r="F202" s="4" t="s">
        <v>25</v>
      </c>
      <c r="G202" s="4" t="s">
        <v>25</v>
      </c>
      <c r="H202" s="4" t="s">
        <v>25</v>
      </c>
      <c r="I202" s="5">
        <v>44682</v>
      </c>
      <c r="J202" s="6">
        <v>3043</v>
      </c>
      <c r="K202" s="6">
        <v>3043</v>
      </c>
      <c r="L202" s="6">
        <v>0</v>
      </c>
      <c r="M202" s="6">
        <v>0</v>
      </c>
      <c r="N202" s="6">
        <v>0</v>
      </c>
      <c r="O202" s="6">
        <v>0</v>
      </c>
      <c r="P202" s="6">
        <v>22</v>
      </c>
      <c r="Q202" s="4" t="s">
        <v>26</v>
      </c>
      <c r="R202" s="4">
        <v>0</v>
      </c>
      <c r="S202" s="6">
        <v>19</v>
      </c>
      <c r="T202" s="6">
        <v>0</v>
      </c>
      <c r="U202" s="6">
        <v>0</v>
      </c>
      <c r="V202" s="6">
        <f>IF(ISERROR(VLOOKUP($S$202,'TAR FIN'!$A$1:$O$86,15,0)),0,VLOOKUP($S$202,'TAR FIN'!$A$1:$O$86,15,0))</f>
        <v>16.29</v>
      </c>
      <c r="W202" s="6">
        <f>IF(ISERROR(VLOOKUP($T$202,'TAR FIN'!$A$1:$O$86,15,0)),0,VLOOKUP($T$202,'TAR FIN'!$A$1:$O$86,15,0))</f>
        <v>0</v>
      </c>
      <c r="X202" s="6">
        <f>IF(ISERROR(VLOOKUP($U$202,'TAR FIN'!$A$1:$O$86,15,0)),0,VLOOKUP($U$202,'TAR FIN'!$A$1:$O$86,15,0))</f>
        <v>0</v>
      </c>
      <c r="Y202" s="6">
        <f ca="1">('TUSD BE'!$AM$10+'TUSD BF_350'!$AM$10+'TUSD CVA'!$AM$10)*1</f>
        <v>21.139573525578484</v>
      </c>
      <c r="Z202" s="6"/>
      <c r="AA202" s="6"/>
      <c r="AB202" s="6">
        <f>$K$202*$V$202</f>
        <v>49570.469999999994</v>
      </c>
      <c r="AC202" s="6">
        <f>$M$202*$W$202</f>
        <v>0</v>
      </c>
      <c r="AD202" s="6">
        <f>$O$202*$X$202</f>
        <v>0</v>
      </c>
      <c r="AE202" s="6">
        <f ca="1">$K$202*$Y$202</f>
        <v>64327.722238335329</v>
      </c>
      <c r="AF202" s="6">
        <f>$M$202*$Z$202</f>
        <v>0</v>
      </c>
      <c r="AG202" s="6">
        <f>$O$202*$AA$202</f>
        <v>0</v>
      </c>
    </row>
    <row r="203" spans="1:33" ht="11.25" customHeight="1" x14ac:dyDescent="0.25">
      <c r="A203" s="4" t="s">
        <v>27</v>
      </c>
      <c r="B203" s="4" t="s">
        <v>38</v>
      </c>
      <c r="C203" s="4" t="s">
        <v>39</v>
      </c>
      <c r="D203" s="4" t="s">
        <v>37</v>
      </c>
      <c r="E203" s="4" t="s">
        <v>25</v>
      </c>
      <c r="F203" s="4" t="s">
        <v>25</v>
      </c>
      <c r="G203" s="4" t="s">
        <v>25</v>
      </c>
      <c r="H203" s="4" t="s">
        <v>25</v>
      </c>
      <c r="I203" s="5">
        <v>44682</v>
      </c>
      <c r="J203" s="6">
        <v>1372</v>
      </c>
      <c r="K203" s="6">
        <v>1372</v>
      </c>
      <c r="L203" s="6">
        <v>0</v>
      </c>
      <c r="M203" s="6">
        <v>0</v>
      </c>
      <c r="N203" s="6">
        <v>0</v>
      </c>
      <c r="O203" s="6">
        <v>0</v>
      </c>
      <c r="P203" s="6">
        <v>11</v>
      </c>
      <c r="Q203" s="4" t="s">
        <v>26</v>
      </c>
      <c r="R203" s="4">
        <v>0</v>
      </c>
      <c r="S203" s="6">
        <v>19</v>
      </c>
      <c r="T203" s="6">
        <v>0</v>
      </c>
      <c r="U203" s="6">
        <v>0</v>
      </c>
      <c r="V203" s="6">
        <f>IF(ISERROR(VLOOKUP($S$203,'TAR FIN'!$A$1:$O$86,15,0)),0,VLOOKUP($S$203,'TAR FIN'!$A$1:$O$86,15,0))</f>
        <v>16.29</v>
      </c>
      <c r="W203" s="6">
        <f>IF(ISERROR(VLOOKUP($T$203,'TAR FIN'!$A$1:$O$86,15,0)),0,VLOOKUP($T$203,'TAR FIN'!$A$1:$O$86,15,0))</f>
        <v>0</v>
      </c>
      <c r="X203" s="6">
        <f>IF(ISERROR(VLOOKUP($U$203,'TAR FIN'!$A$1:$O$86,15,0)),0,VLOOKUP($U$203,'TAR FIN'!$A$1:$O$86,15,0))</f>
        <v>0</v>
      </c>
      <c r="Y203" s="6">
        <f ca="1">('TUSD BE'!$AM$10+'TUSD BF_350'!$AM$10+'TUSD CVA'!$AM$10)*1</f>
        <v>21.139573525578484</v>
      </c>
      <c r="Z203" s="6"/>
      <c r="AA203" s="6"/>
      <c r="AB203" s="6">
        <f>$K$203*$V$203</f>
        <v>22349.879999999997</v>
      </c>
      <c r="AC203" s="6">
        <f>$M$203*$W$203</f>
        <v>0</v>
      </c>
      <c r="AD203" s="6">
        <f>$O$203*$X$203</f>
        <v>0</v>
      </c>
      <c r="AE203" s="6">
        <f ca="1">$K$203*$Y$203</f>
        <v>29003.494877093679</v>
      </c>
      <c r="AF203" s="6">
        <f>$M$203*$Z$203</f>
        <v>0</v>
      </c>
      <c r="AG203" s="6">
        <f>$O$203*$AA$203</f>
        <v>0</v>
      </c>
    </row>
    <row r="204" spans="1:33" ht="11.25" customHeight="1" x14ac:dyDescent="0.25">
      <c r="A204" s="4" t="s">
        <v>55</v>
      </c>
      <c r="B204" s="4" t="s">
        <v>38</v>
      </c>
      <c r="C204" s="4" t="s">
        <v>39</v>
      </c>
      <c r="D204" s="4" t="s">
        <v>37</v>
      </c>
      <c r="E204" s="4" t="s">
        <v>25</v>
      </c>
      <c r="F204" s="4" t="s">
        <v>25</v>
      </c>
      <c r="G204" s="4" t="s">
        <v>25</v>
      </c>
      <c r="H204" s="4" t="s">
        <v>25</v>
      </c>
      <c r="I204" s="5">
        <v>44713</v>
      </c>
      <c r="J204" s="6">
        <v>3043</v>
      </c>
      <c r="K204" s="6">
        <v>3043</v>
      </c>
      <c r="L204" s="6">
        <v>0</v>
      </c>
      <c r="M204" s="6">
        <v>0</v>
      </c>
      <c r="N204" s="6">
        <v>0</v>
      </c>
      <c r="O204" s="6">
        <v>0</v>
      </c>
      <c r="P204" s="6">
        <v>22</v>
      </c>
      <c r="Q204" s="4" t="s">
        <v>26</v>
      </c>
      <c r="R204" s="4">
        <v>0</v>
      </c>
      <c r="S204" s="6">
        <v>19</v>
      </c>
      <c r="T204" s="6">
        <v>0</v>
      </c>
      <c r="U204" s="6">
        <v>0</v>
      </c>
      <c r="V204" s="6">
        <f>IF(ISERROR(VLOOKUP($S$204,'TAR FIN'!$A$1:$O$86,15,0)),0,VLOOKUP($S$204,'TAR FIN'!$A$1:$O$86,15,0))</f>
        <v>16.29</v>
      </c>
      <c r="W204" s="6">
        <f>IF(ISERROR(VLOOKUP($T$204,'TAR FIN'!$A$1:$O$86,15,0)),0,VLOOKUP($T$204,'TAR FIN'!$A$1:$O$86,15,0))</f>
        <v>0</v>
      </c>
      <c r="X204" s="6">
        <f>IF(ISERROR(VLOOKUP($U$204,'TAR FIN'!$A$1:$O$86,15,0)),0,VLOOKUP($U$204,'TAR FIN'!$A$1:$O$86,15,0))</f>
        <v>0</v>
      </c>
      <c r="Y204" s="6">
        <f ca="1">('TUSD BE'!$AM$10+'TUSD BF_350'!$AM$10+'TUSD CVA'!$AM$10)*1</f>
        <v>21.139573525578484</v>
      </c>
      <c r="Z204" s="6"/>
      <c r="AA204" s="6"/>
      <c r="AB204" s="6">
        <f>$K$204*$V$204</f>
        <v>49570.469999999994</v>
      </c>
      <c r="AC204" s="6">
        <f>$M$204*$W$204</f>
        <v>0</v>
      </c>
      <c r="AD204" s="6">
        <f>$O$204*$X$204</f>
        <v>0</v>
      </c>
      <c r="AE204" s="6">
        <f ca="1">$K$204*$Y$204</f>
        <v>64327.722238335329</v>
      </c>
      <c r="AF204" s="6">
        <f>$M$204*$Z$204</f>
        <v>0</v>
      </c>
      <c r="AG204" s="6">
        <f>$O$204*$AA$204</f>
        <v>0</v>
      </c>
    </row>
    <row r="205" spans="1:33" ht="11.25" customHeight="1" x14ac:dyDescent="0.25">
      <c r="A205" s="4" t="s">
        <v>55</v>
      </c>
      <c r="B205" s="4" t="s">
        <v>38</v>
      </c>
      <c r="C205" s="4" t="s">
        <v>39</v>
      </c>
      <c r="D205" s="4" t="s">
        <v>37</v>
      </c>
      <c r="E205" s="4" t="s">
        <v>25</v>
      </c>
      <c r="F205" s="4" t="s">
        <v>25</v>
      </c>
      <c r="G205" s="4" t="s">
        <v>25</v>
      </c>
      <c r="H205" s="4" t="s">
        <v>25</v>
      </c>
      <c r="I205" s="5">
        <v>44713</v>
      </c>
      <c r="J205" s="6">
        <v>1372</v>
      </c>
      <c r="K205" s="6">
        <v>1372</v>
      </c>
      <c r="L205" s="6">
        <v>0</v>
      </c>
      <c r="M205" s="6">
        <v>0</v>
      </c>
      <c r="N205" s="6">
        <v>0</v>
      </c>
      <c r="O205" s="6">
        <v>0</v>
      </c>
      <c r="P205" s="6">
        <v>11</v>
      </c>
      <c r="Q205" s="4" t="s">
        <v>26</v>
      </c>
      <c r="R205" s="4">
        <v>0</v>
      </c>
      <c r="S205" s="6">
        <v>19</v>
      </c>
      <c r="T205" s="6">
        <v>0</v>
      </c>
      <c r="U205" s="6">
        <v>0</v>
      </c>
      <c r="V205" s="6">
        <f>IF(ISERROR(VLOOKUP($S$205,'TAR FIN'!$A$1:$O$86,15,0)),0,VLOOKUP($S$205,'TAR FIN'!$A$1:$O$86,15,0))</f>
        <v>16.29</v>
      </c>
      <c r="W205" s="6">
        <f>IF(ISERROR(VLOOKUP($T$205,'TAR FIN'!$A$1:$O$86,15,0)),0,VLOOKUP($T$205,'TAR FIN'!$A$1:$O$86,15,0))</f>
        <v>0</v>
      </c>
      <c r="X205" s="6">
        <f>IF(ISERROR(VLOOKUP($U$205,'TAR FIN'!$A$1:$O$86,15,0)),0,VLOOKUP($U$205,'TAR FIN'!$A$1:$O$86,15,0))</f>
        <v>0</v>
      </c>
      <c r="Y205" s="6">
        <f ca="1">('TUSD BE'!$AM$10+'TUSD BF_350'!$AM$10+'TUSD CVA'!$AM$10)*1</f>
        <v>21.139573525578484</v>
      </c>
      <c r="Z205" s="6"/>
      <c r="AA205" s="6"/>
      <c r="AB205" s="6">
        <f>$K$205*$V$205</f>
        <v>22349.879999999997</v>
      </c>
      <c r="AC205" s="6">
        <f>$M$205*$W$205</f>
        <v>0</v>
      </c>
      <c r="AD205" s="6">
        <f>$O$205*$X$205</f>
        <v>0</v>
      </c>
      <c r="AE205" s="6">
        <f ca="1">$K$205*$Y$205</f>
        <v>29003.494877093679</v>
      </c>
      <c r="AF205" s="6">
        <f>$M$205*$Z$205</f>
        <v>0</v>
      </c>
      <c r="AG205" s="6">
        <f>$O$205*$AA$205</f>
        <v>0</v>
      </c>
    </row>
    <row r="206" spans="1:33" ht="11.25" customHeight="1" x14ac:dyDescent="0.25">
      <c r="A206" s="4" t="s">
        <v>21</v>
      </c>
      <c r="B206" s="4" t="s">
        <v>38</v>
      </c>
      <c r="C206" s="4" t="s">
        <v>39</v>
      </c>
      <c r="D206" s="4" t="s">
        <v>37</v>
      </c>
      <c r="E206" s="4" t="s">
        <v>25</v>
      </c>
      <c r="F206" s="4" t="s">
        <v>25</v>
      </c>
      <c r="G206" s="4" t="s">
        <v>25</v>
      </c>
      <c r="H206" s="4" t="s">
        <v>33</v>
      </c>
      <c r="I206" s="5">
        <v>44378</v>
      </c>
      <c r="J206" s="6">
        <v>0</v>
      </c>
      <c r="K206" s="6">
        <v>0</v>
      </c>
      <c r="L206" s="6">
        <v>71.120999999999995</v>
      </c>
      <c r="M206" s="6">
        <v>71.120999999999995</v>
      </c>
      <c r="N206" s="6">
        <v>71.120999999999995</v>
      </c>
      <c r="O206" s="6">
        <v>71.120999999999995</v>
      </c>
      <c r="P206" s="6">
        <v>0</v>
      </c>
      <c r="Q206" s="4" t="s">
        <v>26</v>
      </c>
      <c r="R206" s="4">
        <v>0</v>
      </c>
      <c r="S206" s="6">
        <v>0</v>
      </c>
      <c r="T206" s="6">
        <v>21</v>
      </c>
      <c r="U206" s="6">
        <v>66</v>
      </c>
      <c r="V206" s="6">
        <f>IF(ISERROR(VLOOKUP($S$206,'TAR FIN'!$A$1:$O$86,15,0)),0,VLOOKUP($S$206,'TAR FIN'!$A$1:$O$86,15,0))</f>
        <v>0</v>
      </c>
      <c r="W206" s="6">
        <f>IF(ISERROR(VLOOKUP($T$206,'TAR FIN'!$A$1:$O$86,15,0)),0,VLOOKUP($T$206,'TAR FIN'!$A$1:$O$86,15,0))</f>
        <v>596.78</v>
      </c>
      <c r="X206" s="6">
        <f>IF(ISERROR(VLOOKUP($U$206,'TAR FIN'!$A$1:$O$86,15,0)),0,VLOOKUP($U$206,'TAR FIN'!$A$1:$O$86,15,0))</f>
        <v>503.82</v>
      </c>
      <c r="Y206" s="6"/>
      <c r="Z206" s="6">
        <f ca="1">('TUSD BE'!$AM$11+'TUSD BF_350'!$AM$11+'TUSD CVA'!$AM$11)*1</f>
        <v>625.67033946440574</v>
      </c>
      <c r="AA206" s="6">
        <f ca="1">('TE BE'!$AB$5+'TE BF_350'!$AB$5+'TE CVA'!$AB$5)*1</f>
        <v>398.01664046087393</v>
      </c>
      <c r="AB206" s="6">
        <f>$K$206*$V$206</f>
        <v>0</v>
      </c>
      <c r="AC206" s="6">
        <f>$M$206*$W$206</f>
        <v>42443.590379999994</v>
      </c>
      <c r="AD206" s="6">
        <f>$O$206*$X$206</f>
        <v>35832.182219999995</v>
      </c>
      <c r="AE206" s="6">
        <f>$K$206*$Y$206</f>
        <v>0</v>
      </c>
      <c r="AF206" s="6">
        <f ca="1">$M$206*$Z$206</f>
        <v>44498.300213047994</v>
      </c>
      <c r="AG206" s="6">
        <f ca="1">$O$206*$AA$206</f>
        <v>28307.341486217814</v>
      </c>
    </row>
    <row r="207" spans="1:33" ht="11.25" customHeight="1" x14ac:dyDescent="0.25">
      <c r="A207" s="4" t="s">
        <v>27</v>
      </c>
      <c r="B207" s="4" t="s">
        <v>38</v>
      </c>
      <c r="C207" s="4" t="s">
        <v>39</v>
      </c>
      <c r="D207" s="4" t="s">
        <v>37</v>
      </c>
      <c r="E207" s="4" t="s">
        <v>25</v>
      </c>
      <c r="F207" s="4" t="s">
        <v>25</v>
      </c>
      <c r="G207" s="4" t="s">
        <v>25</v>
      </c>
      <c r="H207" s="4" t="s">
        <v>33</v>
      </c>
      <c r="I207" s="5">
        <v>44378</v>
      </c>
      <c r="J207" s="6">
        <v>0</v>
      </c>
      <c r="K207" s="6">
        <v>0</v>
      </c>
      <c r="L207" s="6">
        <v>9.6219999999999999</v>
      </c>
      <c r="M207" s="6">
        <v>9.6219999999999999</v>
      </c>
      <c r="N207" s="6">
        <v>9.6219999999999999</v>
      </c>
      <c r="O207" s="6">
        <v>9.6219999999999999</v>
      </c>
      <c r="P207" s="6">
        <v>0</v>
      </c>
      <c r="Q207" s="4" t="s">
        <v>26</v>
      </c>
      <c r="R207" s="4">
        <v>0</v>
      </c>
      <c r="S207" s="6">
        <v>0</v>
      </c>
      <c r="T207" s="6">
        <v>21</v>
      </c>
      <c r="U207" s="6">
        <v>66</v>
      </c>
      <c r="V207" s="6">
        <f>IF(ISERROR(VLOOKUP($S$207,'TAR FIN'!$A$1:$O$86,15,0)),0,VLOOKUP($S$207,'TAR FIN'!$A$1:$O$86,15,0))</f>
        <v>0</v>
      </c>
      <c r="W207" s="6">
        <f>IF(ISERROR(VLOOKUP($T$207,'TAR FIN'!$A$1:$O$86,15,0)),0,VLOOKUP($T$207,'TAR FIN'!$A$1:$O$86,15,0))</f>
        <v>596.78</v>
      </c>
      <c r="X207" s="6">
        <f>IF(ISERROR(VLOOKUP($U$207,'TAR FIN'!$A$1:$O$86,15,0)),0,VLOOKUP($U$207,'TAR FIN'!$A$1:$O$86,15,0))</f>
        <v>503.82</v>
      </c>
      <c r="Y207" s="6"/>
      <c r="Z207" s="6">
        <f ca="1">('TUSD BE'!$AM$11+'TUSD BF_350'!$AM$11+'TUSD CVA'!$AM$11)*1</f>
        <v>625.67033946440574</v>
      </c>
      <c r="AA207" s="6">
        <f ca="1">('TE BE'!$AB$5+'TE BF_350'!$AB$5+'TE CVA'!$AB$5)*1</f>
        <v>398.01664046087393</v>
      </c>
      <c r="AB207" s="6">
        <f>$K$207*$V$207</f>
        <v>0</v>
      </c>
      <c r="AC207" s="6">
        <f>$M$207*$W$207</f>
        <v>5742.2171599999992</v>
      </c>
      <c r="AD207" s="6">
        <f>$O$207*$X$207</f>
        <v>4847.7560400000002</v>
      </c>
      <c r="AE207" s="6">
        <f>$K$207*$Y$207</f>
        <v>0</v>
      </c>
      <c r="AF207" s="6">
        <f ca="1">$M$207*$Z$207</f>
        <v>6020.2000063265123</v>
      </c>
      <c r="AG207" s="6">
        <f ca="1">$O$207*$AA$207</f>
        <v>3829.7161145145287</v>
      </c>
    </row>
    <row r="208" spans="1:33" ht="11.25" customHeight="1" x14ac:dyDescent="0.25">
      <c r="A208" s="4" t="s">
        <v>21</v>
      </c>
      <c r="B208" s="4" t="s">
        <v>38</v>
      </c>
      <c r="C208" s="4" t="s">
        <v>39</v>
      </c>
      <c r="D208" s="4" t="s">
        <v>37</v>
      </c>
      <c r="E208" s="4" t="s">
        <v>25</v>
      </c>
      <c r="F208" s="4" t="s">
        <v>25</v>
      </c>
      <c r="G208" s="4" t="s">
        <v>25</v>
      </c>
      <c r="H208" s="4" t="s">
        <v>33</v>
      </c>
      <c r="I208" s="5">
        <v>44409</v>
      </c>
      <c r="J208" s="6">
        <v>0</v>
      </c>
      <c r="K208" s="6">
        <v>0</v>
      </c>
      <c r="L208" s="6">
        <v>65.450999999999993</v>
      </c>
      <c r="M208" s="6">
        <v>65.450999999999993</v>
      </c>
      <c r="N208" s="6">
        <v>65.450999999999993</v>
      </c>
      <c r="O208" s="6">
        <v>65.450999999999993</v>
      </c>
      <c r="P208" s="6">
        <v>0</v>
      </c>
      <c r="Q208" s="4" t="s">
        <v>26</v>
      </c>
      <c r="R208" s="4">
        <v>0</v>
      </c>
      <c r="S208" s="6">
        <v>0</v>
      </c>
      <c r="T208" s="6">
        <v>21</v>
      </c>
      <c r="U208" s="6">
        <v>66</v>
      </c>
      <c r="V208" s="6">
        <f>IF(ISERROR(VLOOKUP($S$208,'TAR FIN'!$A$1:$O$86,15,0)),0,VLOOKUP($S$208,'TAR FIN'!$A$1:$O$86,15,0))</f>
        <v>0</v>
      </c>
      <c r="W208" s="6">
        <f>IF(ISERROR(VLOOKUP($T$208,'TAR FIN'!$A$1:$O$86,15,0)),0,VLOOKUP($T$208,'TAR FIN'!$A$1:$O$86,15,0))</f>
        <v>596.78</v>
      </c>
      <c r="X208" s="6">
        <f>IF(ISERROR(VLOOKUP($U$208,'TAR FIN'!$A$1:$O$86,15,0)),0,VLOOKUP($U$208,'TAR FIN'!$A$1:$O$86,15,0))</f>
        <v>503.82</v>
      </c>
      <c r="Y208" s="6"/>
      <c r="Z208" s="6">
        <f ca="1">('TUSD BE'!$AM$11+'TUSD BF_350'!$AM$11+'TUSD CVA'!$AM$11)*1</f>
        <v>625.67033946440574</v>
      </c>
      <c r="AA208" s="6">
        <f ca="1">('TE BE'!$AB$5+'TE BF_350'!$AB$5+'TE CVA'!$AB$5)*1</f>
        <v>398.01664046087393</v>
      </c>
      <c r="AB208" s="6">
        <f>$K$208*$V$208</f>
        <v>0</v>
      </c>
      <c r="AC208" s="6">
        <f>$M$208*$W$208</f>
        <v>39059.847779999996</v>
      </c>
      <c r="AD208" s="6">
        <f>$O$208*$X$208</f>
        <v>32975.522819999998</v>
      </c>
      <c r="AE208" s="6">
        <f>$K$208*$Y$208</f>
        <v>0</v>
      </c>
      <c r="AF208" s="6">
        <f ca="1">$M$208*$Z$208</f>
        <v>40950.749388284814</v>
      </c>
      <c r="AG208" s="6">
        <f ca="1">$O$208*$AA$208</f>
        <v>26050.587134804657</v>
      </c>
    </row>
    <row r="209" spans="1:33" ht="11.25" customHeight="1" x14ac:dyDescent="0.25">
      <c r="A209" s="4" t="s">
        <v>27</v>
      </c>
      <c r="B209" s="4" t="s">
        <v>38</v>
      </c>
      <c r="C209" s="4" t="s">
        <v>39</v>
      </c>
      <c r="D209" s="4" t="s">
        <v>37</v>
      </c>
      <c r="E209" s="4" t="s">
        <v>25</v>
      </c>
      <c r="F209" s="4" t="s">
        <v>25</v>
      </c>
      <c r="G209" s="4" t="s">
        <v>25</v>
      </c>
      <c r="H209" s="4" t="s">
        <v>33</v>
      </c>
      <c r="I209" s="5">
        <v>44409</v>
      </c>
      <c r="J209" s="6">
        <v>0</v>
      </c>
      <c r="K209" s="6">
        <v>0</v>
      </c>
      <c r="L209" s="6">
        <v>6.7549999999999999</v>
      </c>
      <c r="M209" s="6">
        <v>6.7549999999999999</v>
      </c>
      <c r="N209" s="6">
        <v>6.7549999999999999</v>
      </c>
      <c r="O209" s="6">
        <v>6.7549999999999999</v>
      </c>
      <c r="P209" s="6">
        <v>0</v>
      </c>
      <c r="Q209" s="4" t="s">
        <v>26</v>
      </c>
      <c r="R209" s="4">
        <v>0</v>
      </c>
      <c r="S209" s="6">
        <v>0</v>
      </c>
      <c r="T209" s="6">
        <v>21</v>
      </c>
      <c r="U209" s="6">
        <v>66</v>
      </c>
      <c r="V209" s="6">
        <f>IF(ISERROR(VLOOKUP($S$209,'TAR FIN'!$A$1:$O$86,15,0)),0,VLOOKUP($S$209,'TAR FIN'!$A$1:$O$86,15,0))</f>
        <v>0</v>
      </c>
      <c r="W209" s="6">
        <f>IF(ISERROR(VLOOKUP($T$209,'TAR FIN'!$A$1:$O$86,15,0)),0,VLOOKUP($T$209,'TAR FIN'!$A$1:$O$86,15,0))</f>
        <v>596.78</v>
      </c>
      <c r="X209" s="6">
        <f>IF(ISERROR(VLOOKUP($U$209,'TAR FIN'!$A$1:$O$86,15,0)),0,VLOOKUP($U$209,'TAR FIN'!$A$1:$O$86,15,0))</f>
        <v>503.82</v>
      </c>
      <c r="Y209" s="6"/>
      <c r="Z209" s="6">
        <f ca="1">('TUSD BE'!$AM$11+'TUSD BF_350'!$AM$11+'TUSD CVA'!$AM$11)*1</f>
        <v>625.67033946440574</v>
      </c>
      <c r="AA209" s="6">
        <f ca="1">('TE BE'!$AB$5+'TE BF_350'!$AB$5+'TE CVA'!$AB$5)*1</f>
        <v>398.01664046087393</v>
      </c>
      <c r="AB209" s="6">
        <f>$K$209*$V$209</f>
        <v>0</v>
      </c>
      <c r="AC209" s="6">
        <f>$M$209*$W$209</f>
        <v>4031.2488999999996</v>
      </c>
      <c r="AD209" s="6">
        <f>$O$209*$X$209</f>
        <v>3403.3040999999998</v>
      </c>
      <c r="AE209" s="6">
        <f>$K$209*$Y$209</f>
        <v>0</v>
      </c>
      <c r="AF209" s="6">
        <f ca="1">$M$209*$Z$209</f>
        <v>4226.4031430820605</v>
      </c>
      <c r="AG209" s="6">
        <f ca="1">$O$209*$AA$209</f>
        <v>2688.6024063132036</v>
      </c>
    </row>
    <row r="210" spans="1:33" ht="11.25" customHeight="1" x14ac:dyDescent="0.25">
      <c r="A210" s="4" t="s">
        <v>21</v>
      </c>
      <c r="B210" s="4" t="s">
        <v>38</v>
      </c>
      <c r="C210" s="4" t="s">
        <v>39</v>
      </c>
      <c r="D210" s="4" t="s">
        <v>37</v>
      </c>
      <c r="E210" s="4" t="s">
        <v>25</v>
      </c>
      <c r="F210" s="4" t="s">
        <v>25</v>
      </c>
      <c r="G210" s="4" t="s">
        <v>25</v>
      </c>
      <c r="H210" s="4" t="s">
        <v>33</v>
      </c>
      <c r="I210" s="5">
        <v>44440</v>
      </c>
      <c r="J210" s="6">
        <v>0</v>
      </c>
      <c r="K210" s="6">
        <v>0</v>
      </c>
      <c r="L210" s="6">
        <v>65.378</v>
      </c>
      <c r="M210" s="6">
        <v>65.378</v>
      </c>
      <c r="N210" s="6">
        <v>65.378</v>
      </c>
      <c r="O210" s="6">
        <v>65.378</v>
      </c>
      <c r="P210" s="6">
        <v>0</v>
      </c>
      <c r="Q210" s="4" t="s">
        <v>26</v>
      </c>
      <c r="R210" s="4">
        <v>0</v>
      </c>
      <c r="S210" s="6">
        <v>0</v>
      </c>
      <c r="T210" s="6">
        <v>21</v>
      </c>
      <c r="U210" s="6">
        <v>66</v>
      </c>
      <c r="V210" s="6">
        <f>IF(ISERROR(VLOOKUP($S$210,'TAR FIN'!$A$1:$O$86,15,0)),0,VLOOKUP($S$210,'TAR FIN'!$A$1:$O$86,15,0))</f>
        <v>0</v>
      </c>
      <c r="W210" s="6">
        <f>IF(ISERROR(VLOOKUP($T$210,'TAR FIN'!$A$1:$O$86,15,0)),0,VLOOKUP($T$210,'TAR FIN'!$A$1:$O$86,15,0))</f>
        <v>596.78</v>
      </c>
      <c r="X210" s="6">
        <f>IF(ISERROR(VLOOKUP($U$210,'TAR FIN'!$A$1:$O$86,15,0)),0,VLOOKUP($U$210,'TAR FIN'!$A$1:$O$86,15,0))</f>
        <v>503.82</v>
      </c>
      <c r="Y210" s="6"/>
      <c r="Z210" s="6">
        <f ca="1">('TUSD BE'!$AM$11+'TUSD BF_350'!$AM$11+'TUSD CVA'!$AM$11)*1</f>
        <v>625.67033946440574</v>
      </c>
      <c r="AA210" s="6">
        <f ca="1">('TE BE'!$AB$5+'TE BF_350'!$AB$5+'TE CVA'!$AB$5)*1</f>
        <v>398.01664046087393</v>
      </c>
      <c r="AB210" s="6">
        <f>$K$210*$V$210</f>
        <v>0</v>
      </c>
      <c r="AC210" s="6">
        <f>$M$210*$W$210</f>
        <v>39016.28284</v>
      </c>
      <c r="AD210" s="6">
        <f>$O$210*$X$210</f>
        <v>32938.74396</v>
      </c>
      <c r="AE210" s="6">
        <f>$K$210*$Y$210</f>
        <v>0</v>
      </c>
      <c r="AF210" s="6">
        <f ca="1">$M$210*$Z$210</f>
        <v>40905.075453503916</v>
      </c>
      <c r="AG210" s="6">
        <f ca="1">$O$210*$AA$210</f>
        <v>26021.531920051017</v>
      </c>
    </row>
    <row r="211" spans="1:33" ht="11.25" customHeight="1" x14ac:dyDescent="0.25">
      <c r="A211" s="4" t="s">
        <v>27</v>
      </c>
      <c r="B211" s="4" t="s">
        <v>38</v>
      </c>
      <c r="C211" s="4" t="s">
        <v>39</v>
      </c>
      <c r="D211" s="4" t="s">
        <v>37</v>
      </c>
      <c r="E211" s="4" t="s">
        <v>25</v>
      </c>
      <c r="F211" s="4" t="s">
        <v>25</v>
      </c>
      <c r="G211" s="4" t="s">
        <v>25</v>
      </c>
      <c r="H211" s="4" t="s">
        <v>33</v>
      </c>
      <c r="I211" s="5">
        <v>44440</v>
      </c>
      <c r="J211" s="6">
        <v>0</v>
      </c>
      <c r="K211" s="6">
        <v>0</v>
      </c>
      <c r="L211" s="6">
        <v>4.8810000000000002</v>
      </c>
      <c r="M211" s="6">
        <v>4.8810000000000002</v>
      </c>
      <c r="N211" s="6">
        <v>4.8810000000000002</v>
      </c>
      <c r="O211" s="6">
        <v>4.8810000000000002</v>
      </c>
      <c r="P211" s="6">
        <v>0</v>
      </c>
      <c r="Q211" s="4" t="s">
        <v>26</v>
      </c>
      <c r="R211" s="4">
        <v>0</v>
      </c>
      <c r="S211" s="6">
        <v>0</v>
      </c>
      <c r="T211" s="6">
        <v>21</v>
      </c>
      <c r="U211" s="6">
        <v>66</v>
      </c>
      <c r="V211" s="6">
        <f>IF(ISERROR(VLOOKUP($S$211,'TAR FIN'!$A$1:$O$86,15,0)),0,VLOOKUP($S$211,'TAR FIN'!$A$1:$O$86,15,0))</f>
        <v>0</v>
      </c>
      <c r="W211" s="6">
        <f>IF(ISERROR(VLOOKUP($T$211,'TAR FIN'!$A$1:$O$86,15,0)),0,VLOOKUP($T$211,'TAR FIN'!$A$1:$O$86,15,0))</f>
        <v>596.78</v>
      </c>
      <c r="X211" s="6">
        <f>IF(ISERROR(VLOOKUP($U$211,'TAR FIN'!$A$1:$O$86,15,0)),0,VLOOKUP($U$211,'TAR FIN'!$A$1:$O$86,15,0))</f>
        <v>503.82</v>
      </c>
      <c r="Y211" s="6"/>
      <c r="Z211" s="6">
        <f ca="1">('TUSD BE'!$AM$11+'TUSD BF_350'!$AM$11+'TUSD CVA'!$AM$11)*1</f>
        <v>625.67033946440574</v>
      </c>
      <c r="AA211" s="6">
        <f ca="1">('TE BE'!$AB$5+'TE BF_350'!$AB$5+'TE CVA'!$AB$5)*1</f>
        <v>398.01664046087393</v>
      </c>
      <c r="AB211" s="6">
        <f>$K$211*$V$211</f>
        <v>0</v>
      </c>
      <c r="AC211" s="6">
        <f>$M$211*$W$211</f>
        <v>2912.8831799999998</v>
      </c>
      <c r="AD211" s="6">
        <f>$O$211*$X$211</f>
        <v>2459.1454200000003</v>
      </c>
      <c r="AE211" s="6">
        <f>$K$211*$Y$211</f>
        <v>0</v>
      </c>
      <c r="AF211" s="6">
        <f ca="1">$M$211*$Z$211</f>
        <v>3053.8969269257645</v>
      </c>
      <c r="AG211" s="6">
        <f ca="1">$O$211*$AA$211</f>
        <v>1942.7192220895258</v>
      </c>
    </row>
    <row r="212" spans="1:33" ht="11.25" customHeight="1" x14ac:dyDescent="0.25">
      <c r="A212" s="4" t="s">
        <v>21</v>
      </c>
      <c r="B212" s="4" t="s">
        <v>38</v>
      </c>
      <c r="C212" s="4" t="s">
        <v>39</v>
      </c>
      <c r="D212" s="4" t="s">
        <v>37</v>
      </c>
      <c r="E212" s="4" t="s">
        <v>25</v>
      </c>
      <c r="F212" s="4" t="s">
        <v>25</v>
      </c>
      <c r="G212" s="4" t="s">
        <v>25</v>
      </c>
      <c r="H212" s="4" t="s">
        <v>33</v>
      </c>
      <c r="I212" s="5">
        <v>44470</v>
      </c>
      <c r="J212" s="6">
        <v>0</v>
      </c>
      <c r="K212" s="6">
        <v>0</v>
      </c>
      <c r="L212" s="6">
        <v>65.012</v>
      </c>
      <c r="M212" s="6">
        <v>65.012</v>
      </c>
      <c r="N212" s="6">
        <v>65.012</v>
      </c>
      <c r="O212" s="6">
        <v>65.012</v>
      </c>
      <c r="P212" s="6">
        <v>0</v>
      </c>
      <c r="Q212" s="4" t="s">
        <v>26</v>
      </c>
      <c r="R212" s="4">
        <v>0</v>
      </c>
      <c r="S212" s="6">
        <v>0</v>
      </c>
      <c r="T212" s="6">
        <v>21</v>
      </c>
      <c r="U212" s="6">
        <v>66</v>
      </c>
      <c r="V212" s="6">
        <f>IF(ISERROR(VLOOKUP($S$212,'TAR FIN'!$A$1:$O$86,15,0)),0,VLOOKUP($S$212,'TAR FIN'!$A$1:$O$86,15,0))</f>
        <v>0</v>
      </c>
      <c r="W212" s="6">
        <f>IF(ISERROR(VLOOKUP($T$212,'TAR FIN'!$A$1:$O$86,15,0)),0,VLOOKUP($T$212,'TAR FIN'!$A$1:$O$86,15,0))</f>
        <v>596.78</v>
      </c>
      <c r="X212" s="6">
        <f>IF(ISERROR(VLOOKUP($U$212,'TAR FIN'!$A$1:$O$86,15,0)),0,VLOOKUP($U$212,'TAR FIN'!$A$1:$O$86,15,0))</f>
        <v>503.82</v>
      </c>
      <c r="Y212" s="6"/>
      <c r="Z212" s="6">
        <f ca="1">('TUSD BE'!$AM$11+'TUSD BF_350'!$AM$11+'TUSD CVA'!$AM$11)*1</f>
        <v>625.67033946440574</v>
      </c>
      <c r="AA212" s="6">
        <f ca="1">('TE BE'!$AB$5+'TE BF_350'!$AB$5+'TE CVA'!$AB$5)*1</f>
        <v>398.01664046087393</v>
      </c>
      <c r="AB212" s="6">
        <f>$K$212*$V$212</f>
        <v>0</v>
      </c>
      <c r="AC212" s="6">
        <f>$M$212*$W$212</f>
        <v>38797.861359999995</v>
      </c>
      <c r="AD212" s="6">
        <f>$O$212*$X$212</f>
        <v>32754.345839999998</v>
      </c>
      <c r="AE212" s="6">
        <f>$K$212*$Y$212</f>
        <v>0</v>
      </c>
      <c r="AF212" s="6">
        <f ca="1">$M$212*$Z$212</f>
        <v>40676.080109259943</v>
      </c>
      <c r="AG212" s="6">
        <f ca="1">$O$212*$AA$212</f>
        <v>25875.857829642337</v>
      </c>
    </row>
    <row r="213" spans="1:33" ht="11.25" customHeight="1" x14ac:dyDescent="0.25">
      <c r="A213" s="4" t="s">
        <v>27</v>
      </c>
      <c r="B213" s="4" t="s">
        <v>38</v>
      </c>
      <c r="C213" s="4" t="s">
        <v>39</v>
      </c>
      <c r="D213" s="4" t="s">
        <v>37</v>
      </c>
      <c r="E213" s="4" t="s">
        <v>25</v>
      </c>
      <c r="F213" s="4" t="s">
        <v>25</v>
      </c>
      <c r="G213" s="4" t="s">
        <v>25</v>
      </c>
      <c r="H213" s="4" t="s">
        <v>33</v>
      </c>
      <c r="I213" s="5">
        <v>44470</v>
      </c>
      <c r="J213" s="6">
        <v>0</v>
      </c>
      <c r="K213" s="6">
        <v>0</v>
      </c>
      <c r="L213" s="6">
        <v>2.9849999999999999</v>
      </c>
      <c r="M213" s="6">
        <v>2.9849999999999999</v>
      </c>
      <c r="N213" s="6">
        <v>2.9849999999999999</v>
      </c>
      <c r="O213" s="6">
        <v>2.9849999999999999</v>
      </c>
      <c r="P213" s="6">
        <v>0</v>
      </c>
      <c r="Q213" s="4" t="s">
        <v>26</v>
      </c>
      <c r="R213" s="4">
        <v>0</v>
      </c>
      <c r="S213" s="6">
        <v>0</v>
      </c>
      <c r="T213" s="6">
        <v>21</v>
      </c>
      <c r="U213" s="6">
        <v>66</v>
      </c>
      <c r="V213" s="6">
        <f>IF(ISERROR(VLOOKUP($S$213,'TAR FIN'!$A$1:$O$86,15,0)),0,VLOOKUP($S$213,'TAR FIN'!$A$1:$O$86,15,0))</f>
        <v>0</v>
      </c>
      <c r="W213" s="6">
        <f>IF(ISERROR(VLOOKUP($T$213,'TAR FIN'!$A$1:$O$86,15,0)),0,VLOOKUP($T$213,'TAR FIN'!$A$1:$O$86,15,0))</f>
        <v>596.78</v>
      </c>
      <c r="X213" s="6">
        <f>IF(ISERROR(VLOOKUP($U$213,'TAR FIN'!$A$1:$O$86,15,0)),0,VLOOKUP($U$213,'TAR FIN'!$A$1:$O$86,15,0))</f>
        <v>503.82</v>
      </c>
      <c r="Y213" s="6"/>
      <c r="Z213" s="6">
        <f ca="1">('TUSD BE'!$AM$11+'TUSD BF_350'!$AM$11+'TUSD CVA'!$AM$11)*1</f>
        <v>625.67033946440574</v>
      </c>
      <c r="AA213" s="6">
        <f ca="1">('TE BE'!$AB$5+'TE BF_350'!$AB$5+'TE CVA'!$AB$5)*1</f>
        <v>398.01664046087393</v>
      </c>
      <c r="AB213" s="6">
        <f>$K$213*$V$213</f>
        <v>0</v>
      </c>
      <c r="AC213" s="6">
        <f>$M$213*$W$213</f>
        <v>1781.3882999999998</v>
      </c>
      <c r="AD213" s="6">
        <f>$O$213*$X$213</f>
        <v>1503.9026999999999</v>
      </c>
      <c r="AE213" s="6">
        <f>$K$213*$Y$213</f>
        <v>0</v>
      </c>
      <c r="AF213" s="6">
        <f ca="1">$M$213*$Z$213</f>
        <v>1867.625963301251</v>
      </c>
      <c r="AG213" s="6">
        <f ca="1">$O$213*$AA$213</f>
        <v>1188.0796717757087</v>
      </c>
    </row>
    <row r="214" spans="1:33" ht="11.25" customHeight="1" x14ac:dyDescent="0.25">
      <c r="A214" s="4" t="s">
        <v>21</v>
      </c>
      <c r="B214" s="4" t="s">
        <v>38</v>
      </c>
      <c r="C214" s="4" t="s">
        <v>39</v>
      </c>
      <c r="D214" s="4" t="s">
        <v>37</v>
      </c>
      <c r="E214" s="4" t="s">
        <v>25</v>
      </c>
      <c r="F214" s="4" t="s">
        <v>25</v>
      </c>
      <c r="G214" s="4" t="s">
        <v>25</v>
      </c>
      <c r="H214" s="4" t="s">
        <v>33</v>
      </c>
      <c r="I214" s="5">
        <v>44501</v>
      </c>
      <c r="J214" s="6">
        <v>0</v>
      </c>
      <c r="K214" s="6">
        <v>0</v>
      </c>
      <c r="L214" s="6">
        <v>48.618000000000002</v>
      </c>
      <c r="M214" s="6">
        <v>48.618000000000002</v>
      </c>
      <c r="N214" s="6">
        <v>48.618000000000002</v>
      </c>
      <c r="O214" s="6">
        <v>48.618000000000002</v>
      </c>
      <c r="P214" s="6">
        <v>0</v>
      </c>
      <c r="Q214" s="4" t="s">
        <v>26</v>
      </c>
      <c r="R214" s="4">
        <v>0</v>
      </c>
      <c r="S214" s="6">
        <v>0</v>
      </c>
      <c r="T214" s="6">
        <v>21</v>
      </c>
      <c r="U214" s="6">
        <v>66</v>
      </c>
      <c r="V214" s="6">
        <f>IF(ISERROR(VLOOKUP($S$214,'TAR FIN'!$A$1:$O$86,15,0)),0,VLOOKUP($S$214,'TAR FIN'!$A$1:$O$86,15,0))</f>
        <v>0</v>
      </c>
      <c r="W214" s="6">
        <f>IF(ISERROR(VLOOKUP($T$214,'TAR FIN'!$A$1:$O$86,15,0)),0,VLOOKUP($T$214,'TAR FIN'!$A$1:$O$86,15,0))</f>
        <v>596.78</v>
      </c>
      <c r="X214" s="6">
        <f>IF(ISERROR(VLOOKUP($U$214,'TAR FIN'!$A$1:$O$86,15,0)),0,VLOOKUP($U$214,'TAR FIN'!$A$1:$O$86,15,0))</f>
        <v>503.82</v>
      </c>
      <c r="Y214" s="6"/>
      <c r="Z214" s="6">
        <f ca="1">('TUSD BE'!$AM$11+'TUSD BF_350'!$AM$11+'TUSD CVA'!$AM$11)*1</f>
        <v>625.67033946440574</v>
      </c>
      <c r="AA214" s="6">
        <f ca="1">('TE BE'!$AB$5+'TE BF_350'!$AB$5+'TE CVA'!$AB$5)*1</f>
        <v>398.01664046087393</v>
      </c>
      <c r="AB214" s="6">
        <f>$K$214*$V$214</f>
        <v>0</v>
      </c>
      <c r="AC214" s="6">
        <f>$M$214*$W$214</f>
        <v>29014.250039999999</v>
      </c>
      <c r="AD214" s="6">
        <f>$O$214*$X$214</f>
        <v>24494.72076</v>
      </c>
      <c r="AE214" s="6">
        <f>$K$214*$Y$214</f>
        <v>0</v>
      </c>
      <c r="AF214" s="6">
        <f ca="1">$M$214*$Z$214</f>
        <v>30418.840564080481</v>
      </c>
      <c r="AG214" s="6">
        <f ca="1">$O$214*$AA$214</f>
        <v>19350.77302592677</v>
      </c>
    </row>
    <row r="215" spans="1:33" ht="11.25" customHeight="1" x14ac:dyDescent="0.25">
      <c r="A215" s="4" t="s">
        <v>27</v>
      </c>
      <c r="B215" s="4" t="s">
        <v>38</v>
      </c>
      <c r="C215" s="4" t="s">
        <v>39</v>
      </c>
      <c r="D215" s="4" t="s">
        <v>37</v>
      </c>
      <c r="E215" s="4" t="s">
        <v>25</v>
      </c>
      <c r="F215" s="4" t="s">
        <v>25</v>
      </c>
      <c r="G215" s="4" t="s">
        <v>25</v>
      </c>
      <c r="H215" s="4" t="s">
        <v>33</v>
      </c>
      <c r="I215" s="5">
        <v>44501</v>
      </c>
      <c r="J215" s="6">
        <v>0</v>
      </c>
      <c r="K215" s="6">
        <v>0</v>
      </c>
      <c r="L215" s="6">
        <v>5.08</v>
      </c>
      <c r="M215" s="6">
        <v>5.08</v>
      </c>
      <c r="N215" s="6">
        <v>5.08</v>
      </c>
      <c r="O215" s="6">
        <v>5.08</v>
      </c>
      <c r="P215" s="6">
        <v>0</v>
      </c>
      <c r="Q215" s="4" t="s">
        <v>26</v>
      </c>
      <c r="R215" s="4">
        <v>0</v>
      </c>
      <c r="S215" s="6">
        <v>0</v>
      </c>
      <c r="T215" s="6">
        <v>21</v>
      </c>
      <c r="U215" s="6">
        <v>66</v>
      </c>
      <c r="V215" s="6">
        <f>IF(ISERROR(VLOOKUP($S$215,'TAR FIN'!$A$1:$O$86,15,0)),0,VLOOKUP($S$215,'TAR FIN'!$A$1:$O$86,15,0))</f>
        <v>0</v>
      </c>
      <c r="W215" s="6">
        <f>IF(ISERROR(VLOOKUP($T$215,'TAR FIN'!$A$1:$O$86,15,0)),0,VLOOKUP($T$215,'TAR FIN'!$A$1:$O$86,15,0))</f>
        <v>596.78</v>
      </c>
      <c r="X215" s="6">
        <f>IF(ISERROR(VLOOKUP($U$215,'TAR FIN'!$A$1:$O$86,15,0)),0,VLOOKUP($U$215,'TAR FIN'!$A$1:$O$86,15,0))</f>
        <v>503.82</v>
      </c>
      <c r="Y215" s="6"/>
      <c r="Z215" s="6">
        <f ca="1">('TUSD BE'!$AM$11+'TUSD BF_350'!$AM$11+'TUSD CVA'!$AM$11)*1</f>
        <v>625.67033946440574</v>
      </c>
      <c r="AA215" s="6">
        <f ca="1">('TE BE'!$AB$5+'TE BF_350'!$AB$5+'TE CVA'!$AB$5)*1</f>
        <v>398.01664046087393</v>
      </c>
      <c r="AB215" s="6">
        <f>$K$215*$V$215</f>
        <v>0</v>
      </c>
      <c r="AC215" s="6">
        <f>$M$215*$W$215</f>
        <v>3031.6423999999997</v>
      </c>
      <c r="AD215" s="6">
        <f>$O$215*$X$215</f>
        <v>2559.4056</v>
      </c>
      <c r="AE215" s="6">
        <f>$K$215*$Y$215</f>
        <v>0</v>
      </c>
      <c r="AF215" s="6">
        <f ca="1">$M$215*$Z$215</f>
        <v>3178.4053244791812</v>
      </c>
      <c r="AG215" s="6">
        <f ca="1">$O$215*$AA$215</f>
        <v>2021.9245335412395</v>
      </c>
    </row>
    <row r="216" spans="1:33" ht="11.25" customHeight="1" x14ac:dyDescent="0.25">
      <c r="A216" s="4" t="s">
        <v>21</v>
      </c>
      <c r="B216" s="4" t="s">
        <v>38</v>
      </c>
      <c r="C216" s="4" t="s">
        <v>39</v>
      </c>
      <c r="D216" s="4" t="s">
        <v>37</v>
      </c>
      <c r="E216" s="4" t="s">
        <v>25</v>
      </c>
      <c r="F216" s="4" t="s">
        <v>25</v>
      </c>
      <c r="G216" s="4" t="s">
        <v>25</v>
      </c>
      <c r="H216" s="4" t="s">
        <v>33</v>
      </c>
      <c r="I216" s="5">
        <v>44531</v>
      </c>
      <c r="J216" s="6">
        <v>0</v>
      </c>
      <c r="K216" s="6">
        <v>0</v>
      </c>
      <c r="L216" s="6">
        <v>46.613999999999997</v>
      </c>
      <c r="M216" s="6">
        <v>46.613999999999997</v>
      </c>
      <c r="N216" s="6">
        <v>46.613999999999997</v>
      </c>
      <c r="O216" s="6">
        <v>46.613999999999997</v>
      </c>
      <c r="P216" s="6">
        <v>0</v>
      </c>
      <c r="Q216" s="4" t="s">
        <v>26</v>
      </c>
      <c r="R216" s="4">
        <v>0</v>
      </c>
      <c r="S216" s="6">
        <v>0</v>
      </c>
      <c r="T216" s="6">
        <v>21</v>
      </c>
      <c r="U216" s="6">
        <v>66</v>
      </c>
      <c r="V216" s="6">
        <f>IF(ISERROR(VLOOKUP($S$216,'TAR FIN'!$A$1:$O$86,15,0)),0,VLOOKUP($S$216,'TAR FIN'!$A$1:$O$86,15,0))</f>
        <v>0</v>
      </c>
      <c r="W216" s="6">
        <f>IF(ISERROR(VLOOKUP($T$216,'TAR FIN'!$A$1:$O$86,15,0)),0,VLOOKUP($T$216,'TAR FIN'!$A$1:$O$86,15,0))</f>
        <v>596.78</v>
      </c>
      <c r="X216" s="6">
        <f>IF(ISERROR(VLOOKUP($U$216,'TAR FIN'!$A$1:$O$86,15,0)),0,VLOOKUP($U$216,'TAR FIN'!$A$1:$O$86,15,0))</f>
        <v>503.82</v>
      </c>
      <c r="Y216" s="6"/>
      <c r="Z216" s="6">
        <f ca="1">('TUSD BE'!$AM$11+'TUSD BF_350'!$AM$11+'TUSD CVA'!$AM$11)*1</f>
        <v>625.67033946440574</v>
      </c>
      <c r="AA216" s="6">
        <f ca="1">('TE BE'!$AB$5+'TE BF_350'!$AB$5+'TE CVA'!$AB$5)*1</f>
        <v>398.01664046087393</v>
      </c>
      <c r="AB216" s="6">
        <f>$K$216*$V$216</f>
        <v>0</v>
      </c>
      <c r="AC216" s="6">
        <f>$M$216*$W$216</f>
        <v>27818.302919999998</v>
      </c>
      <c r="AD216" s="6">
        <f>$O$216*$X$216</f>
        <v>23485.065479999997</v>
      </c>
      <c r="AE216" s="6">
        <f>$K$216*$Y$216</f>
        <v>0</v>
      </c>
      <c r="AF216" s="6">
        <f ca="1">$M$216*$Z$216</f>
        <v>29164.997203793806</v>
      </c>
      <c r="AG216" s="6">
        <f ca="1">$O$216*$AA$216</f>
        <v>18553.147678443176</v>
      </c>
    </row>
    <row r="217" spans="1:33" ht="11.25" customHeight="1" x14ac:dyDescent="0.25">
      <c r="A217" s="4" t="s">
        <v>27</v>
      </c>
      <c r="B217" s="4" t="s">
        <v>38</v>
      </c>
      <c r="C217" s="4" t="s">
        <v>39</v>
      </c>
      <c r="D217" s="4" t="s">
        <v>37</v>
      </c>
      <c r="E217" s="4" t="s">
        <v>25</v>
      </c>
      <c r="F217" s="4" t="s">
        <v>25</v>
      </c>
      <c r="G217" s="4" t="s">
        <v>25</v>
      </c>
      <c r="H217" s="4" t="s">
        <v>33</v>
      </c>
      <c r="I217" s="5">
        <v>44531</v>
      </c>
      <c r="J217" s="6">
        <v>0</v>
      </c>
      <c r="K217" s="6">
        <v>0</v>
      </c>
      <c r="L217" s="6">
        <v>3.5489999999999999</v>
      </c>
      <c r="M217" s="6">
        <v>3.5489999999999999</v>
      </c>
      <c r="N217" s="6">
        <v>3.5489999999999999</v>
      </c>
      <c r="O217" s="6">
        <v>3.5489999999999999</v>
      </c>
      <c r="P217" s="6">
        <v>0</v>
      </c>
      <c r="Q217" s="4" t="s">
        <v>26</v>
      </c>
      <c r="R217" s="4">
        <v>0</v>
      </c>
      <c r="S217" s="6">
        <v>0</v>
      </c>
      <c r="T217" s="6">
        <v>21</v>
      </c>
      <c r="U217" s="6">
        <v>66</v>
      </c>
      <c r="V217" s="6">
        <f>IF(ISERROR(VLOOKUP($S$217,'TAR FIN'!$A$1:$O$86,15,0)),0,VLOOKUP($S$217,'TAR FIN'!$A$1:$O$86,15,0))</f>
        <v>0</v>
      </c>
      <c r="W217" s="6">
        <f>IF(ISERROR(VLOOKUP($T$217,'TAR FIN'!$A$1:$O$86,15,0)),0,VLOOKUP($T$217,'TAR FIN'!$A$1:$O$86,15,0))</f>
        <v>596.78</v>
      </c>
      <c r="X217" s="6">
        <f>IF(ISERROR(VLOOKUP($U$217,'TAR FIN'!$A$1:$O$86,15,0)),0,VLOOKUP($U$217,'TAR FIN'!$A$1:$O$86,15,0))</f>
        <v>503.82</v>
      </c>
      <c r="Y217" s="6"/>
      <c r="Z217" s="6">
        <f ca="1">('TUSD BE'!$AM$11+'TUSD BF_350'!$AM$11+'TUSD CVA'!$AM$11)*1</f>
        <v>625.67033946440574</v>
      </c>
      <c r="AA217" s="6">
        <f ca="1">('TE BE'!$AB$5+'TE BF_350'!$AB$5+'TE CVA'!$AB$5)*1</f>
        <v>398.01664046087393</v>
      </c>
      <c r="AB217" s="6">
        <f>$K$217*$V$217</f>
        <v>0</v>
      </c>
      <c r="AC217" s="6">
        <f>$M$217*$W$217</f>
        <v>2117.9722199999997</v>
      </c>
      <c r="AD217" s="6">
        <f>$O$217*$X$217</f>
        <v>1788.05718</v>
      </c>
      <c r="AE217" s="6">
        <f>$K$217*$Y$217</f>
        <v>0</v>
      </c>
      <c r="AF217" s="6">
        <f ca="1">$M$217*$Z$217</f>
        <v>2220.5040347591757</v>
      </c>
      <c r="AG217" s="6">
        <f ca="1">$O$217*$AA$217</f>
        <v>1412.5610569956416</v>
      </c>
    </row>
    <row r="218" spans="1:33" ht="11.25" customHeight="1" x14ac:dyDescent="0.25">
      <c r="A218" s="4" t="s">
        <v>21</v>
      </c>
      <c r="B218" s="4" t="s">
        <v>38</v>
      </c>
      <c r="C218" s="4" t="s">
        <v>39</v>
      </c>
      <c r="D218" s="4" t="s">
        <v>37</v>
      </c>
      <c r="E218" s="4" t="s">
        <v>25</v>
      </c>
      <c r="F218" s="4" t="s">
        <v>25</v>
      </c>
      <c r="G218" s="4" t="s">
        <v>25</v>
      </c>
      <c r="H218" s="4" t="s">
        <v>33</v>
      </c>
      <c r="I218" s="5">
        <v>44562</v>
      </c>
      <c r="J218" s="6">
        <v>0</v>
      </c>
      <c r="K218" s="6">
        <v>0</v>
      </c>
      <c r="L218" s="6">
        <v>42.738999999999997</v>
      </c>
      <c r="M218" s="6">
        <v>42.738999999999997</v>
      </c>
      <c r="N218" s="6">
        <v>42.738999999999997</v>
      </c>
      <c r="O218" s="6">
        <v>42.738999999999997</v>
      </c>
      <c r="P218" s="6">
        <v>0</v>
      </c>
      <c r="Q218" s="4" t="s">
        <v>26</v>
      </c>
      <c r="R218" s="4">
        <v>0</v>
      </c>
      <c r="S218" s="6">
        <v>0</v>
      </c>
      <c r="T218" s="6">
        <v>21</v>
      </c>
      <c r="U218" s="6">
        <v>66</v>
      </c>
      <c r="V218" s="6">
        <f>IF(ISERROR(VLOOKUP($S$218,'TAR FIN'!$A$1:$O$86,15,0)),0,VLOOKUP($S$218,'TAR FIN'!$A$1:$O$86,15,0))</f>
        <v>0</v>
      </c>
      <c r="W218" s="6">
        <f>IF(ISERROR(VLOOKUP($T$218,'TAR FIN'!$A$1:$O$86,15,0)),0,VLOOKUP($T$218,'TAR FIN'!$A$1:$O$86,15,0))</f>
        <v>596.78</v>
      </c>
      <c r="X218" s="6">
        <f>IF(ISERROR(VLOOKUP($U$218,'TAR FIN'!$A$1:$O$86,15,0)),0,VLOOKUP($U$218,'TAR FIN'!$A$1:$O$86,15,0))</f>
        <v>503.82</v>
      </c>
      <c r="Y218" s="6"/>
      <c r="Z218" s="6">
        <f ca="1">('TUSD BE'!$AM$11+'TUSD BF_350'!$AM$11+'TUSD CVA'!$AM$11)*1</f>
        <v>625.67033946440574</v>
      </c>
      <c r="AA218" s="6">
        <f ca="1">('TE BE'!$AB$5+'TE BF_350'!$AB$5+'TE CVA'!$AB$5)*1</f>
        <v>398.01664046087393</v>
      </c>
      <c r="AB218" s="6">
        <f>$K$218*$V$218</f>
        <v>0</v>
      </c>
      <c r="AC218" s="6">
        <f>$M$218*$W$218</f>
        <v>25505.780419999996</v>
      </c>
      <c r="AD218" s="6">
        <f>$O$218*$X$218</f>
        <v>21532.76298</v>
      </c>
      <c r="AE218" s="6">
        <f>$K$218*$Y$218</f>
        <v>0</v>
      </c>
      <c r="AF218" s="6">
        <f ca="1">$M$218*$Z$218</f>
        <v>26740.524638369236</v>
      </c>
      <c r="AG218" s="6">
        <f ca="1">$O$218*$AA$218</f>
        <v>17010.833196657291</v>
      </c>
    </row>
    <row r="219" spans="1:33" ht="11.25" customHeight="1" x14ac:dyDescent="0.25">
      <c r="A219" s="4" t="s">
        <v>27</v>
      </c>
      <c r="B219" s="4" t="s">
        <v>38</v>
      </c>
      <c r="C219" s="4" t="s">
        <v>39</v>
      </c>
      <c r="D219" s="4" t="s">
        <v>37</v>
      </c>
      <c r="E219" s="4" t="s">
        <v>25</v>
      </c>
      <c r="F219" s="4" t="s">
        <v>25</v>
      </c>
      <c r="G219" s="4" t="s">
        <v>25</v>
      </c>
      <c r="H219" s="4" t="s">
        <v>33</v>
      </c>
      <c r="I219" s="5">
        <v>44562</v>
      </c>
      <c r="J219" s="6">
        <v>0</v>
      </c>
      <c r="K219" s="6">
        <v>0</v>
      </c>
      <c r="L219" s="6">
        <v>6.5970000000000004</v>
      </c>
      <c r="M219" s="6">
        <v>6.5970000000000004</v>
      </c>
      <c r="N219" s="6">
        <v>6.5970000000000004</v>
      </c>
      <c r="O219" s="6">
        <v>6.5970000000000004</v>
      </c>
      <c r="P219" s="6">
        <v>0</v>
      </c>
      <c r="Q219" s="4" t="s">
        <v>26</v>
      </c>
      <c r="R219" s="4">
        <v>0</v>
      </c>
      <c r="S219" s="6">
        <v>0</v>
      </c>
      <c r="T219" s="6">
        <v>21</v>
      </c>
      <c r="U219" s="6">
        <v>66</v>
      </c>
      <c r="V219" s="6">
        <f>IF(ISERROR(VLOOKUP($S$219,'TAR FIN'!$A$1:$O$86,15,0)),0,VLOOKUP($S$219,'TAR FIN'!$A$1:$O$86,15,0))</f>
        <v>0</v>
      </c>
      <c r="W219" s="6">
        <f>IF(ISERROR(VLOOKUP($T$219,'TAR FIN'!$A$1:$O$86,15,0)),0,VLOOKUP($T$219,'TAR FIN'!$A$1:$O$86,15,0))</f>
        <v>596.78</v>
      </c>
      <c r="X219" s="6">
        <f>IF(ISERROR(VLOOKUP($U$219,'TAR FIN'!$A$1:$O$86,15,0)),0,VLOOKUP($U$219,'TAR FIN'!$A$1:$O$86,15,0))</f>
        <v>503.82</v>
      </c>
      <c r="Y219" s="6"/>
      <c r="Z219" s="6">
        <f ca="1">('TUSD BE'!$AM$11+'TUSD BF_350'!$AM$11+'TUSD CVA'!$AM$11)*1</f>
        <v>625.67033946440574</v>
      </c>
      <c r="AA219" s="6">
        <f ca="1">('TE BE'!$AB$5+'TE BF_350'!$AB$5+'TE CVA'!$AB$5)*1</f>
        <v>398.01664046087393</v>
      </c>
      <c r="AB219" s="6">
        <f>$K$219*$V$219</f>
        <v>0</v>
      </c>
      <c r="AC219" s="6">
        <f>$M$219*$W$219</f>
        <v>3936.95766</v>
      </c>
      <c r="AD219" s="6">
        <f>$O$219*$X$219</f>
        <v>3323.7005400000003</v>
      </c>
      <c r="AE219" s="6">
        <f>$K$219*$Y$219</f>
        <v>0</v>
      </c>
      <c r="AF219" s="6">
        <f ca="1">$M$219*$Z$219</f>
        <v>4127.5472294466854</v>
      </c>
      <c r="AG219" s="6">
        <f ca="1">$O$219*$AA$219</f>
        <v>2625.7157771203856</v>
      </c>
    </row>
    <row r="220" spans="1:33" ht="11.25" customHeight="1" x14ac:dyDescent="0.25">
      <c r="A220" s="4" t="s">
        <v>21</v>
      </c>
      <c r="B220" s="4" t="s">
        <v>38</v>
      </c>
      <c r="C220" s="4" t="s">
        <v>39</v>
      </c>
      <c r="D220" s="4" t="s">
        <v>37</v>
      </c>
      <c r="E220" s="4" t="s">
        <v>25</v>
      </c>
      <c r="F220" s="4" t="s">
        <v>25</v>
      </c>
      <c r="G220" s="4" t="s">
        <v>25</v>
      </c>
      <c r="H220" s="4" t="s">
        <v>33</v>
      </c>
      <c r="I220" s="5">
        <v>44593</v>
      </c>
      <c r="J220" s="6">
        <v>0</v>
      </c>
      <c r="K220" s="6">
        <v>0</v>
      </c>
      <c r="L220" s="6">
        <v>21.945</v>
      </c>
      <c r="M220" s="6">
        <v>21.945</v>
      </c>
      <c r="N220" s="6">
        <v>21.945</v>
      </c>
      <c r="O220" s="6">
        <v>21.945</v>
      </c>
      <c r="P220" s="6">
        <v>0</v>
      </c>
      <c r="Q220" s="4" t="s">
        <v>26</v>
      </c>
      <c r="R220" s="4">
        <v>0</v>
      </c>
      <c r="S220" s="6">
        <v>0</v>
      </c>
      <c r="T220" s="6">
        <v>21</v>
      </c>
      <c r="U220" s="6">
        <v>66</v>
      </c>
      <c r="V220" s="6">
        <f>IF(ISERROR(VLOOKUP($S$220,'TAR FIN'!$A$1:$O$86,15,0)),0,VLOOKUP($S$220,'TAR FIN'!$A$1:$O$86,15,0))</f>
        <v>0</v>
      </c>
      <c r="W220" s="6">
        <f>IF(ISERROR(VLOOKUP($T$220,'TAR FIN'!$A$1:$O$86,15,0)),0,VLOOKUP($T$220,'TAR FIN'!$A$1:$O$86,15,0))</f>
        <v>596.78</v>
      </c>
      <c r="X220" s="6">
        <f>IF(ISERROR(VLOOKUP($U$220,'TAR FIN'!$A$1:$O$86,15,0)),0,VLOOKUP($U$220,'TAR FIN'!$A$1:$O$86,15,0))</f>
        <v>503.82</v>
      </c>
      <c r="Y220" s="6"/>
      <c r="Z220" s="6">
        <f ca="1">('TUSD BE'!$AM$11+'TUSD BF_350'!$AM$11+'TUSD CVA'!$AM$11)*1</f>
        <v>625.67033946440574</v>
      </c>
      <c r="AA220" s="6">
        <f ca="1">('TE BE'!$AB$5+'TE BF_350'!$AB$5+'TE CVA'!$AB$5)*1</f>
        <v>398.01664046087393</v>
      </c>
      <c r="AB220" s="6">
        <f>$K$220*$V$220</f>
        <v>0</v>
      </c>
      <c r="AC220" s="6">
        <f>$M$220*$W$220</f>
        <v>13096.337099999999</v>
      </c>
      <c r="AD220" s="6">
        <f>$O$220*$X$220</f>
        <v>11056.329900000001</v>
      </c>
      <c r="AE220" s="6">
        <f>$K$220*$Y$220</f>
        <v>0</v>
      </c>
      <c r="AF220" s="6">
        <f ca="1">$M$220*$Z$220</f>
        <v>13730.335599546384</v>
      </c>
      <c r="AG220" s="6">
        <f ca="1">$O$220*$AA$220</f>
        <v>8734.4751749138777</v>
      </c>
    </row>
    <row r="221" spans="1:33" ht="11.25" customHeight="1" x14ac:dyDescent="0.25">
      <c r="A221" s="4" t="s">
        <v>27</v>
      </c>
      <c r="B221" s="4" t="s">
        <v>38</v>
      </c>
      <c r="C221" s="4" t="s">
        <v>39</v>
      </c>
      <c r="D221" s="4" t="s">
        <v>37</v>
      </c>
      <c r="E221" s="4" t="s">
        <v>25</v>
      </c>
      <c r="F221" s="4" t="s">
        <v>25</v>
      </c>
      <c r="G221" s="4" t="s">
        <v>25</v>
      </c>
      <c r="H221" s="4" t="s">
        <v>33</v>
      </c>
      <c r="I221" s="5">
        <v>44593</v>
      </c>
      <c r="J221" s="6">
        <v>0</v>
      </c>
      <c r="K221" s="6">
        <v>0</v>
      </c>
      <c r="L221" s="6">
        <v>5.7320000000000002</v>
      </c>
      <c r="M221" s="6">
        <v>5.7320000000000002</v>
      </c>
      <c r="N221" s="6">
        <v>5.7320000000000002</v>
      </c>
      <c r="O221" s="6">
        <v>5.7320000000000002</v>
      </c>
      <c r="P221" s="6">
        <v>0</v>
      </c>
      <c r="Q221" s="4" t="s">
        <v>26</v>
      </c>
      <c r="R221" s="4">
        <v>0</v>
      </c>
      <c r="S221" s="6">
        <v>0</v>
      </c>
      <c r="T221" s="6">
        <v>21</v>
      </c>
      <c r="U221" s="6">
        <v>66</v>
      </c>
      <c r="V221" s="6">
        <f>IF(ISERROR(VLOOKUP($S$221,'TAR FIN'!$A$1:$O$86,15,0)),0,VLOOKUP($S$221,'TAR FIN'!$A$1:$O$86,15,0))</f>
        <v>0</v>
      </c>
      <c r="W221" s="6">
        <f>IF(ISERROR(VLOOKUP($T$221,'TAR FIN'!$A$1:$O$86,15,0)),0,VLOOKUP($T$221,'TAR FIN'!$A$1:$O$86,15,0))</f>
        <v>596.78</v>
      </c>
      <c r="X221" s="6">
        <f>IF(ISERROR(VLOOKUP($U$221,'TAR FIN'!$A$1:$O$86,15,0)),0,VLOOKUP($U$221,'TAR FIN'!$A$1:$O$86,15,0))</f>
        <v>503.82</v>
      </c>
      <c r="Y221" s="6"/>
      <c r="Z221" s="6">
        <f ca="1">('TUSD BE'!$AM$11+'TUSD BF_350'!$AM$11+'TUSD CVA'!$AM$11)*1</f>
        <v>625.67033946440574</v>
      </c>
      <c r="AA221" s="6">
        <f ca="1">('TE BE'!$AB$5+'TE BF_350'!$AB$5+'TE CVA'!$AB$5)*1</f>
        <v>398.01664046087393</v>
      </c>
      <c r="AB221" s="6">
        <f>$K$221*$V$221</f>
        <v>0</v>
      </c>
      <c r="AC221" s="6">
        <f>$M$221*$W$221</f>
        <v>3420.74296</v>
      </c>
      <c r="AD221" s="6">
        <f>$O$221*$X$221</f>
        <v>2887.89624</v>
      </c>
      <c r="AE221" s="6">
        <f>$K$221*$Y$221</f>
        <v>0</v>
      </c>
      <c r="AF221" s="6">
        <f ca="1">$M$221*$Z$221</f>
        <v>3586.3423858099736</v>
      </c>
      <c r="AG221" s="6">
        <f ca="1">$O$221*$AA$221</f>
        <v>2281.4313831217296</v>
      </c>
    </row>
    <row r="222" spans="1:33" ht="11.25" customHeight="1" x14ac:dyDescent="0.25">
      <c r="A222" s="4" t="s">
        <v>21</v>
      </c>
      <c r="B222" s="4" t="s">
        <v>38</v>
      </c>
      <c r="C222" s="4" t="s">
        <v>39</v>
      </c>
      <c r="D222" s="4" t="s">
        <v>37</v>
      </c>
      <c r="E222" s="4" t="s">
        <v>25</v>
      </c>
      <c r="F222" s="4" t="s">
        <v>25</v>
      </c>
      <c r="G222" s="4" t="s">
        <v>25</v>
      </c>
      <c r="H222" s="4" t="s">
        <v>33</v>
      </c>
      <c r="I222" s="5">
        <v>44621</v>
      </c>
      <c r="J222" s="6">
        <v>0</v>
      </c>
      <c r="K222" s="6">
        <v>0</v>
      </c>
      <c r="L222" s="6">
        <v>26.539000000000001</v>
      </c>
      <c r="M222" s="6">
        <v>26.539000000000001</v>
      </c>
      <c r="N222" s="6">
        <v>26.539000000000001</v>
      </c>
      <c r="O222" s="6">
        <v>26.539000000000001</v>
      </c>
      <c r="P222" s="6">
        <v>0</v>
      </c>
      <c r="Q222" s="4" t="s">
        <v>26</v>
      </c>
      <c r="R222" s="4">
        <v>0</v>
      </c>
      <c r="S222" s="6">
        <v>0</v>
      </c>
      <c r="T222" s="6">
        <v>21</v>
      </c>
      <c r="U222" s="6">
        <v>66</v>
      </c>
      <c r="V222" s="6">
        <f>IF(ISERROR(VLOOKUP($S$222,'TAR FIN'!$A$1:$O$86,15,0)),0,VLOOKUP($S$222,'TAR FIN'!$A$1:$O$86,15,0))</f>
        <v>0</v>
      </c>
      <c r="W222" s="6">
        <f>IF(ISERROR(VLOOKUP($T$222,'TAR FIN'!$A$1:$O$86,15,0)),0,VLOOKUP($T$222,'TAR FIN'!$A$1:$O$86,15,0))</f>
        <v>596.78</v>
      </c>
      <c r="X222" s="6">
        <f>IF(ISERROR(VLOOKUP($U$222,'TAR FIN'!$A$1:$O$86,15,0)),0,VLOOKUP($U$222,'TAR FIN'!$A$1:$O$86,15,0))</f>
        <v>503.82</v>
      </c>
      <c r="Y222" s="6"/>
      <c r="Z222" s="6">
        <f ca="1">('TUSD BE'!$AM$11+'TUSD BF_350'!$AM$11+'TUSD CVA'!$AM$11)*1</f>
        <v>625.67033946440574</v>
      </c>
      <c r="AA222" s="6">
        <f ca="1">('TE BE'!$AB$5+'TE BF_350'!$AB$5+'TE CVA'!$AB$5)*1</f>
        <v>398.01664046087393</v>
      </c>
      <c r="AB222" s="6">
        <f>$K$222*$V$222</f>
        <v>0</v>
      </c>
      <c r="AC222" s="6">
        <f>$M$222*$W$222</f>
        <v>15837.94442</v>
      </c>
      <c r="AD222" s="6">
        <f>$O$222*$X$222</f>
        <v>13370.878980000001</v>
      </c>
      <c r="AE222" s="6">
        <f>$K$222*$Y$222</f>
        <v>0</v>
      </c>
      <c r="AF222" s="6">
        <f ca="1">$M$222*$Z$222</f>
        <v>16604.665139045865</v>
      </c>
      <c r="AG222" s="6">
        <f ca="1">$O$222*$AA$222</f>
        <v>10562.963621191133</v>
      </c>
    </row>
    <row r="223" spans="1:33" ht="11.25" customHeight="1" x14ac:dyDescent="0.25">
      <c r="A223" s="4" t="s">
        <v>27</v>
      </c>
      <c r="B223" s="4" t="s">
        <v>38</v>
      </c>
      <c r="C223" s="4" t="s">
        <v>39</v>
      </c>
      <c r="D223" s="4" t="s">
        <v>37</v>
      </c>
      <c r="E223" s="4" t="s">
        <v>25</v>
      </c>
      <c r="F223" s="4" t="s">
        <v>25</v>
      </c>
      <c r="G223" s="4" t="s">
        <v>25</v>
      </c>
      <c r="H223" s="4" t="s">
        <v>33</v>
      </c>
      <c r="I223" s="5">
        <v>44621</v>
      </c>
      <c r="J223" s="6">
        <v>0</v>
      </c>
      <c r="K223" s="6">
        <v>0</v>
      </c>
      <c r="L223" s="6">
        <v>12.698</v>
      </c>
      <c r="M223" s="6">
        <v>12.698</v>
      </c>
      <c r="N223" s="6">
        <v>12.698</v>
      </c>
      <c r="O223" s="6">
        <v>12.698</v>
      </c>
      <c r="P223" s="6">
        <v>0</v>
      </c>
      <c r="Q223" s="4" t="s">
        <v>26</v>
      </c>
      <c r="R223" s="4">
        <v>0</v>
      </c>
      <c r="S223" s="6">
        <v>0</v>
      </c>
      <c r="T223" s="6">
        <v>21</v>
      </c>
      <c r="U223" s="6">
        <v>66</v>
      </c>
      <c r="V223" s="6">
        <f>IF(ISERROR(VLOOKUP($S$223,'TAR FIN'!$A$1:$O$86,15,0)),0,VLOOKUP($S$223,'TAR FIN'!$A$1:$O$86,15,0))</f>
        <v>0</v>
      </c>
      <c r="W223" s="6">
        <f>IF(ISERROR(VLOOKUP($T$223,'TAR FIN'!$A$1:$O$86,15,0)),0,VLOOKUP($T$223,'TAR FIN'!$A$1:$O$86,15,0))</f>
        <v>596.78</v>
      </c>
      <c r="X223" s="6">
        <f>IF(ISERROR(VLOOKUP($U$223,'TAR FIN'!$A$1:$O$86,15,0)),0,VLOOKUP($U$223,'TAR FIN'!$A$1:$O$86,15,0))</f>
        <v>503.82</v>
      </c>
      <c r="Y223" s="6"/>
      <c r="Z223" s="6">
        <f ca="1">('TUSD BE'!$AM$11+'TUSD BF_350'!$AM$11+'TUSD CVA'!$AM$11)*1</f>
        <v>625.67033946440574</v>
      </c>
      <c r="AA223" s="6">
        <f ca="1">('TE BE'!$AB$5+'TE BF_350'!$AB$5+'TE CVA'!$AB$5)*1</f>
        <v>398.01664046087393</v>
      </c>
      <c r="AB223" s="6">
        <f>$K$223*$V$223</f>
        <v>0</v>
      </c>
      <c r="AC223" s="6">
        <f>$M$223*$W$223</f>
        <v>7577.9124400000001</v>
      </c>
      <c r="AD223" s="6">
        <f>$O$223*$X$223</f>
        <v>6397.5063600000003</v>
      </c>
      <c r="AE223" s="6">
        <f>$K$223*$Y$223</f>
        <v>0</v>
      </c>
      <c r="AF223" s="6">
        <f ca="1">$M$223*$Z$223</f>
        <v>7944.7619705190245</v>
      </c>
      <c r="AG223" s="6">
        <f ca="1">$O$223*$AA$223</f>
        <v>5054.0153005721777</v>
      </c>
    </row>
    <row r="224" spans="1:33" ht="11.25" customHeight="1" x14ac:dyDescent="0.25">
      <c r="A224" s="4" t="s">
        <v>21</v>
      </c>
      <c r="B224" s="4" t="s">
        <v>38</v>
      </c>
      <c r="C224" s="4" t="s">
        <v>39</v>
      </c>
      <c r="D224" s="4" t="s">
        <v>37</v>
      </c>
      <c r="E224" s="4" t="s">
        <v>25</v>
      </c>
      <c r="F224" s="4" t="s">
        <v>25</v>
      </c>
      <c r="G224" s="4" t="s">
        <v>25</v>
      </c>
      <c r="H224" s="4" t="s">
        <v>33</v>
      </c>
      <c r="I224" s="5">
        <v>44652</v>
      </c>
      <c r="J224" s="6">
        <v>0</v>
      </c>
      <c r="K224" s="6">
        <v>0</v>
      </c>
      <c r="L224" s="6">
        <v>19.462</v>
      </c>
      <c r="M224" s="6">
        <v>19.462</v>
      </c>
      <c r="N224" s="6">
        <v>19.462</v>
      </c>
      <c r="O224" s="6">
        <v>19.462</v>
      </c>
      <c r="P224" s="6">
        <v>0</v>
      </c>
      <c r="Q224" s="4" t="s">
        <v>26</v>
      </c>
      <c r="R224" s="4">
        <v>0</v>
      </c>
      <c r="S224" s="6">
        <v>0</v>
      </c>
      <c r="T224" s="6">
        <v>21</v>
      </c>
      <c r="U224" s="6">
        <v>66</v>
      </c>
      <c r="V224" s="6">
        <f>IF(ISERROR(VLOOKUP($S$224,'TAR FIN'!$A$1:$O$86,15,0)),0,VLOOKUP($S$224,'TAR FIN'!$A$1:$O$86,15,0))</f>
        <v>0</v>
      </c>
      <c r="W224" s="6">
        <f>IF(ISERROR(VLOOKUP($T$224,'TAR FIN'!$A$1:$O$86,15,0)),0,VLOOKUP($T$224,'TAR FIN'!$A$1:$O$86,15,0))</f>
        <v>596.78</v>
      </c>
      <c r="X224" s="6">
        <f>IF(ISERROR(VLOOKUP($U$224,'TAR FIN'!$A$1:$O$86,15,0)),0,VLOOKUP($U$224,'TAR FIN'!$A$1:$O$86,15,0))</f>
        <v>503.82</v>
      </c>
      <c r="Y224" s="6"/>
      <c r="Z224" s="6">
        <f ca="1">('TUSD BE'!$AM$11+'TUSD BF_350'!$AM$11+'TUSD CVA'!$AM$11)*1</f>
        <v>625.67033946440574</v>
      </c>
      <c r="AA224" s="6">
        <f ca="1">('TE BE'!$AB$5+'TE BF_350'!$AB$5+'TE CVA'!$AB$5)*1</f>
        <v>398.01664046087393</v>
      </c>
      <c r="AB224" s="6">
        <f>$K$224*$V$224</f>
        <v>0</v>
      </c>
      <c r="AC224" s="6">
        <f>$M$224*$W$224</f>
        <v>11614.532359999999</v>
      </c>
      <c r="AD224" s="6">
        <f>$O$224*$X$224</f>
        <v>9805.3448399999997</v>
      </c>
      <c r="AE224" s="6">
        <f>$K$224*$Y$224</f>
        <v>0</v>
      </c>
      <c r="AF224" s="6">
        <f ca="1">$M$224*$Z$224</f>
        <v>12176.796146656265</v>
      </c>
      <c r="AG224" s="6">
        <f ca="1">$O$224*$AA$224</f>
        <v>7746.1998566495286</v>
      </c>
    </row>
    <row r="225" spans="1:33" ht="11.25" customHeight="1" x14ac:dyDescent="0.25">
      <c r="A225" s="4" t="s">
        <v>27</v>
      </c>
      <c r="B225" s="4" t="s">
        <v>38</v>
      </c>
      <c r="C225" s="4" t="s">
        <v>39</v>
      </c>
      <c r="D225" s="4" t="s">
        <v>37</v>
      </c>
      <c r="E225" s="4" t="s">
        <v>25</v>
      </c>
      <c r="F225" s="4" t="s">
        <v>25</v>
      </c>
      <c r="G225" s="4" t="s">
        <v>25</v>
      </c>
      <c r="H225" s="4" t="s">
        <v>33</v>
      </c>
      <c r="I225" s="5">
        <v>44652</v>
      </c>
      <c r="J225" s="6">
        <v>0</v>
      </c>
      <c r="K225" s="6">
        <v>0</v>
      </c>
      <c r="L225" s="6">
        <v>5.8639999999999999</v>
      </c>
      <c r="M225" s="6">
        <v>5.8639999999999999</v>
      </c>
      <c r="N225" s="6">
        <v>5.8639999999999999</v>
      </c>
      <c r="O225" s="6">
        <v>5.8639999999999999</v>
      </c>
      <c r="P225" s="6">
        <v>0</v>
      </c>
      <c r="Q225" s="4" t="s">
        <v>26</v>
      </c>
      <c r="R225" s="4">
        <v>0</v>
      </c>
      <c r="S225" s="6">
        <v>0</v>
      </c>
      <c r="T225" s="6">
        <v>21</v>
      </c>
      <c r="U225" s="6">
        <v>66</v>
      </c>
      <c r="V225" s="6">
        <f>IF(ISERROR(VLOOKUP($S$225,'TAR FIN'!$A$1:$O$86,15,0)),0,VLOOKUP($S$225,'TAR FIN'!$A$1:$O$86,15,0))</f>
        <v>0</v>
      </c>
      <c r="W225" s="6">
        <f>IF(ISERROR(VLOOKUP($T$225,'TAR FIN'!$A$1:$O$86,15,0)),0,VLOOKUP($T$225,'TAR FIN'!$A$1:$O$86,15,0))</f>
        <v>596.78</v>
      </c>
      <c r="X225" s="6">
        <f>IF(ISERROR(VLOOKUP($U$225,'TAR FIN'!$A$1:$O$86,15,0)),0,VLOOKUP($U$225,'TAR FIN'!$A$1:$O$86,15,0))</f>
        <v>503.82</v>
      </c>
      <c r="Y225" s="6"/>
      <c r="Z225" s="6">
        <f ca="1">('TUSD BE'!$AM$11+'TUSD BF_350'!$AM$11+'TUSD CVA'!$AM$11)*1</f>
        <v>625.67033946440574</v>
      </c>
      <c r="AA225" s="6">
        <f ca="1">('TE BE'!$AB$5+'TE BF_350'!$AB$5+'TE CVA'!$AB$5)*1</f>
        <v>398.01664046087393</v>
      </c>
      <c r="AB225" s="6">
        <f>$K$225*$V$225</f>
        <v>0</v>
      </c>
      <c r="AC225" s="6">
        <f>$M$225*$W$225</f>
        <v>3499.5179199999998</v>
      </c>
      <c r="AD225" s="6">
        <f>$O$225*$X$225</f>
        <v>2954.4004799999998</v>
      </c>
      <c r="AE225" s="6">
        <f>$K$225*$Y$225</f>
        <v>0</v>
      </c>
      <c r="AF225" s="6">
        <f ca="1">$M$225*$Z$225</f>
        <v>3668.9308706192751</v>
      </c>
      <c r="AG225" s="6">
        <f ca="1">$O$225*$AA$225</f>
        <v>2333.9695796625647</v>
      </c>
    </row>
    <row r="226" spans="1:33" ht="11.25" customHeight="1" x14ac:dyDescent="0.25">
      <c r="A226" s="4" t="s">
        <v>21</v>
      </c>
      <c r="B226" s="4" t="s">
        <v>38</v>
      </c>
      <c r="C226" s="4" t="s">
        <v>39</v>
      </c>
      <c r="D226" s="4" t="s">
        <v>37</v>
      </c>
      <c r="E226" s="4" t="s">
        <v>25</v>
      </c>
      <c r="F226" s="4" t="s">
        <v>25</v>
      </c>
      <c r="G226" s="4" t="s">
        <v>25</v>
      </c>
      <c r="H226" s="4" t="s">
        <v>33</v>
      </c>
      <c r="I226" s="5">
        <v>44682</v>
      </c>
      <c r="J226" s="6">
        <v>0</v>
      </c>
      <c r="K226" s="6">
        <v>0</v>
      </c>
      <c r="L226" s="6">
        <v>21.788</v>
      </c>
      <c r="M226" s="6">
        <v>21.788</v>
      </c>
      <c r="N226" s="6">
        <v>21.788</v>
      </c>
      <c r="O226" s="6">
        <v>21.788</v>
      </c>
      <c r="P226" s="6">
        <v>0</v>
      </c>
      <c r="Q226" s="4" t="s">
        <v>26</v>
      </c>
      <c r="R226" s="4">
        <v>0</v>
      </c>
      <c r="S226" s="6">
        <v>0</v>
      </c>
      <c r="T226" s="6">
        <v>21</v>
      </c>
      <c r="U226" s="6">
        <v>66</v>
      </c>
      <c r="V226" s="6">
        <f>IF(ISERROR(VLOOKUP($S$226,'TAR FIN'!$A$1:$O$86,15,0)),0,VLOOKUP($S$226,'TAR FIN'!$A$1:$O$86,15,0))</f>
        <v>0</v>
      </c>
      <c r="W226" s="6">
        <f>IF(ISERROR(VLOOKUP($T$226,'TAR FIN'!$A$1:$O$86,15,0)),0,VLOOKUP($T$226,'TAR FIN'!$A$1:$O$86,15,0))</f>
        <v>596.78</v>
      </c>
      <c r="X226" s="6">
        <f>IF(ISERROR(VLOOKUP($U$226,'TAR FIN'!$A$1:$O$86,15,0)),0,VLOOKUP($U$226,'TAR FIN'!$A$1:$O$86,15,0))</f>
        <v>503.82</v>
      </c>
      <c r="Y226" s="6"/>
      <c r="Z226" s="6">
        <f ca="1">('TUSD BE'!$AM$11+'TUSD BF_350'!$AM$11+'TUSD CVA'!$AM$11)*1</f>
        <v>625.67033946440574</v>
      </c>
      <c r="AA226" s="6">
        <f ca="1">('TE BE'!$AB$5+'TE BF_350'!$AB$5+'TE CVA'!$AB$5)*1</f>
        <v>398.01664046087393</v>
      </c>
      <c r="AB226" s="6">
        <f>$K$226*$V$226</f>
        <v>0</v>
      </c>
      <c r="AC226" s="6">
        <f>$M$226*$W$226</f>
        <v>13002.64264</v>
      </c>
      <c r="AD226" s="6">
        <f>$O$226*$X$226</f>
        <v>10977.230159999999</v>
      </c>
      <c r="AE226" s="6">
        <f>$K$226*$Y$226</f>
        <v>0</v>
      </c>
      <c r="AF226" s="6">
        <f ca="1">$M$226*$Z$226</f>
        <v>13632.105356250473</v>
      </c>
      <c r="AG226" s="6">
        <f ca="1">$O$226*$AA$226</f>
        <v>8671.9865623615206</v>
      </c>
    </row>
    <row r="227" spans="1:33" ht="11.25" customHeight="1" x14ac:dyDescent="0.25">
      <c r="A227" s="4" t="s">
        <v>27</v>
      </c>
      <c r="B227" s="4" t="s">
        <v>38</v>
      </c>
      <c r="C227" s="4" t="s">
        <v>39</v>
      </c>
      <c r="D227" s="4" t="s">
        <v>37</v>
      </c>
      <c r="E227" s="4" t="s">
        <v>25</v>
      </c>
      <c r="F227" s="4" t="s">
        <v>25</v>
      </c>
      <c r="G227" s="4" t="s">
        <v>25</v>
      </c>
      <c r="H227" s="4" t="s">
        <v>33</v>
      </c>
      <c r="I227" s="5">
        <v>44682</v>
      </c>
      <c r="J227" s="6">
        <v>0</v>
      </c>
      <c r="K227" s="6">
        <v>0</v>
      </c>
      <c r="L227" s="6">
        <v>10.202</v>
      </c>
      <c r="M227" s="6">
        <v>10.202</v>
      </c>
      <c r="N227" s="6">
        <v>10.202</v>
      </c>
      <c r="O227" s="6">
        <v>10.202</v>
      </c>
      <c r="P227" s="6">
        <v>0</v>
      </c>
      <c r="Q227" s="4" t="s">
        <v>26</v>
      </c>
      <c r="R227" s="4">
        <v>0</v>
      </c>
      <c r="S227" s="6">
        <v>0</v>
      </c>
      <c r="T227" s="6">
        <v>21</v>
      </c>
      <c r="U227" s="6">
        <v>66</v>
      </c>
      <c r="V227" s="6">
        <f>IF(ISERROR(VLOOKUP($S$227,'TAR FIN'!$A$1:$O$86,15,0)),0,VLOOKUP($S$227,'TAR FIN'!$A$1:$O$86,15,0))</f>
        <v>0</v>
      </c>
      <c r="W227" s="6">
        <f>IF(ISERROR(VLOOKUP($T$227,'TAR FIN'!$A$1:$O$86,15,0)),0,VLOOKUP($T$227,'TAR FIN'!$A$1:$O$86,15,0))</f>
        <v>596.78</v>
      </c>
      <c r="X227" s="6">
        <f>IF(ISERROR(VLOOKUP($U$227,'TAR FIN'!$A$1:$O$86,15,0)),0,VLOOKUP($U$227,'TAR FIN'!$A$1:$O$86,15,0))</f>
        <v>503.82</v>
      </c>
      <c r="Y227" s="6"/>
      <c r="Z227" s="6">
        <f ca="1">('TUSD BE'!$AM$11+'TUSD BF_350'!$AM$11+'TUSD CVA'!$AM$11)*1</f>
        <v>625.67033946440574</v>
      </c>
      <c r="AA227" s="6">
        <f ca="1">('TE BE'!$AB$5+'TE BF_350'!$AB$5+'TE CVA'!$AB$5)*1</f>
        <v>398.01664046087393</v>
      </c>
      <c r="AB227" s="6">
        <f>$K$227*$V$227</f>
        <v>0</v>
      </c>
      <c r="AC227" s="6">
        <f>$M$227*$W$227</f>
        <v>6088.3495599999997</v>
      </c>
      <c r="AD227" s="6">
        <f>$O$227*$X$227</f>
        <v>5139.9716399999998</v>
      </c>
      <c r="AE227" s="6">
        <f>$K$227*$Y$227</f>
        <v>0</v>
      </c>
      <c r="AF227" s="6">
        <f ca="1">$M$227*$Z$227</f>
        <v>6383.0888032158673</v>
      </c>
      <c r="AG227" s="6">
        <f ca="1">$O$227*$AA$227</f>
        <v>4060.5657659818357</v>
      </c>
    </row>
    <row r="228" spans="1:33" ht="11.25" customHeight="1" x14ac:dyDescent="0.25">
      <c r="A228" s="4" t="s">
        <v>55</v>
      </c>
      <c r="B228" s="4" t="s">
        <v>38</v>
      </c>
      <c r="C228" s="4" t="s">
        <v>39</v>
      </c>
      <c r="D228" s="4" t="s">
        <v>37</v>
      </c>
      <c r="E228" s="4" t="s">
        <v>25</v>
      </c>
      <c r="F228" s="4" t="s">
        <v>25</v>
      </c>
      <c r="G228" s="4" t="s">
        <v>25</v>
      </c>
      <c r="H228" s="4" t="s">
        <v>33</v>
      </c>
      <c r="I228" s="5">
        <v>44713</v>
      </c>
      <c r="J228" s="6">
        <v>0</v>
      </c>
      <c r="K228" s="6">
        <v>0</v>
      </c>
      <c r="L228" s="6">
        <v>21.788</v>
      </c>
      <c r="M228" s="6">
        <v>21.788</v>
      </c>
      <c r="N228" s="6">
        <v>21.788</v>
      </c>
      <c r="O228" s="6">
        <v>21.788</v>
      </c>
      <c r="P228" s="6">
        <v>0</v>
      </c>
      <c r="Q228" s="4" t="s">
        <v>26</v>
      </c>
      <c r="R228" s="4">
        <v>0</v>
      </c>
      <c r="S228" s="6">
        <v>0</v>
      </c>
      <c r="T228" s="6">
        <v>21</v>
      </c>
      <c r="U228" s="6">
        <v>66</v>
      </c>
      <c r="V228" s="6">
        <f>IF(ISERROR(VLOOKUP($S$228,'TAR FIN'!$A$1:$O$86,15,0)),0,VLOOKUP($S$228,'TAR FIN'!$A$1:$O$86,15,0))</f>
        <v>0</v>
      </c>
      <c r="W228" s="6">
        <f>IF(ISERROR(VLOOKUP($T$228,'TAR FIN'!$A$1:$O$86,15,0)),0,VLOOKUP($T$228,'TAR FIN'!$A$1:$O$86,15,0))</f>
        <v>596.78</v>
      </c>
      <c r="X228" s="6">
        <f>IF(ISERROR(VLOOKUP($U$228,'TAR FIN'!$A$1:$O$86,15,0)),0,VLOOKUP($U$228,'TAR FIN'!$A$1:$O$86,15,0))</f>
        <v>503.82</v>
      </c>
      <c r="Y228" s="6"/>
      <c r="Z228" s="6">
        <f ca="1">('TUSD BE'!$AM$11+'TUSD BF_350'!$AM$11+'TUSD CVA'!$AM$11)*1</f>
        <v>625.67033946440574</v>
      </c>
      <c r="AA228" s="6">
        <f ca="1">('TE BE'!$AB$5+'TE BF_350'!$AB$5+'TE CVA'!$AB$5)*1</f>
        <v>398.01664046087393</v>
      </c>
      <c r="AB228" s="6">
        <f>$K$228*$V$228</f>
        <v>0</v>
      </c>
      <c r="AC228" s="6">
        <f>$M$228*$W$228</f>
        <v>13002.64264</v>
      </c>
      <c r="AD228" s="6">
        <f>$O$228*$X$228</f>
        <v>10977.230159999999</v>
      </c>
      <c r="AE228" s="6">
        <f>$K$228*$Y$228</f>
        <v>0</v>
      </c>
      <c r="AF228" s="6">
        <f ca="1">$M$228*$Z$228</f>
        <v>13632.105356250473</v>
      </c>
      <c r="AG228" s="6">
        <f ca="1">$O$228*$AA$228</f>
        <v>8671.9865623615206</v>
      </c>
    </row>
    <row r="229" spans="1:33" ht="11.25" customHeight="1" x14ac:dyDescent="0.25">
      <c r="A229" s="4" t="s">
        <v>55</v>
      </c>
      <c r="B229" s="4" t="s">
        <v>38</v>
      </c>
      <c r="C229" s="4" t="s">
        <v>39</v>
      </c>
      <c r="D229" s="4" t="s">
        <v>37</v>
      </c>
      <c r="E229" s="4" t="s">
        <v>25</v>
      </c>
      <c r="F229" s="4" t="s">
        <v>25</v>
      </c>
      <c r="G229" s="4" t="s">
        <v>25</v>
      </c>
      <c r="H229" s="4" t="s">
        <v>33</v>
      </c>
      <c r="I229" s="5">
        <v>44713</v>
      </c>
      <c r="J229" s="6">
        <v>0</v>
      </c>
      <c r="K229" s="6">
        <v>0</v>
      </c>
      <c r="L229" s="6">
        <v>10.202</v>
      </c>
      <c r="M229" s="6">
        <v>10.202</v>
      </c>
      <c r="N229" s="6">
        <v>10.202</v>
      </c>
      <c r="O229" s="6">
        <v>10.202</v>
      </c>
      <c r="P229" s="6">
        <v>0</v>
      </c>
      <c r="Q229" s="4" t="s">
        <v>26</v>
      </c>
      <c r="R229" s="4">
        <v>0</v>
      </c>
      <c r="S229" s="6">
        <v>0</v>
      </c>
      <c r="T229" s="6">
        <v>21</v>
      </c>
      <c r="U229" s="6">
        <v>66</v>
      </c>
      <c r="V229" s="6">
        <f>IF(ISERROR(VLOOKUP($S$229,'TAR FIN'!$A$1:$O$86,15,0)),0,VLOOKUP($S$229,'TAR FIN'!$A$1:$O$86,15,0))</f>
        <v>0</v>
      </c>
      <c r="W229" s="6">
        <f>IF(ISERROR(VLOOKUP($T$229,'TAR FIN'!$A$1:$O$86,15,0)),0,VLOOKUP($T$229,'TAR FIN'!$A$1:$O$86,15,0))</f>
        <v>596.78</v>
      </c>
      <c r="X229" s="6">
        <f>IF(ISERROR(VLOOKUP($U$229,'TAR FIN'!$A$1:$O$86,15,0)),0,VLOOKUP($U$229,'TAR FIN'!$A$1:$O$86,15,0))</f>
        <v>503.82</v>
      </c>
      <c r="Y229" s="6"/>
      <c r="Z229" s="6">
        <f ca="1">('TUSD BE'!$AM$11+'TUSD BF_350'!$AM$11+'TUSD CVA'!$AM$11)*1</f>
        <v>625.67033946440574</v>
      </c>
      <c r="AA229" s="6">
        <f ca="1">('TE BE'!$AB$5+'TE BF_350'!$AB$5+'TE CVA'!$AB$5)*1</f>
        <v>398.01664046087393</v>
      </c>
      <c r="AB229" s="6">
        <f>$K$229*$V$229</f>
        <v>0</v>
      </c>
      <c r="AC229" s="6">
        <f>$M$229*$W$229</f>
        <v>6088.3495599999997</v>
      </c>
      <c r="AD229" s="6">
        <f>$O$229*$X$229</f>
        <v>5139.9716399999998</v>
      </c>
      <c r="AE229" s="6">
        <f>$K$229*$Y$229</f>
        <v>0</v>
      </c>
      <c r="AF229" s="6">
        <f ca="1">$M$229*$Z$229</f>
        <v>6383.0888032158673</v>
      </c>
      <c r="AG229" s="6">
        <f ca="1">$O$229*$AA$229</f>
        <v>4060.5657659818357</v>
      </c>
    </row>
    <row r="230" spans="1:33" ht="11.25" customHeight="1" x14ac:dyDescent="0.25">
      <c r="A230" s="4" t="s">
        <v>21</v>
      </c>
      <c r="B230" s="4" t="s">
        <v>38</v>
      </c>
      <c r="C230" s="4" t="s">
        <v>39</v>
      </c>
      <c r="D230" s="4" t="s">
        <v>44</v>
      </c>
      <c r="E230" s="4" t="s">
        <v>25</v>
      </c>
      <c r="F230" s="4" t="s">
        <v>25</v>
      </c>
      <c r="G230" s="4" t="s">
        <v>25</v>
      </c>
      <c r="H230" s="4" t="s">
        <v>34</v>
      </c>
      <c r="I230" s="5">
        <v>44378</v>
      </c>
      <c r="J230" s="6">
        <v>0</v>
      </c>
      <c r="K230" s="6">
        <v>0</v>
      </c>
      <c r="L230" s="6">
        <v>42.008000000000003</v>
      </c>
      <c r="M230" s="6">
        <v>42.008000000000003</v>
      </c>
      <c r="N230" s="6">
        <v>42.008000000000003</v>
      </c>
      <c r="O230" s="6">
        <v>42.008000000000003</v>
      </c>
      <c r="P230" s="6">
        <v>0</v>
      </c>
      <c r="Q230" s="4" t="s">
        <v>26</v>
      </c>
      <c r="R230" s="4">
        <v>0</v>
      </c>
      <c r="S230" s="6">
        <v>0</v>
      </c>
      <c r="T230" s="6">
        <v>17</v>
      </c>
      <c r="U230" s="6">
        <v>78</v>
      </c>
      <c r="V230" s="6">
        <f>IF(ISERROR(VLOOKUP($S$230,'TAR FIN'!$A$1:$O$86,15,0)),0,VLOOKUP($S$230,'TAR FIN'!$A$1:$O$86,15,0))</f>
        <v>0</v>
      </c>
      <c r="W230" s="6">
        <f>IF(ISERROR(VLOOKUP($T$230,'TAR FIN'!$A$1:$O$86,15,0)),0,VLOOKUP($T$230,'TAR FIN'!$A$1:$O$86,15,0))</f>
        <v>71.260000000000005</v>
      </c>
      <c r="X230" s="6">
        <f>IF(ISERROR(VLOOKUP($U$230,'TAR FIN'!$A$1:$O$86,15,0)),0,VLOOKUP($U$230,'TAR FIN'!$A$1:$O$86,15,0))</f>
        <v>297.31</v>
      </c>
      <c r="Y230" s="6"/>
      <c r="Z230" s="6">
        <f ca="1">('TUSD BE'!$AM$12+'TUSD BF_350'!$AM$12+'TUSD CVA'!$AM$12)*1</f>
        <v>95.815448102611441</v>
      </c>
      <c r="AA230" s="6">
        <f ca="1">('TE BE'!$AB$6+'TE BF_350'!$AB$6+'TE CVA'!$AB$6)*1</f>
        <v>235.33989117487977</v>
      </c>
      <c r="AB230" s="6">
        <f>$K$230*$V$230</f>
        <v>0</v>
      </c>
      <c r="AC230" s="6">
        <f>$M$230*$W$230</f>
        <v>2993.4900800000005</v>
      </c>
      <c r="AD230" s="6">
        <f>$O$230*$X$230</f>
        <v>12489.398480000002</v>
      </c>
      <c r="AE230" s="6">
        <f>$K$230*$Y$230</f>
        <v>0</v>
      </c>
      <c r="AF230" s="6">
        <f ca="1">$M$230*$Z$230</f>
        <v>4025.0153438945017</v>
      </c>
      <c r="AG230" s="6">
        <f ca="1">$O$230*$AA$230</f>
        <v>9886.1581484743492</v>
      </c>
    </row>
    <row r="231" spans="1:33" ht="11.25" customHeight="1" x14ac:dyDescent="0.25">
      <c r="A231" s="4" t="s">
        <v>21</v>
      </c>
      <c r="B231" s="4" t="s">
        <v>38</v>
      </c>
      <c r="C231" s="4" t="s">
        <v>39</v>
      </c>
      <c r="D231" s="4" t="s">
        <v>44</v>
      </c>
      <c r="E231" s="4" t="s">
        <v>25</v>
      </c>
      <c r="F231" s="4" t="s">
        <v>25</v>
      </c>
      <c r="G231" s="4" t="s">
        <v>25</v>
      </c>
      <c r="H231" s="4" t="s">
        <v>34</v>
      </c>
      <c r="I231" s="5">
        <v>44409</v>
      </c>
      <c r="J231" s="6">
        <v>0</v>
      </c>
      <c r="K231" s="6">
        <v>0</v>
      </c>
      <c r="L231" s="6">
        <v>36.357999999999997</v>
      </c>
      <c r="M231" s="6">
        <v>36.357999999999997</v>
      </c>
      <c r="N231" s="6">
        <v>36.357999999999997</v>
      </c>
      <c r="O231" s="6">
        <v>36.357999999999997</v>
      </c>
      <c r="P231" s="6">
        <v>0</v>
      </c>
      <c r="Q231" s="4" t="s">
        <v>26</v>
      </c>
      <c r="R231" s="4">
        <v>0</v>
      </c>
      <c r="S231" s="6">
        <v>0</v>
      </c>
      <c r="T231" s="6">
        <v>17</v>
      </c>
      <c r="U231" s="6">
        <v>78</v>
      </c>
      <c r="V231" s="6">
        <f>IF(ISERROR(VLOOKUP($S$231,'TAR FIN'!$A$1:$O$86,15,0)),0,VLOOKUP($S$231,'TAR FIN'!$A$1:$O$86,15,0))</f>
        <v>0</v>
      </c>
      <c r="W231" s="6">
        <f>IF(ISERROR(VLOOKUP($T$231,'TAR FIN'!$A$1:$O$86,15,0)),0,VLOOKUP($T$231,'TAR FIN'!$A$1:$O$86,15,0))</f>
        <v>71.260000000000005</v>
      </c>
      <c r="X231" s="6">
        <f>IF(ISERROR(VLOOKUP($U$231,'TAR FIN'!$A$1:$O$86,15,0)),0,VLOOKUP($U$231,'TAR FIN'!$A$1:$O$86,15,0))</f>
        <v>297.31</v>
      </c>
      <c r="Y231" s="6"/>
      <c r="Z231" s="6">
        <f ca="1">('TUSD BE'!$AM$12+'TUSD BF_350'!$AM$12+'TUSD CVA'!$AM$12)*1</f>
        <v>95.815448102611441</v>
      </c>
      <c r="AA231" s="6">
        <f ca="1">('TE BE'!$AB$6+'TE BF_350'!$AB$6+'TE CVA'!$AB$6)*1</f>
        <v>235.33989117487977</v>
      </c>
      <c r="AB231" s="6">
        <f>$K$231*$V$231</f>
        <v>0</v>
      </c>
      <c r="AC231" s="6">
        <f>$M$231*$W$231</f>
        <v>2590.8710799999999</v>
      </c>
      <c r="AD231" s="6">
        <f>$O$231*$X$231</f>
        <v>10809.596979999998</v>
      </c>
      <c r="AE231" s="6">
        <f>$K$231*$Y$231</f>
        <v>0</v>
      </c>
      <c r="AF231" s="6">
        <f ca="1">$M$231*$Z$231</f>
        <v>3483.6580621147464</v>
      </c>
      <c r="AG231" s="6">
        <f ca="1">$O$231*$AA$231</f>
        <v>8556.4877633362776</v>
      </c>
    </row>
    <row r="232" spans="1:33" ht="11.25" customHeight="1" x14ac:dyDescent="0.25">
      <c r="A232" s="4" t="s">
        <v>21</v>
      </c>
      <c r="B232" s="4" t="s">
        <v>38</v>
      </c>
      <c r="C232" s="4" t="s">
        <v>39</v>
      </c>
      <c r="D232" s="4" t="s">
        <v>44</v>
      </c>
      <c r="E232" s="4" t="s">
        <v>25</v>
      </c>
      <c r="F232" s="4" t="s">
        <v>25</v>
      </c>
      <c r="G232" s="4" t="s">
        <v>25</v>
      </c>
      <c r="H232" s="4" t="s">
        <v>34</v>
      </c>
      <c r="I232" s="5">
        <v>44440</v>
      </c>
      <c r="J232" s="6">
        <v>0</v>
      </c>
      <c r="K232" s="6">
        <v>0</v>
      </c>
      <c r="L232" s="6">
        <v>29.413</v>
      </c>
      <c r="M232" s="6">
        <v>29.413</v>
      </c>
      <c r="N232" s="6">
        <v>29.413</v>
      </c>
      <c r="O232" s="6">
        <v>29.413</v>
      </c>
      <c r="P232" s="6">
        <v>0</v>
      </c>
      <c r="Q232" s="4" t="s">
        <v>26</v>
      </c>
      <c r="R232" s="4">
        <v>0</v>
      </c>
      <c r="S232" s="6">
        <v>0</v>
      </c>
      <c r="T232" s="6">
        <v>17</v>
      </c>
      <c r="U232" s="6">
        <v>78</v>
      </c>
      <c r="V232" s="6">
        <f>IF(ISERROR(VLOOKUP($S$232,'TAR FIN'!$A$1:$O$86,15,0)),0,VLOOKUP($S$232,'TAR FIN'!$A$1:$O$86,15,0))</f>
        <v>0</v>
      </c>
      <c r="W232" s="6">
        <f>IF(ISERROR(VLOOKUP($T$232,'TAR FIN'!$A$1:$O$86,15,0)),0,VLOOKUP($T$232,'TAR FIN'!$A$1:$O$86,15,0))</f>
        <v>71.260000000000005</v>
      </c>
      <c r="X232" s="6">
        <f>IF(ISERROR(VLOOKUP($U$232,'TAR FIN'!$A$1:$O$86,15,0)),0,VLOOKUP($U$232,'TAR FIN'!$A$1:$O$86,15,0))</f>
        <v>297.31</v>
      </c>
      <c r="Y232" s="6"/>
      <c r="Z232" s="6">
        <f ca="1">('TUSD BE'!$AM$12+'TUSD BF_350'!$AM$12+'TUSD CVA'!$AM$12)*1</f>
        <v>95.815448102611441</v>
      </c>
      <c r="AA232" s="6">
        <f ca="1">('TE BE'!$AB$6+'TE BF_350'!$AB$6+'TE CVA'!$AB$6)*1</f>
        <v>235.33989117487977</v>
      </c>
      <c r="AB232" s="6">
        <f>$K$232*$V$232</f>
        <v>0</v>
      </c>
      <c r="AC232" s="6">
        <f>$M$232*$W$232</f>
        <v>2095.9703800000002</v>
      </c>
      <c r="AD232" s="6">
        <f>$O$232*$X$232</f>
        <v>8744.7790299999997</v>
      </c>
      <c r="AE232" s="6">
        <f>$K$232*$Y$232</f>
        <v>0</v>
      </c>
      <c r="AF232" s="6">
        <f ca="1">$M$232*$Z$232</f>
        <v>2818.2197750421105</v>
      </c>
      <c r="AG232" s="6">
        <f ca="1">$O$232*$AA$232</f>
        <v>6922.0522191267382</v>
      </c>
    </row>
    <row r="233" spans="1:33" ht="11.25" customHeight="1" x14ac:dyDescent="0.25">
      <c r="A233" s="4" t="s">
        <v>21</v>
      </c>
      <c r="B233" s="4" t="s">
        <v>38</v>
      </c>
      <c r="C233" s="4" t="s">
        <v>39</v>
      </c>
      <c r="D233" s="4" t="s">
        <v>44</v>
      </c>
      <c r="E233" s="4" t="s">
        <v>25</v>
      </c>
      <c r="F233" s="4" t="s">
        <v>25</v>
      </c>
      <c r="G233" s="4" t="s">
        <v>25</v>
      </c>
      <c r="H233" s="4" t="s">
        <v>34</v>
      </c>
      <c r="I233" s="5">
        <v>44470</v>
      </c>
      <c r="J233" s="6">
        <v>0</v>
      </c>
      <c r="K233" s="6">
        <v>0</v>
      </c>
      <c r="L233" s="6">
        <v>30.995999999999999</v>
      </c>
      <c r="M233" s="6">
        <v>30.995999999999999</v>
      </c>
      <c r="N233" s="6">
        <v>30.995999999999999</v>
      </c>
      <c r="O233" s="6">
        <v>30.995999999999999</v>
      </c>
      <c r="P233" s="6">
        <v>0</v>
      </c>
      <c r="Q233" s="4" t="s">
        <v>26</v>
      </c>
      <c r="R233" s="4">
        <v>0</v>
      </c>
      <c r="S233" s="6">
        <v>0</v>
      </c>
      <c r="T233" s="6">
        <v>17</v>
      </c>
      <c r="U233" s="6">
        <v>78</v>
      </c>
      <c r="V233" s="6">
        <f>IF(ISERROR(VLOOKUP($S$233,'TAR FIN'!$A$1:$O$86,15,0)),0,VLOOKUP($S$233,'TAR FIN'!$A$1:$O$86,15,0))</f>
        <v>0</v>
      </c>
      <c r="W233" s="6">
        <f>IF(ISERROR(VLOOKUP($T$233,'TAR FIN'!$A$1:$O$86,15,0)),0,VLOOKUP($T$233,'TAR FIN'!$A$1:$O$86,15,0))</f>
        <v>71.260000000000005</v>
      </c>
      <c r="X233" s="6">
        <f>IF(ISERROR(VLOOKUP($U$233,'TAR FIN'!$A$1:$O$86,15,0)),0,VLOOKUP($U$233,'TAR FIN'!$A$1:$O$86,15,0))</f>
        <v>297.31</v>
      </c>
      <c r="Y233" s="6"/>
      <c r="Z233" s="6">
        <f ca="1">('TUSD BE'!$AM$12+'TUSD BF_350'!$AM$12+'TUSD CVA'!$AM$12)*1</f>
        <v>95.815448102611441</v>
      </c>
      <c r="AA233" s="6">
        <f ca="1">('TE BE'!$AB$6+'TE BF_350'!$AB$6+'TE CVA'!$AB$6)*1</f>
        <v>235.33989117487977</v>
      </c>
      <c r="AB233" s="6">
        <f>$K$233*$V$233</f>
        <v>0</v>
      </c>
      <c r="AC233" s="6">
        <f>$M$233*$W$233</f>
        <v>2208.7749600000002</v>
      </c>
      <c r="AD233" s="6">
        <f>$O$233*$X$233</f>
        <v>9215.4207599999991</v>
      </c>
      <c r="AE233" s="6">
        <f>$K$233*$Y$233</f>
        <v>0</v>
      </c>
      <c r="AF233" s="6">
        <f ca="1">$M$233*$Z$233</f>
        <v>2969.895629388544</v>
      </c>
      <c r="AG233" s="6">
        <f ca="1">$O$233*$AA$233</f>
        <v>7294.5952668565733</v>
      </c>
    </row>
    <row r="234" spans="1:33" ht="11.25" customHeight="1" x14ac:dyDescent="0.25">
      <c r="A234" s="4" t="s">
        <v>21</v>
      </c>
      <c r="B234" s="4" t="s">
        <v>38</v>
      </c>
      <c r="C234" s="4" t="s">
        <v>39</v>
      </c>
      <c r="D234" s="4" t="s">
        <v>44</v>
      </c>
      <c r="E234" s="4" t="s">
        <v>25</v>
      </c>
      <c r="F234" s="4" t="s">
        <v>25</v>
      </c>
      <c r="G234" s="4" t="s">
        <v>25</v>
      </c>
      <c r="H234" s="4" t="s">
        <v>34</v>
      </c>
      <c r="I234" s="5">
        <v>44501</v>
      </c>
      <c r="J234" s="6">
        <v>0</v>
      </c>
      <c r="K234" s="6">
        <v>0</v>
      </c>
      <c r="L234" s="6">
        <v>44.531999999999996</v>
      </c>
      <c r="M234" s="6">
        <v>44.531999999999996</v>
      </c>
      <c r="N234" s="6">
        <v>44.531999999999996</v>
      </c>
      <c r="O234" s="6">
        <v>44.531999999999996</v>
      </c>
      <c r="P234" s="6">
        <v>0</v>
      </c>
      <c r="Q234" s="4" t="s">
        <v>26</v>
      </c>
      <c r="R234" s="4">
        <v>0</v>
      </c>
      <c r="S234" s="6">
        <v>0</v>
      </c>
      <c r="T234" s="6">
        <v>17</v>
      </c>
      <c r="U234" s="6">
        <v>78</v>
      </c>
      <c r="V234" s="6">
        <f>IF(ISERROR(VLOOKUP($S$234,'TAR FIN'!$A$1:$O$86,15,0)),0,VLOOKUP($S$234,'TAR FIN'!$A$1:$O$86,15,0))</f>
        <v>0</v>
      </c>
      <c r="W234" s="6">
        <f>IF(ISERROR(VLOOKUP($T$234,'TAR FIN'!$A$1:$O$86,15,0)),0,VLOOKUP($T$234,'TAR FIN'!$A$1:$O$86,15,0))</f>
        <v>71.260000000000005</v>
      </c>
      <c r="X234" s="6">
        <f>IF(ISERROR(VLOOKUP($U$234,'TAR FIN'!$A$1:$O$86,15,0)),0,VLOOKUP($U$234,'TAR FIN'!$A$1:$O$86,15,0))</f>
        <v>297.31</v>
      </c>
      <c r="Y234" s="6"/>
      <c r="Z234" s="6">
        <f ca="1">('TUSD BE'!$AM$12+'TUSD BF_350'!$AM$12+'TUSD CVA'!$AM$12)*1</f>
        <v>95.815448102611441</v>
      </c>
      <c r="AA234" s="6">
        <f ca="1">('TE BE'!$AB$6+'TE BF_350'!$AB$6+'TE CVA'!$AB$6)*1</f>
        <v>235.33989117487977</v>
      </c>
      <c r="AB234" s="6">
        <f>$K$234*$V$234</f>
        <v>0</v>
      </c>
      <c r="AC234" s="6">
        <f>$M$234*$W$234</f>
        <v>3173.35032</v>
      </c>
      <c r="AD234" s="6">
        <f>$O$234*$X$234</f>
        <v>13239.808919999999</v>
      </c>
      <c r="AE234" s="6">
        <f>$K$234*$Y$234</f>
        <v>0</v>
      </c>
      <c r="AF234" s="6">
        <f ca="1">$M$234*$Z$234</f>
        <v>4266.8535349054928</v>
      </c>
      <c r="AG234" s="6">
        <f ca="1">$O$234*$AA$234</f>
        <v>10480.156033799745</v>
      </c>
    </row>
    <row r="235" spans="1:33" ht="11.25" customHeight="1" x14ac:dyDescent="0.25">
      <c r="A235" s="4" t="s">
        <v>21</v>
      </c>
      <c r="B235" s="4" t="s">
        <v>38</v>
      </c>
      <c r="C235" s="4" t="s">
        <v>39</v>
      </c>
      <c r="D235" s="4" t="s">
        <v>44</v>
      </c>
      <c r="E235" s="4" t="s">
        <v>25</v>
      </c>
      <c r="F235" s="4" t="s">
        <v>25</v>
      </c>
      <c r="G235" s="4" t="s">
        <v>25</v>
      </c>
      <c r="H235" s="4" t="s">
        <v>34</v>
      </c>
      <c r="I235" s="5">
        <v>44531</v>
      </c>
      <c r="J235" s="6">
        <v>0</v>
      </c>
      <c r="K235" s="6">
        <v>0</v>
      </c>
      <c r="L235" s="6">
        <v>64.831000000000003</v>
      </c>
      <c r="M235" s="6">
        <v>64.831000000000003</v>
      </c>
      <c r="N235" s="6">
        <v>64.831000000000003</v>
      </c>
      <c r="O235" s="6">
        <v>64.831000000000003</v>
      </c>
      <c r="P235" s="6">
        <v>0</v>
      </c>
      <c r="Q235" s="4" t="s">
        <v>26</v>
      </c>
      <c r="R235" s="4">
        <v>0</v>
      </c>
      <c r="S235" s="6">
        <v>0</v>
      </c>
      <c r="T235" s="6">
        <v>17</v>
      </c>
      <c r="U235" s="6">
        <v>78</v>
      </c>
      <c r="V235" s="6">
        <f>IF(ISERROR(VLOOKUP($S$235,'TAR FIN'!$A$1:$O$86,15,0)),0,VLOOKUP($S$235,'TAR FIN'!$A$1:$O$86,15,0))</f>
        <v>0</v>
      </c>
      <c r="W235" s="6">
        <f>IF(ISERROR(VLOOKUP($T$235,'TAR FIN'!$A$1:$O$86,15,0)),0,VLOOKUP($T$235,'TAR FIN'!$A$1:$O$86,15,0))</f>
        <v>71.260000000000005</v>
      </c>
      <c r="X235" s="6">
        <f>IF(ISERROR(VLOOKUP($U$235,'TAR FIN'!$A$1:$O$86,15,0)),0,VLOOKUP($U$235,'TAR FIN'!$A$1:$O$86,15,0))</f>
        <v>297.31</v>
      </c>
      <c r="Y235" s="6"/>
      <c r="Z235" s="6">
        <f ca="1">('TUSD BE'!$AM$12+'TUSD BF_350'!$AM$12+'TUSD CVA'!$AM$12)*1</f>
        <v>95.815448102611441</v>
      </c>
      <c r="AA235" s="6">
        <f ca="1">('TE BE'!$AB$6+'TE BF_350'!$AB$6+'TE CVA'!$AB$6)*1</f>
        <v>235.33989117487977</v>
      </c>
      <c r="AB235" s="6">
        <f>$K$235*$V$235</f>
        <v>0</v>
      </c>
      <c r="AC235" s="6">
        <f>$M$235*$W$235</f>
        <v>4619.8570600000003</v>
      </c>
      <c r="AD235" s="6">
        <f>$O$235*$X$235</f>
        <v>19274.904610000001</v>
      </c>
      <c r="AE235" s="6">
        <f>$K$235*$Y$235</f>
        <v>0</v>
      </c>
      <c r="AF235" s="6">
        <f ca="1">$M$235*$Z$235</f>
        <v>6211.8113159404029</v>
      </c>
      <c r="AG235" s="6">
        <f ca="1">$O$235*$AA$235</f>
        <v>15257.320484758631</v>
      </c>
    </row>
    <row r="236" spans="1:33" ht="11.25" customHeight="1" x14ac:dyDescent="0.25">
      <c r="A236" s="4" t="s">
        <v>21</v>
      </c>
      <c r="B236" s="4" t="s">
        <v>38</v>
      </c>
      <c r="C236" s="4" t="s">
        <v>39</v>
      </c>
      <c r="D236" s="4" t="s">
        <v>44</v>
      </c>
      <c r="E236" s="4" t="s">
        <v>25</v>
      </c>
      <c r="F236" s="4" t="s">
        <v>25</v>
      </c>
      <c r="G236" s="4" t="s">
        <v>25</v>
      </c>
      <c r="H236" s="4" t="s">
        <v>34</v>
      </c>
      <c r="I236" s="5">
        <v>44562</v>
      </c>
      <c r="J236" s="6">
        <v>0</v>
      </c>
      <c r="K236" s="6">
        <v>0</v>
      </c>
      <c r="L236" s="6">
        <v>64.921000000000006</v>
      </c>
      <c r="M236" s="6">
        <v>64.921000000000006</v>
      </c>
      <c r="N236" s="6">
        <v>64.921000000000006</v>
      </c>
      <c r="O236" s="6">
        <v>64.921000000000006</v>
      </c>
      <c r="P236" s="6">
        <v>0</v>
      </c>
      <c r="Q236" s="4" t="s">
        <v>26</v>
      </c>
      <c r="R236" s="4">
        <v>0</v>
      </c>
      <c r="S236" s="6">
        <v>0</v>
      </c>
      <c r="T236" s="6">
        <v>17</v>
      </c>
      <c r="U236" s="6">
        <v>78</v>
      </c>
      <c r="V236" s="6">
        <f>IF(ISERROR(VLOOKUP($S$236,'TAR FIN'!$A$1:$O$86,15,0)),0,VLOOKUP($S$236,'TAR FIN'!$A$1:$O$86,15,0))</f>
        <v>0</v>
      </c>
      <c r="W236" s="6">
        <f>IF(ISERROR(VLOOKUP($T$236,'TAR FIN'!$A$1:$O$86,15,0)),0,VLOOKUP($T$236,'TAR FIN'!$A$1:$O$86,15,0))</f>
        <v>71.260000000000005</v>
      </c>
      <c r="X236" s="6">
        <f>IF(ISERROR(VLOOKUP($U$236,'TAR FIN'!$A$1:$O$86,15,0)),0,VLOOKUP($U$236,'TAR FIN'!$A$1:$O$86,15,0))</f>
        <v>297.31</v>
      </c>
      <c r="Y236" s="6"/>
      <c r="Z236" s="6">
        <f ca="1">('TUSD BE'!$AM$12+'TUSD BF_350'!$AM$12+'TUSD CVA'!$AM$12)*1</f>
        <v>95.815448102611441</v>
      </c>
      <c r="AA236" s="6">
        <f ca="1">('TE BE'!$AB$6+'TE BF_350'!$AB$6+'TE CVA'!$AB$6)*1</f>
        <v>235.33989117487977</v>
      </c>
      <c r="AB236" s="6">
        <f>$K$236*$V$236</f>
        <v>0</v>
      </c>
      <c r="AC236" s="6">
        <f>$M$236*$W$236</f>
        <v>4626.2704600000006</v>
      </c>
      <c r="AD236" s="6">
        <f>$O$236*$X$236</f>
        <v>19301.662510000002</v>
      </c>
      <c r="AE236" s="6">
        <f>$K$236*$Y$236</f>
        <v>0</v>
      </c>
      <c r="AF236" s="6">
        <f ca="1">$M$236*$Z$236</f>
        <v>6220.4347062696379</v>
      </c>
      <c r="AG236" s="6">
        <f ca="1">$O$236*$AA$236</f>
        <v>15278.501074964372</v>
      </c>
    </row>
    <row r="237" spans="1:33" ht="11.25" customHeight="1" x14ac:dyDescent="0.25">
      <c r="A237" s="4" t="s">
        <v>21</v>
      </c>
      <c r="B237" s="4" t="s">
        <v>38</v>
      </c>
      <c r="C237" s="4" t="s">
        <v>39</v>
      </c>
      <c r="D237" s="4" t="s">
        <v>44</v>
      </c>
      <c r="E237" s="4" t="s">
        <v>25</v>
      </c>
      <c r="F237" s="4" t="s">
        <v>25</v>
      </c>
      <c r="G237" s="4" t="s">
        <v>25</v>
      </c>
      <c r="H237" s="4" t="s">
        <v>34</v>
      </c>
      <c r="I237" s="5">
        <v>44593</v>
      </c>
      <c r="J237" s="6">
        <v>0</v>
      </c>
      <c r="K237" s="6">
        <v>0</v>
      </c>
      <c r="L237" s="6">
        <v>68.201999999999998</v>
      </c>
      <c r="M237" s="6">
        <v>68.201999999999998</v>
      </c>
      <c r="N237" s="6">
        <v>68.201999999999998</v>
      </c>
      <c r="O237" s="6">
        <v>68.201999999999998</v>
      </c>
      <c r="P237" s="6">
        <v>0</v>
      </c>
      <c r="Q237" s="4" t="s">
        <v>26</v>
      </c>
      <c r="R237" s="4">
        <v>0</v>
      </c>
      <c r="S237" s="6">
        <v>0</v>
      </c>
      <c r="T237" s="6">
        <v>17</v>
      </c>
      <c r="U237" s="6">
        <v>78</v>
      </c>
      <c r="V237" s="6">
        <f>IF(ISERROR(VLOOKUP($S$237,'TAR FIN'!$A$1:$O$86,15,0)),0,VLOOKUP($S$237,'TAR FIN'!$A$1:$O$86,15,0))</f>
        <v>0</v>
      </c>
      <c r="W237" s="6">
        <f>IF(ISERROR(VLOOKUP($T$237,'TAR FIN'!$A$1:$O$86,15,0)),0,VLOOKUP($T$237,'TAR FIN'!$A$1:$O$86,15,0))</f>
        <v>71.260000000000005</v>
      </c>
      <c r="X237" s="6">
        <f>IF(ISERROR(VLOOKUP($U$237,'TAR FIN'!$A$1:$O$86,15,0)),0,VLOOKUP($U$237,'TAR FIN'!$A$1:$O$86,15,0))</f>
        <v>297.31</v>
      </c>
      <c r="Y237" s="6"/>
      <c r="Z237" s="6">
        <f ca="1">('TUSD BE'!$AM$12+'TUSD BF_350'!$AM$12+'TUSD CVA'!$AM$12)*1</f>
        <v>95.815448102611441</v>
      </c>
      <c r="AA237" s="6">
        <f ca="1">('TE BE'!$AB$6+'TE BF_350'!$AB$6+'TE CVA'!$AB$6)*1</f>
        <v>235.33989117487977</v>
      </c>
      <c r="AB237" s="6">
        <f>$K$237*$V$237</f>
        <v>0</v>
      </c>
      <c r="AC237" s="6">
        <f>$M$237*$W$237</f>
        <v>4860.0745200000001</v>
      </c>
      <c r="AD237" s="6">
        <f>$O$237*$X$237</f>
        <v>20277.136620000001</v>
      </c>
      <c r="AE237" s="6">
        <f>$K$237*$Y$237</f>
        <v>0</v>
      </c>
      <c r="AF237" s="6">
        <f ca="1">$M$237*$Z$237</f>
        <v>6534.8051914943053</v>
      </c>
      <c r="AG237" s="6">
        <f ca="1">$O$237*$AA$237</f>
        <v>16050.651257909149</v>
      </c>
    </row>
    <row r="238" spans="1:33" ht="11.25" customHeight="1" x14ac:dyDescent="0.25">
      <c r="A238" s="4" t="s">
        <v>21</v>
      </c>
      <c r="B238" s="4" t="s">
        <v>38</v>
      </c>
      <c r="C238" s="4" t="s">
        <v>39</v>
      </c>
      <c r="D238" s="4" t="s">
        <v>44</v>
      </c>
      <c r="E238" s="4" t="s">
        <v>25</v>
      </c>
      <c r="F238" s="4" t="s">
        <v>25</v>
      </c>
      <c r="G238" s="4" t="s">
        <v>25</v>
      </c>
      <c r="H238" s="4" t="s">
        <v>34</v>
      </c>
      <c r="I238" s="5">
        <v>44621</v>
      </c>
      <c r="J238" s="6">
        <v>0</v>
      </c>
      <c r="K238" s="6">
        <v>0</v>
      </c>
      <c r="L238" s="6">
        <v>71.442999999999998</v>
      </c>
      <c r="M238" s="6">
        <v>71.442999999999998</v>
      </c>
      <c r="N238" s="6">
        <v>71.442999999999998</v>
      </c>
      <c r="O238" s="6">
        <v>71.442999999999998</v>
      </c>
      <c r="P238" s="6">
        <v>0</v>
      </c>
      <c r="Q238" s="4" t="s">
        <v>26</v>
      </c>
      <c r="R238" s="4">
        <v>0</v>
      </c>
      <c r="S238" s="6">
        <v>0</v>
      </c>
      <c r="T238" s="6">
        <v>17</v>
      </c>
      <c r="U238" s="6">
        <v>78</v>
      </c>
      <c r="V238" s="6">
        <f>IF(ISERROR(VLOOKUP($S$238,'TAR FIN'!$A$1:$O$86,15,0)),0,VLOOKUP($S$238,'TAR FIN'!$A$1:$O$86,15,0))</f>
        <v>0</v>
      </c>
      <c r="W238" s="6">
        <f>IF(ISERROR(VLOOKUP($T$238,'TAR FIN'!$A$1:$O$86,15,0)),0,VLOOKUP($T$238,'TAR FIN'!$A$1:$O$86,15,0))</f>
        <v>71.260000000000005</v>
      </c>
      <c r="X238" s="6">
        <f>IF(ISERROR(VLOOKUP($U$238,'TAR FIN'!$A$1:$O$86,15,0)),0,VLOOKUP($U$238,'TAR FIN'!$A$1:$O$86,15,0))</f>
        <v>297.31</v>
      </c>
      <c r="Y238" s="6"/>
      <c r="Z238" s="6">
        <f ca="1">('TUSD BE'!$AM$12+'TUSD BF_350'!$AM$12+'TUSD CVA'!$AM$12)*1</f>
        <v>95.815448102611441</v>
      </c>
      <c r="AA238" s="6">
        <f ca="1">('TE BE'!$AB$6+'TE BF_350'!$AB$6+'TE CVA'!$AB$6)*1</f>
        <v>235.33989117487977</v>
      </c>
      <c r="AB238" s="6">
        <f>$K$238*$V$238</f>
        <v>0</v>
      </c>
      <c r="AC238" s="6">
        <f>$M$238*$W$238</f>
        <v>5091.0281800000002</v>
      </c>
      <c r="AD238" s="6">
        <f>$O$238*$X$238</f>
        <v>21240.71833</v>
      </c>
      <c r="AE238" s="6">
        <f>$K$238*$Y$238</f>
        <v>0</v>
      </c>
      <c r="AF238" s="6">
        <f ca="1">$M$238*$Z$238</f>
        <v>6845.3430587948687</v>
      </c>
      <c r="AG238" s="6">
        <f ca="1">$O$238*$AA$238</f>
        <v>16813.387845206933</v>
      </c>
    </row>
    <row r="239" spans="1:33" ht="11.25" customHeight="1" x14ac:dyDescent="0.25">
      <c r="A239" s="4" t="s">
        <v>21</v>
      </c>
      <c r="B239" s="4" t="s">
        <v>38</v>
      </c>
      <c r="C239" s="4" t="s">
        <v>39</v>
      </c>
      <c r="D239" s="4" t="s">
        <v>44</v>
      </c>
      <c r="E239" s="4" t="s">
        <v>25</v>
      </c>
      <c r="F239" s="4" t="s">
        <v>25</v>
      </c>
      <c r="G239" s="4" t="s">
        <v>25</v>
      </c>
      <c r="H239" s="4" t="s">
        <v>34</v>
      </c>
      <c r="I239" s="5">
        <v>44652</v>
      </c>
      <c r="J239" s="6">
        <v>0</v>
      </c>
      <c r="K239" s="6">
        <v>0</v>
      </c>
      <c r="L239" s="6">
        <v>46.636000000000003</v>
      </c>
      <c r="M239" s="6">
        <v>46.636000000000003</v>
      </c>
      <c r="N239" s="6">
        <v>46.636000000000003</v>
      </c>
      <c r="O239" s="6">
        <v>46.636000000000003</v>
      </c>
      <c r="P239" s="6">
        <v>0</v>
      </c>
      <c r="Q239" s="4" t="s">
        <v>26</v>
      </c>
      <c r="R239" s="4">
        <v>0</v>
      </c>
      <c r="S239" s="6">
        <v>0</v>
      </c>
      <c r="T239" s="6">
        <v>17</v>
      </c>
      <c r="U239" s="6">
        <v>78</v>
      </c>
      <c r="V239" s="6">
        <f>IF(ISERROR(VLOOKUP($S$239,'TAR FIN'!$A$1:$O$86,15,0)),0,VLOOKUP($S$239,'TAR FIN'!$A$1:$O$86,15,0))</f>
        <v>0</v>
      </c>
      <c r="W239" s="6">
        <f>IF(ISERROR(VLOOKUP($T$239,'TAR FIN'!$A$1:$O$86,15,0)),0,VLOOKUP($T$239,'TAR FIN'!$A$1:$O$86,15,0))</f>
        <v>71.260000000000005</v>
      </c>
      <c r="X239" s="6">
        <f>IF(ISERROR(VLOOKUP($U$239,'TAR FIN'!$A$1:$O$86,15,0)),0,VLOOKUP($U$239,'TAR FIN'!$A$1:$O$86,15,0))</f>
        <v>297.31</v>
      </c>
      <c r="Y239" s="6"/>
      <c r="Z239" s="6">
        <f ca="1">('TUSD BE'!$AM$12+'TUSD BF_350'!$AM$12+'TUSD CVA'!$AM$12)*1</f>
        <v>95.815448102611441</v>
      </c>
      <c r="AA239" s="6">
        <f ca="1">('TE BE'!$AB$6+'TE BF_350'!$AB$6+'TE CVA'!$AB$6)*1</f>
        <v>235.33989117487977</v>
      </c>
      <c r="AB239" s="6">
        <f>$K$239*$V$239</f>
        <v>0</v>
      </c>
      <c r="AC239" s="6">
        <f>$M$239*$W$239</f>
        <v>3323.2813600000004</v>
      </c>
      <c r="AD239" s="6">
        <f>$O$239*$X$239</f>
        <v>13865.349160000002</v>
      </c>
      <c r="AE239" s="6">
        <f>$K$239*$Y$239</f>
        <v>0</v>
      </c>
      <c r="AF239" s="6">
        <f ca="1">$M$239*$Z$239</f>
        <v>4468.4492377133874</v>
      </c>
      <c r="AG239" s="6">
        <f ca="1">$O$239*$AA$239</f>
        <v>10975.311164831694</v>
      </c>
    </row>
    <row r="240" spans="1:33" ht="11.25" customHeight="1" x14ac:dyDescent="0.25">
      <c r="A240" s="4" t="s">
        <v>21</v>
      </c>
      <c r="B240" s="4" t="s">
        <v>38</v>
      </c>
      <c r="C240" s="4" t="s">
        <v>39</v>
      </c>
      <c r="D240" s="4" t="s">
        <v>44</v>
      </c>
      <c r="E240" s="4" t="s">
        <v>25</v>
      </c>
      <c r="F240" s="4" t="s">
        <v>25</v>
      </c>
      <c r="G240" s="4" t="s">
        <v>25</v>
      </c>
      <c r="H240" s="4" t="s">
        <v>34</v>
      </c>
      <c r="I240" s="5">
        <v>44682</v>
      </c>
      <c r="J240" s="6">
        <v>0</v>
      </c>
      <c r="K240" s="6">
        <v>0</v>
      </c>
      <c r="L240" s="6">
        <v>61.941000000000003</v>
      </c>
      <c r="M240" s="6">
        <v>61.941000000000003</v>
      </c>
      <c r="N240" s="6">
        <v>61.941000000000003</v>
      </c>
      <c r="O240" s="6">
        <v>61.941000000000003</v>
      </c>
      <c r="P240" s="6">
        <v>0</v>
      </c>
      <c r="Q240" s="4" t="s">
        <v>26</v>
      </c>
      <c r="R240" s="4">
        <v>0</v>
      </c>
      <c r="S240" s="6">
        <v>0</v>
      </c>
      <c r="T240" s="6">
        <v>17</v>
      </c>
      <c r="U240" s="6">
        <v>78</v>
      </c>
      <c r="V240" s="6">
        <f>IF(ISERROR(VLOOKUP($S$240,'TAR FIN'!$A$1:$O$86,15,0)),0,VLOOKUP($S$240,'TAR FIN'!$A$1:$O$86,15,0))</f>
        <v>0</v>
      </c>
      <c r="W240" s="6">
        <f>IF(ISERROR(VLOOKUP($T$240,'TAR FIN'!$A$1:$O$86,15,0)),0,VLOOKUP($T$240,'TAR FIN'!$A$1:$O$86,15,0))</f>
        <v>71.260000000000005</v>
      </c>
      <c r="X240" s="6">
        <f>IF(ISERROR(VLOOKUP($U$240,'TAR FIN'!$A$1:$O$86,15,0)),0,VLOOKUP($U$240,'TAR FIN'!$A$1:$O$86,15,0))</f>
        <v>297.31</v>
      </c>
      <c r="Y240" s="6"/>
      <c r="Z240" s="6">
        <f ca="1">('TUSD BE'!$AM$12+'TUSD BF_350'!$AM$12+'TUSD CVA'!$AM$12)*1</f>
        <v>95.815448102611441</v>
      </c>
      <c r="AA240" s="6">
        <f ca="1">('TE BE'!$AB$6+'TE BF_350'!$AB$6+'TE CVA'!$AB$6)*1</f>
        <v>235.33989117487977</v>
      </c>
      <c r="AB240" s="6">
        <f>$K$240*$V$240</f>
        <v>0</v>
      </c>
      <c r="AC240" s="6">
        <f>$M$240*$W$240</f>
        <v>4413.9156600000006</v>
      </c>
      <c r="AD240" s="6">
        <f>$O$240*$X$240</f>
        <v>18415.67871</v>
      </c>
      <c r="AE240" s="6">
        <f>$K$240*$Y$240</f>
        <v>0</v>
      </c>
      <c r="AF240" s="6">
        <f ca="1">$M$240*$Z$240</f>
        <v>5934.9046709238555</v>
      </c>
      <c r="AG240" s="6">
        <f ca="1">$O$240*$AA$240</f>
        <v>14577.188199263228</v>
      </c>
    </row>
    <row r="241" spans="1:33" ht="11.25" customHeight="1" x14ac:dyDescent="0.25">
      <c r="A241" s="4" t="s">
        <v>55</v>
      </c>
      <c r="B241" s="4" t="s">
        <v>38</v>
      </c>
      <c r="C241" s="4" t="s">
        <v>39</v>
      </c>
      <c r="D241" s="4" t="s">
        <v>44</v>
      </c>
      <c r="E241" s="4" t="s">
        <v>25</v>
      </c>
      <c r="F241" s="4" t="s">
        <v>25</v>
      </c>
      <c r="G241" s="4" t="s">
        <v>25</v>
      </c>
      <c r="H241" s="4" t="s">
        <v>34</v>
      </c>
      <c r="I241" s="5">
        <v>44713</v>
      </c>
      <c r="J241" s="6">
        <v>0</v>
      </c>
      <c r="K241" s="6">
        <v>0</v>
      </c>
      <c r="L241" s="6">
        <v>61.941000000000003</v>
      </c>
      <c r="M241" s="6">
        <v>61.941000000000003</v>
      </c>
      <c r="N241" s="6">
        <v>61.941000000000003</v>
      </c>
      <c r="O241" s="6">
        <v>61.941000000000003</v>
      </c>
      <c r="P241" s="6">
        <v>0</v>
      </c>
      <c r="Q241" s="4" t="s">
        <v>26</v>
      </c>
      <c r="R241" s="4">
        <v>0</v>
      </c>
      <c r="S241" s="6">
        <v>0</v>
      </c>
      <c r="T241" s="6">
        <v>17</v>
      </c>
      <c r="U241" s="6">
        <v>78</v>
      </c>
      <c r="V241" s="6">
        <f>IF(ISERROR(VLOOKUP($S$241,'TAR FIN'!$A$1:$O$86,15,0)),0,VLOOKUP($S$241,'TAR FIN'!$A$1:$O$86,15,0))</f>
        <v>0</v>
      </c>
      <c r="W241" s="6">
        <f>IF(ISERROR(VLOOKUP($T$241,'TAR FIN'!$A$1:$O$86,15,0)),0,VLOOKUP($T$241,'TAR FIN'!$A$1:$O$86,15,0))</f>
        <v>71.260000000000005</v>
      </c>
      <c r="X241" s="6">
        <f>IF(ISERROR(VLOOKUP($U$241,'TAR FIN'!$A$1:$O$86,15,0)),0,VLOOKUP($U$241,'TAR FIN'!$A$1:$O$86,15,0))</f>
        <v>297.31</v>
      </c>
      <c r="Y241" s="6"/>
      <c r="Z241" s="6">
        <f ca="1">('TUSD BE'!$AM$12+'TUSD BF_350'!$AM$12+'TUSD CVA'!$AM$12)*1</f>
        <v>95.815448102611441</v>
      </c>
      <c r="AA241" s="6">
        <f ca="1">('TE BE'!$AB$6+'TE BF_350'!$AB$6+'TE CVA'!$AB$6)*1</f>
        <v>235.33989117487977</v>
      </c>
      <c r="AB241" s="6">
        <f>$K$241*$V$241</f>
        <v>0</v>
      </c>
      <c r="AC241" s="6">
        <f>$M$241*$W$241</f>
        <v>4413.9156600000006</v>
      </c>
      <c r="AD241" s="6">
        <f>$O$241*$X$241</f>
        <v>18415.67871</v>
      </c>
      <c r="AE241" s="6">
        <f>$K$241*$Y$241</f>
        <v>0</v>
      </c>
      <c r="AF241" s="6">
        <f ca="1">$M$241*$Z$241</f>
        <v>5934.9046709238555</v>
      </c>
      <c r="AG241" s="6">
        <f ca="1">$O$241*$AA$241</f>
        <v>14577.188199263228</v>
      </c>
    </row>
    <row r="242" spans="1:33" ht="11.25" customHeight="1" x14ac:dyDescent="0.25">
      <c r="A242" s="4" t="s">
        <v>21</v>
      </c>
      <c r="B242" s="4" t="s">
        <v>38</v>
      </c>
      <c r="C242" s="4" t="s">
        <v>39</v>
      </c>
      <c r="D242" s="4" t="s">
        <v>44</v>
      </c>
      <c r="E242" s="4" t="s">
        <v>25</v>
      </c>
      <c r="F242" s="4" t="s">
        <v>25</v>
      </c>
      <c r="G242" s="4" t="s">
        <v>25</v>
      </c>
      <c r="H242" s="4" t="s">
        <v>25</v>
      </c>
      <c r="I242" s="5">
        <v>44378</v>
      </c>
      <c r="J242" s="6">
        <v>485</v>
      </c>
      <c r="K242" s="6">
        <v>485</v>
      </c>
      <c r="L242" s="6">
        <v>0</v>
      </c>
      <c r="M242" s="6">
        <v>0</v>
      </c>
      <c r="N242" s="6">
        <v>0</v>
      </c>
      <c r="O242" s="6">
        <v>0</v>
      </c>
      <c r="P242" s="6">
        <v>8</v>
      </c>
      <c r="Q242" s="4" t="s">
        <v>26</v>
      </c>
      <c r="R242" s="4">
        <v>0</v>
      </c>
      <c r="S242" s="6">
        <v>19</v>
      </c>
      <c r="T242" s="6">
        <v>0</v>
      </c>
      <c r="U242" s="6">
        <v>0</v>
      </c>
      <c r="V242" s="6">
        <f>IF(ISERROR(VLOOKUP($S$242,'TAR FIN'!$A$1:$O$86,15,0)),0,VLOOKUP($S$242,'TAR FIN'!$A$1:$O$86,15,0))</f>
        <v>16.29</v>
      </c>
      <c r="W242" s="6">
        <f>IF(ISERROR(VLOOKUP($T$242,'TAR FIN'!$A$1:$O$86,15,0)),0,VLOOKUP($T$242,'TAR FIN'!$A$1:$O$86,15,0))</f>
        <v>0</v>
      </c>
      <c r="X242" s="6">
        <f>IF(ISERROR(VLOOKUP($U$242,'TAR FIN'!$A$1:$O$86,15,0)),0,VLOOKUP($U$242,'TAR FIN'!$A$1:$O$86,15,0))</f>
        <v>0</v>
      </c>
      <c r="Y242" s="6">
        <f ca="1">('TUSD BE'!$AM$10+'TUSD BF_350'!$AM$10+'TUSD CVA'!$AM$10)*1</f>
        <v>21.139573525578484</v>
      </c>
      <c r="Z242" s="6"/>
      <c r="AA242" s="6"/>
      <c r="AB242" s="6">
        <f>$K$242*$V$242</f>
        <v>7900.65</v>
      </c>
      <c r="AC242" s="6">
        <f>$M$242*$W$242</f>
        <v>0</v>
      </c>
      <c r="AD242" s="6">
        <f>$O$242*$X$242</f>
        <v>0</v>
      </c>
      <c r="AE242" s="6">
        <f ca="1">$K$242*$Y$242</f>
        <v>10252.693159905564</v>
      </c>
      <c r="AF242" s="6">
        <f>$M$242*$Z$242</f>
        <v>0</v>
      </c>
      <c r="AG242" s="6">
        <f>$O$242*$AA$242</f>
        <v>0</v>
      </c>
    </row>
    <row r="243" spans="1:33" ht="11.25" customHeight="1" x14ac:dyDescent="0.25">
      <c r="A243" s="4" t="s">
        <v>21</v>
      </c>
      <c r="B243" s="4" t="s">
        <v>38</v>
      </c>
      <c r="C243" s="4" t="s">
        <v>39</v>
      </c>
      <c r="D243" s="4" t="s">
        <v>44</v>
      </c>
      <c r="E243" s="4" t="s">
        <v>25</v>
      </c>
      <c r="F243" s="4" t="s">
        <v>25</v>
      </c>
      <c r="G243" s="4" t="s">
        <v>25</v>
      </c>
      <c r="H243" s="4" t="s">
        <v>25</v>
      </c>
      <c r="I243" s="5">
        <v>44409</v>
      </c>
      <c r="J243" s="6">
        <v>485</v>
      </c>
      <c r="K243" s="6">
        <v>485</v>
      </c>
      <c r="L243" s="6">
        <v>0</v>
      </c>
      <c r="M243" s="6">
        <v>0</v>
      </c>
      <c r="N243" s="6">
        <v>0</v>
      </c>
      <c r="O243" s="6">
        <v>0</v>
      </c>
      <c r="P243" s="6">
        <v>8</v>
      </c>
      <c r="Q243" s="4" t="s">
        <v>26</v>
      </c>
      <c r="R243" s="4">
        <v>0</v>
      </c>
      <c r="S243" s="6">
        <v>19</v>
      </c>
      <c r="T243" s="6">
        <v>0</v>
      </c>
      <c r="U243" s="6">
        <v>0</v>
      </c>
      <c r="V243" s="6">
        <f>IF(ISERROR(VLOOKUP($S$243,'TAR FIN'!$A$1:$O$86,15,0)),0,VLOOKUP($S$243,'TAR FIN'!$A$1:$O$86,15,0))</f>
        <v>16.29</v>
      </c>
      <c r="W243" s="6">
        <f>IF(ISERROR(VLOOKUP($T$243,'TAR FIN'!$A$1:$O$86,15,0)),0,VLOOKUP($T$243,'TAR FIN'!$A$1:$O$86,15,0))</f>
        <v>0</v>
      </c>
      <c r="X243" s="6">
        <f>IF(ISERROR(VLOOKUP($U$243,'TAR FIN'!$A$1:$O$86,15,0)),0,VLOOKUP($U$243,'TAR FIN'!$A$1:$O$86,15,0))</f>
        <v>0</v>
      </c>
      <c r="Y243" s="6">
        <f ca="1">('TUSD BE'!$AM$10+'TUSD BF_350'!$AM$10+'TUSD CVA'!$AM$10)*1</f>
        <v>21.139573525578484</v>
      </c>
      <c r="Z243" s="6"/>
      <c r="AA243" s="6"/>
      <c r="AB243" s="6">
        <f>$K$243*$V$243</f>
        <v>7900.65</v>
      </c>
      <c r="AC243" s="6">
        <f>$M$243*$W$243</f>
        <v>0</v>
      </c>
      <c r="AD243" s="6">
        <f>$O$243*$X$243</f>
        <v>0</v>
      </c>
      <c r="AE243" s="6">
        <f ca="1">$K$243*$Y$243</f>
        <v>10252.693159905564</v>
      </c>
      <c r="AF243" s="6">
        <f>$M$243*$Z$243</f>
        <v>0</v>
      </c>
      <c r="AG243" s="6">
        <f>$O$243*$AA$243</f>
        <v>0</v>
      </c>
    </row>
    <row r="244" spans="1:33" ht="11.25" customHeight="1" x14ac:dyDescent="0.25">
      <c r="A244" s="4" t="s">
        <v>21</v>
      </c>
      <c r="B244" s="4" t="s">
        <v>38</v>
      </c>
      <c r="C244" s="4" t="s">
        <v>39</v>
      </c>
      <c r="D244" s="4" t="s">
        <v>44</v>
      </c>
      <c r="E244" s="4" t="s">
        <v>25</v>
      </c>
      <c r="F244" s="4" t="s">
        <v>25</v>
      </c>
      <c r="G244" s="4" t="s">
        <v>25</v>
      </c>
      <c r="H244" s="4" t="s">
        <v>25</v>
      </c>
      <c r="I244" s="5">
        <v>44440</v>
      </c>
      <c r="J244" s="6">
        <v>485</v>
      </c>
      <c r="K244" s="6">
        <v>485</v>
      </c>
      <c r="L244" s="6">
        <v>0</v>
      </c>
      <c r="M244" s="6">
        <v>0</v>
      </c>
      <c r="N244" s="6">
        <v>0</v>
      </c>
      <c r="O244" s="6">
        <v>0</v>
      </c>
      <c r="P244" s="6">
        <v>8</v>
      </c>
      <c r="Q244" s="4" t="s">
        <v>26</v>
      </c>
      <c r="R244" s="4">
        <v>0</v>
      </c>
      <c r="S244" s="6">
        <v>19</v>
      </c>
      <c r="T244" s="6">
        <v>0</v>
      </c>
      <c r="U244" s="6">
        <v>0</v>
      </c>
      <c r="V244" s="6">
        <f>IF(ISERROR(VLOOKUP($S$244,'TAR FIN'!$A$1:$O$86,15,0)),0,VLOOKUP($S$244,'TAR FIN'!$A$1:$O$86,15,0))</f>
        <v>16.29</v>
      </c>
      <c r="W244" s="6">
        <f>IF(ISERROR(VLOOKUP($T$244,'TAR FIN'!$A$1:$O$86,15,0)),0,VLOOKUP($T$244,'TAR FIN'!$A$1:$O$86,15,0))</f>
        <v>0</v>
      </c>
      <c r="X244" s="6">
        <f>IF(ISERROR(VLOOKUP($U$244,'TAR FIN'!$A$1:$O$86,15,0)),0,VLOOKUP($U$244,'TAR FIN'!$A$1:$O$86,15,0))</f>
        <v>0</v>
      </c>
      <c r="Y244" s="6">
        <f ca="1">('TUSD BE'!$AM$10+'TUSD BF_350'!$AM$10+'TUSD CVA'!$AM$10)*1</f>
        <v>21.139573525578484</v>
      </c>
      <c r="Z244" s="6"/>
      <c r="AA244" s="6"/>
      <c r="AB244" s="6">
        <f>$K$244*$V$244</f>
        <v>7900.65</v>
      </c>
      <c r="AC244" s="6">
        <f>$M$244*$W$244</f>
        <v>0</v>
      </c>
      <c r="AD244" s="6">
        <f>$O$244*$X$244</f>
        <v>0</v>
      </c>
      <c r="AE244" s="6">
        <f ca="1">$K$244*$Y$244</f>
        <v>10252.693159905564</v>
      </c>
      <c r="AF244" s="6">
        <f>$M$244*$Z$244</f>
        <v>0</v>
      </c>
      <c r="AG244" s="6">
        <f>$O$244*$AA$244</f>
        <v>0</v>
      </c>
    </row>
    <row r="245" spans="1:33" ht="11.25" customHeight="1" x14ac:dyDescent="0.25">
      <c r="A245" s="4" t="s">
        <v>21</v>
      </c>
      <c r="B245" s="4" t="s">
        <v>38</v>
      </c>
      <c r="C245" s="4" t="s">
        <v>39</v>
      </c>
      <c r="D245" s="4" t="s">
        <v>44</v>
      </c>
      <c r="E245" s="4" t="s">
        <v>25</v>
      </c>
      <c r="F245" s="4" t="s">
        <v>25</v>
      </c>
      <c r="G245" s="4" t="s">
        <v>25</v>
      </c>
      <c r="H245" s="4" t="s">
        <v>25</v>
      </c>
      <c r="I245" s="5">
        <v>44470</v>
      </c>
      <c r="J245" s="6">
        <v>485</v>
      </c>
      <c r="K245" s="6">
        <v>485</v>
      </c>
      <c r="L245" s="6">
        <v>0</v>
      </c>
      <c r="M245" s="6">
        <v>0</v>
      </c>
      <c r="N245" s="6">
        <v>0</v>
      </c>
      <c r="O245" s="6">
        <v>0</v>
      </c>
      <c r="P245" s="6">
        <v>8</v>
      </c>
      <c r="Q245" s="4" t="s">
        <v>26</v>
      </c>
      <c r="R245" s="4">
        <v>0</v>
      </c>
      <c r="S245" s="6">
        <v>19</v>
      </c>
      <c r="T245" s="6">
        <v>0</v>
      </c>
      <c r="U245" s="6">
        <v>0</v>
      </c>
      <c r="V245" s="6">
        <f>IF(ISERROR(VLOOKUP($S$245,'TAR FIN'!$A$1:$O$86,15,0)),0,VLOOKUP($S$245,'TAR FIN'!$A$1:$O$86,15,0))</f>
        <v>16.29</v>
      </c>
      <c r="W245" s="6">
        <f>IF(ISERROR(VLOOKUP($T$245,'TAR FIN'!$A$1:$O$86,15,0)),0,VLOOKUP($T$245,'TAR FIN'!$A$1:$O$86,15,0))</f>
        <v>0</v>
      </c>
      <c r="X245" s="6">
        <f>IF(ISERROR(VLOOKUP($U$245,'TAR FIN'!$A$1:$O$86,15,0)),0,VLOOKUP($U$245,'TAR FIN'!$A$1:$O$86,15,0))</f>
        <v>0</v>
      </c>
      <c r="Y245" s="6">
        <f ca="1">('TUSD BE'!$AM$10+'TUSD BF_350'!$AM$10+'TUSD CVA'!$AM$10)*1</f>
        <v>21.139573525578484</v>
      </c>
      <c r="Z245" s="6"/>
      <c r="AA245" s="6"/>
      <c r="AB245" s="6">
        <f>$K$245*$V$245</f>
        <v>7900.65</v>
      </c>
      <c r="AC245" s="6">
        <f>$M$245*$W$245</f>
        <v>0</v>
      </c>
      <c r="AD245" s="6">
        <f>$O$245*$X$245</f>
        <v>0</v>
      </c>
      <c r="AE245" s="6">
        <f ca="1">$K$245*$Y$245</f>
        <v>10252.693159905564</v>
      </c>
      <c r="AF245" s="6">
        <f>$M$245*$Z$245</f>
        <v>0</v>
      </c>
      <c r="AG245" s="6">
        <f>$O$245*$AA$245</f>
        <v>0</v>
      </c>
    </row>
    <row r="246" spans="1:33" ht="11.25" customHeight="1" x14ac:dyDescent="0.25">
      <c r="A246" s="4" t="s">
        <v>21</v>
      </c>
      <c r="B246" s="4" t="s">
        <v>38</v>
      </c>
      <c r="C246" s="4" t="s">
        <v>39</v>
      </c>
      <c r="D246" s="4" t="s">
        <v>44</v>
      </c>
      <c r="E246" s="4" t="s">
        <v>25</v>
      </c>
      <c r="F246" s="4" t="s">
        <v>25</v>
      </c>
      <c r="G246" s="4" t="s">
        <v>25</v>
      </c>
      <c r="H246" s="4" t="s">
        <v>25</v>
      </c>
      <c r="I246" s="5">
        <v>44501</v>
      </c>
      <c r="J246" s="6">
        <v>485</v>
      </c>
      <c r="K246" s="6">
        <v>485</v>
      </c>
      <c r="L246" s="6">
        <v>0</v>
      </c>
      <c r="M246" s="6">
        <v>0</v>
      </c>
      <c r="N246" s="6">
        <v>0</v>
      </c>
      <c r="O246" s="6">
        <v>0</v>
      </c>
      <c r="P246" s="6">
        <v>8</v>
      </c>
      <c r="Q246" s="4" t="s">
        <v>26</v>
      </c>
      <c r="R246" s="4">
        <v>0</v>
      </c>
      <c r="S246" s="6">
        <v>19</v>
      </c>
      <c r="T246" s="6">
        <v>0</v>
      </c>
      <c r="U246" s="6">
        <v>0</v>
      </c>
      <c r="V246" s="6">
        <f>IF(ISERROR(VLOOKUP($S$246,'TAR FIN'!$A$1:$O$86,15,0)),0,VLOOKUP($S$246,'TAR FIN'!$A$1:$O$86,15,0))</f>
        <v>16.29</v>
      </c>
      <c r="W246" s="6">
        <f>IF(ISERROR(VLOOKUP($T$246,'TAR FIN'!$A$1:$O$86,15,0)),0,VLOOKUP($T$246,'TAR FIN'!$A$1:$O$86,15,0))</f>
        <v>0</v>
      </c>
      <c r="X246" s="6">
        <f>IF(ISERROR(VLOOKUP($U$246,'TAR FIN'!$A$1:$O$86,15,0)),0,VLOOKUP($U$246,'TAR FIN'!$A$1:$O$86,15,0))</f>
        <v>0</v>
      </c>
      <c r="Y246" s="6">
        <f ca="1">('TUSD BE'!$AM$10+'TUSD BF_350'!$AM$10+'TUSD CVA'!$AM$10)*1</f>
        <v>21.139573525578484</v>
      </c>
      <c r="Z246" s="6"/>
      <c r="AA246" s="6"/>
      <c r="AB246" s="6">
        <f>$K$246*$V$246</f>
        <v>7900.65</v>
      </c>
      <c r="AC246" s="6">
        <f>$M$246*$W$246</f>
        <v>0</v>
      </c>
      <c r="AD246" s="6">
        <f>$O$246*$X$246</f>
        <v>0</v>
      </c>
      <c r="AE246" s="6">
        <f ca="1">$K$246*$Y$246</f>
        <v>10252.693159905564</v>
      </c>
      <c r="AF246" s="6">
        <f>$M$246*$Z$246</f>
        <v>0</v>
      </c>
      <c r="AG246" s="6">
        <f>$O$246*$AA$246</f>
        <v>0</v>
      </c>
    </row>
    <row r="247" spans="1:33" ht="11.25" customHeight="1" x14ac:dyDescent="0.25">
      <c r="A247" s="4" t="s">
        <v>21</v>
      </c>
      <c r="B247" s="4" t="s">
        <v>38</v>
      </c>
      <c r="C247" s="4" t="s">
        <v>39</v>
      </c>
      <c r="D247" s="4" t="s">
        <v>44</v>
      </c>
      <c r="E247" s="4" t="s">
        <v>25</v>
      </c>
      <c r="F247" s="4" t="s">
        <v>25</v>
      </c>
      <c r="G247" s="4" t="s">
        <v>25</v>
      </c>
      <c r="H247" s="4" t="s">
        <v>25</v>
      </c>
      <c r="I247" s="5">
        <v>44531</v>
      </c>
      <c r="J247" s="6">
        <v>610</v>
      </c>
      <c r="K247" s="6">
        <v>610</v>
      </c>
      <c r="L247" s="6">
        <v>0</v>
      </c>
      <c r="M247" s="6">
        <v>0</v>
      </c>
      <c r="N247" s="6">
        <v>0</v>
      </c>
      <c r="O247" s="6">
        <v>0</v>
      </c>
      <c r="P247" s="6">
        <v>9</v>
      </c>
      <c r="Q247" s="4" t="s">
        <v>26</v>
      </c>
      <c r="R247" s="4">
        <v>0</v>
      </c>
      <c r="S247" s="6">
        <v>19</v>
      </c>
      <c r="T247" s="6">
        <v>0</v>
      </c>
      <c r="U247" s="6">
        <v>0</v>
      </c>
      <c r="V247" s="6">
        <f>IF(ISERROR(VLOOKUP($S$247,'TAR FIN'!$A$1:$O$86,15,0)),0,VLOOKUP($S$247,'TAR FIN'!$A$1:$O$86,15,0))</f>
        <v>16.29</v>
      </c>
      <c r="W247" s="6">
        <f>IF(ISERROR(VLOOKUP($T$247,'TAR FIN'!$A$1:$O$86,15,0)),0,VLOOKUP($T$247,'TAR FIN'!$A$1:$O$86,15,0))</f>
        <v>0</v>
      </c>
      <c r="X247" s="6">
        <f>IF(ISERROR(VLOOKUP($U$247,'TAR FIN'!$A$1:$O$86,15,0)),0,VLOOKUP($U$247,'TAR FIN'!$A$1:$O$86,15,0))</f>
        <v>0</v>
      </c>
      <c r="Y247" s="6">
        <f ca="1">('TUSD BE'!$AM$10+'TUSD BF_350'!$AM$10+'TUSD CVA'!$AM$10)*1</f>
        <v>21.139573525578484</v>
      </c>
      <c r="Z247" s="6"/>
      <c r="AA247" s="6"/>
      <c r="AB247" s="6">
        <f>$K$247*$V$247</f>
        <v>9936.9</v>
      </c>
      <c r="AC247" s="6">
        <f>$M$247*$W$247</f>
        <v>0</v>
      </c>
      <c r="AD247" s="6">
        <f>$O$247*$X$247</f>
        <v>0</v>
      </c>
      <c r="AE247" s="6">
        <f ca="1">$K$247*$Y$247</f>
        <v>12895.139850602875</v>
      </c>
      <c r="AF247" s="6">
        <f>$M$247*$Z$247</f>
        <v>0</v>
      </c>
      <c r="AG247" s="6">
        <f>$O$247*$AA$247</f>
        <v>0</v>
      </c>
    </row>
    <row r="248" spans="1:33" ht="11.25" customHeight="1" x14ac:dyDescent="0.25">
      <c r="A248" s="4" t="s">
        <v>21</v>
      </c>
      <c r="B248" s="4" t="s">
        <v>38</v>
      </c>
      <c r="C248" s="4" t="s">
        <v>39</v>
      </c>
      <c r="D248" s="4" t="s">
        <v>44</v>
      </c>
      <c r="E248" s="4" t="s">
        <v>25</v>
      </c>
      <c r="F248" s="4" t="s">
        <v>25</v>
      </c>
      <c r="G248" s="4" t="s">
        <v>25</v>
      </c>
      <c r="H248" s="4" t="s">
        <v>25</v>
      </c>
      <c r="I248" s="5">
        <v>44562</v>
      </c>
      <c r="J248" s="6">
        <v>611</v>
      </c>
      <c r="K248" s="6">
        <v>611</v>
      </c>
      <c r="L248" s="6">
        <v>0</v>
      </c>
      <c r="M248" s="6">
        <v>0</v>
      </c>
      <c r="N248" s="6">
        <v>0</v>
      </c>
      <c r="O248" s="6">
        <v>0</v>
      </c>
      <c r="P248" s="6">
        <v>9</v>
      </c>
      <c r="Q248" s="4" t="s">
        <v>26</v>
      </c>
      <c r="R248" s="4">
        <v>0</v>
      </c>
      <c r="S248" s="6">
        <v>19</v>
      </c>
      <c r="T248" s="6">
        <v>0</v>
      </c>
      <c r="U248" s="6">
        <v>0</v>
      </c>
      <c r="V248" s="6">
        <f>IF(ISERROR(VLOOKUP($S$248,'TAR FIN'!$A$1:$O$86,15,0)),0,VLOOKUP($S$248,'TAR FIN'!$A$1:$O$86,15,0))</f>
        <v>16.29</v>
      </c>
      <c r="W248" s="6">
        <f>IF(ISERROR(VLOOKUP($T$248,'TAR FIN'!$A$1:$O$86,15,0)),0,VLOOKUP($T$248,'TAR FIN'!$A$1:$O$86,15,0))</f>
        <v>0</v>
      </c>
      <c r="X248" s="6">
        <f>IF(ISERROR(VLOOKUP($U$248,'TAR FIN'!$A$1:$O$86,15,0)),0,VLOOKUP($U$248,'TAR FIN'!$A$1:$O$86,15,0))</f>
        <v>0</v>
      </c>
      <c r="Y248" s="6">
        <f ca="1">('TUSD BE'!$AM$10+'TUSD BF_350'!$AM$10+'TUSD CVA'!$AM$10)*1</f>
        <v>21.139573525578484</v>
      </c>
      <c r="Z248" s="6"/>
      <c r="AA248" s="6"/>
      <c r="AB248" s="6">
        <f>$K$248*$V$248</f>
        <v>9953.1899999999987</v>
      </c>
      <c r="AC248" s="6">
        <f>$M$248*$W$248</f>
        <v>0</v>
      </c>
      <c r="AD248" s="6">
        <f>$O$248*$X$248</f>
        <v>0</v>
      </c>
      <c r="AE248" s="6">
        <f ca="1">$K$248*$Y$248</f>
        <v>12916.279424128454</v>
      </c>
      <c r="AF248" s="6">
        <f>$M$248*$Z$248</f>
        <v>0</v>
      </c>
      <c r="AG248" s="6">
        <f>$O$248*$AA$248</f>
        <v>0</v>
      </c>
    </row>
    <row r="249" spans="1:33" ht="11.25" customHeight="1" x14ac:dyDescent="0.25">
      <c r="A249" s="4" t="s">
        <v>21</v>
      </c>
      <c r="B249" s="4" t="s">
        <v>38</v>
      </c>
      <c r="C249" s="4" t="s">
        <v>39</v>
      </c>
      <c r="D249" s="4" t="s">
        <v>44</v>
      </c>
      <c r="E249" s="4" t="s">
        <v>25</v>
      </c>
      <c r="F249" s="4" t="s">
        <v>25</v>
      </c>
      <c r="G249" s="4" t="s">
        <v>25</v>
      </c>
      <c r="H249" s="4" t="s">
        <v>25</v>
      </c>
      <c r="I249" s="5">
        <v>44593</v>
      </c>
      <c r="J249" s="6">
        <v>647</v>
      </c>
      <c r="K249" s="6">
        <v>647</v>
      </c>
      <c r="L249" s="6">
        <v>0</v>
      </c>
      <c r="M249" s="6">
        <v>0</v>
      </c>
      <c r="N249" s="6">
        <v>0</v>
      </c>
      <c r="O249" s="6">
        <v>0</v>
      </c>
      <c r="P249" s="6">
        <v>9</v>
      </c>
      <c r="Q249" s="4" t="s">
        <v>26</v>
      </c>
      <c r="R249" s="4">
        <v>0</v>
      </c>
      <c r="S249" s="6">
        <v>19</v>
      </c>
      <c r="T249" s="6">
        <v>0</v>
      </c>
      <c r="U249" s="6">
        <v>0</v>
      </c>
      <c r="V249" s="6">
        <f>IF(ISERROR(VLOOKUP($S$249,'TAR FIN'!$A$1:$O$86,15,0)),0,VLOOKUP($S$249,'TAR FIN'!$A$1:$O$86,15,0))</f>
        <v>16.29</v>
      </c>
      <c r="W249" s="6">
        <f>IF(ISERROR(VLOOKUP($T$249,'TAR FIN'!$A$1:$O$86,15,0)),0,VLOOKUP($T$249,'TAR FIN'!$A$1:$O$86,15,0))</f>
        <v>0</v>
      </c>
      <c r="X249" s="6">
        <f>IF(ISERROR(VLOOKUP($U$249,'TAR FIN'!$A$1:$O$86,15,0)),0,VLOOKUP($U$249,'TAR FIN'!$A$1:$O$86,15,0))</f>
        <v>0</v>
      </c>
      <c r="Y249" s="6">
        <f ca="1">('TUSD BE'!$AM$10+'TUSD BF_350'!$AM$10+'TUSD CVA'!$AM$10)*1</f>
        <v>21.139573525578484</v>
      </c>
      <c r="Z249" s="6"/>
      <c r="AA249" s="6"/>
      <c r="AB249" s="6">
        <f>$K$249*$V$249</f>
        <v>10539.63</v>
      </c>
      <c r="AC249" s="6">
        <f>$M$249*$W$249</f>
        <v>0</v>
      </c>
      <c r="AD249" s="6">
        <f>$O$249*$X$249</f>
        <v>0</v>
      </c>
      <c r="AE249" s="6">
        <f ca="1">$K$249*$Y$249</f>
        <v>13677.304071049279</v>
      </c>
      <c r="AF249" s="6">
        <f>$M$249*$Z$249</f>
        <v>0</v>
      </c>
      <c r="AG249" s="6">
        <f>$O$249*$AA$249</f>
        <v>0</v>
      </c>
    </row>
    <row r="250" spans="1:33" ht="11.25" customHeight="1" x14ac:dyDescent="0.25">
      <c r="A250" s="4" t="s">
        <v>21</v>
      </c>
      <c r="B250" s="4" t="s">
        <v>38</v>
      </c>
      <c r="C250" s="4" t="s">
        <v>39</v>
      </c>
      <c r="D250" s="4" t="s">
        <v>44</v>
      </c>
      <c r="E250" s="4" t="s">
        <v>25</v>
      </c>
      <c r="F250" s="4" t="s">
        <v>25</v>
      </c>
      <c r="G250" s="4" t="s">
        <v>25</v>
      </c>
      <c r="H250" s="4" t="s">
        <v>25</v>
      </c>
      <c r="I250" s="5">
        <v>44621</v>
      </c>
      <c r="J250" s="6">
        <v>680</v>
      </c>
      <c r="K250" s="6">
        <v>680</v>
      </c>
      <c r="L250" s="6">
        <v>0</v>
      </c>
      <c r="M250" s="6">
        <v>0</v>
      </c>
      <c r="N250" s="6">
        <v>0</v>
      </c>
      <c r="O250" s="6">
        <v>0</v>
      </c>
      <c r="P250" s="6">
        <v>9</v>
      </c>
      <c r="Q250" s="4" t="s">
        <v>26</v>
      </c>
      <c r="R250" s="4">
        <v>0</v>
      </c>
      <c r="S250" s="6">
        <v>19</v>
      </c>
      <c r="T250" s="6">
        <v>0</v>
      </c>
      <c r="U250" s="6">
        <v>0</v>
      </c>
      <c r="V250" s="6">
        <f>IF(ISERROR(VLOOKUP($S$250,'TAR FIN'!$A$1:$O$86,15,0)),0,VLOOKUP($S$250,'TAR FIN'!$A$1:$O$86,15,0))</f>
        <v>16.29</v>
      </c>
      <c r="W250" s="6">
        <f>IF(ISERROR(VLOOKUP($T$250,'TAR FIN'!$A$1:$O$86,15,0)),0,VLOOKUP($T$250,'TAR FIN'!$A$1:$O$86,15,0))</f>
        <v>0</v>
      </c>
      <c r="X250" s="6">
        <f>IF(ISERROR(VLOOKUP($U$250,'TAR FIN'!$A$1:$O$86,15,0)),0,VLOOKUP($U$250,'TAR FIN'!$A$1:$O$86,15,0))</f>
        <v>0</v>
      </c>
      <c r="Y250" s="6">
        <f ca="1">('TUSD BE'!$AM$10+'TUSD BF_350'!$AM$10+'TUSD CVA'!$AM$10)*1</f>
        <v>21.139573525578484</v>
      </c>
      <c r="Z250" s="6"/>
      <c r="AA250" s="6"/>
      <c r="AB250" s="6">
        <f>$K$250*$V$250</f>
        <v>11077.199999999999</v>
      </c>
      <c r="AC250" s="6">
        <f>$M$250*$W$250</f>
        <v>0</v>
      </c>
      <c r="AD250" s="6">
        <f>$O$250*$X$250</f>
        <v>0</v>
      </c>
      <c r="AE250" s="6">
        <f ca="1">$K$250*$Y$250</f>
        <v>14374.90999739337</v>
      </c>
      <c r="AF250" s="6">
        <f>$M$250*$Z$250</f>
        <v>0</v>
      </c>
      <c r="AG250" s="6">
        <f>$O$250*$AA$250</f>
        <v>0</v>
      </c>
    </row>
    <row r="251" spans="1:33" ht="11.25" customHeight="1" x14ac:dyDescent="0.25">
      <c r="A251" s="4" t="s">
        <v>21</v>
      </c>
      <c r="B251" s="4" t="s">
        <v>38</v>
      </c>
      <c r="C251" s="4" t="s">
        <v>39</v>
      </c>
      <c r="D251" s="4" t="s">
        <v>44</v>
      </c>
      <c r="E251" s="4" t="s">
        <v>25</v>
      </c>
      <c r="F251" s="4" t="s">
        <v>25</v>
      </c>
      <c r="G251" s="4" t="s">
        <v>25</v>
      </c>
      <c r="H251" s="4" t="s">
        <v>25</v>
      </c>
      <c r="I251" s="5">
        <v>44652</v>
      </c>
      <c r="J251" s="6">
        <v>605</v>
      </c>
      <c r="K251" s="6">
        <v>605</v>
      </c>
      <c r="L251" s="6">
        <v>0</v>
      </c>
      <c r="M251" s="6">
        <v>0</v>
      </c>
      <c r="N251" s="6">
        <v>0</v>
      </c>
      <c r="O251" s="6">
        <v>0</v>
      </c>
      <c r="P251" s="6">
        <v>9</v>
      </c>
      <c r="Q251" s="4" t="s">
        <v>26</v>
      </c>
      <c r="R251" s="4">
        <v>0</v>
      </c>
      <c r="S251" s="6">
        <v>19</v>
      </c>
      <c r="T251" s="6">
        <v>0</v>
      </c>
      <c r="U251" s="6">
        <v>0</v>
      </c>
      <c r="V251" s="6">
        <f>IF(ISERROR(VLOOKUP($S$251,'TAR FIN'!$A$1:$O$86,15,0)),0,VLOOKUP($S$251,'TAR FIN'!$A$1:$O$86,15,0))</f>
        <v>16.29</v>
      </c>
      <c r="W251" s="6">
        <f>IF(ISERROR(VLOOKUP($T$251,'TAR FIN'!$A$1:$O$86,15,0)),0,VLOOKUP($T$251,'TAR FIN'!$A$1:$O$86,15,0))</f>
        <v>0</v>
      </c>
      <c r="X251" s="6">
        <f>IF(ISERROR(VLOOKUP($U$251,'TAR FIN'!$A$1:$O$86,15,0)),0,VLOOKUP($U$251,'TAR FIN'!$A$1:$O$86,15,0))</f>
        <v>0</v>
      </c>
      <c r="Y251" s="6">
        <f ca="1">('TUSD BE'!$AM$10+'TUSD BF_350'!$AM$10+'TUSD CVA'!$AM$10)*1</f>
        <v>21.139573525578484</v>
      </c>
      <c r="Z251" s="6"/>
      <c r="AA251" s="6"/>
      <c r="AB251" s="6">
        <f>$K$251*$V$251</f>
        <v>9855.4499999999989</v>
      </c>
      <c r="AC251" s="6">
        <f>$M$251*$W$251</f>
        <v>0</v>
      </c>
      <c r="AD251" s="6">
        <f>$O$251*$X$251</f>
        <v>0</v>
      </c>
      <c r="AE251" s="6">
        <f ca="1">$K$251*$Y$251</f>
        <v>12789.441982974982</v>
      </c>
      <c r="AF251" s="6">
        <f>$M$251*$Z$251</f>
        <v>0</v>
      </c>
      <c r="AG251" s="6">
        <f>$O$251*$AA$251</f>
        <v>0</v>
      </c>
    </row>
    <row r="252" spans="1:33" ht="11.25" customHeight="1" x14ac:dyDescent="0.25">
      <c r="A252" s="4" t="s">
        <v>21</v>
      </c>
      <c r="B252" s="4" t="s">
        <v>38</v>
      </c>
      <c r="C252" s="4" t="s">
        <v>39</v>
      </c>
      <c r="D252" s="4" t="s">
        <v>44</v>
      </c>
      <c r="E252" s="4" t="s">
        <v>25</v>
      </c>
      <c r="F252" s="4" t="s">
        <v>25</v>
      </c>
      <c r="G252" s="4" t="s">
        <v>25</v>
      </c>
      <c r="H252" s="4" t="s">
        <v>25</v>
      </c>
      <c r="I252" s="5">
        <v>44682</v>
      </c>
      <c r="J252" s="6">
        <v>605</v>
      </c>
      <c r="K252" s="6">
        <v>605</v>
      </c>
      <c r="L252" s="6">
        <v>0</v>
      </c>
      <c r="M252" s="6">
        <v>0</v>
      </c>
      <c r="N252" s="6">
        <v>0</v>
      </c>
      <c r="O252" s="6">
        <v>0</v>
      </c>
      <c r="P252" s="6">
        <v>9</v>
      </c>
      <c r="Q252" s="4" t="s">
        <v>26</v>
      </c>
      <c r="R252" s="4">
        <v>0</v>
      </c>
      <c r="S252" s="6">
        <v>19</v>
      </c>
      <c r="T252" s="6">
        <v>0</v>
      </c>
      <c r="U252" s="6">
        <v>0</v>
      </c>
      <c r="V252" s="6">
        <f>IF(ISERROR(VLOOKUP($S$252,'TAR FIN'!$A$1:$O$86,15,0)),0,VLOOKUP($S$252,'TAR FIN'!$A$1:$O$86,15,0))</f>
        <v>16.29</v>
      </c>
      <c r="W252" s="6">
        <f>IF(ISERROR(VLOOKUP($T$252,'TAR FIN'!$A$1:$O$86,15,0)),0,VLOOKUP($T$252,'TAR FIN'!$A$1:$O$86,15,0))</f>
        <v>0</v>
      </c>
      <c r="X252" s="6">
        <f>IF(ISERROR(VLOOKUP($U$252,'TAR FIN'!$A$1:$O$86,15,0)),0,VLOOKUP($U$252,'TAR FIN'!$A$1:$O$86,15,0))</f>
        <v>0</v>
      </c>
      <c r="Y252" s="6">
        <f ca="1">('TUSD BE'!$AM$10+'TUSD BF_350'!$AM$10+'TUSD CVA'!$AM$10)*1</f>
        <v>21.139573525578484</v>
      </c>
      <c r="Z252" s="6"/>
      <c r="AA252" s="6"/>
      <c r="AB252" s="6">
        <f>$K$252*$V$252</f>
        <v>9855.4499999999989</v>
      </c>
      <c r="AC252" s="6">
        <f>$M$252*$W$252</f>
        <v>0</v>
      </c>
      <c r="AD252" s="6">
        <f>$O$252*$X$252</f>
        <v>0</v>
      </c>
      <c r="AE252" s="6">
        <f ca="1">$K$252*$Y$252</f>
        <v>12789.441982974982</v>
      </c>
      <c r="AF252" s="6">
        <f>$M$252*$Z$252</f>
        <v>0</v>
      </c>
      <c r="AG252" s="6">
        <f>$O$252*$AA$252</f>
        <v>0</v>
      </c>
    </row>
    <row r="253" spans="1:33" ht="11.25" customHeight="1" x14ac:dyDescent="0.25">
      <c r="A253" s="4" t="s">
        <v>55</v>
      </c>
      <c r="B253" s="4" t="s">
        <v>38</v>
      </c>
      <c r="C253" s="4" t="s">
        <v>39</v>
      </c>
      <c r="D253" s="4" t="s">
        <v>44</v>
      </c>
      <c r="E253" s="4" t="s">
        <v>25</v>
      </c>
      <c r="F253" s="4" t="s">
        <v>25</v>
      </c>
      <c r="G253" s="4" t="s">
        <v>25</v>
      </c>
      <c r="H253" s="4" t="s">
        <v>25</v>
      </c>
      <c r="I253" s="5">
        <v>44713</v>
      </c>
      <c r="J253" s="6">
        <v>605</v>
      </c>
      <c r="K253" s="6">
        <v>605</v>
      </c>
      <c r="L253" s="6">
        <v>0</v>
      </c>
      <c r="M253" s="6">
        <v>0</v>
      </c>
      <c r="N253" s="6">
        <v>0</v>
      </c>
      <c r="O253" s="6">
        <v>0</v>
      </c>
      <c r="P253" s="6">
        <v>9</v>
      </c>
      <c r="Q253" s="4" t="s">
        <v>26</v>
      </c>
      <c r="R253" s="4">
        <v>0</v>
      </c>
      <c r="S253" s="6">
        <v>19</v>
      </c>
      <c r="T253" s="6">
        <v>0</v>
      </c>
      <c r="U253" s="6">
        <v>0</v>
      </c>
      <c r="V253" s="6">
        <f>IF(ISERROR(VLOOKUP($S$253,'TAR FIN'!$A$1:$O$86,15,0)),0,VLOOKUP($S$253,'TAR FIN'!$A$1:$O$86,15,0))</f>
        <v>16.29</v>
      </c>
      <c r="W253" s="6">
        <f>IF(ISERROR(VLOOKUP($T$253,'TAR FIN'!$A$1:$O$86,15,0)),0,VLOOKUP($T$253,'TAR FIN'!$A$1:$O$86,15,0))</f>
        <v>0</v>
      </c>
      <c r="X253" s="6">
        <f>IF(ISERROR(VLOOKUP($U$253,'TAR FIN'!$A$1:$O$86,15,0)),0,VLOOKUP($U$253,'TAR FIN'!$A$1:$O$86,15,0))</f>
        <v>0</v>
      </c>
      <c r="Y253" s="6">
        <f ca="1">('TUSD BE'!$AM$10+'TUSD BF_350'!$AM$10+'TUSD CVA'!$AM$10)*1</f>
        <v>21.139573525578484</v>
      </c>
      <c r="Z253" s="6"/>
      <c r="AA253" s="6"/>
      <c r="AB253" s="6">
        <f>$K$253*$V$253</f>
        <v>9855.4499999999989</v>
      </c>
      <c r="AC253" s="6">
        <f>$M$253*$W$253</f>
        <v>0</v>
      </c>
      <c r="AD253" s="6">
        <f>$O$253*$X$253</f>
        <v>0</v>
      </c>
      <c r="AE253" s="6">
        <f ca="1">$K$253*$Y$253</f>
        <v>12789.441982974982</v>
      </c>
      <c r="AF253" s="6">
        <f>$M$253*$Z$253</f>
        <v>0</v>
      </c>
      <c r="AG253" s="6">
        <f>$O$253*$AA$253</f>
        <v>0</v>
      </c>
    </row>
    <row r="254" spans="1:33" ht="11.25" customHeight="1" x14ac:dyDescent="0.25">
      <c r="A254" s="4" t="s">
        <v>21</v>
      </c>
      <c r="B254" s="4" t="s">
        <v>38</v>
      </c>
      <c r="C254" s="4" t="s">
        <v>39</v>
      </c>
      <c r="D254" s="4" t="s">
        <v>44</v>
      </c>
      <c r="E254" s="4" t="s">
        <v>25</v>
      </c>
      <c r="F254" s="4" t="s">
        <v>25</v>
      </c>
      <c r="G254" s="4" t="s">
        <v>25</v>
      </c>
      <c r="H254" s="4" t="s">
        <v>33</v>
      </c>
      <c r="I254" s="5">
        <v>44378</v>
      </c>
      <c r="J254" s="6">
        <v>0</v>
      </c>
      <c r="K254" s="6">
        <v>0</v>
      </c>
      <c r="L254" s="6">
        <v>2.4729999999999999</v>
      </c>
      <c r="M254" s="6">
        <v>2.4729999999999999</v>
      </c>
      <c r="N254" s="6">
        <v>2.4729999999999999</v>
      </c>
      <c r="O254" s="6">
        <v>2.4729999999999999</v>
      </c>
      <c r="P254" s="6">
        <v>0</v>
      </c>
      <c r="Q254" s="4" t="s">
        <v>26</v>
      </c>
      <c r="R254" s="4">
        <v>0</v>
      </c>
      <c r="S254" s="6">
        <v>0</v>
      </c>
      <c r="T254" s="6">
        <v>21</v>
      </c>
      <c r="U254" s="6">
        <v>66</v>
      </c>
      <c r="V254" s="6">
        <f>IF(ISERROR(VLOOKUP($S$254,'TAR FIN'!$A$1:$O$86,15,0)),0,VLOOKUP($S$254,'TAR FIN'!$A$1:$O$86,15,0))</f>
        <v>0</v>
      </c>
      <c r="W254" s="6">
        <f>IF(ISERROR(VLOOKUP($T$254,'TAR FIN'!$A$1:$O$86,15,0)),0,VLOOKUP($T$254,'TAR FIN'!$A$1:$O$86,15,0))</f>
        <v>596.78</v>
      </c>
      <c r="X254" s="6">
        <f>IF(ISERROR(VLOOKUP($U$254,'TAR FIN'!$A$1:$O$86,15,0)),0,VLOOKUP($U$254,'TAR FIN'!$A$1:$O$86,15,0))</f>
        <v>503.82</v>
      </c>
      <c r="Y254" s="6"/>
      <c r="Z254" s="6">
        <f ca="1">('TUSD BE'!$AM$11+'TUSD BF_350'!$AM$11+'TUSD CVA'!$AM$11)*1</f>
        <v>625.67033946440574</v>
      </c>
      <c r="AA254" s="6">
        <f ca="1">('TE BE'!$AB$5+'TE BF_350'!$AB$5+'TE CVA'!$AB$5)*1</f>
        <v>398.01664046087393</v>
      </c>
      <c r="AB254" s="6">
        <f>$K$254*$V$254</f>
        <v>0</v>
      </c>
      <c r="AC254" s="6">
        <f>$M$254*$W$254</f>
        <v>1475.8369399999999</v>
      </c>
      <c r="AD254" s="6">
        <f>$O$254*$X$254</f>
        <v>1245.94686</v>
      </c>
      <c r="AE254" s="6">
        <f>$K$254*$Y$254</f>
        <v>0</v>
      </c>
      <c r="AF254" s="6">
        <f ca="1">$M$254*$Z$254</f>
        <v>1547.2827494954754</v>
      </c>
      <c r="AG254" s="6">
        <f ca="1">$O$254*$AA$254</f>
        <v>984.29515185974117</v>
      </c>
    </row>
    <row r="255" spans="1:33" ht="11.25" customHeight="1" x14ac:dyDescent="0.25">
      <c r="A255" s="4" t="s">
        <v>21</v>
      </c>
      <c r="B255" s="4" t="s">
        <v>38</v>
      </c>
      <c r="C255" s="4" t="s">
        <v>39</v>
      </c>
      <c r="D255" s="4" t="s">
        <v>44</v>
      </c>
      <c r="E255" s="4" t="s">
        <v>25</v>
      </c>
      <c r="F255" s="4" t="s">
        <v>25</v>
      </c>
      <c r="G255" s="4" t="s">
        <v>25</v>
      </c>
      <c r="H255" s="4" t="s">
        <v>33</v>
      </c>
      <c r="I255" s="5">
        <v>44409</v>
      </c>
      <c r="J255" s="6">
        <v>0</v>
      </c>
      <c r="K255" s="6">
        <v>0</v>
      </c>
      <c r="L255" s="6">
        <v>2.4609999999999999</v>
      </c>
      <c r="M255" s="6">
        <v>2.4609999999999999</v>
      </c>
      <c r="N255" s="6">
        <v>2.4609999999999999</v>
      </c>
      <c r="O255" s="6">
        <v>2.4609999999999999</v>
      </c>
      <c r="P255" s="6">
        <v>0</v>
      </c>
      <c r="Q255" s="4" t="s">
        <v>26</v>
      </c>
      <c r="R255" s="4">
        <v>0</v>
      </c>
      <c r="S255" s="6">
        <v>0</v>
      </c>
      <c r="T255" s="6">
        <v>21</v>
      </c>
      <c r="U255" s="6">
        <v>66</v>
      </c>
      <c r="V255" s="6">
        <f>IF(ISERROR(VLOOKUP($S$255,'TAR FIN'!$A$1:$O$86,15,0)),0,VLOOKUP($S$255,'TAR FIN'!$A$1:$O$86,15,0))</f>
        <v>0</v>
      </c>
      <c r="W255" s="6">
        <f>IF(ISERROR(VLOOKUP($T$255,'TAR FIN'!$A$1:$O$86,15,0)),0,VLOOKUP($T$255,'TAR FIN'!$A$1:$O$86,15,0))</f>
        <v>596.78</v>
      </c>
      <c r="X255" s="6">
        <f>IF(ISERROR(VLOOKUP($U$255,'TAR FIN'!$A$1:$O$86,15,0)),0,VLOOKUP($U$255,'TAR FIN'!$A$1:$O$86,15,0))</f>
        <v>503.82</v>
      </c>
      <c r="Y255" s="6"/>
      <c r="Z255" s="6">
        <f ca="1">('TUSD BE'!$AM$11+'TUSD BF_350'!$AM$11+'TUSD CVA'!$AM$11)*1</f>
        <v>625.67033946440574</v>
      </c>
      <c r="AA255" s="6">
        <f ca="1">('TE BE'!$AB$5+'TE BF_350'!$AB$5+'TE CVA'!$AB$5)*1</f>
        <v>398.01664046087393</v>
      </c>
      <c r="AB255" s="6">
        <f>$K$255*$V$255</f>
        <v>0</v>
      </c>
      <c r="AC255" s="6">
        <f>$M$255*$W$255</f>
        <v>1468.6755799999999</v>
      </c>
      <c r="AD255" s="6">
        <f>$O$255*$X$255</f>
        <v>1239.90102</v>
      </c>
      <c r="AE255" s="6">
        <f>$K$255*$Y$255</f>
        <v>0</v>
      </c>
      <c r="AF255" s="6">
        <f ca="1">$M$255*$Z$255</f>
        <v>1539.7747054219024</v>
      </c>
      <c r="AG255" s="6">
        <f ca="1">$O$255*$AA$255</f>
        <v>979.51895217421065</v>
      </c>
    </row>
    <row r="256" spans="1:33" ht="11.25" customHeight="1" x14ac:dyDescent="0.25">
      <c r="A256" s="4" t="s">
        <v>21</v>
      </c>
      <c r="B256" s="4" t="s">
        <v>38</v>
      </c>
      <c r="C256" s="4" t="s">
        <v>39</v>
      </c>
      <c r="D256" s="4" t="s">
        <v>44</v>
      </c>
      <c r="E256" s="4" t="s">
        <v>25</v>
      </c>
      <c r="F256" s="4" t="s">
        <v>25</v>
      </c>
      <c r="G256" s="4" t="s">
        <v>25</v>
      </c>
      <c r="H256" s="4" t="s">
        <v>33</v>
      </c>
      <c r="I256" s="5">
        <v>44440</v>
      </c>
      <c r="J256" s="6">
        <v>0</v>
      </c>
      <c r="K256" s="6">
        <v>0</v>
      </c>
      <c r="L256" s="6">
        <v>2.4380000000000002</v>
      </c>
      <c r="M256" s="6">
        <v>2.4380000000000002</v>
      </c>
      <c r="N256" s="6">
        <v>2.4380000000000002</v>
      </c>
      <c r="O256" s="6">
        <v>2.4380000000000002</v>
      </c>
      <c r="P256" s="6">
        <v>0</v>
      </c>
      <c r="Q256" s="4" t="s">
        <v>26</v>
      </c>
      <c r="R256" s="4">
        <v>0</v>
      </c>
      <c r="S256" s="6">
        <v>0</v>
      </c>
      <c r="T256" s="6">
        <v>21</v>
      </c>
      <c r="U256" s="6">
        <v>66</v>
      </c>
      <c r="V256" s="6">
        <f>IF(ISERROR(VLOOKUP($S$256,'TAR FIN'!$A$1:$O$86,15,0)),0,VLOOKUP($S$256,'TAR FIN'!$A$1:$O$86,15,0))</f>
        <v>0</v>
      </c>
      <c r="W256" s="6">
        <f>IF(ISERROR(VLOOKUP($T$256,'TAR FIN'!$A$1:$O$86,15,0)),0,VLOOKUP($T$256,'TAR FIN'!$A$1:$O$86,15,0))</f>
        <v>596.78</v>
      </c>
      <c r="X256" s="6">
        <f>IF(ISERROR(VLOOKUP($U$256,'TAR FIN'!$A$1:$O$86,15,0)),0,VLOOKUP($U$256,'TAR FIN'!$A$1:$O$86,15,0))</f>
        <v>503.82</v>
      </c>
      <c r="Y256" s="6"/>
      <c r="Z256" s="6">
        <f ca="1">('TUSD BE'!$AM$11+'TUSD BF_350'!$AM$11+'TUSD CVA'!$AM$11)*1</f>
        <v>625.67033946440574</v>
      </c>
      <c r="AA256" s="6">
        <f ca="1">('TE BE'!$AB$5+'TE BF_350'!$AB$5+'TE CVA'!$AB$5)*1</f>
        <v>398.01664046087393</v>
      </c>
      <c r="AB256" s="6">
        <f>$K$256*$V$256</f>
        <v>0</v>
      </c>
      <c r="AC256" s="6">
        <f>$M$256*$W$256</f>
        <v>1454.94964</v>
      </c>
      <c r="AD256" s="6">
        <f>$O$256*$X$256</f>
        <v>1228.3131600000002</v>
      </c>
      <c r="AE256" s="6">
        <f>$K$256*$Y$256</f>
        <v>0</v>
      </c>
      <c r="AF256" s="6">
        <f ca="1">$M$256*$Z$256</f>
        <v>1525.3842876142212</v>
      </c>
      <c r="AG256" s="6">
        <f ca="1">$O$256*$AA$256</f>
        <v>970.36456944361066</v>
      </c>
    </row>
    <row r="257" spans="1:33" ht="11.25" customHeight="1" x14ac:dyDescent="0.25">
      <c r="A257" s="4" t="s">
        <v>21</v>
      </c>
      <c r="B257" s="4" t="s">
        <v>38</v>
      </c>
      <c r="C257" s="4" t="s">
        <v>39</v>
      </c>
      <c r="D257" s="4" t="s">
        <v>44</v>
      </c>
      <c r="E257" s="4" t="s">
        <v>25</v>
      </c>
      <c r="F257" s="4" t="s">
        <v>25</v>
      </c>
      <c r="G257" s="4" t="s">
        <v>25</v>
      </c>
      <c r="H257" s="4" t="s">
        <v>33</v>
      </c>
      <c r="I257" s="5">
        <v>44470</v>
      </c>
      <c r="J257" s="6">
        <v>0</v>
      </c>
      <c r="K257" s="6">
        <v>0</v>
      </c>
      <c r="L257" s="6">
        <v>2.3929999999999998</v>
      </c>
      <c r="M257" s="6">
        <v>2.3929999999999998</v>
      </c>
      <c r="N257" s="6">
        <v>2.3929999999999998</v>
      </c>
      <c r="O257" s="6">
        <v>2.3929999999999998</v>
      </c>
      <c r="P257" s="6">
        <v>0</v>
      </c>
      <c r="Q257" s="4" t="s">
        <v>26</v>
      </c>
      <c r="R257" s="4">
        <v>0</v>
      </c>
      <c r="S257" s="6">
        <v>0</v>
      </c>
      <c r="T257" s="6">
        <v>21</v>
      </c>
      <c r="U257" s="6">
        <v>66</v>
      </c>
      <c r="V257" s="6">
        <f>IF(ISERROR(VLOOKUP($S$257,'TAR FIN'!$A$1:$O$86,15,0)),0,VLOOKUP($S$257,'TAR FIN'!$A$1:$O$86,15,0))</f>
        <v>0</v>
      </c>
      <c r="W257" s="6">
        <f>IF(ISERROR(VLOOKUP($T$257,'TAR FIN'!$A$1:$O$86,15,0)),0,VLOOKUP($T$257,'TAR FIN'!$A$1:$O$86,15,0))</f>
        <v>596.78</v>
      </c>
      <c r="X257" s="6">
        <f>IF(ISERROR(VLOOKUP($U$257,'TAR FIN'!$A$1:$O$86,15,0)),0,VLOOKUP($U$257,'TAR FIN'!$A$1:$O$86,15,0))</f>
        <v>503.82</v>
      </c>
      <c r="Y257" s="6"/>
      <c r="Z257" s="6">
        <f ca="1">('TUSD BE'!$AM$11+'TUSD BF_350'!$AM$11+'TUSD CVA'!$AM$11)*1</f>
        <v>625.67033946440574</v>
      </c>
      <c r="AA257" s="6">
        <f ca="1">('TE BE'!$AB$5+'TE BF_350'!$AB$5+'TE CVA'!$AB$5)*1</f>
        <v>398.01664046087393</v>
      </c>
      <c r="AB257" s="6">
        <f>$K$257*$V$257</f>
        <v>0</v>
      </c>
      <c r="AC257" s="6">
        <f>$M$257*$W$257</f>
        <v>1428.0945399999998</v>
      </c>
      <c r="AD257" s="6">
        <f>$O$257*$X$257</f>
        <v>1205.6412599999999</v>
      </c>
      <c r="AE257" s="6">
        <f>$K$257*$Y$257</f>
        <v>0</v>
      </c>
      <c r="AF257" s="6">
        <f ca="1">$M$257*$Z$257</f>
        <v>1497.2291223383229</v>
      </c>
      <c r="AG257" s="6">
        <f ca="1">$O$257*$AA$257</f>
        <v>952.45382062287126</v>
      </c>
    </row>
    <row r="258" spans="1:33" ht="11.25" customHeight="1" x14ac:dyDescent="0.25">
      <c r="A258" s="4" t="s">
        <v>21</v>
      </c>
      <c r="B258" s="4" t="s">
        <v>38</v>
      </c>
      <c r="C258" s="4" t="s">
        <v>39</v>
      </c>
      <c r="D258" s="4" t="s">
        <v>44</v>
      </c>
      <c r="E258" s="4" t="s">
        <v>25</v>
      </c>
      <c r="F258" s="4" t="s">
        <v>25</v>
      </c>
      <c r="G258" s="4" t="s">
        <v>25</v>
      </c>
      <c r="H258" s="4" t="s">
        <v>33</v>
      </c>
      <c r="I258" s="5">
        <v>44501</v>
      </c>
      <c r="J258" s="6">
        <v>0</v>
      </c>
      <c r="K258" s="6">
        <v>0</v>
      </c>
      <c r="L258" s="6">
        <v>3.4860000000000002</v>
      </c>
      <c r="M258" s="6">
        <v>3.4860000000000002</v>
      </c>
      <c r="N258" s="6">
        <v>3.4860000000000002</v>
      </c>
      <c r="O258" s="6">
        <v>3.4860000000000002</v>
      </c>
      <c r="P258" s="6">
        <v>0</v>
      </c>
      <c r="Q258" s="4" t="s">
        <v>26</v>
      </c>
      <c r="R258" s="4">
        <v>0</v>
      </c>
      <c r="S258" s="6">
        <v>0</v>
      </c>
      <c r="T258" s="6">
        <v>21</v>
      </c>
      <c r="U258" s="6">
        <v>66</v>
      </c>
      <c r="V258" s="6">
        <f>IF(ISERROR(VLOOKUP($S$258,'TAR FIN'!$A$1:$O$86,15,0)),0,VLOOKUP($S$258,'TAR FIN'!$A$1:$O$86,15,0))</f>
        <v>0</v>
      </c>
      <c r="W258" s="6">
        <f>IF(ISERROR(VLOOKUP($T$258,'TAR FIN'!$A$1:$O$86,15,0)),0,VLOOKUP($T$258,'TAR FIN'!$A$1:$O$86,15,0))</f>
        <v>596.78</v>
      </c>
      <c r="X258" s="6">
        <f>IF(ISERROR(VLOOKUP($U$258,'TAR FIN'!$A$1:$O$86,15,0)),0,VLOOKUP($U$258,'TAR FIN'!$A$1:$O$86,15,0))</f>
        <v>503.82</v>
      </c>
      <c r="Y258" s="6"/>
      <c r="Z258" s="6">
        <f ca="1">('TUSD BE'!$AM$11+'TUSD BF_350'!$AM$11+'TUSD CVA'!$AM$11)*1</f>
        <v>625.67033946440574</v>
      </c>
      <c r="AA258" s="6">
        <f ca="1">('TE BE'!$AB$5+'TE BF_350'!$AB$5+'TE CVA'!$AB$5)*1</f>
        <v>398.01664046087393</v>
      </c>
      <c r="AB258" s="6">
        <f>$K$258*$V$258</f>
        <v>0</v>
      </c>
      <c r="AC258" s="6">
        <f>$M$258*$W$258</f>
        <v>2080.3750800000003</v>
      </c>
      <c r="AD258" s="6">
        <f>$O$258*$X$258</f>
        <v>1756.3165200000001</v>
      </c>
      <c r="AE258" s="6">
        <f>$K$258*$Y$258</f>
        <v>0</v>
      </c>
      <c r="AF258" s="6">
        <f ca="1">$M$258*$Z$258</f>
        <v>2181.0868033729184</v>
      </c>
      <c r="AG258" s="6">
        <f ca="1">$O$258*$AA$258</f>
        <v>1387.4860086466067</v>
      </c>
    </row>
    <row r="259" spans="1:33" ht="11.25" customHeight="1" x14ac:dyDescent="0.25">
      <c r="A259" s="4" t="s">
        <v>21</v>
      </c>
      <c r="B259" s="4" t="s">
        <v>38</v>
      </c>
      <c r="C259" s="4" t="s">
        <v>39</v>
      </c>
      <c r="D259" s="4" t="s">
        <v>44</v>
      </c>
      <c r="E259" s="4" t="s">
        <v>25</v>
      </c>
      <c r="F259" s="4" t="s">
        <v>25</v>
      </c>
      <c r="G259" s="4" t="s">
        <v>25</v>
      </c>
      <c r="H259" s="4" t="s">
        <v>33</v>
      </c>
      <c r="I259" s="5">
        <v>44531</v>
      </c>
      <c r="J259" s="6">
        <v>0</v>
      </c>
      <c r="K259" s="6">
        <v>0</v>
      </c>
      <c r="L259" s="6">
        <v>4.6760000000000002</v>
      </c>
      <c r="M259" s="6">
        <v>4.6760000000000002</v>
      </c>
      <c r="N259" s="6">
        <v>4.6760000000000002</v>
      </c>
      <c r="O259" s="6">
        <v>4.6760000000000002</v>
      </c>
      <c r="P259" s="6">
        <v>0</v>
      </c>
      <c r="Q259" s="4" t="s">
        <v>26</v>
      </c>
      <c r="R259" s="4">
        <v>0</v>
      </c>
      <c r="S259" s="6">
        <v>0</v>
      </c>
      <c r="T259" s="6">
        <v>21</v>
      </c>
      <c r="U259" s="6">
        <v>66</v>
      </c>
      <c r="V259" s="6">
        <f>IF(ISERROR(VLOOKUP($S$259,'TAR FIN'!$A$1:$O$86,15,0)),0,VLOOKUP($S$259,'TAR FIN'!$A$1:$O$86,15,0))</f>
        <v>0</v>
      </c>
      <c r="W259" s="6">
        <f>IF(ISERROR(VLOOKUP($T$259,'TAR FIN'!$A$1:$O$86,15,0)),0,VLOOKUP($T$259,'TAR FIN'!$A$1:$O$86,15,0))</f>
        <v>596.78</v>
      </c>
      <c r="X259" s="6">
        <f>IF(ISERROR(VLOOKUP($U$259,'TAR FIN'!$A$1:$O$86,15,0)),0,VLOOKUP($U$259,'TAR FIN'!$A$1:$O$86,15,0))</f>
        <v>503.82</v>
      </c>
      <c r="Y259" s="6"/>
      <c r="Z259" s="6">
        <f ca="1">('TUSD BE'!$AM$11+'TUSD BF_350'!$AM$11+'TUSD CVA'!$AM$11)*1</f>
        <v>625.67033946440574</v>
      </c>
      <c r="AA259" s="6">
        <f ca="1">('TE BE'!$AB$5+'TE BF_350'!$AB$5+'TE CVA'!$AB$5)*1</f>
        <v>398.01664046087393</v>
      </c>
      <c r="AB259" s="6">
        <f>$K$259*$V$259</f>
        <v>0</v>
      </c>
      <c r="AC259" s="6">
        <f>$M$259*$W$259</f>
        <v>2790.5432799999999</v>
      </c>
      <c r="AD259" s="6">
        <f>$O$259*$X$259</f>
        <v>2355.8623200000002</v>
      </c>
      <c r="AE259" s="6">
        <f>$K$259*$Y$259</f>
        <v>0</v>
      </c>
      <c r="AF259" s="6">
        <f ca="1">$M$259*$Z$259</f>
        <v>2925.6345073355615</v>
      </c>
      <c r="AG259" s="6">
        <f ca="1">$O$259*$AA$259</f>
        <v>1861.1258107950466</v>
      </c>
    </row>
    <row r="260" spans="1:33" ht="11.25" customHeight="1" x14ac:dyDescent="0.25">
      <c r="A260" s="4" t="s">
        <v>21</v>
      </c>
      <c r="B260" s="4" t="s">
        <v>38</v>
      </c>
      <c r="C260" s="4" t="s">
        <v>39</v>
      </c>
      <c r="D260" s="4" t="s">
        <v>44</v>
      </c>
      <c r="E260" s="4" t="s">
        <v>25</v>
      </c>
      <c r="F260" s="4" t="s">
        <v>25</v>
      </c>
      <c r="G260" s="4" t="s">
        <v>25</v>
      </c>
      <c r="H260" s="4" t="s">
        <v>33</v>
      </c>
      <c r="I260" s="5">
        <v>44562</v>
      </c>
      <c r="J260" s="6">
        <v>0</v>
      </c>
      <c r="K260" s="6">
        <v>0</v>
      </c>
      <c r="L260" s="6">
        <v>4.0830000000000002</v>
      </c>
      <c r="M260" s="6">
        <v>4.0830000000000002</v>
      </c>
      <c r="N260" s="6">
        <v>4.0830000000000002</v>
      </c>
      <c r="O260" s="6">
        <v>4.0830000000000002</v>
      </c>
      <c r="P260" s="6">
        <v>0</v>
      </c>
      <c r="Q260" s="4" t="s">
        <v>26</v>
      </c>
      <c r="R260" s="4">
        <v>0</v>
      </c>
      <c r="S260" s="6">
        <v>0</v>
      </c>
      <c r="T260" s="6">
        <v>21</v>
      </c>
      <c r="U260" s="6">
        <v>66</v>
      </c>
      <c r="V260" s="6">
        <f>IF(ISERROR(VLOOKUP($S$260,'TAR FIN'!$A$1:$O$86,15,0)),0,VLOOKUP($S$260,'TAR FIN'!$A$1:$O$86,15,0))</f>
        <v>0</v>
      </c>
      <c r="W260" s="6">
        <f>IF(ISERROR(VLOOKUP($T$260,'TAR FIN'!$A$1:$O$86,15,0)),0,VLOOKUP($T$260,'TAR FIN'!$A$1:$O$86,15,0))</f>
        <v>596.78</v>
      </c>
      <c r="X260" s="6">
        <f>IF(ISERROR(VLOOKUP($U$260,'TAR FIN'!$A$1:$O$86,15,0)),0,VLOOKUP($U$260,'TAR FIN'!$A$1:$O$86,15,0))</f>
        <v>503.82</v>
      </c>
      <c r="Y260" s="6"/>
      <c r="Z260" s="6">
        <f ca="1">('TUSD BE'!$AM$11+'TUSD BF_350'!$AM$11+'TUSD CVA'!$AM$11)*1</f>
        <v>625.67033946440574</v>
      </c>
      <c r="AA260" s="6">
        <f ca="1">('TE BE'!$AB$5+'TE BF_350'!$AB$5+'TE CVA'!$AB$5)*1</f>
        <v>398.01664046087393</v>
      </c>
      <c r="AB260" s="6">
        <f>$K$260*$V$260</f>
        <v>0</v>
      </c>
      <c r="AC260" s="6">
        <f>$M$260*$W$260</f>
        <v>2436.65274</v>
      </c>
      <c r="AD260" s="6">
        <f>$O$260*$X$260</f>
        <v>2057.0970600000001</v>
      </c>
      <c r="AE260" s="6">
        <f>$K$260*$Y$260</f>
        <v>0</v>
      </c>
      <c r="AF260" s="6">
        <f ca="1">$M$260*$Z$260</f>
        <v>2554.6119960331689</v>
      </c>
      <c r="AG260" s="6">
        <f ca="1">$O$260*$AA$260</f>
        <v>1625.1019430017484</v>
      </c>
    </row>
    <row r="261" spans="1:33" ht="11.25" customHeight="1" x14ac:dyDescent="0.25">
      <c r="A261" s="4" t="s">
        <v>21</v>
      </c>
      <c r="B261" s="4" t="s">
        <v>38</v>
      </c>
      <c r="C261" s="4" t="s">
        <v>39</v>
      </c>
      <c r="D261" s="4" t="s">
        <v>44</v>
      </c>
      <c r="E261" s="4" t="s">
        <v>25</v>
      </c>
      <c r="F261" s="4" t="s">
        <v>25</v>
      </c>
      <c r="G261" s="4" t="s">
        <v>25</v>
      </c>
      <c r="H261" s="4" t="s">
        <v>33</v>
      </c>
      <c r="I261" s="5">
        <v>44593</v>
      </c>
      <c r="J261" s="6">
        <v>0</v>
      </c>
      <c r="K261" s="6">
        <v>0</v>
      </c>
      <c r="L261" s="6">
        <v>5.4509999999999996</v>
      </c>
      <c r="M261" s="6">
        <v>5.4509999999999996</v>
      </c>
      <c r="N261" s="6">
        <v>5.4509999999999996</v>
      </c>
      <c r="O261" s="6">
        <v>5.4509999999999996</v>
      </c>
      <c r="P261" s="6">
        <v>0</v>
      </c>
      <c r="Q261" s="4" t="s">
        <v>26</v>
      </c>
      <c r="R261" s="4">
        <v>0</v>
      </c>
      <c r="S261" s="6">
        <v>0</v>
      </c>
      <c r="T261" s="6">
        <v>21</v>
      </c>
      <c r="U261" s="6">
        <v>66</v>
      </c>
      <c r="V261" s="6">
        <f>IF(ISERROR(VLOOKUP($S$261,'TAR FIN'!$A$1:$O$86,15,0)),0,VLOOKUP($S$261,'TAR FIN'!$A$1:$O$86,15,0))</f>
        <v>0</v>
      </c>
      <c r="W261" s="6">
        <f>IF(ISERROR(VLOOKUP($T$261,'TAR FIN'!$A$1:$O$86,15,0)),0,VLOOKUP($T$261,'TAR FIN'!$A$1:$O$86,15,0))</f>
        <v>596.78</v>
      </c>
      <c r="X261" s="6">
        <f>IF(ISERROR(VLOOKUP($U$261,'TAR FIN'!$A$1:$O$86,15,0)),0,VLOOKUP($U$261,'TAR FIN'!$A$1:$O$86,15,0))</f>
        <v>503.82</v>
      </c>
      <c r="Y261" s="6"/>
      <c r="Z261" s="6">
        <f ca="1">('TUSD BE'!$AM$11+'TUSD BF_350'!$AM$11+'TUSD CVA'!$AM$11)*1</f>
        <v>625.67033946440574</v>
      </c>
      <c r="AA261" s="6">
        <f ca="1">('TE BE'!$AB$5+'TE BF_350'!$AB$5+'TE CVA'!$AB$5)*1</f>
        <v>398.01664046087393</v>
      </c>
      <c r="AB261" s="6">
        <f>$K$261*$V$261</f>
        <v>0</v>
      </c>
      <c r="AC261" s="6">
        <f>$M$261*$W$261</f>
        <v>3253.0477799999994</v>
      </c>
      <c r="AD261" s="6">
        <f>$O$261*$X$261</f>
        <v>2746.3228199999999</v>
      </c>
      <c r="AE261" s="6">
        <f>$K$261*$Y$261</f>
        <v>0</v>
      </c>
      <c r="AF261" s="6">
        <f ca="1">$M$261*$Z$261</f>
        <v>3410.5290204204753</v>
      </c>
      <c r="AG261" s="6">
        <f ca="1">$O$261*$AA$261</f>
        <v>2169.5887071522238</v>
      </c>
    </row>
    <row r="262" spans="1:33" ht="11.25" customHeight="1" x14ac:dyDescent="0.25">
      <c r="A262" s="4" t="s">
        <v>21</v>
      </c>
      <c r="B262" s="4" t="s">
        <v>38</v>
      </c>
      <c r="C262" s="4" t="s">
        <v>39</v>
      </c>
      <c r="D262" s="4" t="s">
        <v>44</v>
      </c>
      <c r="E262" s="4" t="s">
        <v>25</v>
      </c>
      <c r="F262" s="4" t="s">
        <v>25</v>
      </c>
      <c r="G262" s="4" t="s">
        <v>25</v>
      </c>
      <c r="H262" s="4" t="s">
        <v>33</v>
      </c>
      <c r="I262" s="5">
        <v>44621</v>
      </c>
      <c r="J262" s="6">
        <v>0</v>
      </c>
      <c r="K262" s="6">
        <v>0</v>
      </c>
      <c r="L262" s="6">
        <v>8.0389999999999997</v>
      </c>
      <c r="M262" s="6">
        <v>8.0389999999999997</v>
      </c>
      <c r="N262" s="6">
        <v>8.0389999999999997</v>
      </c>
      <c r="O262" s="6">
        <v>8.0389999999999997</v>
      </c>
      <c r="P262" s="6">
        <v>0</v>
      </c>
      <c r="Q262" s="4" t="s">
        <v>26</v>
      </c>
      <c r="R262" s="4">
        <v>0</v>
      </c>
      <c r="S262" s="6">
        <v>0</v>
      </c>
      <c r="T262" s="6">
        <v>21</v>
      </c>
      <c r="U262" s="6">
        <v>66</v>
      </c>
      <c r="V262" s="6">
        <f>IF(ISERROR(VLOOKUP($S$262,'TAR FIN'!$A$1:$O$86,15,0)),0,VLOOKUP($S$262,'TAR FIN'!$A$1:$O$86,15,0))</f>
        <v>0</v>
      </c>
      <c r="W262" s="6">
        <f>IF(ISERROR(VLOOKUP($T$262,'TAR FIN'!$A$1:$O$86,15,0)),0,VLOOKUP($T$262,'TAR FIN'!$A$1:$O$86,15,0))</f>
        <v>596.78</v>
      </c>
      <c r="X262" s="6">
        <f>IF(ISERROR(VLOOKUP($U$262,'TAR FIN'!$A$1:$O$86,15,0)),0,VLOOKUP($U$262,'TAR FIN'!$A$1:$O$86,15,0))</f>
        <v>503.82</v>
      </c>
      <c r="Y262" s="6"/>
      <c r="Z262" s="6">
        <f ca="1">('TUSD BE'!$AM$11+'TUSD BF_350'!$AM$11+'TUSD CVA'!$AM$11)*1</f>
        <v>625.67033946440574</v>
      </c>
      <c r="AA262" s="6">
        <f ca="1">('TE BE'!$AB$5+'TE BF_350'!$AB$5+'TE CVA'!$AB$5)*1</f>
        <v>398.01664046087393</v>
      </c>
      <c r="AB262" s="6">
        <f>$K$262*$V$262</f>
        <v>0</v>
      </c>
      <c r="AC262" s="6">
        <f>$M$262*$W$262</f>
        <v>4797.5144199999995</v>
      </c>
      <c r="AD262" s="6">
        <f>$O$262*$X$262</f>
        <v>4050.2089799999999</v>
      </c>
      <c r="AE262" s="6">
        <f>$K$262*$Y$262</f>
        <v>0</v>
      </c>
      <c r="AF262" s="6">
        <f ca="1">$M$262*$Z$262</f>
        <v>5029.7638589543576</v>
      </c>
      <c r="AG262" s="6">
        <f ca="1">$O$262*$AA$262</f>
        <v>3199.6557726649653</v>
      </c>
    </row>
    <row r="263" spans="1:33" ht="11.25" customHeight="1" x14ac:dyDescent="0.25">
      <c r="A263" s="4" t="s">
        <v>21</v>
      </c>
      <c r="B263" s="4" t="s">
        <v>38</v>
      </c>
      <c r="C263" s="4" t="s">
        <v>39</v>
      </c>
      <c r="D263" s="4" t="s">
        <v>44</v>
      </c>
      <c r="E263" s="4" t="s">
        <v>25</v>
      </c>
      <c r="F263" s="4" t="s">
        <v>25</v>
      </c>
      <c r="G263" s="4" t="s">
        <v>25</v>
      </c>
      <c r="H263" s="4" t="s">
        <v>33</v>
      </c>
      <c r="I263" s="5">
        <v>44652</v>
      </c>
      <c r="J263" s="6">
        <v>0</v>
      </c>
      <c r="K263" s="6">
        <v>0</v>
      </c>
      <c r="L263" s="6">
        <v>5.1769999999999996</v>
      </c>
      <c r="M263" s="6">
        <v>5.1769999999999996</v>
      </c>
      <c r="N263" s="6">
        <v>5.1769999999999996</v>
      </c>
      <c r="O263" s="6">
        <v>5.1769999999999996</v>
      </c>
      <c r="P263" s="6">
        <v>0</v>
      </c>
      <c r="Q263" s="4" t="s">
        <v>26</v>
      </c>
      <c r="R263" s="4">
        <v>0</v>
      </c>
      <c r="S263" s="6">
        <v>0</v>
      </c>
      <c r="T263" s="6">
        <v>21</v>
      </c>
      <c r="U263" s="6">
        <v>66</v>
      </c>
      <c r="V263" s="6">
        <f>IF(ISERROR(VLOOKUP($S$263,'TAR FIN'!$A$1:$O$86,15,0)),0,VLOOKUP($S$263,'TAR FIN'!$A$1:$O$86,15,0))</f>
        <v>0</v>
      </c>
      <c r="W263" s="6">
        <f>IF(ISERROR(VLOOKUP($T$263,'TAR FIN'!$A$1:$O$86,15,0)),0,VLOOKUP($T$263,'TAR FIN'!$A$1:$O$86,15,0))</f>
        <v>596.78</v>
      </c>
      <c r="X263" s="6">
        <f>IF(ISERROR(VLOOKUP($U$263,'TAR FIN'!$A$1:$O$86,15,0)),0,VLOOKUP($U$263,'TAR FIN'!$A$1:$O$86,15,0))</f>
        <v>503.82</v>
      </c>
      <c r="Y263" s="6"/>
      <c r="Z263" s="6">
        <f ca="1">('TUSD BE'!$AM$11+'TUSD BF_350'!$AM$11+'TUSD CVA'!$AM$11)*1</f>
        <v>625.67033946440574</v>
      </c>
      <c r="AA263" s="6">
        <f ca="1">('TE BE'!$AB$5+'TE BF_350'!$AB$5+'TE CVA'!$AB$5)*1</f>
        <v>398.01664046087393</v>
      </c>
      <c r="AB263" s="6">
        <f>$K$263*$V$263</f>
        <v>0</v>
      </c>
      <c r="AC263" s="6">
        <f>$M$263*$W$263</f>
        <v>3089.5300599999996</v>
      </c>
      <c r="AD263" s="6">
        <f>$O$263*$X$263</f>
        <v>2608.2761399999999</v>
      </c>
      <c r="AE263" s="6">
        <f>$K$263*$Y$263</f>
        <v>0</v>
      </c>
      <c r="AF263" s="6">
        <f ca="1">$M$263*$Z$263</f>
        <v>3239.0953474072285</v>
      </c>
      <c r="AG263" s="6">
        <f ca="1">$O$263*$AA$263</f>
        <v>2060.5321476659442</v>
      </c>
    </row>
    <row r="264" spans="1:33" ht="11.25" customHeight="1" x14ac:dyDescent="0.25">
      <c r="A264" s="4" t="s">
        <v>21</v>
      </c>
      <c r="B264" s="4" t="s">
        <v>38</v>
      </c>
      <c r="C264" s="4" t="s">
        <v>39</v>
      </c>
      <c r="D264" s="4" t="s">
        <v>44</v>
      </c>
      <c r="E264" s="4" t="s">
        <v>25</v>
      </c>
      <c r="F264" s="4" t="s">
        <v>25</v>
      </c>
      <c r="G264" s="4" t="s">
        <v>25</v>
      </c>
      <c r="H264" s="4" t="s">
        <v>33</v>
      </c>
      <c r="I264" s="5">
        <v>44682</v>
      </c>
      <c r="J264" s="6">
        <v>0</v>
      </c>
      <c r="K264" s="6">
        <v>0</v>
      </c>
      <c r="L264" s="6">
        <v>6.2240000000000002</v>
      </c>
      <c r="M264" s="6">
        <v>6.2240000000000002</v>
      </c>
      <c r="N264" s="6">
        <v>6.2240000000000002</v>
      </c>
      <c r="O264" s="6">
        <v>6.2240000000000002</v>
      </c>
      <c r="P264" s="6">
        <v>0</v>
      </c>
      <c r="Q264" s="4" t="s">
        <v>26</v>
      </c>
      <c r="R264" s="4">
        <v>0</v>
      </c>
      <c r="S264" s="6">
        <v>0</v>
      </c>
      <c r="T264" s="6">
        <v>21</v>
      </c>
      <c r="U264" s="6">
        <v>66</v>
      </c>
      <c r="V264" s="6">
        <f>IF(ISERROR(VLOOKUP($S$264,'TAR FIN'!$A$1:$O$86,15,0)),0,VLOOKUP($S$264,'TAR FIN'!$A$1:$O$86,15,0))</f>
        <v>0</v>
      </c>
      <c r="W264" s="6">
        <f>IF(ISERROR(VLOOKUP($T$264,'TAR FIN'!$A$1:$O$86,15,0)),0,VLOOKUP($T$264,'TAR FIN'!$A$1:$O$86,15,0))</f>
        <v>596.78</v>
      </c>
      <c r="X264" s="6">
        <f>IF(ISERROR(VLOOKUP($U$264,'TAR FIN'!$A$1:$O$86,15,0)),0,VLOOKUP($U$264,'TAR FIN'!$A$1:$O$86,15,0))</f>
        <v>503.82</v>
      </c>
      <c r="Y264" s="6"/>
      <c r="Z264" s="6">
        <f ca="1">('TUSD BE'!$AM$11+'TUSD BF_350'!$AM$11+'TUSD CVA'!$AM$11)*1</f>
        <v>625.67033946440574</v>
      </c>
      <c r="AA264" s="6">
        <f ca="1">('TE BE'!$AB$5+'TE BF_350'!$AB$5+'TE CVA'!$AB$5)*1</f>
        <v>398.01664046087393</v>
      </c>
      <c r="AB264" s="6">
        <f>$K$264*$V$264</f>
        <v>0</v>
      </c>
      <c r="AC264" s="6">
        <f>$M$264*$W$264</f>
        <v>3714.3587200000002</v>
      </c>
      <c r="AD264" s="6">
        <f>$O$264*$X$264</f>
        <v>3135.7756800000002</v>
      </c>
      <c r="AE264" s="6">
        <f>$K$264*$Y$264</f>
        <v>0</v>
      </c>
      <c r="AF264" s="6">
        <f ca="1">$M$264*$Z$264</f>
        <v>3894.1721928264615</v>
      </c>
      <c r="AG264" s="6">
        <f ca="1">$O$264*$AA$264</f>
        <v>2477.2555702284794</v>
      </c>
    </row>
    <row r="265" spans="1:33" ht="11.25" customHeight="1" x14ac:dyDescent="0.25">
      <c r="A265" s="4" t="s">
        <v>55</v>
      </c>
      <c r="B265" s="4" t="s">
        <v>38</v>
      </c>
      <c r="C265" s="4" t="s">
        <v>39</v>
      </c>
      <c r="D265" s="4" t="s">
        <v>44</v>
      </c>
      <c r="E265" s="4" t="s">
        <v>25</v>
      </c>
      <c r="F265" s="4" t="s">
        <v>25</v>
      </c>
      <c r="G265" s="4" t="s">
        <v>25</v>
      </c>
      <c r="H265" s="4" t="s">
        <v>33</v>
      </c>
      <c r="I265" s="5">
        <v>44713</v>
      </c>
      <c r="J265" s="6">
        <v>0</v>
      </c>
      <c r="K265" s="6">
        <v>0</v>
      </c>
      <c r="L265" s="6">
        <v>6.2240000000000002</v>
      </c>
      <c r="M265" s="6">
        <v>6.2240000000000002</v>
      </c>
      <c r="N265" s="6">
        <v>6.2240000000000002</v>
      </c>
      <c r="O265" s="6">
        <v>6.2240000000000002</v>
      </c>
      <c r="P265" s="6">
        <v>0</v>
      </c>
      <c r="Q265" s="4" t="s">
        <v>26</v>
      </c>
      <c r="R265" s="4">
        <v>0</v>
      </c>
      <c r="S265" s="6">
        <v>0</v>
      </c>
      <c r="T265" s="6">
        <v>21</v>
      </c>
      <c r="U265" s="6">
        <v>66</v>
      </c>
      <c r="V265" s="6">
        <f>IF(ISERROR(VLOOKUP($S$265,'TAR FIN'!$A$1:$O$86,15,0)),0,VLOOKUP($S$265,'TAR FIN'!$A$1:$O$86,15,0))</f>
        <v>0</v>
      </c>
      <c r="W265" s="6">
        <f>IF(ISERROR(VLOOKUP($T$265,'TAR FIN'!$A$1:$O$86,15,0)),0,VLOOKUP($T$265,'TAR FIN'!$A$1:$O$86,15,0))</f>
        <v>596.78</v>
      </c>
      <c r="X265" s="6">
        <f>IF(ISERROR(VLOOKUP($U$265,'TAR FIN'!$A$1:$O$86,15,0)),0,VLOOKUP($U$265,'TAR FIN'!$A$1:$O$86,15,0))</f>
        <v>503.82</v>
      </c>
      <c r="Y265" s="6"/>
      <c r="Z265" s="6">
        <f ca="1">('TUSD BE'!$AM$11+'TUSD BF_350'!$AM$11+'TUSD CVA'!$AM$11)*1</f>
        <v>625.67033946440574</v>
      </c>
      <c r="AA265" s="6">
        <f ca="1">('TE BE'!$AB$5+'TE BF_350'!$AB$5+'TE CVA'!$AB$5)*1</f>
        <v>398.01664046087393</v>
      </c>
      <c r="AB265" s="6">
        <f>$K$265*$V$265</f>
        <v>0</v>
      </c>
      <c r="AC265" s="6">
        <f>$M$265*$W$265</f>
        <v>3714.3587200000002</v>
      </c>
      <c r="AD265" s="6">
        <f>$O$265*$X$265</f>
        <v>3135.7756800000002</v>
      </c>
      <c r="AE265" s="6">
        <f>$K$265*$Y$265</f>
        <v>0</v>
      </c>
      <c r="AF265" s="6">
        <f ca="1">$M$265*$Z$265</f>
        <v>3894.1721928264615</v>
      </c>
      <c r="AG265" s="6">
        <f ca="1">$O$265*$AA$265</f>
        <v>2477.2555702284794</v>
      </c>
    </row>
    <row r="266" spans="1:33" ht="11.25" customHeight="1" x14ac:dyDescent="0.25">
      <c r="A266" s="4" t="s">
        <v>21</v>
      </c>
      <c r="B266" s="4" t="s">
        <v>38</v>
      </c>
      <c r="C266" s="4" t="s">
        <v>39</v>
      </c>
      <c r="D266" s="4" t="s">
        <v>43</v>
      </c>
      <c r="E266" s="4" t="s">
        <v>52</v>
      </c>
      <c r="F266" s="4" t="s">
        <v>54</v>
      </c>
      <c r="G266" s="4" t="s">
        <v>25</v>
      </c>
      <c r="H266" s="4" t="s">
        <v>34</v>
      </c>
      <c r="I266" s="5">
        <v>44378</v>
      </c>
      <c r="J266" s="6">
        <v>0</v>
      </c>
      <c r="K266" s="6">
        <v>0</v>
      </c>
      <c r="L266" s="6">
        <v>0.152</v>
      </c>
      <c r="M266" s="6">
        <v>4.5600000000000002E-2</v>
      </c>
      <c r="N266" s="6">
        <v>0.152</v>
      </c>
      <c r="O266" s="6">
        <v>4.5600000000000002E-2</v>
      </c>
      <c r="P266" s="6">
        <v>0</v>
      </c>
      <c r="Q266" s="4" t="s">
        <v>26</v>
      </c>
      <c r="R266" s="4">
        <v>0</v>
      </c>
      <c r="S266" s="6">
        <v>0</v>
      </c>
      <c r="T266" s="6">
        <v>17</v>
      </c>
      <c r="U266" s="6">
        <v>78</v>
      </c>
      <c r="V266" s="6">
        <f>IF(ISERROR(VLOOKUP($S$266,'TAR FIN'!$A$1:$O$86,15,0)),0,VLOOKUP($S$266,'TAR FIN'!$A$1:$O$86,15,0))</f>
        <v>0</v>
      </c>
      <c r="W266" s="6">
        <f>IF(ISERROR(VLOOKUP($T$266,'TAR FIN'!$A$1:$O$86,15,0)),0,VLOOKUP($T$266,'TAR FIN'!$A$1:$O$86,15,0))</f>
        <v>71.260000000000005</v>
      </c>
      <c r="X266" s="6">
        <f>IF(ISERROR(VLOOKUP($U$266,'TAR FIN'!$A$1:$O$86,15,0)),0,VLOOKUP($U$266,'TAR FIN'!$A$1:$O$86,15,0))</f>
        <v>297.31</v>
      </c>
      <c r="Y266" s="6"/>
      <c r="Z266" s="6">
        <f ca="1">('TUSD BE'!$AM$12+'TUSD BF_350'!$AM$12+'TUSD CVA'!$AM$12)*1</f>
        <v>95.815448102611441</v>
      </c>
      <c r="AA266" s="6">
        <f ca="1">('TE BE'!$AB$6+'TE BF_350'!$AB$6+'TE CVA'!$AB$6)*1</f>
        <v>235.33989117487977</v>
      </c>
      <c r="AB266" s="6">
        <f>$K$266*$V$266</f>
        <v>0</v>
      </c>
      <c r="AC266" s="6">
        <f>$M$266*$W$266</f>
        <v>3.2494560000000003</v>
      </c>
      <c r="AD266" s="6">
        <f>$O$266*$X$266</f>
        <v>13.557336000000001</v>
      </c>
      <c r="AE266" s="6">
        <f>$K$266*$Y$266</f>
        <v>0</v>
      </c>
      <c r="AF266" s="6">
        <f ca="1">$M$266*$Z$266</f>
        <v>4.3691844334790817</v>
      </c>
      <c r="AG266" s="6">
        <f ca="1">$O$266*$AA$266</f>
        <v>10.731499037574517</v>
      </c>
    </row>
    <row r="267" spans="1:33" ht="11.25" customHeight="1" x14ac:dyDescent="0.25">
      <c r="A267" s="4" t="s">
        <v>21</v>
      </c>
      <c r="B267" s="4" t="s">
        <v>38</v>
      </c>
      <c r="C267" s="4" t="s">
        <v>39</v>
      </c>
      <c r="D267" s="4" t="s">
        <v>43</v>
      </c>
      <c r="E267" s="4" t="s">
        <v>52</v>
      </c>
      <c r="F267" s="4" t="s">
        <v>54</v>
      </c>
      <c r="G267" s="4" t="s">
        <v>25</v>
      </c>
      <c r="H267" s="4" t="s">
        <v>34</v>
      </c>
      <c r="I267" s="5">
        <v>44409</v>
      </c>
      <c r="J267" s="6">
        <v>0</v>
      </c>
      <c r="K267" s="6">
        <v>0</v>
      </c>
      <c r="L267" s="6">
        <v>0.182</v>
      </c>
      <c r="M267" s="6">
        <v>5.4600000000000003E-2</v>
      </c>
      <c r="N267" s="6">
        <v>0.182</v>
      </c>
      <c r="O267" s="6">
        <v>5.4600000000000003E-2</v>
      </c>
      <c r="P267" s="6">
        <v>0</v>
      </c>
      <c r="Q267" s="4" t="s">
        <v>26</v>
      </c>
      <c r="R267" s="4">
        <v>0</v>
      </c>
      <c r="S267" s="6">
        <v>0</v>
      </c>
      <c r="T267" s="6">
        <v>17</v>
      </c>
      <c r="U267" s="6">
        <v>78</v>
      </c>
      <c r="V267" s="6">
        <f>IF(ISERROR(VLOOKUP($S$267,'TAR FIN'!$A$1:$O$86,15,0)),0,VLOOKUP($S$267,'TAR FIN'!$A$1:$O$86,15,0))</f>
        <v>0</v>
      </c>
      <c r="W267" s="6">
        <f>IF(ISERROR(VLOOKUP($T$267,'TAR FIN'!$A$1:$O$86,15,0)),0,VLOOKUP($T$267,'TAR FIN'!$A$1:$O$86,15,0))</f>
        <v>71.260000000000005</v>
      </c>
      <c r="X267" s="6">
        <f>IF(ISERROR(VLOOKUP($U$267,'TAR FIN'!$A$1:$O$86,15,0)),0,VLOOKUP($U$267,'TAR FIN'!$A$1:$O$86,15,0))</f>
        <v>297.31</v>
      </c>
      <c r="Y267" s="6"/>
      <c r="Z267" s="6">
        <f ca="1">('TUSD BE'!$AM$12+'TUSD BF_350'!$AM$12+'TUSD CVA'!$AM$12)*1</f>
        <v>95.815448102611441</v>
      </c>
      <c r="AA267" s="6">
        <f ca="1">('TE BE'!$AB$6+'TE BF_350'!$AB$6+'TE CVA'!$AB$6)*1</f>
        <v>235.33989117487977</v>
      </c>
      <c r="AB267" s="6">
        <f>$K$267*$V$267</f>
        <v>0</v>
      </c>
      <c r="AC267" s="6">
        <f>$M$267*$W$267</f>
        <v>3.8907960000000004</v>
      </c>
      <c r="AD267" s="6">
        <f>$O$267*$X$267</f>
        <v>16.233126000000002</v>
      </c>
      <c r="AE267" s="6">
        <f>$K$267*$Y$267</f>
        <v>0</v>
      </c>
      <c r="AF267" s="6">
        <f ca="1">$M$267*$Z$267</f>
        <v>5.2315234664025851</v>
      </c>
      <c r="AG267" s="6">
        <f ca="1">$O$267*$AA$267</f>
        <v>12.849558058148435</v>
      </c>
    </row>
    <row r="268" spans="1:33" ht="11.25" customHeight="1" x14ac:dyDescent="0.25">
      <c r="A268" s="4" t="s">
        <v>21</v>
      </c>
      <c r="B268" s="4" t="s">
        <v>38</v>
      </c>
      <c r="C268" s="4" t="s">
        <v>39</v>
      </c>
      <c r="D268" s="4" t="s">
        <v>43</v>
      </c>
      <c r="E268" s="4" t="s">
        <v>52</v>
      </c>
      <c r="F268" s="4" t="s">
        <v>54</v>
      </c>
      <c r="G268" s="4" t="s">
        <v>25</v>
      </c>
      <c r="H268" s="4" t="s">
        <v>34</v>
      </c>
      <c r="I268" s="5">
        <v>44440</v>
      </c>
      <c r="J268" s="6">
        <v>0</v>
      </c>
      <c r="K268" s="6">
        <v>0</v>
      </c>
      <c r="L268" s="6">
        <v>0.06</v>
      </c>
      <c r="M268" s="6">
        <v>1.7999999999999999E-2</v>
      </c>
      <c r="N268" s="6">
        <v>0.06</v>
      </c>
      <c r="O268" s="6">
        <v>1.7999999999999999E-2</v>
      </c>
      <c r="P268" s="6">
        <v>0</v>
      </c>
      <c r="Q268" s="4" t="s">
        <v>26</v>
      </c>
      <c r="R268" s="4">
        <v>0</v>
      </c>
      <c r="S268" s="6">
        <v>0</v>
      </c>
      <c r="T268" s="6">
        <v>17</v>
      </c>
      <c r="U268" s="6">
        <v>78</v>
      </c>
      <c r="V268" s="6">
        <f>IF(ISERROR(VLOOKUP($S$268,'TAR FIN'!$A$1:$O$86,15,0)),0,VLOOKUP($S$268,'TAR FIN'!$A$1:$O$86,15,0))</f>
        <v>0</v>
      </c>
      <c r="W268" s="6">
        <f>IF(ISERROR(VLOOKUP($T$268,'TAR FIN'!$A$1:$O$86,15,0)),0,VLOOKUP($T$268,'TAR FIN'!$A$1:$O$86,15,0))</f>
        <v>71.260000000000005</v>
      </c>
      <c r="X268" s="6">
        <f>IF(ISERROR(VLOOKUP($U$268,'TAR FIN'!$A$1:$O$86,15,0)),0,VLOOKUP($U$268,'TAR FIN'!$A$1:$O$86,15,0))</f>
        <v>297.31</v>
      </c>
      <c r="Y268" s="6"/>
      <c r="Z268" s="6">
        <f ca="1">('TUSD BE'!$AM$12+'TUSD BF_350'!$AM$12+'TUSD CVA'!$AM$12)*1</f>
        <v>95.815448102611441</v>
      </c>
      <c r="AA268" s="6">
        <f ca="1">('TE BE'!$AB$6+'TE BF_350'!$AB$6+'TE CVA'!$AB$6)*1</f>
        <v>235.33989117487977</v>
      </c>
      <c r="AB268" s="6">
        <f>$K$268*$V$268</f>
        <v>0</v>
      </c>
      <c r="AC268" s="6">
        <f>$M$268*$W$268</f>
        <v>1.28268</v>
      </c>
      <c r="AD268" s="6">
        <f>$O$268*$X$268</f>
        <v>5.3515799999999993</v>
      </c>
      <c r="AE268" s="6">
        <f>$K$268*$Y$268</f>
        <v>0</v>
      </c>
      <c r="AF268" s="6">
        <f ca="1">$M$268*$Z$268</f>
        <v>1.7246780658470058</v>
      </c>
      <c r="AG268" s="6">
        <f ca="1">$O$268*$AA$268</f>
        <v>4.2361180411478356</v>
      </c>
    </row>
    <row r="269" spans="1:33" ht="11.25" customHeight="1" x14ac:dyDescent="0.25">
      <c r="A269" s="4" t="s">
        <v>21</v>
      </c>
      <c r="B269" s="4" t="s">
        <v>38</v>
      </c>
      <c r="C269" s="4" t="s">
        <v>39</v>
      </c>
      <c r="D269" s="4" t="s">
        <v>43</v>
      </c>
      <c r="E269" s="4" t="s">
        <v>52</v>
      </c>
      <c r="F269" s="4" t="s">
        <v>54</v>
      </c>
      <c r="G269" s="4" t="s">
        <v>25</v>
      </c>
      <c r="H269" s="4" t="s">
        <v>34</v>
      </c>
      <c r="I269" s="5">
        <v>44470</v>
      </c>
      <c r="J269" s="6">
        <v>0</v>
      </c>
      <c r="K269" s="6">
        <v>0</v>
      </c>
      <c r="L269" s="6">
        <v>7.3</v>
      </c>
      <c r="M269" s="6">
        <v>2.19</v>
      </c>
      <c r="N269" s="6">
        <v>7.3</v>
      </c>
      <c r="O269" s="6">
        <v>2.19</v>
      </c>
      <c r="P269" s="6">
        <v>0</v>
      </c>
      <c r="Q269" s="4" t="s">
        <v>26</v>
      </c>
      <c r="R269" s="4">
        <v>0</v>
      </c>
      <c r="S269" s="6">
        <v>0</v>
      </c>
      <c r="T269" s="6">
        <v>17</v>
      </c>
      <c r="U269" s="6">
        <v>78</v>
      </c>
      <c r="V269" s="6">
        <f>IF(ISERROR(VLOOKUP($S$269,'TAR FIN'!$A$1:$O$86,15,0)),0,VLOOKUP($S$269,'TAR FIN'!$A$1:$O$86,15,0))</f>
        <v>0</v>
      </c>
      <c r="W269" s="6">
        <f>IF(ISERROR(VLOOKUP($T$269,'TAR FIN'!$A$1:$O$86,15,0)),0,VLOOKUP($T$269,'TAR FIN'!$A$1:$O$86,15,0))</f>
        <v>71.260000000000005</v>
      </c>
      <c r="X269" s="6">
        <f>IF(ISERROR(VLOOKUP($U$269,'TAR FIN'!$A$1:$O$86,15,0)),0,VLOOKUP($U$269,'TAR FIN'!$A$1:$O$86,15,0))</f>
        <v>297.31</v>
      </c>
      <c r="Y269" s="6"/>
      <c r="Z269" s="6">
        <f ca="1">('TUSD BE'!$AM$12+'TUSD BF_350'!$AM$12+'TUSD CVA'!$AM$12)*1</f>
        <v>95.815448102611441</v>
      </c>
      <c r="AA269" s="6">
        <f ca="1">('TE BE'!$AB$6+'TE BF_350'!$AB$6+'TE CVA'!$AB$6)*1</f>
        <v>235.33989117487977</v>
      </c>
      <c r="AB269" s="6">
        <f>$K$269*$V$269</f>
        <v>0</v>
      </c>
      <c r="AC269" s="6">
        <f>$M$269*$W$269</f>
        <v>156.05940000000001</v>
      </c>
      <c r="AD269" s="6">
        <f>$O$269*$X$269</f>
        <v>651.10889999999995</v>
      </c>
      <c r="AE269" s="6">
        <f>$K$269*$Y$269</f>
        <v>0</v>
      </c>
      <c r="AF269" s="6">
        <f ca="1">$M$269*$Z$269</f>
        <v>209.83583134471905</v>
      </c>
      <c r="AG269" s="6">
        <f ca="1">$O$269*$AA$269</f>
        <v>515.39436167298663</v>
      </c>
    </row>
    <row r="270" spans="1:33" ht="11.25" customHeight="1" x14ac:dyDescent="0.25">
      <c r="A270" s="4" t="s">
        <v>21</v>
      </c>
      <c r="B270" s="4" t="s">
        <v>38</v>
      </c>
      <c r="C270" s="4" t="s">
        <v>39</v>
      </c>
      <c r="D270" s="4" t="s">
        <v>43</v>
      </c>
      <c r="E270" s="4" t="s">
        <v>52</v>
      </c>
      <c r="F270" s="4" t="s">
        <v>54</v>
      </c>
      <c r="G270" s="4" t="s">
        <v>25</v>
      </c>
      <c r="H270" s="4" t="s">
        <v>34</v>
      </c>
      <c r="I270" s="5">
        <v>44501</v>
      </c>
      <c r="J270" s="6">
        <v>0</v>
      </c>
      <c r="K270" s="6">
        <v>0</v>
      </c>
      <c r="L270" s="6">
        <v>28.536999999999999</v>
      </c>
      <c r="M270" s="6">
        <v>8.5610999999999997</v>
      </c>
      <c r="N270" s="6">
        <v>28.536999999999999</v>
      </c>
      <c r="O270" s="6">
        <v>8.5610999999999997</v>
      </c>
      <c r="P270" s="6">
        <v>0</v>
      </c>
      <c r="Q270" s="4" t="s">
        <v>26</v>
      </c>
      <c r="R270" s="4">
        <v>0</v>
      </c>
      <c r="S270" s="6">
        <v>0</v>
      </c>
      <c r="T270" s="6">
        <v>17</v>
      </c>
      <c r="U270" s="6">
        <v>78</v>
      </c>
      <c r="V270" s="6">
        <f>IF(ISERROR(VLOOKUP($S$270,'TAR FIN'!$A$1:$O$86,15,0)),0,VLOOKUP($S$270,'TAR FIN'!$A$1:$O$86,15,0))</f>
        <v>0</v>
      </c>
      <c r="W270" s="6">
        <f>IF(ISERROR(VLOOKUP($T$270,'TAR FIN'!$A$1:$O$86,15,0)),0,VLOOKUP($T$270,'TAR FIN'!$A$1:$O$86,15,0))</f>
        <v>71.260000000000005</v>
      </c>
      <c r="X270" s="6">
        <f>IF(ISERROR(VLOOKUP($U$270,'TAR FIN'!$A$1:$O$86,15,0)),0,VLOOKUP($U$270,'TAR FIN'!$A$1:$O$86,15,0))</f>
        <v>297.31</v>
      </c>
      <c r="Y270" s="6"/>
      <c r="Z270" s="6">
        <f ca="1">('TUSD BE'!$AM$12+'TUSD BF_350'!$AM$12+'TUSD CVA'!$AM$12)*1</f>
        <v>95.815448102611441</v>
      </c>
      <c r="AA270" s="6">
        <f ca="1">('TE BE'!$AB$6+'TE BF_350'!$AB$6+'TE CVA'!$AB$6)*1</f>
        <v>235.33989117487977</v>
      </c>
      <c r="AB270" s="6">
        <f>$K$270*$V$270</f>
        <v>0</v>
      </c>
      <c r="AC270" s="6">
        <f>$M$270*$W$270</f>
        <v>610.063986</v>
      </c>
      <c r="AD270" s="6">
        <f>$O$270*$X$270</f>
        <v>2545.3006409999998</v>
      </c>
      <c r="AE270" s="6">
        <f>$K$270*$Y$270</f>
        <v>0</v>
      </c>
      <c r="AF270" s="6">
        <f ca="1">$M$270*$Z$270</f>
        <v>820.2856327512668</v>
      </c>
      <c r="AG270" s="6">
        <f ca="1">$O$270*$AA$270</f>
        <v>2014.7683423372632</v>
      </c>
    </row>
    <row r="271" spans="1:33" ht="11.25" customHeight="1" x14ac:dyDescent="0.25">
      <c r="A271" s="4" t="s">
        <v>21</v>
      </c>
      <c r="B271" s="4" t="s">
        <v>38</v>
      </c>
      <c r="C271" s="4" t="s">
        <v>39</v>
      </c>
      <c r="D271" s="4" t="s">
        <v>43</v>
      </c>
      <c r="E271" s="4" t="s">
        <v>52</v>
      </c>
      <c r="F271" s="4" t="s">
        <v>54</v>
      </c>
      <c r="G271" s="4" t="s">
        <v>25</v>
      </c>
      <c r="H271" s="4" t="s">
        <v>34</v>
      </c>
      <c r="I271" s="5">
        <v>44531</v>
      </c>
      <c r="J271" s="6">
        <v>0</v>
      </c>
      <c r="K271" s="6">
        <v>0</v>
      </c>
      <c r="L271" s="6">
        <v>63.548999999999999</v>
      </c>
      <c r="M271" s="6">
        <v>19.064699999999998</v>
      </c>
      <c r="N271" s="6">
        <v>63.548999999999999</v>
      </c>
      <c r="O271" s="6">
        <v>19.064699999999998</v>
      </c>
      <c r="P271" s="6">
        <v>0</v>
      </c>
      <c r="Q271" s="4" t="s">
        <v>26</v>
      </c>
      <c r="R271" s="4">
        <v>0</v>
      </c>
      <c r="S271" s="6">
        <v>0</v>
      </c>
      <c r="T271" s="6">
        <v>17</v>
      </c>
      <c r="U271" s="6">
        <v>78</v>
      </c>
      <c r="V271" s="6">
        <f>IF(ISERROR(VLOOKUP($S$271,'TAR FIN'!$A$1:$O$86,15,0)),0,VLOOKUP($S$271,'TAR FIN'!$A$1:$O$86,15,0))</f>
        <v>0</v>
      </c>
      <c r="W271" s="6">
        <f>IF(ISERROR(VLOOKUP($T$271,'TAR FIN'!$A$1:$O$86,15,0)),0,VLOOKUP($T$271,'TAR FIN'!$A$1:$O$86,15,0))</f>
        <v>71.260000000000005</v>
      </c>
      <c r="X271" s="6">
        <f>IF(ISERROR(VLOOKUP($U$271,'TAR FIN'!$A$1:$O$86,15,0)),0,VLOOKUP($U$271,'TAR FIN'!$A$1:$O$86,15,0))</f>
        <v>297.31</v>
      </c>
      <c r="Y271" s="6"/>
      <c r="Z271" s="6">
        <f ca="1">('TUSD BE'!$AM$12+'TUSD BF_350'!$AM$12+'TUSD CVA'!$AM$12)*1</f>
        <v>95.815448102611441</v>
      </c>
      <c r="AA271" s="6">
        <f ca="1">('TE BE'!$AB$6+'TE BF_350'!$AB$6+'TE CVA'!$AB$6)*1</f>
        <v>235.33989117487977</v>
      </c>
      <c r="AB271" s="6">
        <f>$K$271*$V$271</f>
        <v>0</v>
      </c>
      <c r="AC271" s="6">
        <f>$M$271*$W$271</f>
        <v>1358.550522</v>
      </c>
      <c r="AD271" s="6">
        <f>$O$271*$X$271</f>
        <v>5668.1259569999993</v>
      </c>
      <c r="AE271" s="6">
        <f>$K$271*$Y$271</f>
        <v>0</v>
      </c>
      <c r="AF271" s="6">
        <f ca="1">$M$271*$Z$271</f>
        <v>1826.6927734418562</v>
      </c>
      <c r="AG271" s="6">
        <f ca="1">$O$271*$AA$271</f>
        <v>4486.6844232817302</v>
      </c>
    </row>
    <row r="272" spans="1:33" ht="11.25" customHeight="1" x14ac:dyDescent="0.25">
      <c r="A272" s="4" t="s">
        <v>21</v>
      </c>
      <c r="B272" s="4" t="s">
        <v>38</v>
      </c>
      <c r="C272" s="4" t="s">
        <v>39</v>
      </c>
      <c r="D272" s="4" t="s">
        <v>43</v>
      </c>
      <c r="E272" s="4" t="s">
        <v>52</v>
      </c>
      <c r="F272" s="4" t="s">
        <v>54</v>
      </c>
      <c r="G272" s="4" t="s">
        <v>25</v>
      </c>
      <c r="H272" s="4" t="s">
        <v>34</v>
      </c>
      <c r="I272" s="5">
        <v>44562</v>
      </c>
      <c r="J272" s="6">
        <v>0</v>
      </c>
      <c r="K272" s="6">
        <v>0</v>
      </c>
      <c r="L272" s="6">
        <v>37.036999999999999</v>
      </c>
      <c r="M272" s="6">
        <v>11.1111</v>
      </c>
      <c r="N272" s="6">
        <v>37.036999999999999</v>
      </c>
      <c r="O272" s="6">
        <v>11.1111</v>
      </c>
      <c r="P272" s="6">
        <v>0</v>
      </c>
      <c r="Q272" s="4" t="s">
        <v>26</v>
      </c>
      <c r="R272" s="4">
        <v>0</v>
      </c>
      <c r="S272" s="6">
        <v>0</v>
      </c>
      <c r="T272" s="6">
        <v>17</v>
      </c>
      <c r="U272" s="6">
        <v>78</v>
      </c>
      <c r="V272" s="6">
        <f>IF(ISERROR(VLOOKUP($S$272,'TAR FIN'!$A$1:$O$86,15,0)),0,VLOOKUP($S$272,'TAR FIN'!$A$1:$O$86,15,0))</f>
        <v>0</v>
      </c>
      <c r="W272" s="6">
        <f>IF(ISERROR(VLOOKUP($T$272,'TAR FIN'!$A$1:$O$86,15,0)),0,VLOOKUP($T$272,'TAR FIN'!$A$1:$O$86,15,0))</f>
        <v>71.260000000000005</v>
      </c>
      <c r="X272" s="6">
        <f>IF(ISERROR(VLOOKUP($U$272,'TAR FIN'!$A$1:$O$86,15,0)),0,VLOOKUP($U$272,'TAR FIN'!$A$1:$O$86,15,0))</f>
        <v>297.31</v>
      </c>
      <c r="Y272" s="6"/>
      <c r="Z272" s="6">
        <f ca="1">('TUSD BE'!$AM$12+'TUSD BF_350'!$AM$12+'TUSD CVA'!$AM$12)*1</f>
        <v>95.815448102611441</v>
      </c>
      <c r="AA272" s="6">
        <f ca="1">('TE BE'!$AB$6+'TE BF_350'!$AB$6+'TE CVA'!$AB$6)*1</f>
        <v>235.33989117487977</v>
      </c>
      <c r="AB272" s="6">
        <f>$K$272*$V$272</f>
        <v>0</v>
      </c>
      <c r="AC272" s="6">
        <f>$M$272*$W$272</f>
        <v>791.77698600000008</v>
      </c>
      <c r="AD272" s="6">
        <f>$O$272*$X$272</f>
        <v>3303.4411410000002</v>
      </c>
      <c r="AE272" s="6">
        <f>$K$272*$Y$272</f>
        <v>0</v>
      </c>
      <c r="AF272" s="6">
        <f ca="1">$M$272*$Z$272</f>
        <v>1064.6150254129261</v>
      </c>
      <c r="AG272" s="6">
        <f ca="1">$O$272*$AA$272</f>
        <v>2614.8850648332068</v>
      </c>
    </row>
    <row r="273" spans="1:33" ht="11.25" customHeight="1" x14ac:dyDescent="0.25">
      <c r="A273" s="4" t="s">
        <v>21</v>
      </c>
      <c r="B273" s="4" t="s">
        <v>38</v>
      </c>
      <c r="C273" s="4" t="s">
        <v>39</v>
      </c>
      <c r="D273" s="4" t="s">
        <v>43</v>
      </c>
      <c r="E273" s="4" t="s">
        <v>52</v>
      </c>
      <c r="F273" s="4" t="s">
        <v>54</v>
      </c>
      <c r="G273" s="4" t="s">
        <v>25</v>
      </c>
      <c r="H273" s="4" t="s">
        <v>34</v>
      </c>
      <c r="I273" s="5">
        <v>44593</v>
      </c>
      <c r="J273" s="6">
        <v>0</v>
      </c>
      <c r="K273" s="6">
        <v>0</v>
      </c>
      <c r="L273" s="6">
        <v>32.451999999999998</v>
      </c>
      <c r="M273" s="6">
        <v>9.7355999999999998</v>
      </c>
      <c r="N273" s="6">
        <v>32.451999999999998</v>
      </c>
      <c r="O273" s="6">
        <v>9.7355999999999998</v>
      </c>
      <c r="P273" s="6">
        <v>0</v>
      </c>
      <c r="Q273" s="4" t="s">
        <v>26</v>
      </c>
      <c r="R273" s="4">
        <v>0</v>
      </c>
      <c r="S273" s="6">
        <v>0</v>
      </c>
      <c r="T273" s="6">
        <v>17</v>
      </c>
      <c r="U273" s="6">
        <v>78</v>
      </c>
      <c r="V273" s="6">
        <f>IF(ISERROR(VLOOKUP($S$273,'TAR FIN'!$A$1:$O$86,15,0)),0,VLOOKUP($S$273,'TAR FIN'!$A$1:$O$86,15,0))</f>
        <v>0</v>
      </c>
      <c r="W273" s="6">
        <f>IF(ISERROR(VLOOKUP($T$273,'TAR FIN'!$A$1:$O$86,15,0)),0,VLOOKUP($T$273,'TAR FIN'!$A$1:$O$86,15,0))</f>
        <v>71.260000000000005</v>
      </c>
      <c r="X273" s="6">
        <f>IF(ISERROR(VLOOKUP($U$273,'TAR FIN'!$A$1:$O$86,15,0)),0,VLOOKUP($U$273,'TAR FIN'!$A$1:$O$86,15,0))</f>
        <v>297.31</v>
      </c>
      <c r="Y273" s="6"/>
      <c r="Z273" s="6">
        <f ca="1">('TUSD BE'!$AM$12+'TUSD BF_350'!$AM$12+'TUSD CVA'!$AM$12)*1</f>
        <v>95.815448102611441</v>
      </c>
      <c r="AA273" s="6">
        <f ca="1">('TE BE'!$AB$6+'TE BF_350'!$AB$6+'TE CVA'!$AB$6)*1</f>
        <v>235.33989117487977</v>
      </c>
      <c r="AB273" s="6">
        <f>$K$273*$V$273</f>
        <v>0</v>
      </c>
      <c r="AC273" s="6">
        <f>$M$273*$W$273</f>
        <v>693.75885600000004</v>
      </c>
      <c r="AD273" s="6">
        <f>$O$273*$X$273</f>
        <v>2894.4912359999998</v>
      </c>
      <c r="AE273" s="6">
        <f>$K$273*$Y$273</f>
        <v>0</v>
      </c>
      <c r="AF273" s="6">
        <f ca="1">$M$273*$Z$273</f>
        <v>932.82087654778388</v>
      </c>
      <c r="AG273" s="6">
        <f ca="1">$O$273*$AA$273</f>
        <v>2291.1750445221596</v>
      </c>
    </row>
    <row r="274" spans="1:33" ht="11.25" customHeight="1" x14ac:dyDescent="0.25">
      <c r="A274" s="4" t="s">
        <v>21</v>
      </c>
      <c r="B274" s="4" t="s">
        <v>38</v>
      </c>
      <c r="C274" s="4" t="s">
        <v>39</v>
      </c>
      <c r="D274" s="4" t="s">
        <v>43</v>
      </c>
      <c r="E274" s="4" t="s">
        <v>52</v>
      </c>
      <c r="F274" s="4" t="s">
        <v>54</v>
      </c>
      <c r="G274" s="4" t="s">
        <v>25</v>
      </c>
      <c r="H274" s="4" t="s">
        <v>34</v>
      </c>
      <c r="I274" s="5">
        <v>44621</v>
      </c>
      <c r="J274" s="6">
        <v>0</v>
      </c>
      <c r="K274" s="6">
        <v>0</v>
      </c>
      <c r="L274" s="6">
        <v>0.38200000000000001</v>
      </c>
      <c r="M274" s="6">
        <v>0.11459999999999999</v>
      </c>
      <c r="N274" s="6">
        <v>0.38200000000000001</v>
      </c>
      <c r="O274" s="6">
        <v>0.11459999999999999</v>
      </c>
      <c r="P274" s="6">
        <v>0</v>
      </c>
      <c r="Q274" s="4" t="s">
        <v>26</v>
      </c>
      <c r="R274" s="4">
        <v>0</v>
      </c>
      <c r="S274" s="6">
        <v>0</v>
      </c>
      <c r="T274" s="6">
        <v>17</v>
      </c>
      <c r="U274" s="6">
        <v>78</v>
      </c>
      <c r="V274" s="6">
        <f>IF(ISERROR(VLOOKUP($S$274,'TAR FIN'!$A$1:$O$86,15,0)),0,VLOOKUP($S$274,'TAR FIN'!$A$1:$O$86,15,0))</f>
        <v>0</v>
      </c>
      <c r="W274" s="6">
        <f>IF(ISERROR(VLOOKUP($T$274,'TAR FIN'!$A$1:$O$86,15,0)),0,VLOOKUP($T$274,'TAR FIN'!$A$1:$O$86,15,0))</f>
        <v>71.260000000000005</v>
      </c>
      <c r="X274" s="6">
        <f>IF(ISERROR(VLOOKUP($U$274,'TAR FIN'!$A$1:$O$86,15,0)),0,VLOOKUP($U$274,'TAR FIN'!$A$1:$O$86,15,0))</f>
        <v>297.31</v>
      </c>
      <c r="Y274" s="6"/>
      <c r="Z274" s="6">
        <f ca="1">('TUSD BE'!$AM$12+'TUSD BF_350'!$AM$12+'TUSD CVA'!$AM$12)*1</f>
        <v>95.815448102611441</v>
      </c>
      <c r="AA274" s="6">
        <f ca="1">('TE BE'!$AB$6+'TE BF_350'!$AB$6+'TE CVA'!$AB$6)*1</f>
        <v>235.33989117487977</v>
      </c>
      <c r="AB274" s="6">
        <f>$K$274*$V$274</f>
        <v>0</v>
      </c>
      <c r="AC274" s="6">
        <f>$M$274*$W$274</f>
        <v>8.1663960000000007</v>
      </c>
      <c r="AD274" s="6">
        <f>$O$274*$X$274</f>
        <v>34.071725999999998</v>
      </c>
      <c r="AE274" s="6">
        <f>$K$274*$Y$274</f>
        <v>0</v>
      </c>
      <c r="AF274" s="6">
        <f ca="1">$M$274*$Z$274</f>
        <v>10.98045035255927</v>
      </c>
      <c r="AG274" s="6">
        <f ca="1">$O$274*$AA$274</f>
        <v>26.969951528641221</v>
      </c>
    </row>
    <row r="275" spans="1:33" ht="11.25" customHeight="1" x14ac:dyDescent="0.25">
      <c r="A275" s="4" t="s">
        <v>21</v>
      </c>
      <c r="B275" s="4" t="s">
        <v>38</v>
      </c>
      <c r="C275" s="4" t="s">
        <v>39</v>
      </c>
      <c r="D275" s="4" t="s">
        <v>43</v>
      </c>
      <c r="E275" s="4" t="s">
        <v>52</v>
      </c>
      <c r="F275" s="4" t="s">
        <v>54</v>
      </c>
      <c r="G275" s="4" t="s">
        <v>25</v>
      </c>
      <c r="H275" s="4" t="s">
        <v>34</v>
      </c>
      <c r="I275" s="5">
        <v>44652</v>
      </c>
      <c r="J275" s="6">
        <v>0</v>
      </c>
      <c r="K275" s="6">
        <v>0</v>
      </c>
      <c r="L275" s="6">
        <v>1.601</v>
      </c>
      <c r="M275" s="6">
        <v>0.4803</v>
      </c>
      <c r="N275" s="6">
        <v>1.601</v>
      </c>
      <c r="O275" s="6">
        <v>0.4803</v>
      </c>
      <c r="P275" s="6">
        <v>0</v>
      </c>
      <c r="Q275" s="4" t="s">
        <v>26</v>
      </c>
      <c r="R275" s="4">
        <v>0</v>
      </c>
      <c r="S275" s="6">
        <v>0</v>
      </c>
      <c r="T275" s="6">
        <v>17</v>
      </c>
      <c r="U275" s="6">
        <v>78</v>
      </c>
      <c r="V275" s="6">
        <f>IF(ISERROR(VLOOKUP($S$275,'TAR FIN'!$A$1:$O$86,15,0)),0,VLOOKUP($S$275,'TAR FIN'!$A$1:$O$86,15,0))</f>
        <v>0</v>
      </c>
      <c r="W275" s="6">
        <f>IF(ISERROR(VLOOKUP($T$275,'TAR FIN'!$A$1:$O$86,15,0)),0,VLOOKUP($T$275,'TAR FIN'!$A$1:$O$86,15,0))</f>
        <v>71.260000000000005</v>
      </c>
      <c r="X275" s="6">
        <f>IF(ISERROR(VLOOKUP($U$275,'TAR FIN'!$A$1:$O$86,15,0)),0,VLOOKUP($U$275,'TAR FIN'!$A$1:$O$86,15,0))</f>
        <v>297.31</v>
      </c>
      <c r="Y275" s="6"/>
      <c r="Z275" s="6">
        <f ca="1">('TUSD BE'!$AM$12+'TUSD BF_350'!$AM$12+'TUSD CVA'!$AM$12)*1</f>
        <v>95.815448102611441</v>
      </c>
      <c r="AA275" s="6">
        <f ca="1">('TE BE'!$AB$6+'TE BF_350'!$AB$6+'TE CVA'!$AB$6)*1</f>
        <v>235.33989117487977</v>
      </c>
      <c r="AB275" s="6">
        <f>$K$275*$V$275</f>
        <v>0</v>
      </c>
      <c r="AC275" s="6">
        <f>$M$275*$W$275</f>
        <v>34.226178000000004</v>
      </c>
      <c r="AD275" s="6">
        <f>$O$275*$X$275</f>
        <v>142.79799299999999</v>
      </c>
      <c r="AE275" s="6">
        <f>$K$275*$Y$275</f>
        <v>0</v>
      </c>
      <c r="AF275" s="6">
        <f ca="1">$M$275*$Z$275</f>
        <v>46.020159723684273</v>
      </c>
      <c r="AG275" s="6">
        <f ca="1">$O$275*$AA$275</f>
        <v>113.03374973129475</v>
      </c>
    </row>
    <row r="276" spans="1:33" ht="11.25" customHeight="1" x14ac:dyDescent="0.25">
      <c r="A276" s="4" t="s">
        <v>21</v>
      </c>
      <c r="B276" s="4" t="s">
        <v>38</v>
      </c>
      <c r="C276" s="4" t="s">
        <v>39</v>
      </c>
      <c r="D276" s="4" t="s">
        <v>43</v>
      </c>
      <c r="E276" s="4" t="s">
        <v>52</v>
      </c>
      <c r="F276" s="4" t="s">
        <v>54</v>
      </c>
      <c r="G276" s="4" t="s">
        <v>25</v>
      </c>
      <c r="H276" s="4" t="s">
        <v>34</v>
      </c>
      <c r="I276" s="5">
        <v>44682</v>
      </c>
      <c r="J276" s="6">
        <v>0</v>
      </c>
      <c r="K276" s="6">
        <v>0</v>
      </c>
      <c r="L276" s="6">
        <v>1.696</v>
      </c>
      <c r="M276" s="6">
        <v>0.50880000000000003</v>
      </c>
      <c r="N276" s="6">
        <v>1.696</v>
      </c>
      <c r="O276" s="6">
        <v>0.50880000000000003</v>
      </c>
      <c r="P276" s="6">
        <v>0</v>
      </c>
      <c r="Q276" s="4" t="s">
        <v>26</v>
      </c>
      <c r="R276" s="4">
        <v>0</v>
      </c>
      <c r="S276" s="6">
        <v>0</v>
      </c>
      <c r="T276" s="6">
        <v>17</v>
      </c>
      <c r="U276" s="6">
        <v>78</v>
      </c>
      <c r="V276" s="6">
        <f>IF(ISERROR(VLOOKUP($S$276,'TAR FIN'!$A$1:$O$86,15,0)),0,VLOOKUP($S$276,'TAR FIN'!$A$1:$O$86,15,0))</f>
        <v>0</v>
      </c>
      <c r="W276" s="6">
        <f>IF(ISERROR(VLOOKUP($T$276,'TAR FIN'!$A$1:$O$86,15,0)),0,VLOOKUP($T$276,'TAR FIN'!$A$1:$O$86,15,0))</f>
        <v>71.260000000000005</v>
      </c>
      <c r="X276" s="6">
        <f>IF(ISERROR(VLOOKUP($U$276,'TAR FIN'!$A$1:$O$86,15,0)),0,VLOOKUP($U$276,'TAR FIN'!$A$1:$O$86,15,0))</f>
        <v>297.31</v>
      </c>
      <c r="Y276" s="6"/>
      <c r="Z276" s="6">
        <f ca="1">('TUSD BE'!$AM$12+'TUSD BF_350'!$AM$12+'TUSD CVA'!$AM$12)*1</f>
        <v>95.815448102611441</v>
      </c>
      <c r="AA276" s="6">
        <f ca="1">('TE BE'!$AB$6+'TE BF_350'!$AB$6+'TE CVA'!$AB$6)*1</f>
        <v>235.33989117487977</v>
      </c>
      <c r="AB276" s="6">
        <f>$K$276*$V$276</f>
        <v>0</v>
      </c>
      <c r="AC276" s="6">
        <f>$M$276*$W$276</f>
        <v>36.257088000000003</v>
      </c>
      <c r="AD276" s="6">
        <f>$O$276*$X$276</f>
        <v>151.27132800000001</v>
      </c>
      <c r="AE276" s="6">
        <f>$K$276*$Y$276</f>
        <v>0</v>
      </c>
      <c r="AF276" s="6">
        <f ca="1">$M$276*$Z$276</f>
        <v>48.750899994608702</v>
      </c>
      <c r="AG276" s="6">
        <f ca="1">$O$276*$AA$276</f>
        <v>119.74093662977883</v>
      </c>
    </row>
    <row r="277" spans="1:33" ht="11.25" customHeight="1" x14ac:dyDescent="0.25">
      <c r="A277" s="4" t="s">
        <v>55</v>
      </c>
      <c r="B277" s="4" t="s">
        <v>38</v>
      </c>
      <c r="C277" s="4" t="s">
        <v>39</v>
      </c>
      <c r="D277" s="4" t="s">
        <v>43</v>
      </c>
      <c r="E277" s="4" t="s">
        <v>52</v>
      </c>
      <c r="F277" s="4" t="s">
        <v>54</v>
      </c>
      <c r="G277" s="4" t="s">
        <v>25</v>
      </c>
      <c r="H277" s="4" t="s">
        <v>34</v>
      </c>
      <c r="I277" s="5">
        <v>44713</v>
      </c>
      <c r="J277" s="6">
        <v>0</v>
      </c>
      <c r="K277" s="6">
        <v>0</v>
      </c>
      <c r="L277" s="6">
        <v>1.696</v>
      </c>
      <c r="M277" s="6">
        <v>0.50880000000000003</v>
      </c>
      <c r="N277" s="6">
        <v>1.696</v>
      </c>
      <c r="O277" s="6">
        <v>0.50880000000000003</v>
      </c>
      <c r="P277" s="6">
        <v>0</v>
      </c>
      <c r="Q277" s="4" t="s">
        <v>26</v>
      </c>
      <c r="R277" s="4">
        <v>0</v>
      </c>
      <c r="S277" s="6">
        <v>0</v>
      </c>
      <c r="T277" s="6">
        <v>17</v>
      </c>
      <c r="U277" s="6">
        <v>78</v>
      </c>
      <c r="V277" s="6">
        <f>IF(ISERROR(VLOOKUP($S$277,'TAR FIN'!$A$1:$O$86,15,0)),0,VLOOKUP($S$277,'TAR FIN'!$A$1:$O$86,15,0))</f>
        <v>0</v>
      </c>
      <c r="W277" s="6">
        <f>IF(ISERROR(VLOOKUP($T$277,'TAR FIN'!$A$1:$O$86,15,0)),0,VLOOKUP($T$277,'TAR FIN'!$A$1:$O$86,15,0))</f>
        <v>71.260000000000005</v>
      </c>
      <c r="X277" s="6">
        <f>IF(ISERROR(VLOOKUP($U$277,'TAR FIN'!$A$1:$O$86,15,0)),0,VLOOKUP($U$277,'TAR FIN'!$A$1:$O$86,15,0))</f>
        <v>297.31</v>
      </c>
      <c r="Y277" s="6"/>
      <c r="Z277" s="6">
        <f ca="1">('TUSD BE'!$AM$12+'TUSD BF_350'!$AM$12+'TUSD CVA'!$AM$12)*1</f>
        <v>95.815448102611441</v>
      </c>
      <c r="AA277" s="6">
        <f ca="1">('TE BE'!$AB$6+'TE BF_350'!$AB$6+'TE CVA'!$AB$6)*1</f>
        <v>235.33989117487977</v>
      </c>
      <c r="AB277" s="6">
        <f>$K$277*$V$277</f>
        <v>0</v>
      </c>
      <c r="AC277" s="6">
        <f>$M$277*$W$277</f>
        <v>36.257088000000003</v>
      </c>
      <c r="AD277" s="6">
        <f>$O$277*$X$277</f>
        <v>151.27132800000001</v>
      </c>
      <c r="AE277" s="6">
        <f>$K$277*$Y$277</f>
        <v>0</v>
      </c>
      <c r="AF277" s="6">
        <f ca="1">$M$277*$Z$277</f>
        <v>48.750899994608702</v>
      </c>
      <c r="AG277" s="6">
        <f ca="1">$O$277*$AA$277</f>
        <v>119.74093662977883</v>
      </c>
    </row>
    <row r="278" spans="1:33" ht="11.25" customHeight="1" x14ac:dyDescent="0.25">
      <c r="A278" s="4" t="s">
        <v>21</v>
      </c>
      <c r="B278" s="4" t="s">
        <v>38</v>
      </c>
      <c r="C278" s="4" t="s">
        <v>39</v>
      </c>
      <c r="D278" s="4" t="s">
        <v>43</v>
      </c>
      <c r="E278" s="4" t="s">
        <v>52</v>
      </c>
      <c r="F278" s="4" t="s">
        <v>25</v>
      </c>
      <c r="G278" s="4" t="s">
        <v>25</v>
      </c>
      <c r="H278" s="4" t="s">
        <v>34</v>
      </c>
      <c r="I278" s="5">
        <v>44378</v>
      </c>
      <c r="J278" s="6">
        <v>0</v>
      </c>
      <c r="K278" s="96">
        <v>0</v>
      </c>
      <c r="L278" s="6">
        <v>4.133</v>
      </c>
      <c r="M278" s="96">
        <v>4.133</v>
      </c>
      <c r="N278" s="6">
        <v>4.133</v>
      </c>
      <c r="O278" s="96">
        <v>4.133</v>
      </c>
      <c r="P278" s="6">
        <v>0</v>
      </c>
      <c r="Q278" s="4" t="s">
        <v>26</v>
      </c>
      <c r="R278" s="4">
        <v>0</v>
      </c>
      <c r="S278" s="6">
        <v>0</v>
      </c>
      <c r="T278" s="6">
        <v>17</v>
      </c>
      <c r="U278" s="6">
        <v>78</v>
      </c>
      <c r="V278" s="96">
        <f>IF(ISERROR(VLOOKUP($S$278,'TAR FIN'!$A$1:$O$86,15,0)),0,VLOOKUP($S$278,'TAR FIN'!$A$1:$O$86,15,0))</f>
        <v>0</v>
      </c>
      <c r="W278" s="96">
        <f>IF(ISERROR(VLOOKUP($T$278,'TAR FIN'!$A$1:$O$86,15,0)),0,VLOOKUP($T$278,'TAR FIN'!$A$1:$O$86,15,0))*(1-0.04)</f>
        <v>68.409599999999998</v>
      </c>
      <c r="X278" s="96">
        <f>IF(ISERROR(VLOOKUP($U$278,'TAR FIN'!$A$1:$O$86,15,0)),0,VLOOKUP($U$278,'TAR FIN'!$A$1:$O$86,15,0))*(1-0.04)</f>
        <v>285.41759999999999</v>
      </c>
      <c r="Y278" s="96"/>
      <c r="Z278" s="96">
        <f ca="1">('TUSD BE'!$AM$12+'TUSD BF_350'!$AM$12+'TUSD CVA'!$AM$12)*1*(1-0.02)</f>
        <v>93.899139140559214</v>
      </c>
      <c r="AA278" s="96">
        <f ca="1">('TE BE'!$AB$6+'TE BF_350'!$AB$6+'TE CVA'!$AB$6)*1*(1-0.02)</f>
        <v>230.63309335138217</v>
      </c>
      <c r="AB278" s="6">
        <f>$K$278*$V$278</f>
        <v>0</v>
      </c>
      <c r="AC278" s="6">
        <f>$M$278*$W$278</f>
        <v>282.7368768</v>
      </c>
      <c r="AD278" s="6">
        <f>$O$278*$X$278</f>
        <v>1179.6309408</v>
      </c>
      <c r="AE278" s="6">
        <f>$K$278*$Y$278</f>
        <v>0</v>
      </c>
      <c r="AF278" s="6">
        <f ca="1">$M$278*$Z$278</f>
        <v>388.08514206793126</v>
      </c>
      <c r="AG278" s="6">
        <f ca="1">$O$278*$AA$278</f>
        <v>953.20657482126251</v>
      </c>
    </row>
    <row r="279" spans="1:33" ht="11.25" customHeight="1" x14ac:dyDescent="0.25">
      <c r="A279" s="4" t="s">
        <v>21</v>
      </c>
      <c r="B279" s="4" t="s">
        <v>38</v>
      </c>
      <c r="C279" s="4" t="s">
        <v>39</v>
      </c>
      <c r="D279" s="4" t="s">
        <v>43</v>
      </c>
      <c r="E279" s="4" t="s">
        <v>52</v>
      </c>
      <c r="F279" s="4" t="s">
        <v>25</v>
      </c>
      <c r="G279" s="4" t="s">
        <v>25</v>
      </c>
      <c r="H279" s="4" t="s">
        <v>34</v>
      </c>
      <c r="I279" s="5">
        <v>44409</v>
      </c>
      <c r="J279" s="6">
        <v>0</v>
      </c>
      <c r="K279" s="96">
        <v>0</v>
      </c>
      <c r="L279" s="6">
        <v>1.1839999999999999</v>
      </c>
      <c r="M279" s="96">
        <v>1.1839999999999999</v>
      </c>
      <c r="N279" s="6">
        <v>1.1839999999999999</v>
      </c>
      <c r="O279" s="96">
        <v>1.1839999999999999</v>
      </c>
      <c r="P279" s="6">
        <v>0</v>
      </c>
      <c r="Q279" s="4" t="s">
        <v>26</v>
      </c>
      <c r="R279" s="4">
        <v>0</v>
      </c>
      <c r="S279" s="6">
        <v>0</v>
      </c>
      <c r="T279" s="6">
        <v>17</v>
      </c>
      <c r="U279" s="6">
        <v>78</v>
      </c>
      <c r="V279" s="96">
        <f>IF(ISERROR(VLOOKUP($S$279,'TAR FIN'!$A$1:$O$86,15,0)),0,VLOOKUP($S$279,'TAR FIN'!$A$1:$O$86,15,0))</f>
        <v>0</v>
      </c>
      <c r="W279" s="96">
        <f>IF(ISERROR(VLOOKUP($T$279,'TAR FIN'!$A$1:$O$86,15,0)),0,VLOOKUP($T$279,'TAR FIN'!$A$1:$O$86,15,0))*(1-0.04)</f>
        <v>68.409599999999998</v>
      </c>
      <c r="X279" s="96">
        <f>IF(ISERROR(VLOOKUP($U$279,'TAR FIN'!$A$1:$O$86,15,0)),0,VLOOKUP($U$279,'TAR FIN'!$A$1:$O$86,15,0))*(1-0.04)</f>
        <v>285.41759999999999</v>
      </c>
      <c r="Y279" s="96"/>
      <c r="Z279" s="96">
        <f ca="1">('TUSD BE'!$AM$12+'TUSD BF_350'!$AM$12+'TUSD CVA'!$AM$12)*1*(1-0.02)</f>
        <v>93.899139140559214</v>
      </c>
      <c r="AA279" s="96">
        <f ca="1">('TE BE'!$AB$6+'TE BF_350'!$AB$6+'TE CVA'!$AB$6)*1*(1-0.02)</f>
        <v>230.63309335138217</v>
      </c>
      <c r="AB279" s="6">
        <f>$K$279*$V$279</f>
        <v>0</v>
      </c>
      <c r="AC279" s="6">
        <f>$M$279*$W$279</f>
        <v>80.996966399999991</v>
      </c>
      <c r="AD279" s="6">
        <f>$O$279*$X$279</f>
        <v>337.93443839999998</v>
      </c>
      <c r="AE279" s="6">
        <f>$K$279*$Y$279</f>
        <v>0</v>
      </c>
      <c r="AF279" s="6">
        <f ca="1">$M$279*$Z$279</f>
        <v>111.1765807424221</v>
      </c>
      <c r="AG279" s="6">
        <f ca="1">$O$279*$AA$279</f>
        <v>273.06958252803651</v>
      </c>
    </row>
    <row r="280" spans="1:33" ht="11.25" customHeight="1" x14ac:dyDescent="0.25">
      <c r="A280" s="4" t="s">
        <v>21</v>
      </c>
      <c r="B280" s="4" t="s">
        <v>38</v>
      </c>
      <c r="C280" s="4" t="s">
        <v>39</v>
      </c>
      <c r="D280" s="4" t="s">
        <v>43</v>
      </c>
      <c r="E280" s="4" t="s">
        <v>52</v>
      </c>
      <c r="F280" s="4" t="s">
        <v>25</v>
      </c>
      <c r="G280" s="4" t="s">
        <v>25</v>
      </c>
      <c r="H280" s="4" t="s">
        <v>34</v>
      </c>
      <c r="I280" s="5">
        <v>44440</v>
      </c>
      <c r="J280" s="6">
        <v>0</v>
      </c>
      <c r="K280" s="96">
        <v>0</v>
      </c>
      <c r="L280" s="6">
        <v>5.3810000000000002</v>
      </c>
      <c r="M280" s="96">
        <v>5.3810000000000002</v>
      </c>
      <c r="N280" s="6">
        <v>5.3810000000000002</v>
      </c>
      <c r="O280" s="96">
        <v>5.3810000000000002</v>
      </c>
      <c r="P280" s="6">
        <v>0</v>
      </c>
      <c r="Q280" s="4" t="s">
        <v>26</v>
      </c>
      <c r="R280" s="4">
        <v>0</v>
      </c>
      <c r="S280" s="6">
        <v>0</v>
      </c>
      <c r="T280" s="6">
        <v>17</v>
      </c>
      <c r="U280" s="6">
        <v>78</v>
      </c>
      <c r="V280" s="96">
        <f>IF(ISERROR(VLOOKUP($S$280,'TAR FIN'!$A$1:$O$86,15,0)),0,VLOOKUP($S$280,'TAR FIN'!$A$1:$O$86,15,0))</f>
        <v>0</v>
      </c>
      <c r="W280" s="96">
        <f>IF(ISERROR(VLOOKUP($T$280,'TAR FIN'!$A$1:$O$86,15,0)),0,VLOOKUP($T$280,'TAR FIN'!$A$1:$O$86,15,0))*(1-0.04)</f>
        <v>68.409599999999998</v>
      </c>
      <c r="X280" s="96">
        <f>IF(ISERROR(VLOOKUP($U$280,'TAR FIN'!$A$1:$O$86,15,0)),0,VLOOKUP($U$280,'TAR FIN'!$A$1:$O$86,15,0))*(1-0.04)</f>
        <v>285.41759999999999</v>
      </c>
      <c r="Y280" s="96"/>
      <c r="Z280" s="96">
        <f ca="1">('TUSD BE'!$AM$12+'TUSD BF_350'!$AM$12+'TUSD CVA'!$AM$12)*1*(1-0.02)</f>
        <v>93.899139140559214</v>
      </c>
      <c r="AA280" s="96">
        <f ca="1">('TE BE'!$AB$6+'TE BF_350'!$AB$6+'TE CVA'!$AB$6)*1*(1-0.02)</f>
        <v>230.63309335138217</v>
      </c>
      <c r="AB280" s="6">
        <f>$K$280*$V$280</f>
        <v>0</v>
      </c>
      <c r="AC280" s="6">
        <f>$M$280*$W$280</f>
        <v>368.11205760000001</v>
      </c>
      <c r="AD280" s="6">
        <f>$O$280*$X$280</f>
        <v>1535.8321056</v>
      </c>
      <c r="AE280" s="6">
        <f>$K$280*$Y$280</f>
        <v>0</v>
      </c>
      <c r="AF280" s="6">
        <f ca="1">$M$280*$Z$280</f>
        <v>505.27126771534915</v>
      </c>
      <c r="AG280" s="6">
        <f ca="1">$O$280*$AA$280</f>
        <v>1241.0366753237874</v>
      </c>
    </row>
    <row r="281" spans="1:33" ht="11.25" customHeight="1" x14ac:dyDescent="0.25">
      <c r="A281" s="4" t="s">
        <v>21</v>
      </c>
      <c r="B281" s="4" t="s">
        <v>38</v>
      </c>
      <c r="C281" s="4" t="s">
        <v>39</v>
      </c>
      <c r="D281" s="4" t="s">
        <v>43</v>
      </c>
      <c r="E281" s="4" t="s">
        <v>52</v>
      </c>
      <c r="F281" s="4" t="s">
        <v>25</v>
      </c>
      <c r="G281" s="4" t="s">
        <v>25</v>
      </c>
      <c r="H281" s="4" t="s">
        <v>34</v>
      </c>
      <c r="I281" s="5">
        <v>44470</v>
      </c>
      <c r="J281" s="6">
        <v>0</v>
      </c>
      <c r="K281" s="96">
        <v>0</v>
      </c>
      <c r="L281" s="6">
        <v>6.93</v>
      </c>
      <c r="M281" s="96">
        <v>6.93</v>
      </c>
      <c r="N281" s="6">
        <v>6.93</v>
      </c>
      <c r="O281" s="96">
        <v>6.93</v>
      </c>
      <c r="P281" s="6">
        <v>0</v>
      </c>
      <c r="Q281" s="4" t="s">
        <v>26</v>
      </c>
      <c r="R281" s="4">
        <v>0</v>
      </c>
      <c r="S281" s="6">
        <v>0</v>
      </c>
      <c r="T281" s="6">
        <v>17</v>
      </c>
      <c r="U281" s="6">
        <v>78</v>
      </c>
      <c r="V281" s="96">
        <f>IF(ISERROR(VLOOKUP($S$281,'TAR FIN'!$A$1:$O$86,15,0)),0,VLOOKUP($S$281,'TAR FIN'!$A$1:$O$86,15,0))</f>
        <v>0</v>
      </c>
      <c r="W281" s="96">
        <f>IF(ISERROR(VLOOKUP($T$281,'TAR FIN'!$A$1:$O$86,15,0)),0,VLOOKUP($T$281,'TAR FIN'!$A$1:$O$86,15,0))*(1-0.04)</f>
        <v>68.409599999999998</v>
      </c>
      <c r="X281" s="96">
        <f>IF(ISERROR(VLOOKUP($U$281,'TAR FIN'!$A$1:$O$86,15,0)),0,VLOOKUP($U$281,'TAR FIN'!$A$1:$O$86,15,0))*(1-0.04)</f>
        <v>285.41759999999999</v>
      </c>
      <c r="Y281" s="96"/>
      <c r="Z281" s="96">
        <f ca="1">('TUSD BE'!$AM$12+'TUSD BF_350'!$AM$12+'TUSD CVA'!$AM$12)*1*(1-0.02)</f>
        <v>93.899139140559214</v>
      </c>
      <c r="AA281" s="96">
        <f ca="1">('TE BE'!$AB$6+'TE BF_350'!$AB$6+'TE CVA'!$AB$6)*1*(1-0.02)</f>
        <v>230.63309335138217</v>
      </c>
      <c r="AB281" s="6">
        <f>$K$281*$V$281</f>
        <v>0</v>
      </c>
      <c r="AC281" s="6">
        <f>$M$281*$W$281</f>
        <v>474.07852799999995</v>
      </c>
      <c r="AD281" s="6">
        <f>$O$281*$X$281</f>
        <v>1977.9439679999998</v>
      </c>
      <c r="AE281" s="6">
        <f>$K$281*$Y$281</f>
        <v>0</v>
      </c>
      <c r="AF281" s="6">
        <f ca="1">$M$281*$Z$281</f>
        <v>650.72103424407533</v>
      </c>
      <c r="AG281" s="6">
        <f ca="1">$O$281*$AA$281</f>
        <v>1598.2873369250783</v>
      </c>
    </row>
    <row r="282" spans="1:33" ht="11.25" customHeight="1" x14ac:dyDescent="0.25">
      <c r="A282" s="4" t="s">
        <v>21</v>
      </c>
      <c r="B282" s="4" t="s">
        <v>38</v>
      </c>
      <c r="C282" s="4" t="s">
        <v>39</v>
      </c>
      <c r="D282" s="4" t="s">
        <v>43</v>
      </c>
      <c r="E282" s="4" t="s">
        <v>52</v>
      </c>
      <c r="F282" s="4" t="s">
        <v>25</v>
      </c>
      <c r="G282" s="4" t="s">
        <v>25</v>
      </c>
      <c r="H282" s="4" t="s">
        <v>34</v>
      </c>
      <c r="I282" s="5">
        <v>44501</v>
      </c>
      <c r="J282" s="6">
        <v>0</v>
      </c>
      <c r="K282" s="96">
        <v>0</v>
      </c>
      <c r="L282" s="6">
        <v>35.174999999999997</v>
      </c>
      <c r="M282" s="96">
        <v>35.174999999999997</v>
      </c>
      <c r="N282" s="6">
        <v>35.174999999999997</v>
      </c>
      <c r="O282" s="96">
        <v>35.174999999999997</v>
      </c>
      <c r="P282" s="6">
        <v>0</v>
      </c>
      <c r="Q282" s="4" t="s">
        <v>26</v>
      </c>
      <c r="R282" s="4">
        <v>0</v>
      </c>
      <c r="S282" s="6">
        <v>0</v>
      </c>
      <c r="T282" s="6">
        <v>17</v>
      </c>
      <c r="U282" s="6">
        <v>78</v>
      </c>
      <c r="V282" s="96">
        <f>IF(ISERROR(VLOOKUP($S$282,'TAR FIN'!$A$1:$O$86,15,0)),0,VLOOKUP($S$282,'TAR FIN'!$A$1:$O$86,15,0))</f>
        <v>0</v>
      </c>
      <c r="W282" s="96">
        <f>IF(ISERROR(VLOOKUP($T$282,'TAR FIN'!$A$1:$O$86,15,0)),0,VLOOKUP($T$282,'TAR FIN'!$A$1:$O$86,15,0))*(1-0.04)</f>
        <v>68.409599999999998</v>
      </c>
      <c r="X282" s="96">
        <f>IF(ISERROR(VLOOKUP($U$282,'TAR FIN'!$A$1:$O$86,15,0)),0,VLOOKUP($U$282,'TAR FIN'!$A$1:$O$86,15,0))*(1-0.04)</f>
        <v>285.41759999999999</v>
      </c>
      <c r="Y282" s="96"/>
      <c r="Z282" s="96">
        <f ca="1">('TUSD BE'!$AM$12+'TUSD BF_350'!$AM$12+'TUSD CVA'!$AM$12)*1*(1-0.02)</f>
        <v>93.899139140559214</v>
      </c>
      <c r="AA282" s="96">
        <f ca="1">('TE BE'!$AB$6+'TE BF_350'!$AB$6+'TE CVA'!$AB$6)*1*(1-0.02)</f>
        <v>230.63309335138217</v>
      </c>
      <c r="AB282" s="6">
        <f>$K$282*$V$282</f>
        <v>0</v>
      </c>
      <c r="AC282" s="6">
        <f>$M$282*$W$282</f>
        <v>2406.3076799999999</v>
      </c>
      <c r="AD282" s="6">
        <f>$O$282*$X$282</f>
        <v>10039.564079999998</v>
      </c>
      <c r="AE282" s="6">
        <f>$K$282*$Y$282</f>
        <v>0</v>
      </c>
      <c r="AF282" s="6">
        <f ca="1">$M$282*$Z$282</f>
        <v>3302.90221926917</v>
      </c>
      <c r="AG282" s="6">
        <f ca="1">$O$282*$AA$282</f>
        <v>8112.5190586348672</v>
      </c>
    </row>
    <row r="283" spans="1:33" ht="11.25" customHeight="1" x14ac:dyDescent="0.25">
      <c r="A283" s="4" t="s">
        <v>21</v>
      </c>
      <c r="B283" s="4" t="s">
        <v>38</v>
      </c>
      <c r="C283" s="4" t="s">
        <v>39</v>
      </c>
      <c r="D283" s="4" t="s">
        <v>43</v>
      </c>
      <c r="E283" s="4" t="s">
        <v>52</v>
      </c>
      <c r="F283" s="4" t="s">
        <v>25</v>
      </c>
      <c r="G283" s="4" t="s">
        <v>25</v>
      </c>
      <c r="H283" s="4" t="s">
        <v>34</v>
      </c>
      <c r="I283" s="5">
        <v>44531</v>
      </c>
      <c r="J283" s="6">
        <v>0</v>
      </c>
      <c r="K283" s="96">
        <v>0</v>
      </c>
      <c r="L283" s="6">
        <v>59.996000000000002</v>
      </c>
      <c r="M283" s="96">
        <v>59.996000000000002</v>
      </c>
      <c r="N283" s="6">
        <v>59.996000000000002</v>
      </c>
      <c r="O283" s="96">
        <v>59.996000000000002</v>
      </c>
      <c r="P283" s="6">
        <v>0</v>
      </c>
      <c r="Q283" s="4" t="s">
        <v>26</v>
      </c>
      <c r="R283" s="4">
        <v>0</v>
      </c>
      <c r="S283" s="6">
        <v>0</v>
      </c>
      <c r="T283" s="6">
        <v>17</v>
      </c>
      <c r="U283" s="6">
        <v>78</v>
      </c>
      <c r="V283" s="96">
        <f>IF(ISERROR(VLOOKUP($S$283,'TAR FIN'!$A$1:$O$86,15,0)),0,VLOOKUP($S$283,'TAR FIN'!$A$1:$O$86,15,0))</f>
        <v>0</v>
      </c>
      <c r="W283" s="96">
        <f>IF(ISERROR(VLOOKUP($T$283,'TAR FIN'!$A$1:$O$86,15,0)),0,VLOOKUP($T$283,'TAR FIN'!$A$1:$O$86,15,0))*(1-0.04)</f>
        <v>68.409599999999998</v>
      </c>
      <c r="X283" s="96">
        <f>IF(ISERROR(VLOOKUP($U$283,'TAR FIN'!$A$1:$O$86,15,0)),0,VLOOKUP($U$283,'TAR FIN'!$A$1:$O$86,15,0))*(1-0.04)</f>
        <v>285.41759999999999</v>
      </c>
      <c r="Y283" s="96"/>
      <c r="Z283" s="96">
        <f ca="1">('TUSD BE'!$AM$12+'TUSD BF_350'!$AM$12+'TUSD CVA'!$AM$12)*1*(1-0.02)</f>
        <v>93.899139140559214</v>
      </c>
      <c r="AA283" s="96">
        <f ca="1">('TE BE'!$AB$6+'TE BF_350'!$AB$6+'TE CVA'!$AB$6)*1*(1-0.02)</f>
        <v>230.63309335138217</v>
      </c>
      <c r="AB283" s="6">
        <f>$K$283*$V$283</f>
        <v>0</v>
      </c>
      <c r="AC283" s="6">
        <f>$M$283*$W$283</f>
        <v>4104.3023616</v>
      </c>
      <c r="AD283" s="6">
        <f>$O$283*$X$283</f>
        <v>17123.9143296</v>
      </c>
      <c r="AE283" s="6">
        <f>$K$283*$Y$283</f>
        <v>0</v>
      </c>
      <c r="AF283" s="6">
        <f ca="1">$M$283*$Z$283</f>
        <v>5633.5727518769909</v>
      </c>
      <c r="AG283" s="6">
        <f ca="1">$O$283*$AA$283</f>
        <v>13837.063068709525</v>
      </c>
    </row>
    <row r="284" spans="1:33" ht="11.25" customHeight="1" x14ac:dyDescent="0.25">
      <c r="A284" s="4" t="s">
        <v>21</v>
      </c>
      <c r="B284" s="4" t="s">
        <v>38</v>
      </c>
      <c r="C284" s="4" t="s">
        <v>39</v>
      </c>
      <c r="D284" s="4" t="s">
        <v>43</v>
      </c>
      <c r="E284" s="4" t="s">
        <v>52</v>
      </c>
      <c r="F284" s="4" t="s">
        <v>25</v>
      </c>
      <c r="G284" s="4" t="s">
        <v>25</v>
      </c>
      <c r="H284" s="4" t="s">
        <v>34</v>
      </c>
      <c r="I284" s="5">
        <v>44562</v>
      </c>
      <c r="J284" s="6">
        <v>0</v>
      </c>
      <c r="K284" s="96">
        <v>0</v>
      </c>
      <c r="L284" s="6">
        <v>56.631</v>
      </c>
      <c r="M284" s="96">
        <v>56.631</v>
      </c>
      <c r="N284" s="6">
        <v>56.631</v>
      </c>
      <c r="O284" s="96">
        <v>56.631</v>
      </c>
      <c r="P284" s="6">
        <v>0</v>
      </c>
      <c r="Q284" s="4" t="s">
        <v>26</v>
      </c>
      <c r="R284" s="4">
        <v>0</v>
      </c>
      <c r="S284" s="6">
        <v>0</v>
      </c>
      <c r="T284" s="6">
        <v>17</v>
      </c>
      <c r="U284" s="6">
        <v>78</v>
      </c>
      <c r="V284" s="96">
        <f>IF(ISERROR(VLOOKUP($S$284,'TAR FIN'!$A$1:$O$86,15,0)),0,VLOOKUP($S$284,'TAR FIN'!$A$1:$O$86,15,0))</f>
        <v>0</v>
      </c>
      <c r="W284" s="96">
        <f>IF(ISERROR(VLOOKUP($T$284,'TAR FIN'!$A$1:$O$86,15,0)),0,VLOOKUP($T$284,'TAR FIN'!$A$1:$O$86,15,0))*(1-0.04)</f>
        <v>68.409599999999998</v>
      </c>
      <c r="X284" s="96">
        <f>IF(ISERROR(VLOOKUP($U$284,'TAR FIN'!$A$1:$O$86,15,0)),0,VLOOKUP($U$284,'TAR FIN'!$A$1:$O$86,15,0))*(1-0.04)</f>
        <v>285.41759999999999</v>
      </c>
      <c r="Y284" s="96"/>
      <c r="Z284" s="96">
        <f ca="1">('TUSD BE'!$AM$12+'TUSD BF_350'!$AM$12+'TUSD CVA'!$AM$12)*1*(1-0.02)</f>
        <v>93.899139140559214</v>
      </c>
      <c r="AA284" s="96">
        <f ca="1">('TE BE'!$AB$6+'TE BF_350'!$AB$6+'TE CVA'!$AB$6)*1*(1-0.02)</f>
        <v>230.63309335138217</v>
      </c>
      <c r="AB284" s="6">
        <f>$K$284*$V$284</f>
        <v>0</v>
      </c>
      <c r="AC284" s="6">
        <f>$M$284*$W$284</f>
        <v>3874.1040576</v>
      </c>
      <c r="AD284" s="6">
        <f>$O$284*$X$284</f>
        <v>16163.4841056</v>
      </c>
      <c r="AE284" s="6">
        <f>$K$284*$Y$284</f>
        <v>0</v>
      </c>
      <c r="AF284" s="6">
        <f ca="1">$M$284*$Z$284</f>
        <v>5317.6021486690088</v>
      </c>
      <c r="AG284" s="6">
        <f ca="1">$O$284*$AA$284</f>
        <v>13060.982709582124</v>
      </c>
    </row>
    <row r="285" spans="1:33" ht="11.25" customHeight="1" x14ac:dyDescent="0.25">
      <c r="A285" s="4" t="s">
        <v>21</v>
      </c>
      <c r="B285" s="4" t="s">
        <v>38</v>
      </c>
      <c r="C285" s="4" t="s">
        <v>39</v>
      </c>
      <c r="D285" s="4" t="s">
        <v>43</v>
      </c>
      <c r="E285" s="4" t="s">
        <v>52</v>
      </c>
      <c r="F285" s="4" t="s">
        <v>25</v>
      </c>
      <c r="G285" s="4" t="s">
        <v>25</v>
      </c>
      <c r="H285" s="4" t="s">
        <v>34</v>
      </c>
      <c r="I285" s="5">
        <v>44593</v>
      </c>
      <c r="J285" s="6">
        <v>0</v>
      </c>
      <c r="K285" s="96">
        <v>0</v>
      </c>
      <c r="L285" s="6">
        <v>30.75</v>
      </c>
      <c r="M285" s="96">
        <v>30.75</v>
      </c>
      <c r="N285" s="6">
        <v>30.75</v>
      </c>
      <c r="O285" s="96">
        <v>30.75</v>
      </c>
      <c r="P285" s="6">
        <v>0</v>
      </c>
      <c r="Q285" s="4" t="s">
        <v>26</v>
      </c>
      <c r="R285" s="4">
        <v>0</v>
      </c>
      <c r="S285" s="6">
        <v>0</v>
      </c>
      <c r="T285" s="6">
        <v>17</v>
      </c>
      <c r="U285" s="6">
        <v>78</v>
      </c>
      <c r="V285" s="96">
        <f>IF(ISERROR(VLOOKUP($S$285,'TAR FIN'!$A$1:$O$86,15,0)),0,VLOOKUP($S$285,'TAR FIN'!$A$1:$O$86,15,0))</f>
        <v>0</v>
      </c>
      <c r="W285" s="96">
        <f>IF(ISERROR(VLOOKUP($T$285,'TAR FIN'!$A$1:$O$86,15,0)),0,VLOOKUP($T$285,'TAR FIN'!$A$1:$O$86,15,0))*(1-0.04)</f>
        <v>68.409599999999998</v>
      </c>
      <c r="X285" s="96">
        <f>IF(ISERROR(VLOOKUP($U$285,'TAR FIN'!$A$1:$O$86,15,0)),0,VLOOKUP($U$285,'TAR FIN'!$A$1:$O$86,15,0))*(1-0.04)</f>
        <v>285.41759999999999</v>
      </c>
      <c r="Y285" s="96"/>
      <c r="Z285" s="96">
        <f ca="1">('TUSD BE'!$AM$12+'TUSD BF_350'!$AM$12+'TUSD CVA'!$AM$12)*1*(1-0.02)</f>
        <v>93.899139140559214</v>
      </c>
      <c r="AA285" s="96">
        <f ca="1">('TE BE'!$AB$6+'TE BF_350'!$AB$6+'TE CVA'!$AB$6)*1*(1-0.02)</f>
        <v>230.63309335138217</v>
      </c>
      <c r="AB285" s="6">
        <f>$K$285*$V$285</f>
        <v>0</v>
      </c>
      <c r="AC285" s="6">
        <f>$M$285*$W$285</f>
        <v>2103.5951999999997</v>
      </c>
      <c r="AD285" s="6">
        <f>$O$285*$X$285</f>
        <v>8776.5911999999989</v>
      </c>
      <c r="AE285" s="6">
        <f>$K$285*$Y$285</f>
        <v>0</v>
      </c>
      <c r="AF285" s="6">
        <f ca="1">$M$285*$Z$285</f>
        <v>2887.398528572196</v>
      </c>
      <c r="AG285" s="6">
        <f ca="1">$O$285*$AA$285</f>
        <v>7091.9676205550022</v>
      </c>
    </row>
    <row r="286" spans="1:33" ht="11.25" customHeight="1" x14ac:dyDescent="0.25">
      <c r="A286" s="4" t="s">
        <v>21</v>
      </c>
      <c r="B286" s="4" t="s">
        <v>38</v>
      </c>
      <c r="C286" s="4" t="s">
        <v>39</v>
      </c>
      <c r="D286" s="4" t="s">
        <v>43</v>
      </c>
      <c r="E286" s="4" t="s">
        <v>52</v>
      </c>
      <c r="F286" s="4" t="s">
        <v>25</v>
      </c>
      <c r="G286" s="4" t="s">
        <v>25</v>
      </c>
      <c r="H286" s="4" t="s">
        <v>34</v>
      </c>
      <c r="I286" s="5">
        <v>44621</v>
      </c>
      <c r="J286" s="6">
        <v>0</v>
      </c>
      <c r="K286" s="96">
        <v>0</v>
      </c>
      <c r="L286" s="6">
        <v>0.42399999999999999</v>
      </c>
      <c r="M286" s="96">
        <v>0.42399999999999999</v>
      </c>
      <c r="N286" s="6">
        <v>0.42399999999999999</v>
      </c>
      <c r="O286" s="96">
        <v>0.42399999999999999</v>
      </c>
      <c r="P286" s="6">
        <v>0</v>
      </c>
      <c r="Q286" s="4" t="s">
        <v>26</v>
      </c>
      <c r="R286" s="4">
        <v>0</v>
      </c>
      <c r="S286" s="6">
        <v>0</v>
      </c>
      <c r="T286" s="6">
        <v>17</v>
      </c>
      <c r="U286" s="6">
        <v>78</v>
      </c>
      <c r="V286" s="96">
        <f>IF(ISERROR(VLOOKUP($S$286,'TAR FIN'!$A$1:$O$86,15,0)),0,VLOOKUP($S$286,'TAR FIN'!$A$1:$O$86,15,0))</f>
        <v>0</v>
      </c>
      <c r="W286" s="96">
        <f>IF(ISERROR(VLOOKUP($T$286,'TAR FIN'!$A$1:$O$86,15,0)),0,VLOOKUP($T$286,'TAR FIN'!$A$1:$O$86,15,0))*(1-0.04)</f>
        <v>68.409599999999998</v>
      </c>
      <c r="X286" s="96">
        <f>IF(ISERROR(VLOOKUP($U$286,'TAR FIN'!$A$1:$O$86,15,0)),0,VLOOKUP($U$286,'TAR FIN'!$A$1:$O$86,15,0))*(1-0.04)</f>
        <v>285.41759999999999</v>
      </c>
      <c r="Y286" s="96"/>
      <c r="Z286" s="96">
        <f ca="1">('TUSD BE'!$AM$12+'TUSD BF_350'!$AM$12+'TUSD CVA'!$AM$12)*1*(1-0.02)</f>
        <v>93.899139140559214</v>
      </c>
      <c r="AA286" s="96">
        <f ca="1">('TE BE'!$AB$6+'TE BF_350'!$AB$6+'TE CVA'!$AB$6)*1*(1-0.02)</f>
        <v>230.63309335138217</v>
      </c>
      <c r="AB286" s="6">
        <f>$K$286*$V$286</f>
        <v>0</v>
      </c>
      <c r="AC286" s="6">
        <f>$M$286*$W$286</f>
        <v>29.0056704</v>
      </c>
      <c r="AD286" s="6">
        <f>$O$286*$X$286</f>
        <v>121.0170624</v>
      </c>
      <c r="AE286" s="6">
        <f>$K$286*$Y$286</f>
        <v>0</v>
      </c>
      <c r="AF286" s="6">
        <f ca="1">$M$286*$Z$286</f>
        <v>39.813234995597107</v>
      </c>
      <c r="AG286" s="6">
        <f ca="1">$O$286*$AA$286</f>
        <v>97.788431580986042</v>
      </c>
    </row>
    <row r="287" spans="1:33" ht="11.25" customHeight="1" x14ac:dyDescent="0.25">
      <c r="A287" s="4" t="s">
        <v>21</v>
      </c>
      <c r="B287" s="4" t="s">
        <v>38</v>
      </c>
      <c r="C287" s="4" t="s">
        <v>39</v>
      </c>
      <c r="D287" s="4" t="s">
        <v>43</v>
      </c>
      <c r="E287" s="4" t="s">
        <v>52</v>
      </c>
      <c r="F287" s="4" t="s">
        <v>25</v>
      </c>
      <c r="G287" s="4" t="s">
        <v>25</v>
      </c>
      <c r="H287" s="4" t="s">
        <v>34</v>
      </c>
      <c r="I287" s="5">
        <v>44652</v>
      </c>
      <c r="J287" s="6">
        <v>0</v>
      </c>
      <c r="K287" s="96">
        <v>0</v>
      </c>
      <c r="L287" s="6">
        <v>2.1419999999999999</v>
      </c>
      <c r="M287" s="96">
        <v>2.1419999999999999</v>
      </c>
      <c r="N287" s="6">
        <v>2.1419999999999999</v>
      </c>
      <c r="O287" s="96">
        <v>2.1419999999999999</v>
      </c>
      <c r="P287" s="6">
        <v>0</v>
      </c>
      <c r="Q287" s="4" t="s">
        <v>26</v>
      </c>
      <c r="R287" s="4">
        <v>0</v>
      </c>
      <c r="S287" s="6">
        <v>0</v>
      </c>
      <c r="T287" s="6">
        <v>17</v>
      </c>
      <c r="U287" s="6">
        <v>78</v>
      </c>
      <c r="V287" s="96">
        <f>IF(ISERROR(VLOOKUP($S$287,'TAR FIN'!$A$1:$O$86,15,0)),0,VLOOKUP($S$287,'TAR FIN'!$A$1:$O$86,15,0))</f>
        <v>0</v>
      </c>
      <c r="W287" s="96">
        <f>IF(ISERROR(VLOOKUP($T$287,'TAR FIN'!$A$1:$O$86,15,0)),0,VLOOKUP($T$287,'TAR FIN'!$A$1:$O$86,15,0))*(1-0.04)</f>
        <v>68.409599999999998</v>
      </c>
      <c r="X287" s="96">
        <f>IF(ISERROR(VLOOKUP($U$287,'TAR FIN'!$A$1:$O$86,15,0)),0,VLOOKUP($U$287,'TAR FIN'!$A$1:$O$86,15,0))*(1-0.04)</f>
        <v>285.41759999999999</v>
      </c>
      <c r="Y287" s="96"/>
      <c r="Z287" s="96">
        <f ca="1">('TUSD BE'!$AM$12+'TUSD BF_350'!$AM$12+'TUSD CVA'!$AM$12)*1*(1-0.02)</f>
        <v>93.899139140559214</v>
      </c>
      <c r="AA287" s="96">
        <f ca="1">('TE BE'!$AB$6+'TE BF_350'!$AB$6+'TE CVA'!$AB$6)*1*(1-0.02)</f>
        <v>230.63309335138217</v>
      </c>
      <c r="AB287" s="6">
        <f>$K$287*$V$287</f>
        <v>0</v>
      </c>
      <c r="AC287" s="6">
        <f>$M$287*$W$287</f>
        <v>146.5333632</v>
      </c>
      <c r="AD287" s="6">
        <f>$O$287*$X$287</f>
        <v>611.36449919999995</v>
      </c>
      <c r="AE287" s="6">
        <f>$K$287*$Y$287</f>
        <v>0</v>
      </c>
      <c r="AF287" s="6">
        <f ca="1">$M$287*$Z$287</f>
        <v>201.13195603907783</v>
      </c>
      <c r="AG287" s="6">
        <f ca="1">$O$287*$AA$287</f>
        <v>494.0160859586606</v>
      </c>
    </row>
    <row r="288" spans="1:33" ht="11.25" customHeight="1" x14ac:dyDescent="0.25">
      <c r="A288" s="4" t="s">
        <v>21</v>
      </c>
      <c r="B288" s="4" t="s">
        <v>38</v>
      </c>
      <c r="C288" s="4" t="s">
        <v>39</v>
      </c>
      <c r="D288" s="4" t="s">
        <v>43</v>
      </c>
      <c r="E288" s="4" t="s">
        <v>52</v>
      </c>
      <c r="F288" s="4" t="s">
        <v>25</v>
      </c>
      <c r="G288" s="4" t="s">
        <v>25</v>
      </c>
      <c r="H288" s="4" t="s">
        <v>34</v>
      </c>
      <c r="I288" s="5">
        <v>44682</v>
      </c>
      <c r="J288" s="6">
        <v>0</v>
      </c>
      <c r="K288" s="96">
        <v>0</v>
      </c>
      <c r="L288" s="6">
        <v>3.1789999999999998</v>
      </c>
      <c r="M288" s="96">
        <v>3.1789999999999998</v>
      </c>
      <c r="N288" s="6">
        <v>3.1789999999999998</v>
      </c>
      <c r="O288" s="96">
        <v>3.1789999999999998</v>
      </c>
      <c r="P288" s="6">
        <v>0</v>
      </c>
      <c r="Q288" s="4" t="s">
        <v>26</v>
      </c>
      <c r="R288" s="4">
        <v>0</v>
      </c>
      <c r="S288" s="6">
        <v>0</v>
      </c>
      <c r="T288" s="6">
        <v>17</v>
      </c>
      <c r="U288" s="6">
        <v>78</v>
      </c>
      <c r="V288" s="96">
        <f>IF(ISERROR(VLOOKUP($S$288,'TAR FIN'!$A$1:$O$86,15,0)),0,VLOOKUP($S$288,'TAR FIN'!$A$1:$O$86,15,0))</f>
        <v>0</v>
      </c>
      <c r="W288" s="96">
        <f>IF(ISERROR(VLOOKUP($T$288,'TAR FIN'!$A$1:$O$86,15,0)),0,VLOOKUP($T$288,'TAR FIN'!$A$1:$O$86,15,0))*(1-0.04)</f>
        <v>68.409599999999998</v>
      </c>
      <c r="X288" s="96">
        <f>IF(ISERROR(VLOOKUP($U$288,'TAR FIN'!$A$1:$O$86,15,0)),0,VLOOKUP($U$288,'TAR FIN'!$A$1:$O$86,15,0))*(1-0.04)</f>
        <v>285.41759999999999</v>
      </c>
      <c r="Y288" s="96"/>
      <c r="Z288" s="96">
        <f ca="1">('TUSD BE'!$AM$12+'TUSD BF_350'!$AM$12+'TUSD CVA'!$AM$12)*1*(1-0.02)</f>
        <v>93.899139140559214</v>
      </c>
      <c r="AA288" s="96">
        <f ca="1">('TE BE'!$AB$6+'TE BF_350'!$AB$6+'TE CVA'!$AB$6)*1*(1-0.02)</f>
        <v>230.63309335138217</v>
      </c>
      <c r="AB288" s="6">
        <f>$K$288*$V$288</f>
        <v>0</v>
      </c>
      <c r="AC288" s="6">
        <f>$M$288*$W$288</f>
        <v>217.47411839999998</v>
      </c>
      <c r="AD288" s="6">
        <f>$O$288*$X$288</f>
        <v>907.34255039999994</v>
      </c>
      <c r="AE288" s="6">
        <f>$K$288*$Y$288</f>
        <v>0</v>
      </c>
      <c r="AF288" s="6">
        <f ca="1">$M$288*$Z$288</f>
        <v>298.5053633278377</v>
      </c>
      <c r="AG288" s="6">
        <f ca="1">$O$288*$AA$288</f>
        <v>733.18260376404385</v>
      </c>
    </row>
    <row r="289" spans="1:33" ht="11.25" customHeight="1" x14ac:dyDescent="0.25">
      <c r="A289" s="4" t="s">
        <v>55</v>
      </c>
      <c r="B289" s="4" t="s">
        <v>38</v>
      </c>
      <c r="C289" s="4" t="s">
        <v>39</v>
      </c>
      <c r="D289" s="4" t="s">
        <v>43</v>
      </c>
      <c r="E289" s="4" t="s">
        <v>52</v>
      </c>
      <c r="F289" s="4" t="s">
        <v>25</v>
      </c>
      <c r="G289" s="4" t="s">
        <v>25</v>
      </c>
      <c r="H289" s="4" t="s">
        <v>34</v>
      </c>
      <c r="I289" s="5">
        <v>44713</v>
      </c>
      <c r="J289" s="6">
        <v>0</v>
      </c>
      <c r="K289" s="96">
        <v>0</v>
      </c>
      <c r="L289" s="6">
        <v>3.1789999999999998</v>
      </c>
      <c r="M289" s="96">
        <v>3.1789999999999998</v>
      </c>
      <c r="N289" s="6">
        <v>3.1789999999999998</v>
      </c>
      <c r="O289" s="96">
        <v>3.1789999999999998</v>
      </c>
      <c r="P289" s="6">
        <v>0</v>
      </c>
      <c r="Q289" s="4" t="s">
        <v>26</v>
      </c>
      <c r="R289" s="4">
        <v>0</v>
      </c>
      <c r="S289" s="6">
        <v>0</v>
      </c>
      <c r="T289" s="6">
        <v>17</v>
      </c>
      <c r="U289" s="6">
        <v>78</v>
      </c>
      <c r="V289" s="96">
        <f>IF(ISERROR(VLOOKUP($S$289,'TAR FIN'!$A$1:$O$86,15,0)),0,VLOOKUP($S$289,'TAR FIN'!$A$1:$O$86,15,0))</f>
        <v>0</v>
      </c>
      <c r="W289" s="96">
        <f>IF(ISERROR(VLOOKUP($T$289,'TAR FIN'!$A$1:$O$86,15,0)),0,VLOOKUP($T$289,'TAR FIN'!$A$1:$O$86,15,0))*(1-0.04)</f>
        <v>68.409599999999998</v>
      </c>
      <c r="X289" s="96">
        <f>IF(ISERROR(VLOOKUP($U$289,'TAR FIN'!$A$1:$O$86,15,0)),0,VLOOKUP($U$289,'TAR FIN'!$A$1:$O$86,15,0))*(1-0.04)</f>
        <v>285.41759999999999</v>
      </c>
      <c r="Y289" s="96"/>
      <c r="Z289" s="96">
        <f ca="1">('TUSD BE'!$AM$12+'TUSD BF_350'!$AM$12+'TUSD CVA'!$AM$12)*1*(1-0.02)</f>
        <v>93.899139140559214</v>
      </c>
      <c r="AA289" s="96">
        <f ca="1">('TE BE'!$AB$6+'TE BF_350'!$AB$6+'TE CVA'!$AB$6)*1*(1-0.02)</f>
        <v>230.63309335138217</v>
      </c>
      <c r="AB289" s="6">
        <f>$K$289*$V$289</f>
        <v>0</v>
      </c>
      <c r="AC289" s="6">
        <f>$M$289*$W$289</f>
        <v>217.47411839999998</v>
      </c>
      <c r="AD289" s="6">
        <f>$O$289*$X$289</f>
        <v>907.34255039999994</v>
      </c>
      <c r="AE289" s="6">
        <f>$K$289*$Y$289</f>
        <v>0</v>
      </c>
      <c r="AF289" s="6">
        <f ca="1">$M$289*$Z$289</f>
        <v>298.5053633278377</v>
      </c>
      <c r="AG289" s="6">
        <f ca="1">$O$289*$AA$289</f>
        <v>733.18260376404385</v>
      </c>
    </row>
    <row r="290" spans="1:33" ht="11.25" customHeight="1" x14ac:dyDescent="0.25">
      <c r="A290" s="4" t="s">
        <v>21</v>
      </c>
      <c r="B290" s="4" t="s">
        <v>38</v>
      </c>
      <c r="C290" s="4" t="s">
        <v>39</v>
      </c>
      <c r="D290" s="4" t="s">
        <v>43</v>
      </c>
      <c r="E290" s="4" t="s">
        <v>52</v>
      </c>
      <c r="F290" s="4" t="s">
        <v>25</v>
      </c>
      <c r="G290" s="4" t="s">
        <v>25</v>
      </c>
      <c r="H290" s="4" t="s">
        <v>25</v>
      </c>
      <c r="I290" s="5">
        <v>44378</v>
      </c>
      <c r="J290" s="6">
        <v>981</v>
      </c>
      <c r="K290" s="96">
        <v>981</v>
      </c>
      <c r="L290" s="6">
        <v>0</v>
      </c>
      <c r="M290" s="96">
        <v>0</v>
      </c>
      <c r="N290" s="6">
        <v>0</v>
      </c>
      <c r="O290" s="96">
        <v>0</v>
      </c>
      <c r="P290" s="6">
        <v>3</v>
      </c>
      <c r="Q290" s="4" t="s">
        <v>26</v>
      </c>
      <c r="R290" s="4">
        <v>0</v>
      </c>
      <c r="S290" s="6">
        <v>19</v>
      </c>
      <c r="T290" s="6">
        <v>0</v>
      </c>
      <c r="U290" s="6">
        <v>0</v>
      </c>
      <c r="V290" s="96">
        <f>IF(ISERROR(VLOOKUP($S$290,'TAR FIN'!$A$1:$O$86,15,0)),0,VLOOKUP($S$290,'TAR FIN'!$A$1:$O$86,15,0))*(1-0.04)</f>
        <v>15.638399999999999</v>
      </c>
      <c r="W290" s="96">
        <f>IF(ISERROR(VLOOKUP($T$290,'TAR FIN'!$A$1:$O$86,15,0)),0,VLOOKUP($T$290,'TAR FIN'!$A$1:$O$86,15,0))</f>
        <v>0</v>
      </c>
      <c r="X290" s="96">
        <f>IF(ISERROR(VLOOKUP($U$290,'TAR FIN'!$A$1:$O$86,15,0)),0,VLOOKUP($U$290,'TAR FIN'!$A$1:$O$86,15,0))</f>
        <v>0</v>
      </c>
      <c r="Y290" s="96">
        <f ca="1">('TUSD BE'!$AM$10+'TUSD BF_350'!$AM$10+'TUSD CVA'!$AM$10)*1*(1-0.02)</f>
        <v>20.716782055066915</v>
      </c>
      <c r="Z290" s="96"/>
      <c r="AA290" s="96"/>
      <c r="AB290" s="6">
        <f>$K$290*$V$290</f>
        <v>15341.270399999999</v>
      </c>
      <c r="AC290" s="6">
        <f>$M$290*$W$290</f>
        <v>0</v>
      </c>
      <c r="AD290" s="6">
        <f>$O$290*$X$290</f>
        <v>0</v>
      </c>
      <c r="AE290" s="6">
        <f ca="1">$K$290*$Y$290</f>
        <v>20323.163196020643</v>
      </c>
      <c r="AF290" s="6">
        <f>$M$290*$Z$290</f>
        <v>0</v>
      </c>
      <c r="AG290" s="6">
        <f>$O$290*$AA$290</f>
        <v>0</v>
      </c>
    </row>
    <row r="291" spans="1:33" ht="11.25" customHeight="1" x14ac:dyDescent="0.25">
      <c r="A291" s="4" t="s">
        <v>21</v>
      </c>
      <c r="B291" s="4" t="s">
        <v>38</v>
      </c>
      <c r="C291" s="4" t="s">
        <v>39</v>
      </c>
      <c r="D291" s="4" t="s">
        <v>43</v>
      </c>
      <c r="E291" s="4" t="s">
        <v>52</v>
      </c>
      <c r="F291" s="4" t="s">
        <v>25</v>
      </c>
      <c r="G291" s="4" t="s">
        <v>25</v>
      </c>
      <c r="H291" s="4" t="s">
        <v>25</v>
      </c>
      <c r="I291" s="5">
        <v>44409</v>
      </c>
      <c r="J291" s="6">
        <v>175</v>
      </c>
      <c r="K291" s="96">
        <v>175</v>
      </c>
      <c r="L291" s="6">
        <v>0</v>
      </c>
      <c r="M291" s="96">
        <v>0</v>
      </c>
      <c r="N291" s="6">
        <v>0</v>
      </c>
      <c r="O291" s="96">
        <v>0</v>
      </c>
      <c r="P291" s="6">
        <v>3</v>
      </c>
      <c r="Q291" s="4" t="s">
        <v>26</v>
      </c>
      <c r="R291" s="4">
        <v>0</v>
      </c>
      <c r="S291" s="6">
        <v>19</v>
      </c>
      <c r="T291" s="6">
        <v>0</v>
      </c>
      <c r="U291" s="6">
        <v>0</v>
      </c>
      <c r="V291" s="96">
        <f>IF(ISERROR(VLOOKUP($S$291,'TAR FIN'!$A$1:$O$86,15,0)),0,VLOOKUP($S$291,'TAR FIN'!$A$1:$O$86,15,0))*(1-0.04)</f>
        <v>15.638399999999999</v>
      </c>
      <c r="W291" s="96">
        <f>IF(ISERROR(VLOOKUP($T$291,'TAR FIN'!$A$1:$O$86,15,0)),0,VLOOKUP($T$291,'TAR FIN'!$A$1:$O$86,15,0))</f>
        <v>0</v>
      </c>
      <c r="X291" s="96">
        <f>IF(ISERROR(VLOOKUP($U$291,'TAR FIN'!$A$1:$O$86,15,0)),0,VLOOKUP($U$291,'TAR FIN'!$A$1:$O$86,15,0))</f>
        <v>0</v>
      </c>
      <c r="Y291" s="96">
        <f ca="1">('TUSD BE'!$AM$10+'TUSD BF_350'!$AM$10+'TUSD CVA'!$AM$10)*1*(1-0.02)</f>
        <v>20.716782055066915</v>
      </c>
      <c r="Z291" s="96"/>
      <c r="AA291" s="96"/>
      <c r="AB291" s="6">
        <f>$K$291*$V$291</f>
        <v>2736.72</v>
      </c>
      <c r="AC291" s="6">
        <f>$M$291*$W$291</f>
        <v>0</v>
      </c>
      <c r="AD291" s="6">
        <f>$O$291*$X$291</f>
        <v>0</v>
      </c>
      <c r="AE291" s="6">
        <f ca="1">$K$291*$Y$291</f>
        <v>3625.4368596367103</v>
      </c>
      <c r="AF291" s="6">
        <f>$M$291*$Z$291</f>
        <v>0</v>
      </c>
      <c r="AG291" s="6">
        <f>$O$291*$AA$291</f>
        <v>0</v>
      </c>
    </row>
    <row r="292" spans="1:33" ht="11.25" customHeight="1" x14ac:dyDescent="0.25">
      <c r="A292" s="4" t="s">
        <v>21</v>
      </c>
      <c r="B292" s="4" t="s">
        <v>38</v>
      </c>
      <c r="C292" s="4" t="s">
        <v>39</v>
      </c>
      <c r="D292" s="4" t="s">
        <v>43</v>
      </c>
      <c r="E292" s="4" t="s">
        <v>52</v>
      </c>
      <c r="F292" s="4" t="s">
        <v>25</v>
      </c>
      <c r="G292" s="4" t="s">
        <v>25</v>
      </c>
      <c r="H292" s="4" t="s">
        <v>25</v>
      </c>
      <c r="I292" s="5">
        <v>44440</v>
      </c>
      <c r="J292" s="6">
        <v>1001</v>
      </c>
      <c r="K292" s="96">
        <v>1001</v>
      </c>
      <c r="L292" s="6">
        <v>0</v>
      </c>
      <c r="M292" s="96">
        <v>0</v>
      </c>
      <c r="N292" s="6">
        <v>0</v>
      </c>
      <c r="O292" s="96">
        <v>0</v>
      </c>
      <c r="P292" s="6">
        <v>3</v>
      </c>
      <c r="Q292" s="4" t="s">
        <v>26</v>
      </c>
      <c r="R292" s="4">
        <v>0</v>
      </c>
      <c r="S292" s="6">
        <v>19</v>
      </c>
      <c r="T292" s="6">
        <v>0</v>
      </c>
      <c r="U292" s="6">
        <v>0</v>
      </c>
      <c r="V292" s="96">
        <f>IF(ISERROR(VLOOKUP($S$292,'TAR FIN'!$A$1:$O$86,15,0)),0,VLOOKUP($S$292,'TAR FIN'!$A$1:$O$86,15,0))*(1-0.04)</f>
        <v>15.638399999999999</v>
      </c>
      <c r="W292" s="96">
        <f>IF(ISERROR(VLOOKUP($T$292,'TAR FIN'!$A$1:$O$86,15,0)),0,VLOOKUP($T$292,'TAR FIN'!$A$1:$O$86,15,0))</f>
        <v>0</v>
      </c>
      <c r="X292" s="96">
        <f>IF(ISERROR(VLOOKUP($U$292,'TAR FIN'!$A$1:$O$86,15,0)),0,VLOOKUP($U$292,'TAR FIN'!$A$1:$O$86,15,0))</f>
        <v>0</v>
      </c>
      <c r="Y292" s="96">
        <f ca="1">('TUSD BE'!$AM$10+'TUSD BF_350'!$AM$10+'TUSD CVA'!$AM$10)*1*(1-0.02)</f>
        <v>20.716782055066915</v>
      </c>
      <c r="Z292" s="96"/>
      <c r="AA292" s="96"/>
      <c r="AB292" s="6">
        <f>$K$292*$V$292</f>
        <v>15654.038399999999</v>
      </c>
      <c r="AC292" s="6">
        <f>$M$292*$W$292</f>
        <v>0</v>
      </c>
      <c r="AD292" s="6">
        <f>$O$292*$X$292</f>
        <v>0</v>
      </c>
      <c r="AE292" s="6">
        <f ca="1">$K$292*$Y$292</f>
        <v>20737.498837121981</v>
      </c>
      <c r="AF292" s="6">
        <f>$M$292*$Z$292</f>
        <v>0</v>
      </c>
      <c r="AG292" s="6">
        <f>$O$292*$AA$292</f>
        <v>0</v>
      </c>
    </row>
    <row r="293" spans="1:33" ht="11.25" customHeight="1" x14ac:dyDescent="0.25">
      <c r="A293" s="4" t="s">
        <v>21</v>
      </c>
      <c r="B293" s="4" t="s">
        <v>38</v>
      </c>
      <c r="C293" s="4" t="s">
        <v>39</v>
      </c>
      <c r="D293" s="4" t="s">
        <v>43</v>
      </c>
      <c r="E293" s="4" t="s">
        <v>52</v>
      </c>
      <c r="F293" s="4" t="s">
        <v>25</v>
      </c>
      <c r="G293" s="4" t="s">
        <v>25</v>
      </c>
      <c r="H293" s="4" t="s">
        <v>25</v>
      </c>
      <c r="I293" s="5">
        <v>44470</v>
      </c>
      <c r="J293" s="6">
        <v>345</v>
      </c>
      <c r="K293" s="96">
        <v>345</v>
      </c>
      <c r="L293" s="6">
        <v>0</v>
      </c>
      <c r="M293" s="96">
        <v>0</v>
      </c>
      <c r="N293" s="6">
        <v>0</v>
      </c>
      <c r="O293" s="96">
        <v>0</v>
      </c>
      <c r="P293" s="6">
        <v>3</v>
      </c>
      <c r="Q293" s="4" t="s">
        <v>26</v>
      </c>
      <c r="R293" s="4">
        <v>0</v>
      </c>
      <c r="S293" s="6">
        <v>19</v>
      </c>
      <c r="T293" s="6">
        <v>0</v>
      </c>
      <c r="U293" s="6">
        <v>0</v>
      </c>
      <c r="V293" s="96">
        <f>IF(ISERROR(VLOOKUP($S$293,'TAR FIN'!$A$1:$O$86,15,0)),0,VLOOKUP($S$293,'TAR FIN'!$A$1:$O$86,15,0))*(1-0.04)</f>
        <v>15.638399999999999</v>
      </c>
      <c r="W293" s="96">
        <f>IF(ISERROR(VLOOKUP($T$293,'TAR FIN'!$A$1:$O$86,15,0)),0,VLOOKUP($T$293,'TAR FIN'!$A$1:$O$86,15,0))</f>
        <v>0</v>
      </c>
      <c r="X293" s="96">
        <f>IF(ISERROR(VLOOKUP($U$293,'TAR FIN'!$A$1:$O$86,15,0)),0,VLOOKUP($U$293,'TAR FIN'!$A$1:$O$86,15,0))</f>
        <v>0</v>
      </c>
      <c r="Y293" s="96">
        <f ca="1">('TUSD BE'!$AM$10+'TUSD BF_350'!$AM$10+'TUSD CVA'!$AM$10)*1*(1-0.02)</f>
        <v>20.716782055066915</v>
      </c>
      <c r="Z293" s="96"/>
      <c r="AA293" s="96"/>
      <c r="AB293" s="6">
        <f>$K$293*$V$293</f>
        <v>5395.2479999999996</v>
      </c>
      <c r="AC293" s="6">
        <f>$M$293*$W$293</f>
        <v>0</v>
      </c>
      <c r="AD293" s="6">
        <f>$O$293*$X$293</f>
        <v>0</v>
      </c>
      <c r="AE293" s="6">
        <f ca="1">$K$293*$Y$293</f>
        <v>7147.2898089980854</v>
      </c>
      <c r="AF293" s="6">
        <f>$M$293*$Z$293</f>
        <v>0</v>
      </c>
      <c r="AG293" s="6">
        <f>$O$293*$AA$293</f>
        <v>0</v>
      </c>
    </row>
    <row r="294" spans="1:33" ht="11.25" customHeight="1" x14ac:dyDescent="0.25">
      <c r="A294" s="4" t="s">
        <v>21</v>
      </c>
      <c r="B294" s="4" t="s">
        <v>38</v>
      </c>
      <c r="C294" s="4" t="s">
        <v>39</v>
      </c>
      <c r="D294" s="4" t="s">
        <v>43</v>
      </c>
      <c r="E294" s="4" t="s">
        <v>52</v>
      </c>
      <c r="F294" s="4" t="s">
        <v>25</v>
      </c>
      <c r="G294" s="4" t="s">
        <v>25</v>
      </c>
      <c r="H294" s="4" t="s">
        <v>25</v>
      </c>
      <c r="I294" s="5">
        <v>44501</v>
      </c>
      <c r="J294" s="6">
        <v>381</v>
      </c>
      <c r="K294" s="96">
        <v>381</v>
      </c>
      <c r="L294" s="6">
        <v>0</v>
      </c>
      <c r="M294" s="96">
        <v>0</v>
      </c>
      <c r="N294" s="6">
        <v>0</v>
      </c>
      <c r="O294" s="96">
        <v>0</v>
      </c>
      <c r="P294" s="6">
        <v>3</v>
      </c>
      <c r="Q294" s="4" t="s">
        <v>26</v>
      </c>
      <c r="R294" s="4">
        <v>0</v>
      </c>
      <c r="S294" s="6">
        <v>19</v>
      </c>
      <c r="T294" s="6">
        <v>0</v>
      </c>
      <c r="U294" s="6">
        <v>0</v>
      </c>
      <c r="V294" s="96">
        <f>IF(ISERROR(VLOOKUP($S$294,'TAR FIN'!$A$1:$O$86,15,0)),0,VLOOKUP($S$294,'TAR FIN'!$A$1:$O$86,15,0))*(1-0.04)</f>
        <v>15.638399999999999</v>
      </c>
      <c r="W294" s="96">
        <f>IF(ISERROR(VLOOKUP($T$294,'TAR FIN'!$A$1:$O$86,15,0)),0,VLOOKUP($T$294,'TAR FIN'!$A$1:$O$86,15,0))</f>
        <v>0</v>
      </c>
      <c r="X294" s="96">
        <f>IF(ISERROR(VLOOKUP($U$294,'TAR FIN'!$A$1:$O$86,15,0)),0,VLOOKUP($U$294,'TAR FIN'!$A$1:$O$86,15,0))</f>
        <v>0</v>
      </c>
      <c r="Y294" s="96">
        <f ca="1">('TUSD BE'!$AM$10+'TUSD BF_350'!$AM$10+'TUSD CVA'!$AM$10)*1*(1-0.02)</f>
        <v>20.716782055066915</v>
      </c>
      <c r="Z294" s="96"/>
      <c r="AA294" s="96"/>
      <c r="AB294" s="6">
        <f>$K$294*$V$294</f>
        <v>5958.2303999999995</v>
      </c>
      <c r="AC294" s="6">
        <f>$M$294*$W$294</f>
        <v>0</v>
      </c>
      <c r="AD294" s="6">
        <f>$O$294*$X$294</f>
        <v>0</v>
      </c>
      <c r="AE294" s="6">
        <f ca="1">$K$294*$Y$294</f>
        <v>7893.0939629804943</v>
      </c>
      <c r="AF294" s="6">
        <f>$M$294*$Z$294</f>
        <v>0</v>
      </c>
      <c r="AG294" s="6">
        <f>$O$294*$AA$294</f>
        <v>0</v>
      </c>
    </row>
    <row r="295" spans="1:33" ht="11.25" customHeight="1" x14ac:dyDescent="0.25">
      <c r="A295" s="4" t="s">
        <v>21</v>
      </c>
      <c r="B295" s="4" t="s">
        <v>38</v>
      </c>
      <c r="C295" s="4" t="s">
        <v>39</v>
      </c>
      <c r="D295" s="4" t="s">
        <v>43</v>
      </c>
      <c r="E295" s="4" t="s">
        <v>52</v>
      </c>
      <c r="F295" s="4" t="s">
        <v>25</v>
      </c>
      <c r="G295" s="4" t="s">
        <v>25</v>
      </c>
      <c r="H295" s="4" t="s">
        <v>25</v>
      </c>
      <c r="I295" s="5">
        <v>44531</v>
      </c>
      <c r="J295" s="6">
        <v>927</v>
      </c>
      <c r="K295" s="96">
        <v>927</v>
      </c>
      <c r="L295" s="6">
        <v>0</v>
      </c>
      <c r="M295" s="96">
        <v>0</v>
      </c>
      <c r="N295" s="6">
        <v>0</v>
      </c>
      <c r="O295" s="96">
        <v>0</v>
      </c>
      <c r="P295" s="6">
        <v>3</v>
      </c>
      <c r="Q295" s="4" t="s">
        <v>26</v>
      </c>
      <c r="R295" s="4">
        <v>0</v>
      </c>
      <c r="S295" s="6">
        <v>19</v>
      </c>
      <c r="T295" s="6">
        <v>0</v>
      </c>
      <c r="U295" s="6">
        <v>0</v>
      </c>
      <c r="V295" s="96">
        <f>IF(ISERROR(VLOOKUP($S$295,'TAR FIN'!$A$1:$O$86,15,0)),0,VLOOKUP($S$295,'TAR FIN'!$A$1:$O$86,15,0))*(1-0.04)</f>
        <v>15.638399999999999</v>
      </c>
      <c r="W295" s="96">
        <f>IF(ISERROR(VLOOKUP($T$295,'TAR FIN'!$A$1:$O$86,15,0)),0,VLOOKUP($T$295,'TAR FIN'!$A$1:$O$86,15,0))</f>
        <v>0</v>
      </c>
      <c r="X295" s="96">
        <f>IF(ISERROR(VLOOKUP($U$295,'TAR FIN'!$A$1:$O$86,15,0)),0,VLOOKUP($U$295,'TAR FIN'!$A$1:$O$86,15,0))</f>
        <v>0</v>
      </c>
      <c r="Y295" s="96">
        <f ca="1">('TUSD BE'!$AM$10+'TUSD BF_350'!$AM$10+'TUSD CVA'!$AM$10)*1*(1-0.02)</f>
        <v>20.716782055066915</v>
      </c>
      <c r="Z295" s="96"/>
      <c r="AA295" s="96"/>
      <c r="AB295" s="6">
        <f>$K$295*$V$295</f>
        <v>14496.796799999998</v>
      </c>
      <c r="AC295" s="6">
        <f>$M$295*$W$295</f>
        <v>0</v>
      </c>
      <c r="AD295" s="6">
        <f>$O$295*$X$295</f>
        <v>0</v>
      </c>
      <c r="AE295" s="6">
        <f ca="1">$K$295*$Y$295</f>
        <v>19204.456965047029</v>
      </c>
      <c r="AF295" s="6">
        <f>$M$295*$Z$295</f>
        <v>0</v>
      </c>
      <c r="AG295" s="6">
        <f>$O$295*$AA$295</f>
        <v>0</v>
      </c>
    </row>
    <row r="296" spans="1:33" ht="11.25" customHeight="1" x14ac:dyDescent="0.25">
      <c r="A296" s="4" t="s">
        <v>21</v>
      </c>
      <c r="B296" s="4" t="s">
        <v>38</v>
      </c>
      <c r="C296" s="4" t="s">
        <v>39</v>
      </c>
      <c r="D296" s="4" t="s">
        <v>43</v>
      </c>
      <c r="E296" s="4" t="s">
        <v>52</v>
      </c>
      <c r="F296" s="4" t="s">
        <v>25</v>
      </c>
      <c r="G296" s="4" t="s">
        <v>25</v>
      </c>
      <c r="H296" s="4" t="s">
        <v>25</v>
      </c>
      <c r="I296" s="5">
        <v>44562</v>
      </c>
      <c r="J296" s="6">
        <v>635</v>
      </c>
      <c r="K296" s="96">
        <v>635</v>
      </c>
      <c r="L296" s="6">
        <v>0</v>
      </c>
      <c r="M296" s="96">
        <v>0</v>
      </c>
      <c r="N296" s="6">
        <v>0</v>
      </c>
      <c r="O296" s="96">
        <v>0</v>
      </c>
      <c r="P296" s="6">
        <v>3</v>
      </c>
      <c r="Q296" s="4" t="s">
        <v>26</v>
      </c>
      <c r="R296" s="4">
        <v>0</v>
      </c>
      <c r="S296" s="6">
        <v>19</v>
      </c>
      <c r="T296" s="6">
        <v>0</v>
      </c>
      <c r="U296" s="6">
        <v>0</v>
      </c>
      <c r="V296" s="96">
        <f>IF(ISERROR(VLOOKUP($S$296,'TAR FIN'!$A$1:$O$86,15,0)),0,VLOOKUP($S$296,'TAR FIN'!$A$1:$O$86,15,0))*(1-0.04)</f>
        <v>15.638399999999999</v>
      </c>
      <c r="W296" s="96">
        <f>IF(ISERROR(VLOOKUP($T$296,'TAR FIN'!$A$1:$O$86,15,0)),0,VLOOKUP($T$296,'TAR FIN'!$A$1:$O$86,15,0))</f>
        <v>0</v>
      </c>
      <c r="X296" s="96">
        <f>IF(ISERROR(VLOOKUP($U$296,'TAR FIN'!$A$1:$O$86,15,0)),0,VLOOKUP($U$296,'TAR FIN'!$A$1:$O$86,15,0))</f>
        <v>0</v>
      </c>
      <c r="Y296" s="96">
        <f ca="1">('TUSD BE'!$AM$10+'TUSD BF_350'!$AM$10+'TUSD CVA'!$AM$10)*1*(1-0.02)</f>
        <v>20.716782055066915</v>
      </c>
      <c r="Z296" s="96"/>
      <c r="AA296" s="96"/>
      <c r="AB296" s="6">
        <f>$K$296*$V$296</f>
        <v>9930.384</v>
      </c>
      <c r="AC296" s="6">
        <f>$M$296*$W$296</f>
        <v>0</v>
      </c>
      <c r="AD296" s="6">
        <f>$O$296*$X$296</f>
        <v>0</v>
      </c>
      <c r="AE296" s="6">
        <f ca="1">$K$296*$Y$296</f>
        <v>13155.156604967491</v>
      </c>
      <c r="AF296" s="6">
        <f>$M$296*$Z$296</f>
        <v>0</v>
      </c>
      <c r="AG296" s="6">
        <f>$O$296*$AA$296</f>
        <v>0</v>
      </c>
    </row>
    <row r="297" spans="1:33" ht="11.25" customHeight="1" x14ac:dyDescent="0.25">
      <c r="A297" s="4" t="s">
        <v>21</v>
      </c>
      <c r="B297" s="4" t="s">
        <v>38</v>
      </c>
      <c r="C297" s="4" t="s">
        <v>39</v>
      </c>
      <c r="D297" s="4" t="s">
        <v>43</v>
      </c>
      <c r="E297" s="4" t="s">
        <v>52</v>
      </c>
      <c r="F297" s="4" t="s">
        <v>25</v>
      </c>
      <c r="G297" s="4" t="s">
        <v>25</v>
      </c>
      <c r="H297" s="4" t="s">
        <v>25</v>
      </c>
      <c r="I297" s="5">
        <v>44593</v>
      </c>
      <c r="J297" s="6">
        <v>589</v>
      </c>
      <c r="K297" s="96">
        <v>589</v>
      </c>
      <c r="L297" s="6">
        <v>0</v>
      </c>
      <c r="M297" s="96">
        <v>0</v>
      </c>
      <c r="N297" s="6">
        <v>0</v>
      </c>
      <c r="O297" s="96">
        <v>0</v>
      </c>
      <c r="P297" s="6">
        <v>3</v>
      </c>
      <c r="Q297" s="4" t="s">
        <v>26</v>
      </c>
      <c r="R297" s="4">
        <v>0</v>
      </c>
      <c r="S297" s="6">
        <v>19</v>
      </c>
      <c r="T297" s="6">
        <v>0</v>
      </c>
      <c r="U297" s="6">
        <v>0</v>
      </c>
      <c r="V297" s="96">
        <f>IF(ISERROR(VLOOKUP($S$297,'TAR FIN'!$A$1:$O$86,15,0)),0,VLOOKUP($S$297,'TAR FIN'!$A$1:$O$86,15,0))*(1-0.04)</f>
        <v>15.638399999999999</v>
      </c>
      <c r="W297" s="96">
        <f>IF(ISERROR(VLOOKUP($T$297,'TAR FIN'!$A$1:$O$86,15,0)),0,VLOOKUP($T$297,'TAR FIN'!$A$1:$O$86,15,0))</f>
        <v>0</v>
      </c>
      <c r="X297" s="96">
        <f>IF(ISERROR(VLOOKUP($U$297,'TAR FIN'!$A$1:$O$86,15,0)),0,VLOOKUP($U$297,'TAR FIN'!$A$1:$O$86,15,0))</f>
        <v>0</v>
      </c>
      <c r="Y297" s="96">
        <f ca="1">('TUSD BE'!$AM$10+'TUSD BF_350'!$AM$10+'TUSD CVA'!$AM$10)*1*(1-0.02)</f>
        <v>20.716782055066915</v>
      </c>
      <c r="Z297" s="96"/>
      <c r="AA297" s="96"/>
      <c r="AB297" s="6">
        <f>$K$297*$V$297</f>
        <v>9211.0175999999992</v>
      </c>
      <c r="AC297" s="6">
        <f>$M$297*$W$297</f>
        <v>0</v>
      </c>
      <c r="AD297" s="6">
        <f>$O$297*$X$297</f>
        <v>0</v>
      </c>
      <c r="AE297" s="6">
        <f ca="1">$K$297*$Y$297</f>
        <v>12202.184630434413</v>
      </c>
      <c r="AF297" s="6">
        <f>$M$297*$Z$297</f>
        <v>0</v>
      </c>
      <c r="AG297" s="6">
        <f>$O$297*$AA$297</f>
        <v>0</v>
      </c>
    </row>
    <row r="298" spans="1:33" ht="11.25" customHeight="1" x14ac:dyDescent="0.25">
      <c r="A298" s="4" t="s">
        <v>21</v>
      </c>
      <c r="B298" s="4" t="s">
        <v>38</v>
      </c>
      <c r="C298" s="4" t="s">
        <v>39</v>
      </c>
      <c r="D298" s="4" t="s">
        <v>43</v>
      </c>
      <c r="E298" s="4" t="s">
        <v>52</v>
      </c>
      <c r="F298" s="4" t="s">
        <v>25</v>
      </c>
      <c r="G298" s="4" t="s">
        <v>25</v>
      </c>
      <c r="H298" s="4" t="s">
        <v>25</v>
      </c>
      <c r="I298" s="5">
        <v>44621</v>
      </c>
      <c r="J298" s="6">
        <v>102</v>
      </c>
      <c r="K298" s="96">
        <v>102</v>
      </c>
      <c r="L298" s="6">
        <v>0</v>
      </c>
      <c r="M298" s="96">
        <v>0</v>
      </c>
      <c r="N298" s="6">
        <v>0</v>
      </c>
      <c r="O298" s="96">
        <v>0</v>
      </c>
      <c r="P298" s="6">
        <v>3</v>
      </c>
      <c r="Q298" s="4" t="s">
        <v>26</v>
      </c>
      <c r="R298" s="4">
        <v>0</v>
      </c>
      <c r="S298" s="6">
        <v>19</v>
      </c>
      <c r="T298" s="6">
        <v>0</v>
      </c>
      <c r="U298" s="6">
        <v>0</v>
      </c>
      <c r="V298" s="96">
        <f>IF(ISERROR(VLOOKUP($S$298,'TAR FIN'!$A$1:$O$86,15,0)),0,VLOOKUP($S$298,'TAR FIN'!$A$1:$O$86,15,0))*(1-0.04)</f>
        <v>15.638399999999999</v>
      </c>
      <c r="W298" s="96">
        <f>IF(ISERROR(VLOOKUP($T$298,'TAR FIN'!$A$1:$O$86,15,0)),0,VLOOKUP($T$298,'TAR FIN'!$A$1:$O$86,15,0))</f>
        <v>0</v>
      </c>
      <c r="X298" s="96">
        <f>IF(ISERROR(VLOOKUP($U$298,'TAR FIN'!$A$1:$O$86,15,0)),0,VLOOKUP($U$298,'TAR FIN'!$A$1:$O$86,15,0))</f>
        <v>0</v>
      </c>
      <c r="Y298" s="96">
        <f ca="1">('TUSD BE'!$AM$10+'TUSD BF_350'!$AM$10+'TUSD CVA'!$AM$10)*1*(1-0.02)</f>
        <v>20.716782055066915</v>
      </c>
      <c r="Z298" s="96"/>
      <c r="AA298" s="96"/>
      <c r="AB298" s="6">
        <f>$K$298*$V$298</f>
        <v>1595.1167999999998</v>
      </c>
      <c r="AC298" s="6">
        <f>$M$298*$W$298</f>
        <v>0</v>
      </c>
      <c r="AD298" s="6">
        <f>$O$298*$X$298</f>
        <v>0</v>
      </c>
      <c r="AE298" s="6">
        <f ca="1">$K$298*$Y$298</f>
        <v>2113.1117696168253</v>
      </c>
      <c r="AF298" s="6">
        <f>$M$298*$Z$298</f>
        <v>0</v>
      </c>
      <c r="AG298" s="6">
        <f>$O$298*$AA$298</f>
        <v>0</v>
      </c>
    </row>
    <row r="299" spans="1:33" ht="11.25" customHeight="1" x14ac:dyDescent="0.25">
      <c r="A299" s="4" t="s">
        <v>21</v>
      </c>
      <c r="B299" s="4" t="s">
        <v>38</v>
      </c>
      <c r="C299" s="4" t="s">
        <v>39</v>
      </c>
      <c r="D299" s="4" t="s">
        <v>43</v>
      </c>
      <c r="E299" s="4" t="s">
        <v>52</v>
      </c>
      <c r="F299" s="4" t="s">
        <v>25</v>
      </c>
      <c r="G299" s="4" t="s">
        <v>25</v>
      </c>
      <c r="H299" s="4" t="s">
        <v>25</v>
      </c>
      <c r="I299" s="5">
        <v>44652</v>
      </c>
      <c r="J299" s="6">
        <v>172</v>
      </c>
      <c r="K299" s="96">
        <v>172</v>
      </c>
      <c r="L299" s="6">
        <v>0</v>
      </c>
      <c r="M299" s="96">
        <v>0</v>
      </c>
      <c r="N299" s="6">
        <v>0</v>
      </c>
      <c r="O299" s="96">
        <v>0</v>
      </c>
      <c r="P299" s="6">
        <v>3</v>
      </c>
      <c r="Q299" s="4" t="s">
        <v>26</v>
      </c>
      <c r="R299" s="4">
        <v>0</v>
      </c>
      <c r="S299" s="6">
        <v>19</v>
      </c>
      <c r="T299" s="6">
        <v>0</v>
      </c>
      <c r="U299" s="6">
        <v>0</v>
      </c>
      <c r="V299" s="96">
        <f>IF(ISERROR(VLOOKUP($S$299,'TAR FIN'!$A$1:$O$86,15,0)),0,VLOOKUP($S$299,'TAR FIN'!$A$1:$O$86,15,0))*(1-0.04)</f>
        <v>15.638399999999999</v>
      </c>
      <c r="W299" s="96">
        <f>IF(ISERROR(VLOOKUP($T$299,'TAR FIN'!$A$1:$O$86,15,0)),0,VLOOKUP($T$299,'TAR FIN'!$A$1:$O$86,15,0))</f>
        <v>0</v>
      </c>
      <c r="X299" s="96">
        <f>IF(ISERROR(VLOOKUP($U$299,'TAR FIN'!$A$1:$O$86,15,0)),0,VLOOKUP($U$299,'TAR FIN'!$A$1:$O$86,15,0))</f>
        <v>0</v>
      </c>
      <c r="Y299" s="96">
        <f ca="1">('TUSD BE'!$AM$10+'TUSD BF_350'!$AM$10+'TUSD CVA'!$AM$10)*1*(1-0.02)</f>
        <v>20.716782055066915</v>
      </c>
      <c r="Z299" s="96"/>
      <c r="AA299" s="96"/>
      <c r="AB299" s="6">
        <f>$K$299*$V$299</f>
        <v>2689.8047999999999</v>
      </c>
      <c r="AC299" s="6">
        <f>$M$299*$W$299</f>
        <v>0</v>
      </c>
      <c r="AD299" s="6">
        <f>$O$299*$X$299</f>
        <v>0</v>
      </c>
      <c r="AE299" s="6">
        <f ca="1">$K$299*$Y$299</f>
        <v>3563.2865134715094</v>
      </c>
      <c r="AF299" s="6">
        <f>$M$299*$Z$299</f>
        <v>0</v>
      </c>
      <c r="AG299" s="6">
        <f>$O$299*$AA$299</f>
        <v>0</v>
      </c>
    </row>
    <row r="300" spans="1:33" ht="11.25" customHeight="1" x14ac:dyDescent="0.25">
      <c r="A300" s="4" t="s">
        <v>21</v>
      </c>
      <c r="B300" s="4" t="s">
        <v>38</v>
      </c>
      <c r="C300" s="4" t="s">
        <v>39</v>
      </c>
      <c r="D300" s="4" t="s">
        <v>43</v>
      </c>
      <c r="E300" s="4" t="s">
        <v>52</v>
      </c>
      <c r="F300" s="4" t="s">
        <v>25</v>
      </c>
      <c r="G300" s="4" t="s">
        <v>25</v>
      </c>
      <c r="H300" s="4" t="s">
        <v>25</v>
      </c>
      <c r="I300" s="5">
        <v>44682</v>
      </c>
      <c r="J300" s="6">
        <v>177</v>
      </c>
      <c r="K300" s="96">
        <v>177</v>
      </c>
      <c r="L300" s="6">
        <v>0</v>
      </c>
      <c r="M300" s="96">
        <v>0</v>
      </c>
      <c r="N300" s="6">
        <v>0</v>
      </c>
      <c r="O300" s="96">
        <v>0</v>
      </c>
      <c r="P300" s="6">
        <v>3</v>
      </c>
      <c r="Q300" s="4" t="s">
        <v>26</v>
      </c>
      <c r="R300" s="4">
        <v>0</v>
      </c>
      <c r="S300" s="6">
        <v>19</v>
      </c>
      <c r="T300" s="6">
        <v>0</v>
      </c>
      <c r="U300" s="6">
        <v>0</v>
      </c>
      <c r="V300" s="96">
        <f>IF(ISERROR(VLOOKUP($S$300,'TAR FIN'!$A$1:$O$86,15,0)),0,VLOOKUP($S$300,'TAR FIN'!$A$1:$O$86,15,0))*(1-0.04)</f>
        <v>15.638399999999999</v>
      </c>
      <c r="W300" s="96">
        <f>IF(ISERROR(VLOOKUP($T$300,'TAR FIN'!$A$1:$O$86,15,0)),0,VLOOKUP($T$300,'TAR FIN'!$A$1:$O$86,15,0))</f>
        <v>0</v>
      </c>
      <c r="X300" s="96">
        <f>IF(ISERROR(VLOOKUP($U$300,'TAR FIN'!$A$1:$O$86,15,0)),0,VLOOKUP($U$300,'TAR FIN'!$A$1:$O$86,15,0))</f>
        <v>0</v>
      </c>
      <c r="Y300" s="96">
        <f ca="1">('TUSD BE'!$AM$10+'TUSD BF_350'!$AM$10+'TUSD CVA'!$AM$10)*1*(1-0.02)</f>
        <v>20.716782055066915</v>
      </c>
      <c r="Z300" s="96"/>
      <c r="AA300" s="96"/>
      <c r="AB300" s="6">
        <f>$K$300*$V$300</f>
        <v>2767.9967999999999</v>
      </c>
      <c r="AC300" s="6">
        <f>$M$300*$W$300</f>
        <v>0</v>
      </c>
      <c r="AD300" s="6">
        <f>$O$300*$X$300</f>
        <v>0</v>
      </c>
      <c r="AE300" s="6">
        <f ca="1">$K$300*$Y$300</f>
        <v>3666.8704237468437</v>
      </c>
      <c r="AF300" s="6">
        <f>$M$300*$Z$300</f>
        <v>0</v>
      </c>
      <c r="AG300" s="6">
        <f>$O$300*$AA$300</f>
        <v>0</v>
      </c>
    </row>
    <row r="301" spans="1:33" ht="11.25" customHeight="1" x14ac:dyDescent="0.25">
      <c r="A301" s="4" t="s">
        <v>55</v>
      </c>
      <c r="B301" s="4" t="s">
        <v>38</v>
      </c>
      <c r="C301" s="4" t="s">
        <v>39</v>
      </c>
      <c r="D301" s="4" t="s">
        <v>43</v>
      </c>
      <c r="E301" s="4" t="s">
        <v>52</v>
      </c>
      <c r="F301" s="4" t="s">
        <v>25</v>
      </c>
      <c r="G301" s="4" t="s">
        <v>25</v>
      </c>
      <c r="H301" s="4" t="s">
        <v>25</v>
      </c>
      <c r="I301" s="5">
        <v>44713</v>
      </c>
      <c r="J301" s="6">
        <v>177</v>
      </c>
      <c r="K301" s="96">
        <v>177</v>
      </c>
      <c r="L301" s="6">
        <v>0</v>
      </c>
      <c r="M301" s="96">
        <v>0</v>
      </c>
      <c r="N301" s="6">
        <v>0</v>
      </c>
      <c r="O301" s="96">
        <v>0</v>
      </c>
      <c r="P301" s="6">
        <v>3</v>
      </c>
      <c r="Q301" s="4" t="s">
        <v>26</v>
      </c>
      <c r="R301" s="4">
        <v>0</v>
      </c>
      <c r="S301" s="6">
        <v>19</v>
      </c>
      <c r="T301" s="6">
        <v>0</v>
      </c>
      <c r="U301" s="6">
        <v>0</v>
      </c>
      <c r="V301" s="96">
        <f>IF(ISERROR(VLOOKUP($S$301,'TAR FIN'!$A$1:$O$86,15,0)),0,VLOOKUP($S$301,'TAR FIN'!$A$1:$O$86,15,0))*(1-0.04)</f>
        <v>15.638399999999999</v>
      </c>
      <c r="W301" s="96">
        <f>IF(ISERROR(VLOOKUP($T$301,'TAR FIN'!$A$1:$O$86,15,0)),0,VLOOKUP($T$301,'TAR FIN'!$A$1:$O$86,15,0))</f>
        <v>0</v>
      </c>
      <c r="X301" s="96">
        <f>IF(ISERROR(VLOOKUP($U$301,'TAR FIN'!$A$1:$O$86,15,0)),0,VLOOKUP($U$301,'TAR FIN'!$A$1:$O$86,15,0))</f>
        <v>0</v>
      </c>
      <c r="Y301" s="96">
        <f ca="1">('TUSD BE'!$AM$10+'TUSD BF_350'!$AM$10+'TUSD CVA'!$AM$10)*1*(1-0.02)</f>
        <v>20.716782055066915</v>
      </c>
      <c r="Z301" s="96"/>
      <c r="AA301" s="96"/>
      <c r="AB301" s="6">
        <f>$K$301*$V$301</f>
        <v>2767.9967999999999</v>
      </c>
      <c r="AC301" s="6">
        <f>$M$301*$W$301</f>
        <v>0</v>
      </c>
      <c r="AD301" s="6">
        <f>$O$301*$X$301</f>
        <v>0</v>
      </c>
      <c r="AE301" s="6">
        <f ca="1">$K$301*$Y$301</f>
        <v>3666.8704237468437</v>
      </c>
      <c r="AF301" s="6">
        <f>$M$301*$Z$301</f>
        <v>0</v>
      </c>
      <c r="AG301" s="6">
        <f>$O$301*$AA$301</f>
        <v>0</v>
      </c>
    </row>
    <row r="302" spans="1:33" ht="11.25" customHeight="1" x14ac:dyDescent="0.25">
      <c r="A302" s="4" t="s">
        <v>21</v>
      </c>
      <c r="B302" s="4" t="s">
        <v>38</v>
      </c>
      <c r="C302" s="4" t="s">
        <v>39</v>
      </c>
      <c r="D302" s="4" t="s">
        <v>43</v>
      </c>
      <c r="E302" s="4" t="s">
        <v>52</v>
      </c>
      <c r="F302" s="4" t="s">
        <v>25</v>
      </c>
      <c r="G302" s="4" t="s">
        <v>25</v>
      </c>
      <c r="H302" s="4" t="s">
        <v>33</v>
      </c>
      <c r="I302" s="5">
        <v>44378</v>
      </c>
      <c r="J302" s="6">
        <v>0</v>
      </c>
      <c r="K302" s="96">
        <v>0</v>
      </c>
      <c r="L302" s="6">
        <v>5.0999999999999997E-2</v>
      </c>
      <c r="M302" s="96">
        <v>5.0999999999999997E-2</v>
      </c>
      <c r="N302" s="6">
        <v>5.0999999999999997E-2</v>
      </c>
      <c r="O302" s="96">
        <v>5.0999999999999997E-2</v>
      </c>
      <c r="P302" s="6">
        <v>0</v>
      </c>
      <c r="Q302" s="4" t="s">
        <v>26</v>
      </c>
      <c r="R302" s="4">
        <v>0</v>
      </c>
      <c r="S302" s="6">
        <v>0</v>
      </c>
      <c r="T302" s="6">
        <v>21</v>
      </c>
      <c r="U302" s="6">
        <v>66</v>
      </c>
      <c r="V302" s="96">
        <f>IF(ISERROR(VLOOKUP($S$302,'TAR FIN'!$A$1:$O$86,15,0)),0,VLOOKUP($S$302,'TAR FIN'!$A$1:$O$86,15,0))</f>
        <v>0</v>
      </c>
      <c r="W302" s="96">
        <f>IF(ISERROR(VLOOKUP($T$302,'TAR FIN'!$A$1:$O$86,15,0)),0,VLOOKUP($T$302,'TAR FIN'!$A$1:$O$86,15,0))*(1-0.04)</f>
        <v>572.90879999999993</v>
      </c>
      <c r="X302" s="96">
        <f>IF(ISERROR(VLOOKUP($U$302,'TAR FIN'!$A$1:$O$86,15,0)),0,VLOOKUP($U$302,'TAR FIN'!$A$1:$O$86,15,0))*(1-0.04)</f>
        <v>483.66719999999998</v>
      </c>
      <c r="Y302" s="96"/>
      <c r="Z302" s="96">
        <f ca="1">('TUSD BE'!$AM$11+'TUSD BF_350'!$AM$11+'TUSD CVA'!$AM$11)*1*(1-0.02)</f>
        <v>613.15693267511767</v>
      </c>
      <c r="AA302" s="96">
        <f ca="1">('TE BE'!$AB$5+'TE BF_350'!$AB$5+'TE CVA'!$AB$5)*1*(1-0.02)</f>
        <v>390.05630765165643</v>
      </c>
      <c r="AB302" s="6">
        <f>$K$302*$V$302</f>
        <v>0</v>
      </c>
      <c r="AC302" s="6">
        <f>$M$302*$W$302</f>
        <v>29.218348799999994</v>
      </c>
      <c r="AD302" s="6">
        <f>$O$302*$X$302</f>
        <v>24.667027199999996</v>
      </c>
      <c r="AE302" s="6">
        <f>$K$302*$Y$302</f>
        <v>0</v>
      </c>
      <c r="AF302" s="6">
        <f ca="1">$M$302*$Z$302</f>
        <v>31.271003566430998</v>
      </c>
      <c r="AG302" s="6">
        <f ca="1">$O$302*$AA$302</f>
        <v>19.892871690234475</v>
      </c>
    </row>
    <row r="303" spans="1:33" ht="11.25" customHeight="1" x14ac:dyDescent="0.25">
      <c r="A303" s="4" t="s">
        <v>21</v>
      </c>
      <c r="B303" s="4" t="s">
        <v>38</v>
      </c>
      <c r="C303" s="4" t="s">
        <v>39</v>
      </c>
      <c r="D303" s="4" t="s">
        <v>43</v>
      </c>
      <c r="E303" s="4" t="s">
        <v>52</v>
      </c>
      <c r="F303" s="4" t="s">
        <v>25</v>
      </c>
      <c r="G303" s="4" t="s">
        <v>25</v>
      </c>
      <c r="H303" s="4" t="s">
        <v>33</v>
      </c>
      <c r="I303" s="5">
        <v>44409</v>
      </c>
      <c r="J303" s="6">
        <v>0</v>
      </c>
      <c r="K303" s="96">
        <v>0</v>
      </c>
      <c r="L303" s="6">
        <v>5.0999999999999997E-2</v>
      </c>
      <c r="M303" s="96">
        <v>5.0999999999999997E-2</v>
      </c>
      <c r="N303" s="6">
        <v>5.0999999999999997E-2</v>
      </c>
      <c r="O303" s="96">
        <v>5.0999999999999997E-2</v>
      </c>
      <c r="P303" s="6">
        <v>0</v>
      </c>
      <c r="Q303" s="4" t="s">
        <v>26</v>
      </c>
      <c r="R303" s="4">
        <v>0</v>
      </c>
      <c r="S303" s="6">
        <v>0</v>
      </c>
      <c r="T303" s="6">
        <v>21</v>
      </c>
      <c r="U303" s="6">
        <v>66</v>
      </c>
      <c r="V303" s="96">
        <f>IF(ISERROR(VLOOKUP($S$303,'TAR FIN'!$A$1:$O$86,15,0)),0,VLOOKUP($S$303,'TAR FIN'!$A$1:$O$86,15,0))</f>
        <v>0</v>
      </c>
      <c r="W303" s="96">
        <f>IF(ISERROR(VLOOKUP($T$303,'TAR FIN'!$A$1:$O$86,15,0)),0,VLOOKUP($T$303,'TAR FIN'!$A$1:$O$86,15,0))*(1-0.04)</f>
        <v>572.90879999999993</v>
      </c>
      <c r="X303" s="96">
        <f>IF(ISERROR(VLOOKUP($U$303,'TAR FIN'!$A$1:$O$86,15,0)),0,VLOOKUP($U$303,'TAR FIN'!$A$1:$O$86,15,0))*(1-0.04)</f>
        <v>483.66719999999998</v>
      </c>
      <c r="Y303" s="96"/>
      <c r="Z303" s="96">
        <f ca="1">('TUSD BE'!$AM$11+'TUSD BF_350'!$AM$11+'TUSD CVA'!$AM$11)*1*(1-0.02)</f>
        <v>613.15693267511767</v>
      </c>
      <c r="AA303" s="96">
        <f ca="1">('TE BE'!$AB$5+'TE BF_350'!$AB$5+'TE CVA'!$AB$5)*1*(1-0.02)</f>
        <v>390.05630765165643</v>
      </c>
      <c r="AB303" s="6">
        <f>$K$303*$V$303</f>
        <v>0</v>
      </c>
      <c r="AC303" s="6">
        <f>$M$303*$W$303</f>
        <v>29.218348799999994</v>
      </c>
      <c r="AD303" s="6">
        <f>$O$303*$X$303</f>
        <v>24.667027199999996</v>
      </c>
      <c r="AE303" s="6">
        <f>$K$303*$Y$303</f>
        <v>0</v>
      </c>
      <c r="AF303" s="6">
        <f ca="1">$M$303*$Z$303</f>
        <v>31.271003566430998</v>
      </c>
      <c r="AG303" s="6">
        <f ca="1">$O$303*$AA$303</f>
        <v>19.892871690234475</v>
      </c>
    </row>
    <row r="304" spans="1:33" ht="11.25" customHeight="1" x14ac:dyDescent="0.25">
      <c r="A304" s="4" t="s">
        <v>21</v>
      </c>
      <c r="B304" s="4" t="s">
        <v>38</v>
      </c>
      <c r="C304" s="4" t="s">
        <v>39</v>
      </c>
      <c r="D304" s="4" t="s">
        <v>43</v>
      </c>
      <c r="E304" s="4" t="s">
        <v>52</v>
      </c>
      <c r="F304" s="4" t="s">
        <v>25</v>
      </c>
      <c r="G304" s="4" t="s">
        <v>25</v>
      </c>
      <c r="H304" s="4" t="s">
        <v>33</v>
      </c>
      <c r="I304" s="5">
        <v>44440</v>
      </c>
      <c r="J304" s="6">
        <v>0</v>
      </c>
      <c r="K304" s="96">
        <v>0</v>
      </c>
      <c r="L304" s="6">
        <v>5.1999999999999998E-2</v>
      </c>
      <c r="M304" s="96">
        <v>5.1999999999999998E-2</v>
      </c>
      <c r="N304" s="6">
        <v>5.1999999999999998E-2</v>
      </c>
      <c r="O304" s="96">
        <v>5.1999999999999998E-2</v>
      </c>
      <c r="P304" s="6">
        <v>0</v>
      </c>
      <c r="Q304" s="4" t="s">
        <v>26</v>
      </c>
      <c r="R304" s="4">
        <v>0</v>
      </c>
      <c r="S304" s="6">
        <v>0</v>
      </c>
      <c r="T304" s="6">
        <v>21</v>
      </c>
      <c r="U304" s="6">
        <v>66</v>
      </c>
      <c r="V304" s="96">
        <f>IF(ISERROR(VLOOKUP($S$304,'TAR FIN'!$A$1:$O$86,15,0)),0,VLOOKUP($S$304,'TAR FIN'!$A$1:$O$86,15,0))</f>
        <v>0</v>
      </c>
      <c r="W304" s="96">
        <f>IF(ISERROR(VLOOKUP($T$304,'TAR FIN'!$A$1:$O$86,15,0)),0,VLOOKUP($T$304,'TAR FIN'!$A$1:$O$86,15,0))*(1-0.04)</f>
        <v>572.90879999999993</v>
      </c>
      <c r="X304" s="96">
        <f>IF(ISERROR(VLOOKUP($U$304,'TAR FIN'!$A$1:$O$86,15,0)),0,VLOOKUP($U$304,'TAR FIN'!$A$1:$O$86,15,0))*(1-0.04)</f>
        <v>483.66719999999998</v>
      </c>
      <c r="Y304" s="96"/>
      <c r="Z304" s="96">
        <f ca="1">('TUSD BE'!$AM$11+'TUSD BF_350'!$AM$11+'TUSD CVA'!$AM$11)*1*(1-0.02)</f>
        <v>613.15693267511767</v>
      </c>
      <c r="AA304" s="96">
        <f ca="1">('TE BE'!$AB$5+'TE BF_350'!$AB$5+'TE CVA'!$AB$5)*1*(1-0.02)</f>
        <v>390.05630765165643</v>
      </c>
      <c r="AB304" s="6">
        <f>$K$304*$V$304</f>
        <v>0</v>
      </c>
      <c r="AC304" s="6">
        <f>$M$304*$W$304</f>
        <v>29.791257599999994</v>
      </c>
      <c r="AD304" s="6">
        <f>$O$304*$X$304</f>
        <v>25.150694399999999</v>
      </c>
      <c r="AE304" s="6">
        <f>$K$304*$Y$304</f>
        <v>0</v>
      </c>
      <c r="AF304" s="6">
        <f ca="1">$M$304*$Z$304</f>
        <v>31.884160499106116</v>
      </c>
      <c r="AG304" s="6">
        <f ca="1">$O$304*$AA$304</f>
        <v>20.282927997886134</v>
      </c>
    </row>
    <row r="305" spans="1:33" ht="11.25" customHeight="1" x14ac:dyDescent="0.25">
      <c r="A305" s="4" t="s">
        <v>21</v>
      </c>
      <c r="B305" s="4" t="s">
        <v>38</v>
      </c>
      <c r="C305" s="4" t="s">
        <v>39</v>
      </c>
      <c r="D305" s="4" t="s">
        <v>43</v>
      </c>
      <c r="E305" s="4" t="s">
        <v>52</v>
      </c>
      <c r="F305" s="4" t="s">
        <v>25</v>
      </c>
      <c r="G305" s="4" t="s">
        <v>25</v>
      </c>
      <c r="H305" s="4" t="s">
        <v>33</v>
      </c>
      <c r="I305" s="5">
        <v>44470</v>
      </c>
      <c r="J305" s="6">
        <v>0</v>
      </c>
      <c r="K305" s="96">
        <v>0</v>
      </c>
      <c r="L305" s="6">
        <v>7.2999999999999995E-2</v>
      </c>
      <c r="M305" s="96">
        <v>7.2999999999999995E-2</v>
      </c>
      <c r="N305" s="6">
        <v>7.2999999999999995E-2</v>
      </c>
      <c r="O305" s="96">
        <v>7.2999999999999995E-2</v>
      </c>
      <c r="P305" s="6">
        <v>0</v>
      </c>
      <c r="Q305" s="4" t="s">
        <v>26</v>
      </c>
      <c r="R305" s="4">
        <v>0</v>
      </c>
      <c r="S305" s="6">
        <v>0</v>
      </c>
      <c r="T305" s="6">
        <v>21</v>
      </c>
      <c r="U305" s="6">
        <v>66</v>
      </c>
      <c r="V305" s="96">
        <f>IF(ISERROR(VLOOKUP($S$305,'TAR FIN'!$A$1:$O$86,15,0)),0,VLOOKUP($S$305,'TAR FIN'!$A$1:$O$86,15,0))</f>
        <v>0</v>
      </c>
      <c r="W305" s="96">
        <f>IF(ISERROR(VLOOKUP($T$305,'TAR FIN'!$A$1:$O$86,15,0)),0,VLOOKUP($T$305,'TAR FIN'!$A$1:$O$86,15,0))*(1-0.04)</f>
        <v>572.90879999999993</v>
      </c>
      <c r="X305" s="96">
        <f>IF(ISERROR(VLOOKUP($U$305,'TAR FIN'!$A$1:$O$86,15,0)),0,VLOOKUP($U$305,'TAR FIN'!$A$1:$O$86,15,0))*(1-0.04)</f>
        <v>483.66719999999998</v>
      </c>
      <c r="Y305" s="96"/>
      <c r="Z305" s="96">
        <f ca="1">('TUSD BE'!$AM$11+'TUSD BF_350'!$AM$11+'TUSD CVA'!$AM$11)*1*(1-0.02)</f>
        <v>613.15693267511767</v>
      </c>
      <c r="AA305" s="96">
        <f ca="1">('TE BE'!$AB$5+'TE BF_350'!$AB$5+'TE CVA'!$AB$5)*1*(1-0.02)</f>
        <v>390.05630765165643</v>
      </c>
      <c r="AB305" s="6">
        <f>$K$305*$V$305</f>
        <v>0</v>
      </c>
      <c r="AC305" s="6">
        <f>$M$305*$W$305</f>
        <v>41.822342399999989</v>
      </c>
      <c r="AD305" s="6">
        <f>$O$305*$X$305</f>
        <v>35.307705599999998</v>
      </c>
      <c r="AE305" s="6">
        <f>$K$305*$Y$305</f>
        <v>0</v>
      </c>
      <c r="AF305" s="6">
        <f ca="1">$M$305*$Z$305</f>
        <v>44.760456085283586</v>
      </c>
      <c r="AG305" s="6">
        <f ca="1">$O$305*$AA$305</f>
        <v>28.474110458570916</v>
      </c>
    </row>
    <row r="306" spans="1:33" ht="11.25" customHeight="1" x14ac:dyDescent="0.25">
      <c r="A306" s="4" t="s">
        <v>21</v>
      </c>
      <c r="B306" s="4" t="s">
        <v>38</v>
      </c>
      <c r="C306" s="4" t="s">
        <v>39</v>
      </c>
      <c r="D306" s="4" t="s">
        <v>43</v>
      </c>
      <c r="E306" s="4" t="s">
        <v>52</v>
      </c>
      <c r="F306" s="4" t="s">
        <v>25</v>
      </c>
      <c r="G306" s="4" t="s">
        <v>25</v>
      </c>
      <c r="H306" s="4" t="s">
        <v>33</v>
      </c>
      <c r="I306" s="5">
        <v>44501</v>
      </c>
      <c r="J306" s="6">
        <v>0</v>
      </c>
      <c r="K306" s="96">
        <v>0</v>
      </c>
      <c r="L306" s="6">
        <v>3.5999999999999997E-2</v>
      </c>
      <c r="M306" s="96">
        <v>3.5999999999999997E-2</v>
      </c>
      <c r="N306" s="6">
        <v>3.5999999999999997E-2</v>
      </c>
      <c r="O306" s="96">
        <v>3.5999999999999997E-2</v>
      </c>
      <c r="P306" s="6">
        <v>0</v>
      </c>
      <c r="Q306" s="4" t="s">
        <v>26</v>
      </c>
      <c r="R306" s="4">
        <v>0</v>
      </c>
      <c r="S306" s="6">
        <v>0</v>
      </c>
      <c r="T306" s="6">
        <v>21</v>
      </c>
      <c r="U306" s="6">
        <v>66</v>
      </c>
      <c r="V306" s="96">
        <f>IF(ISERROR(VLOOKUP($S$306,'TAR FIN'!$A$1:$O$86,15,0)),0,VLOOKUP($S$306,'TAR FIN'!$A$1:$O$86,15,0))</f>
        <v>0</v>
      </c>
      <c r="W306" s="96">
        <f>IF(ISERROR(VLOOKUP($T$306,'TAR FIN'!$A$1:$O$86,15,0)),0,VLOOKUP($T$306,'TAR FIN'!$A$1:$O$86,15,0))*(1-0.04)</f>
        <v>572.90879999999993</v>
      </c>
      <c r="X306" s="96">
        <f>IF(ISERROR(VLOOKUP($U$306,'TAR FIN'!$A$1:$O$86,15,0)),0,VLOOKUP($U$306,'TAR FIN'!$A$1:$O$86,15,0))*(1-0.04)</f>
        <v>483.66719999999998</v>
      </c>
      <c r="Y306" s="96"/>
      <c r="Z306" s="96">
        <f ca="1">('TUSD BE'!$AM$11+'TUSD BF_350'!$AM$11+'TUSD CVA'!$AM$11)*1*(1-0.02)</f>
        <v>613.15693267511767</v>
      </c>
      <c r="AA306" s="96">
        <f ca="1">('TE BE'!$AB$5+'TE BF_350'!$AB$5+'TE CVA'!$AB$5)*1*(1-0.02)</f>
        <v>390.05630765165643</v>
      </c>
      <c r="AB306" s="6">
        <f>$K$306*$V$306</f>
        <v>0</v>
      </c>
      <c r="AC306" s="6">
        <f>$M$306*$W$306</f>
        <v>20.624716799999995</v>
      </c>
      <c r="AD306" s="6">
        <f>$O$306*$X$306</f>
        <v>17.4120192</v>
      </c>
      <c r="AE306" s="6">
        <f>$K$306*$Y$306</f>
        <v>0</v>
      </c>
      <c r="AF306" s="6">
        <f ca="1">$M$306*$Z$306</f>
        <v>22.073649576304234</v>
      </c>
      <c r="AG306" s="6">
        <f ca="1">$O$306*$AA$306</f>
        <v>14.042027075459631</v>
      </c>
    </row>
    <row r="307" spans="1:33" ht="11.25" customHeight="1" x14ac:dyDescent="0.25">
      <c r="A307" s="4" t="s">
        <v>21</v>
      </c>
      <c r="B307" s="4" t="s">
        <v>38</v>
      </c>
      <c r="C307" s="4" t="s">
        <v>39</v>
      </c>
      <c r="D307" s="4" t="s">
        <v>43</v>
      </c>
      <c r="E307" s="4" t="s">
        <v>52</v>
      </c>
      <c r="F307" s="4" t="s">
        <v>25</v>
      </c>
      <c r="G307" s="4" t="s">
        <v>25</v>
      </c>
      <c r="H307" s="4" t="s">
        <v>33</v>
      </c>
      <c r="I307" s="5">
        <v>44531</v>
      </c>
      <c r="J307" s="6">
        <v>0</v>
      </c>
      <c r="K307" s="96">
        <v>0</v>
      </c>
      <c r="L307" s="6">
        <v>6.9000000000000006E-2</v>
      </c>
      <c r="M307" s="96">
        <v>6.9000000000000006E-2</v>
      </c>
      <c r="N307" s="6">
        <v>6.9000000000000006E-2</v>
      </c>
      <c r="O307" s="96">
        <v>6.9000000000000006E-2</v>
      </c>
      <c r="P307" s="6">
        <v>0</v>
      </c>
      <c r="Q307" s="4" t="s">
        <v>26</v>
      </c>
      <c r="R307" s="4">
        <v>0</v>
      </c>
      <c r="S307" s="6">
        <v>0</v>
      </c>
      <c r="T307" s="6">
        <v>21</v>
      </c>
      <c r="U307" s="6">
        <v>66</v>
      </c>
      <c r="V307" s="96">
        <f>IF(ISERROR(VLOOKUP($S$307,'TAR FIN'!$A$1:$O$86,15,0)),0,VLOOKUP($S$307,'TAR FIN'!$A$1:$O$86,15,0))</f>
        <v>0</v>
      </c>
      <c r="W307" s="96">
        <f>IF(ISERROR(VLOOKUP($T$307,'TAR FIN'!$A$1:$O$86,15,0)),0,VLOOKUP($T$307,'TAR FIN'!$A$1:$O$86,15,0))*(1-0.04)</f>
        <v>572.90879999999993</v>
      </c>
      <c r="X307" s="96">
        <f>IF(ISERROR(VLOOKUP($U$307,'TAR FIN'!$A$1:$O$86,15,0)),0,VLOOKUP($U$307,'TAR FIN'!$A$1:$O$86,15,0))*(1-0.04)</f>
        <v>483.66719999999998</v>
      </c>
      <c r="Y307" s="96"/>
      <c r="Z307" s="96">
        <f ca="1">('TUSD BE'!$AM$11+'TUSD BF_350'!$AM$11+'TUSD CVA'!$AM$11)*1*(1-0.02)</f>
        <v>613.15693267511767</v>
      </c>
      <c r="AA307" s="96">
        <f ca="1">('TE BE'!$AB$5+'TE BF_350'!$AB$5+'TE CVA'!$AB$5)*1*(1-0.02)</f>
        <v>390.05630765165643</v>
      </c>
      <c r="AB307" s="6">
        <f>$K$307*$V$307</f>
        <v>0</v>
      </c>
      <c r="AC307" s="6">
        <f>$M$307*$W$307</f>
        <v>39.530707199999995</v>
      </c>
      <c r="AD307" s="6">
        <f>$O$307*$X$307</f>
        <v>33.373036800000001</v>
      </c>
      <c r="AE307" s="6">
        <f>$K$307*$Y$307</f>
        <v>0</v>
      </c>
      <c r="AF307" s="6">
        <f ca="1">$M$307*$Z$307</f>
        <v>42.307828354583123</v>
      </c>
      <c r="AG307" s="6">
        <f ca="1">$O$307*$AA$307</f>
        <v>26.913885227964297</v>
      </c>
    </row>
    <row r="308" spans="1:33" ht="11.25" customHeight="1" x14ac:dyDescent="0.25">
      <c r="A308" s="4" t="s">
        <v>21</v>
      </c>
      <c r="B308" s="4" t="s">
        <v>38</v>
      </c>
      <c r="C308" s="4" t="s">
        <v>39</v>
      </c>
      <c r="D308" s="4" t="s">
        <v>43</v>
      </c>
      <c r="E308" s="4" t="s">
        <v>52</v>
      </c>
      <c r="F308" s="4" t="s">
        <v>25</v>
      </c>
      <c r="G308" s="4" t="s">
        <v>25</v>
      </c>
      <c r="H308" s="4" t="s">
        <v>33</v>
      </c>
      <c r="I308" s="5">
        <v>44562</v>
      </c>
      <c r="J308" s="6">
        <v>0</v>
      </c>
      <c r="K308" s="96">
        <v>0</v>
      </c>
      <c r="L308" s="6">
        <v>0.153</v>
      </c>
      <c r="M308" s="96">
        <v>0.153</v>
      </c>
      <c r="N308" s="6">
        <v>0.153</v>
      </c>
      <c r="O308" s="96">
        <v>0.153</v>
      </c>
      <c r="P308" s="6">
        <v>0</v>
      </c>
      <c r="Q308" s="4" t="s">
        <v>26</v>
      </c>
      <c r="R308" s="4">
        <v>0</v>
      </c>
      <c r="S308" s="6">
        <v>0</v>
      </c>
      <c r="T308" s="6">
        <v>21</v>
      </c>
      <c r="U308" s="6">
        <v>66</v>
      </c>
      <c r="V308" s="96">
        <f>IF(ISERROR(VLOOKUP($S$308,'TAR FIN'!$A$1:$O$86,15,0)),0,VLOOKUP($S$308,'TAR FIN'!$A$1:$O$86,15,0))</f>
        <v>0</v>
      </c>
      <c r="W308" s="96">
        <f>IF(ISERROR(VLOOKUP($T$308,'TAR FIN'!$A$1:$O$86,15,0)),0,VLOOKUP($T$308,'TAR FIN'!$A$1:$O$86,15,0))*(1-0.04)</f>
        <v>572.90879999999993</v>
      </c>
      <c r="X308" s="96">
        <f>IF(ISERROR(VLOOKUP($U$308,'TAR FIN'!$A$1:$O$86,15,0)),0,VLOOKUP($U$308,'TAR FIN'!$A$1:$O$86,15,0))*(1-0.04)</f>
        <v>483.66719999999998</v>
      </c>
      <c r="Y308" s="96"/>
      <c r="Z308" s="96">
        <f ca="1">('TUSD BE'!$AM$11+'TUSD BF_350'!$AM$11+'TUSD CVA'!$AM$11)*1*(1-0.02)</f>
        <v>613.15693267511767</v>
      </c>
      <c r="AA308" s="96">
        <f ca="1">('TE BE'!$AB$5+'TE BF_350'!$AB$5+'TE CVA'!$AB$5)*1*(1-0.02)</f>
        <v>390.05630765165643</v>
      </c>
      <c r="AB308" s="6">
        <f>$K$308*$V$308</f>
        <v>0</v>
      </c>
      <c r="AC308" s="6">
        <f>$M$308*$W$308</f>
        <v>87.655046399999989</v>
      </c>
      <c r="AD308" s="6">
        <f>$O$308*$X$308</f>
        <v>74.001081599999992</v>
      </c>
      <c r="AE308" s="6">
        <f>$K$308*$Y$308</f>
        <v>0</v>
      </c>
      <c r="AF308" s="6">
        <f ca="1">$M$308*$Z$308</f>
        <v>93.813010699293002</v>
      </c>
      <c r="AG308" s="6">
        <f ca="1">$O$308*$AA$308</f>
        <v>59.67861507070343</v>
      </c>
    </row>
    <row r="309" spans="1:33" ht="11.25" customHeight="1" x14ac:dyDescent="0.25">
      <c r="A309" s="4" t="s">
        <v>21</v>
      </c>
      <c r="B309" s="4" t="s">
        <v>38</v>
      </c>
      <c r="C309" s="4" t="s">
        <v>39</v>
      </c>
      <c r="D309" s="4" t="s">
        <v>43</v>
      </c>
      <c r="E309" s="4" t="s">
        <v>52</v>
      </c>
      <c r="F309" s="4" t="s">
        <v>25</v>
      </c>
      <c r="G309" s="4" t="s">
        <v>25</v>
      </c>
      <c r="H309" s="4" t="s">
        <v>33</v>
      </c>
      <c r="I309" s="5">
        <v>44593</v>
      </c>
      <c r="J309" s="6">
        <v>0</v>
      </c>
      <c r="K309" s="96">
        <v>0</v>
      </c>
      <c r="L309" s="6">
        <v>0.125</v>
      </c>
      <c r="M309" s="96">
        <v>0.125</v>
      </c>
      <c r="N309" s="6">
        <v>0.125</v>
      </c>
      <c r="O309" s="96">
        <v>0.125</v>
      </c>
      <c r="P309" s="6">
        <v>0</v>
      </c>
      <c r="Q309" s="4" t="s">
        <v>26</v>
      </c>
      <c r="R309" s="4">
        <v>0</v>
      </c>
      <c r="S309" s="6">
        <v>0</v>
      </c>
      <c r="T309" s="6">
        <v>21</v>
      </c>
      <c r="U309" s="6">
        <v>66</v>
      </c>
      <c r="V309" s="96">
        <f>IF(ISERROR(VLOOKUP($S$309,'TAR FIN'!$A$1:$O$86,15,0)),0,VLOOKUP($S$309,'TAR FIN'!$A$1:$O$86,15,0))</f>
        <v>0</v>
      </c>
      <c r="W309" s="96">
        <f>IF(ISERROR(VLOOKUP($T$309,'TAR FIN'!$A$1:$O$86,15,0)),0,VLOOKUP($T$309,'TAR FIN'!$A$1:$O$86,15,0))*(1-0.04)</f>
        <v>572.90879999999993</v>
      </c>
      <c r="X309" s="96">
        <f>IF(ISERROR(VLOOKUP($U$309,'TAR FIN'!$A$1:$O$86,15,0)),0,VLOOKUP($U$309,'TAR FIN'!$A$1:$O$86,15,0))*(1-0.04)</f>
        <v>483.66719999999998</v>
      </c>
      <c r="Y309" s="96"/>
      <c r="Z309" s="96">
        <f ca="1">('TUSD BE'!$AM$11+'TUSD BF_350'!$AM$11+'TUSD CVA'!$AM$11)*1*(1-0.02)</f>
        <v>613.15693267511767</v>
      </c>
      <c r="AA309" s="96">
        <f ca="1">('TE BE'!$AB$5+'TE BF_350'!$AB$5+'TE CVA'!$AB$5)*1*(1-0.02)</f>
        <v>390.05630765165643</v>
      </c>
      <c r="AB309" s="6">
        <f>$K$309*$V$309</f>
        <v>0</v>
      </c>
      <c r="AC309" s="6">
        <f>$M$309*$W$309</f>
        <v>71.613599999999991</v>
      </c>
      <c r="AD309" s="6">
        <f>$O$309*$X$309</f>
        <v>60.458399999999997</v>
      </c>
      <c r="AE309" s="6">
        <f>$K$309*$Y$309</f>
        <v>0</v>
      </c>
      <c r="AF309" s="6">
        <f ca="1">$M$309*$Z$309</f>
        <v>76.644616584389709</v>
      </c>
      <c r="AG309" s="6">
        <f ca="1">$O$309*$AA$309</f>
        <v>48.757038456457053</v>
      </c>
    </row>
    <row r="310" spans="1:33" ht="11.25" customHeight="1" x14ac:dyDescent="0.25">
      <c r="A310" s="4" t="s">
        <v>21</v>
      </c>
      <c r="B310" s="4" t="s">
        <v>38</v>
      </c>
      <c r="C310" s="4" t="s">
        <v>39</v>
      </c>
      <c r="D310" s="4" t="s">
        <v>43</v>
      </c>
      <c r="E310" s="4" t="s">
        <v>52</v>
      </c>
      <c r="F310" s="4" t="s">
        <v>25</v>
      </c>
      <c r="G310" s="4" t="s">
        <v>25</v>
      </c>
      <c r="H310" s="4" t="s">
        <v>33</v>
      </c>
      <c r="I310" s="5">
        <v>44621</v>
      </c>
      <c r="J310" s="6">
        <v>0</v>
      </c>
      <c r="K310" s="96">
        <v>0</v>
      </c>
      <c r="L310" s="6">
        <v>6.8000000000000005E-2</v>
      </c>
      <c r="M310" s="96">
        <v>6.8000000000000005E-2</v>
      </c>
      <c r="N310" s="6">
        <v>6.8000000000000005E-2</v>
      </c>
      <c r="O310" s="96">
        <v>6.8000000000000005E-2</v>
      </c>
      <c r="P310" s="6">
        <v>0</v>
      </c>
      <c r="Q310" s="4" t="s">
        <v>26</v>
      </c>
      <c r="R310" s="4">
        <v>0</v>
      </c>
      <c r="S310" s="6">
        <v>0</v>
      </c>
      <c r="T310" s="6">
        <v>21</v>
      </c>
      <c r="U310" s="6">
        <v>66</v>
      </c>
      <c r="V310" s="96">
        <f>IF(ISERROR(VLOOKUP($S$310,'TAR FIN'!$A$1:$O$86,15,0)),0,VLOOKUP($S$310,'TAR FIN'!$A$1:$O$86,15,0))</f>
        <v>0</v>
      </c>
      <c r="W310" s="96">
        <f>IF(ISERROR(VLOOKUP($T$310,'TAR FIN'!$A$1:$O$86,15,0)),0,VLOOKUP($T$310,'TAR FIN'!$A$1:$O$86,15,0))*(1-0.04)</f>
        <v>572.90879999999993</v>
      </c>
      <c r="X310" s="96">
        <f>IF(ISERROR(VLOOKUP($U$310,'TAR FIN'!$A$1:$O$86,15,0)),0,VLOOKUP($U$310,'TAR FIN'!$A$1:$O$86,15,0))*(1-0.04)</f>
        <v>483.66719999999998</v>
      </c>
      <c r="Y310" s="96"/>
      <c r="Z310" s="96">
        <f ca="1">('TUSD BE'!$AM$11+'TUSD BF_350'!$AM$11+'TUSD CVA'!$AM$11)*1*(1-0.02)</f>
        <v>613.15693267511767</v>
      </c>
      <c r="AA310" s="96">
        <f ca="1">('TE BE'!$AB$5+'TE BF_350'!$AB$5+'TE CVA'!$AB$5)*1*(1-0.02)</f>
        <v>390.05630765165643</v>
      </c>
      <c r="AB310" s="6">
        <f>$K$310*$V$310</f>
        <v>0</v>
      </c>
      <c r="AC310" s="6">
        <f>$M$310*$W$310</f>
        <v>38.957798399999994</v>
      </c>
      <c r="AD310" s="6">
        <f>$O$310*$X$310</f>
        <v>32.889369600000002</v>
      </c>
      <c r="AE310" s="6">
        <f>$K$310*$Y$310</f>
        <v>0</v>
      </c>
      <c r="AF310" s="6">
        <f ca="1">$M$310*$Z$310</f>
        <v>41.694671421908005</v>
      </c>
      <c r="AG310" s="6">
        <f ca="1">$O$310*$AA$310</f>
        <v>26.523828920312639</v>
      </c>
    </row>
    <row r="311" spans="1:33" ht="11.25" customHeight="1" x14ac:dyDescent="0.25">
      <c r="A311" s="4" t="s">
        <v>21</v>
      </c>
      <c r="B311" s="4" t="s">
        <v>38</v>
      </c>
      <c r="C311" s="4" t="s">
        <v>39</v>
      </c>
      <c r="D311" s="4" t="s">
        <v>43</v>
      </c>
      <c r="E311" s="4" t="s">
        <v>52</v>
      </c>
      <c r="F311" s="4" t="s">
        <v>25</v>
      </c>
      <c r="G311" s="4" t="s">
        <v>25</v>
      </c>
      <c r="H311" s="4" t="s">
        <v>33</v>
      </c>
      <c r="I311" s="5">
        <v>44652</v>
      </c>
      <c r="J311" s="6">
        <v>0</v>
      </c>
      <c r="K311" s="96">
        <v>0</v>
      </c>
      <c r="L311" s="6">
        <v>9.5000000000000001E-2</v>
      </c>
      <c r="M311" s="96">
        <v>9.5000000000000001E-2</v>
      </c>
      <c r="N311" s="6">
        <v>9.5000000000000001E-2</v>
      </c>
      <c r="O311" s="96">
        <v>9.5000000000000001E-2</v>
      </c>
      <c r="P311" s="6">
        <v>0</v>
      </c>
      <c r="Q311" s="4" t="s">
        <v>26</v>
      </c>
      <c r="R311" s="4">
        <v>0</v>
      </c>
      <c r="S311" s="6">
        <v>0</v>
      </c>
      <c r="T311" s="6">
        <v>21</v>
      </c>
      <c r="U311" s="6">
        <v>66</v>
      </c>
      <c r="V311" s="96">
        <f>IF(ISERROR(VLOOKUP($S$311,'TAR FIN'!$A$1:$O$86,15,0)),0,VLOOKUP($S$311,'TAR FIN'!$A$1:$O$86,15,0))</f>
        <v>0</v>
      </c>
      <c r="W311" s="96">
        <f>IF(ISERROR(VLOOKUP($T$311,'TAR FIN'!$A$1:$O$86,15,0)),0,VLOOKUP($T$311,'TAR FIN'!$A$1:$O$86,15,0))*(1-0.04)</f>
        <v>572.90879999999993</v>
      </c>
      <c r="X311" s="96">
        <f>IF(ISERROR(VLOOKUP($U$311,'TAR FIN'!$A$1:$O$86,15,0)),0,VLOOKUP($U$311,'TAR FIN'!$A$1:$O$86,15,0))*(1-0.04)</f>
        <v>483.66719999999998</v>
      </c>
      <c r="Y311" s="96"/>
      <c r="Z311" s="96">
        <f ca="1">('TUSD BE'!$AM$11+'TUSD BF_350'!$AM$11+'TUSD CVA'!$AM$11)*1*(1-0.02)</f>
        <v>613.15693267511767</v>
      </c>
      <c r="AA311" s="96">
        <f ca="1">('TE BE'!$AB$5+'TE BF_350'!$AB$5+'TE CVA'!$AB$5)*1*(1-0.02)</f>
        <v>390.05630765165643</v>
      </c>
      <c r="AB311" s="6">
        <f>$K$311*$V$311</f>
        <v>0</v>
      </c>
      <c r="AC311" s="6">
        <f>$M$311*$W$311</f>
        <v>54.426335999999992</v>
      </c>
      <c r="AD311" s="6">
        <f>$O$311*$X$311</f>
        <v>45.948383999999997</v>
      </c>
      <c r="AE311" s="6">
        <f>$K$311*$Y$311</f>
        <v>0</v>
      </c>
      <c r="AF311" s="6">
        <f ca="1">$M$311*$Z$311</f>
        <v>58.249908604136181</v>
      </c>
      <c r="AG311" s="6">
        <f ca="1">$O$311*$AA$311</f>
        <v>37.05534922690736</v>
      </c>
    </row>
    <row r="312" spans="1:33" ht="11.25" customHeight="1" x14ac:dyDescent="0.25">
      <c r="A312" s="4" t="s">
        <v>21</v>
      </c>
      <c r="B312" s="4" t="s">
        <v>38</v>
      </c>
      <c r="C312" s="4" t="s">
        <v>39</v>
      </c>
      <c r="D312" s="4" t="s">
        <v>43</v>
      </c>
      <c r="E312" s="4" t="s">
        <v>52</v>
      </c>
      <c r="F312" s="4" t="s">
        <v>25</v>
      </c>
      <c r="G312" s="4" t="s">
        <v>25</v>
      </c>
      <c r="H312" s="4" t="s">
        <v>33</v>
      </c>
      <c r="I312" s="5">
        <v>44682</v>
      </c>
      <c r="J312" s="6">
        <v>0</v>
      </c>
      <c r="K312" s="96">
        <v>0</v>
      </c>
      <c r="L312" s="6">
        <v>0.111</v>
      </c>
      <c r="M312" s="96">
        <v>0.111</v>
      </c>
      <c r="N312" s="6">
        <v>0.111</v>
      </c>
      <c r="O312" s="96">
        <v>0.111</v>
      </c>
      <c r="P312" s="6">
        <v>0</v>
      </c>
      <c r="Q312" s="4" t="s">
        <v>26</v>
      </c>
      <c r="R312" s="4">
        <v>0</v>
      </c>
      <c r="S312" s="6">
        <v>0</v>
      </c>
      <c r="T312" s="6">
        <v>21</v>
      </c>
      <c r="U312" s="6">
        <v>66</v>
      </c>
      <c r="V312" s="96">
        <f>IF(ISERROR(VLOOKUP($S$312,'TAR FIN'!$A$1:$O$86,15,0)),0,VLOOKUP($S$312,'TAR FIN'!$A$1:$O$86,15,0))</f>
        <v>0</v>
      </c>
      <c r="W312" s="96">
        <f>IF(ISERROR(VLOOKUP($T$312,'TAR FIN'!$A$1:$O$86,15,0)),0,VLOOKUP($T$312,'TAR FIN'!$A$1:$O$86,15,0))*(1-0.04)</f>
        <v>572.90879999999993</v>
      </c>
      <c r="X312" s="96">
        <f>IF(ISERROR(VLOOKUP($U$312,'TAR FIN'!$A$1:$O$86,15,0)),0,VLOOKUP($U$312,'TAR FIN'!$A$1:$O$86,15,0))*(1-0.04)</f>
        <v>483.66719999999998</v>
      </c>
      <c r="Y312" s="96"/>
      <c r="Z312" s="96">
        <f ca="1">('TUSD BE'!$AM$11+'TUSD BF_350'!$AM$11+'TUSD CVA'!$AM$11)*1*(1-0.02)</f>
        <v>613.15693267511767</v>
      </c>
      <c r="AA312" s="96">
        <f ca="1">('TE BE'!$AB$5+'TE BF_350'!$AB$5+'TE CVA'!$AB$5)*1*(1-0.02)</f>
        <v>390.05630765165643</v>
      </c>
      <c r="AB312" s="6">
        <f>$K$312*$V$312</f>
        <v>0</v>
      </c>
      <c r="AC312" s="6">
        <f>$M$312*$W$312</f>
        <v>63.592876799999992</v>
      </c>
      <c r="AD312" s="6">
        <f>$O$312*$X$312</f>
        <v>53.6870592</v>
      </c>
      <c r="AE312" s="6">
        <f>$K$312*$Y$312</f>
        <v>0</v>
      </c>
      <c r="AF312" s="6">
        <f ca="1">$M$312*$Z$312</f>
        <v>68.060419526938063</v>
      </c>
      <c r="AG312" s="6">
        <f ca="1">$O$312*$AA$312</f>
        <v>43.296250149333865</v>
      </c>
    </row>
    <row r="313" spans="1:33" ht="11.25" customHeight="1" x14ac:dyDescent="0.25">
      <c r="A313" s="4" t="s">
        <v>55</v>
      </c>
      <c r="B313" s="4" t="s">
        <v>38</v>
      </c>
      <c r="C313" s="4" t="s">
        <v>39</v>
      </c>
      <c r="D313" s="4" t="s">
        <v>43</v>
      </c>
      <c r="E313" s="4" t="s">
        <v>52</v>
      </c>
      <c r="F313" s="4" t="s">
        <v>25</v>
      </c>
      <c r="G313" s="4" t="s">
        <v>25</v>
      </c>
      <c r="H313" s="4" t="s">
        <v>33</v>
      </c>
      <c r="I313" s="5">
        <v>44713</v>
      </c>
      <c r="J313" s="6">
        <v>0</v>
      </c>
      <c r="K313" s="96">
        <v>0</v>
      </c>
      <c r="L313" s="6">
        <v>0.111</v>
      </c>
      <c r="M313" s="96">
        <v>0.111</v>
      </c>
      <c r="N313" s="6">
        <v>0.111</v>
      </c>
      <c r="O313" s="96">
        <v>0.111</v>
      </c>
      <c r="P313" s="6">
        <v>0</v>
      </c>
      <c r="Q313" s="4" t="s">
        <v>26</v>
      </c>
      <c r="R313" s="4">
        <v>0</v>
      </c>
      <c r="S313" s="6">
        <v>0</v>
      </c>
      <c r="T313" s="6">
        <v>21</v>
      </c>
      <c r="U313" s="6">
        <v>66</v>
      </c>
      <c r="V313" s="96">
        <f>IF(ISERROR(VLOOKUP($S$313,'TAR FIN'!$A$1:$O$86,15,0)),0,VLOOKUP($S$313,'TAR FIN'!$A$1:$O$86,15,0))</f>
        <v>0</v>
      </c>
      <c r="W313" s="96">
        <f>IF(ISERROR(VLOOKUP($T$313,'TAR FIN'!$A$1:$O$86,15,0)),0,VLOOKUP($T$313,'TAR FIN'!$A$1:$O$86,15,0))*(1-0.04)</f>
        <v>572.90879999999993</v>
      </c>
      <c r="X313" s="96">
        <f>IF(ISERROR(VLOOKUP($U$313,'TAR FIN'!$A$1:$O$86,15,0)),0,VLOOKUP($U$313,'TAR FIN'!$A$1:$O$86,15,0))*(1-0.04)</f>
        <v>483.66719999999998</v>
      </c>
      <c r="Y313" s="96"/>
      <c r="Z313" s="96">
        <f ca="1">('TUSD BE'!$AM$11+'TUSD BF_350'!$AM$11+'TUSD CVA'!$AM$11)*1*(1-0.02)</f>
        <v>613.15693267511767</v>
      </c>
      <c r="AA313" s="96">
        <f ca="1">('TE BE'!$AB$5+'TE BF_350'!$AB$5+'TE CVA'!$AB$5)*1*(1-0.02)</f>
        <v>390.05630765165643</v>
      </c>
      <c r="AB313" s="6">
        <f>$K$313*$V$313</f>
        <v>0</v>
      </c>
      <c r="AC313" s="6">
        <f>$M$313*$W$313</f>
        <v>63.592876799999992</v>
      </c>
      <c r="AD313" s="6">
        <f>$O$313*$X$313</f>
        <v>53.6870592</v>
      </c>
      <c r="AE313" s="6">
        <f>$K$313*$Y$313</f>
        <v>0</v>
      </c>
      <c r="AF313" s="6">
        <f ca="1">$M$313*$Z$313</f>
        <v>68.060419526938063</v>
      </c>
      <c r="AG313" s="6">
        <f ca="1">$O$313*$AA$313</f>
        <v>43.296250149333865</v>
      </c>
    </row>
    <row r="314" spans="1:33" ht="11.25" customHeight="1" x14ac:dyDescent="0.25">
      <c r="A314" s="4" t="s">
        <v>21</v>
      </c>
      <c r="B314" s="4" t="s">
        <v>38</v>
      </c>
      <c r="C314" s="4" t="s">
        <v>39</v>
      </c>
      <c r="D314" s="4" t="s">
        <v>43</v>
      </c>
      <c r="E314" s="4" t="s">
        <v>25</v>
      </c>
      <c r="F314" s="4" t="s">
        <v>25</v>
      </c>
      <c r="G314" s="4" t="s">
        <v>25</v>
      </c>
      <c r="H314" s="4" t="s">
        <v>34</v>
      </c>
      <c r="I314" s="5">
        <v>44378</v>
      </c>
      <c r="J314" s="6">
        <v>0</v>
      </c>
      <c r="K314" s="96">
        <v>0</v>
      </c>
      <c r="L314" s="6">
        <v>82.04</v>
      </c>
      <c r="M314" s="96">
        <v>82.04</v>
      </c>
      <c r="N314" s="6">
        <v>82.04</v>
      </c>
      <c r="O314" s="96">
        <v>82.04</v>
      </c>
      <c r="P314" s="6">
        <v>0</v>
      </c>
      <c r="Q314" s="4" t="s">
        <v>26</v>
      </c>
      <c r="R314" s="4">
        <v>0</v>
      </c>
      <c r="S314" s="6">
        <v>0</v>
      </c>
      <c r="T314" s="6">
        <v>17</v>
      </c>
      <c r="U314" s="6">
        <v>78</v>
      </c>
      <c r="V314" s="96">
        <f>IF(ISERROR(VLOOKUP($S$314,'TAR FIN'!$A$1:$O$86,15,0)),0,VLOOKUP($S$314,'TAR FIN'!$A$1:$O$86,15,0))</f>
        <v>0</v>
      </c>
      <c r="W314" s="96">
        <f>IF(ISERROR(VLOOKUP($T$314,'TAR FIN'!$A$1:$O$86,15,0)),0,VLOOKUP($T$314,'TAR FIN'!$A$1:$O$86,15,0))*(1-0.04)</f>
        <v>68.409599999999998</v>
      </c>
      <c r="X314" s="96">
        <f>IF(ISERROR(VLOOKUP($U$314,'TAR FIN'!$A$1:$O$86,15,0)),0,VLOOKUP($U$314,'TAR FIN'!$A$1:$O$86,15,0))*(1-0.04)</f>
        <v>285.41759999999999</v>
      </c>
      <c r="Y314" s="96"/>
      <c r="Z314" s="96">
        <f ca="1">('TUSD BE'!$AM$12+'TUSD BF_350'!$AM$12+'TUSD CVA'!$AM$12)*1*(1-0.02)</f>
        <v>93.899139140559214</v>
      </c>
      <c r="AA314" s="96">
        <f ca="1">('TE BE'!$AB$6+'TE BF_350'!$AB$6+'TE CVA'!$AB$6)*1*(1-0.02)</f>
        <v>230.63309335138217</v>
      </c>
      <c r="AB314" s="6">
        <f>$K$314*$V$314</f>
        <v>0</v>
      </c>
      <c r="AC314" s="6">
        <f>$M$314*$W$314</f>
        <v>5612.3235840000007</v>
      </c>
      <c r="AD314" s="6">
        <f>$O$314*$X$314</f>
        <v>23415.659904</v>
      </c>
      <c r="AE314" s="6">
        <f>$K$314*$Y$314</f>
        <v>0</v>
      </c>
      <c r="AF314" s="6">
        <f ca="1">$M$314*$Z$314</f>
        <v>7703.4853750914781</v>
      </c>
      <c r="AG314" s="6">
        <f ca="1">$O$314*$AA$314</f>
        <v>18921.138978547395</v>
      </c>
    </row>
    <row r="315" spans="1:33" ht="11.25" customHeight="1" x14ac:dyDescent="0.25">
      <c r="A315" s="4" t="s">
        <v>21</v>
      </c>
      <c r="B315" s="4" t="s">
        <v>38</v>
      </c>
      <c r="C315" s="4" t="s">
        <v>39</v>
      </c>
      <c r="D315" s="4" t="s">
        <v>43</v>
      </c>
      <c r="E315" s="4" t="s">
        <v>25</v>
      </c>
      <c r="F315" s="4" t="s">
        <v>25</v>
      </c>
      <c r="G315" s="4" t="s">
        <v>25</v>
      </c>
      <c r="H315" s="4" t="s">
        <v>34</v>
      </c>
      <c r="I315" s="5">
        <v>44409</v>
      </c>
      <c r="J315" s="6">
        <v>0</v>
      </c>
      <c r="K315" s="96">
        <v>0</v>
      </c>
      <c r="L315" s="6">
        <v>76.536000000000001</v>
      </c>
      <c r="M315" s="96">
        <v>76.536000000000001</v>
      </c>
      <c r="N315" s="6">
        <v>76.536000000000001</v>
      </c>
      <c r="O315" s="96">
        <v>76.536000000000001</v>
      </c>
      <c r="P315" s="6">
        <v>0</v>
      </c>
      <c r="Q315" s="4" t="s">
        <v>26</v>
      </c>
      <c r="R315" s="4">
        <v>0</v>
      </c>
      <c r="S315" s="6">
        <v>0</v>
      </c>
      <c r="T315" s="6">
        <v>17</v>
      </c>
      <c r="U315" s="6">
        <v>78</v>
      </c>
      <c r="V315" s="96">
        <f>IF(ISERROR(VLOOKUP($S$315,'TAR FIN'!$A$1:$O$86,15,0)),0,VLOOKUP($S$315,'TAR FIN'!$A$1:$O$86,15,0))</f>
        <v>0</v>
      </c>
      <c r="W315" s="96">
        <f>IF(ISERROR(VLOOKUP($T$315,'TAR FIN'!$A$1:$O$86,15,0)),0,VLOOKUP($T$315,'TAR FIN'!$A$1:$O$86,15,0))*(1-0.04)</f>
        <v>68.409599999999998</v>
      </c>
      <c r="X315" s="96">
        <f>IF(ISERROR(VLOOKUP($U$315,'TAR FIN'!$A$1:$O$86,15,0)),0,VLOOKUP($U$315,'TAR FIN'!$A$1:$O$86,15,0))*(1-0.04)</f>
        <v>285.41759999999999</v>
      </c>
      <c r="Y315" s="96"/>
      <c r="Z315" s="96">
        <f ca="1">('TUSD BE'!$AM$12+'TUSD BF_350'!$AM$12+'TUSD CVA'!$AM$12)*1*(1-0.02)</f>
        <v>93.899139140559214</v>
      </c>
      <c r="AA315" s="96">
        <f ca="1">('TE BE'!$AB$6+'TE BF_350'!$AB$6+'TE CVA'!$AB$6)*1*(1-0.02)</f>
        <v>230.63309335138217</v>
      </c>
      <c r="AB315" s="6">
        <f>$K$315*$V$315</f>
        <v>0</v>
      </c>
      <c r="AC315" s="6">
        <f>$M$315*$W$315</f>
        <v>5235.7971455999996</v>
      </c>
      <c r="AD315" s="6">
        <f>$O$315*$X$315</f>
        <v>21844.7214336</v>
      </c>
      <c r="AE315" s="6">
        <f>$K$315*$Y$315</f>
        <v>0</v>
      </c>
      <c r="AF315" s="6">
        <f ca="1">$M$315*$Z$315</f>
        <v>7186.6645132618405</v>
      </c>
      <c r="AG315" s="6">
        <f ca="1">$O$315*$AA$315</f>
        <v>17651.734432741385</v>
      </c>
    </row>
    <row r="316" spans="1:33" ht="11.25" customHeight="1" x14ac:dyDescent="0.25">
      <c r="A316" s="4" t="s">
        <v>21</v>
      </c>
      <c r="B316" s="4" t="s">
        <v>38</v>
      </c>
      <c r="C316" s="4" t="s">
        <v>39</v>
      </c>
      <c r="D316" s="4" t="s">
        <v>43</v>
      </c>
      <c r="E316" s="4" t="s">
        <v>25</v>
      </c>
      <c r="F316" s="4" t="s">
        <v>25</v>
      </c>
      <c r="G316" s="4" t="s">
        <v>25</v>
      </c>
      <c r="H316" s="4" t="s">
        <v>34</v>
      </c>
      <c r="I316" s="5">
        <v>44440</v>
      </c>
      <c r="J316" s="6">
        <v>0</v>
      </c>
      <c r="K316" s="96">
        <v>0</v>
      </c>
      <c r="L316" s="6">
        <v>74.075999999999993</v>
      </c>
      <c r="M316" s="96">
        <v>74.075999999999993</v>
      </c>
      <c r="N316" s="6">
        <v>74.075999999999993</v>
      </c>
      <c r="O316" s="96">
        <v>74.075999999999993</v>
      </c>
      <c r="P316" s="6">
        <v>0</v>
      </c>
      <c r="Q316" s="4" t="s">
        <v>26</v>
      </c>
      <c r="R316" s="4">
        <v>0</v>
      </c>
      <c r="S316" s="6">
        <v>0</v>
      </c>
      <c r="T316" s="6">
        <v>17</v>
      </c>
      <c r="U316" s="6">
        <v>78</v>
      </c>
      <c r="V316" s="96">
        <f>IF(ISERROR(VLOOKUP($S$316,'TAR FIN'!$A$1:$O$86,15,0)),0,VLOOKUP($S$316,'TAR FIN'!$A$1:$O$86,15,0))</f>
        <v>0</v>
      </c>
      <c r="W316" s="96">
        <f>IF(ISERROR(VLOOKUP($T$316,'TAR FIN'!$A$1:$O$86,15,0)),0,VLOOKUP($T$316,'TAR FIN'!$A$1:$O$86,15,0))*(1-0.04)</f>
        <v>68.409599999999998</v>
      </c>
      <c r="X316" s="96">
        <f>IF(ISERROR(VLOOKUP($U$316,'TAR FIN'!$A$1:$O$86,15,0)),0,VLOOKUP($U$316,'TAR FIN'!$A$1:$O$86,15,0))*(1-0.04)</f>
        <v>285.41759999999999</v>
      </c>
      <c r="Y316" s="96"/>
      <c r="Z316" s="96">
        <f ca="1">('TUSD BE'!$AM$12+'TUSD BF_350'!$AM$12+'TUSD CVA'!$AM$12)*1*(1-0.02)</f>
        <v>93.899139140559214</v>
      </c>
      <c r="AA316" s="96">
        <f ca="1">('TE BE'!$AB$6+'TE BF_350'!$AB$6+'TE CVA'!$AB$6)*1*(1-0.02)</f>
        <v>230.63309335138217</v>
      </c>
      <c r="AB316" s="6">
        <f>$K$316*$V$316</f>
        <v>0</v>
      </c>
      <c r="AC316" s="6">
        <f>$M$316*$W$316</f>
        <v>5067.509529599999</v>
      </c>
      <c r="AD316" s="6">
        <f>$O$316*$X$316</f>
        <v>21142.594137599997</v>
      </c>
      <c r="AE316" s="6">
        <f>$K$316*$Y$316</f>
        <v>0</v>
      </c>
      <c r="AF316" s="6">
        <f ca="1">$M$316*$Z$316</f>
        <v>6955.6726309760634</v>
      </c>
      <c r="AG316" s="6">
        <f ca="1">$O$316*$AA$316</f>
        <v>17084.377023096986</v>
      </c>
    </row>
    <row r="317" spans="1:33" ht="11.25" customHeight="1" x14ac:dyDescent="0.25">
      <c r="A317" s="4" t="s">
        <v>21</v>
      </c>
      <c r="B317" s="4" t="s">
        <v>38</v>
      </c>
      <c r="C317" s="4" t="s">
        <v>39</v>
      </c>
      <c r="D317" s="4" t="s">
        <v>43</v>
      </c>
      <c r="E317" s="4" t="s">
        <v>25</v>
      </c>
      <c r="F317" s="4" t="s">
        <v>25</v>
      </c>
      <c r="G317" s="4" t="s">
        <v>25</v>
      </c>
      <c r="H317" s="4" t="s">
        <v>34</v>
      </c>
      <c r="I317" s="5">
        <v>44470</v>
      </c>
      <c r="J317" s="6">
        <v>0</v>
      </c>
      <c r="K317" s="96">
        <v>0</v>
      </c>
      <c r="L317" s="6">
        <v>79.597999999999999</v>
      </c>
      <c r="M317" s="96">
        <v>79.597999999999999</v>
      </c>
      <c r="N317" s="6">
        <v>79.597999999999999</v>
      </c>
      <c r="O317" s="96">
        <v>79.597999999999999</v>
      </c>
      <c r="P317" s="6">
        <v>0</v>
      </c>
      <c r="Q317" s="4" t="s">
        <v>26</v>
      </c>
      <c r="R317" s="4">
        <v>0</v>
      </c>
      <c r="S317" s="6">
        <v>0</v>
      </c>
      <c r="T317" s="6">
        <v>17</v>
      </c>
      <c r="U317" s="6">
        <v>78</v>
      </c>
      <c r="V317" s="96">
        <f>IF(ISERROR(VLOOKUP($S$317,'TAR FIN'!$A$1:$O$86,15,0)),0,VLOOKUP($S$317,'TAR FIN'!$A$1:$O$86,15,0))</f>
        <v>0</v>
      </c>
      <c r="W317" s="96">
        <f>IF(ISERROR(VLOOKUP($T$317,'TAR FIN'!$A$1:$O$86,15,0)),0,VLOOKUP($T$317,'TAR FIN'!$A$1:$O$86,15,0))*(1-0.04)</f>
        <v>68.409599999999998</v>
      </c>
      <c r="X317" s="96">
        <f>IF(ISERROR(VLOOKUP($U$317,'TAR FIN'!$A$1:$O$86,15,0)),0,VLOOKUP($U$317,'TAR FIN'!$A$1:$O$86,15,0))*(1-0.04)</f>
        <v>285.41759999999999</v>
      </c>
      <c r="Y317" s="96"/>
      <c r="Z317" s="96">
        <f ca="1">('TUSD BE'!$AM$12+'TUSD BF_350'!$AM$12+'TUSD CVA'!$AM$12)*1*(1-0.02)</f>
        <v>93.899139140559214</v>
      </c>
      <c r="AA317" s="96">
        <f ca="1">('TE BE'!$AB$6+'TE BF_350'!$AB$6+'TE CVA'!$AB$6)*1*(1-0.02)</f>
        <v>230.63309335138217</v>
      </c>
      <c r="AB317" s="6">
        <f>$K$317*$V$317</f>
        <v>0</v>
      </c>
      <c r="AC317" s="6">
        <f>$M$317*$W$317</f>
        <v>5445.2673408000001</v>
      </c>
      <c r="AD317" s="6">
        <f>$O$317*$X$317</f>
        <v>22718.670124799999</v>
      </c>
      <c r="AE317" s="6">
        <f>$K$317*$Y$317</f>
        <v>0</v>
      </c>
      <c r="AF317" s="6">
        <f ca="1">$M$317*$Z$317</f>
        <v>7474.1836773102323</v>
      </c>
      <c r="AG317" s="6">
        <f ca="1">$O$317*$AA$317</f>
        <v>18357.932964583317</v>
      </c>
    </row>
    <row r="318" spans="1:33" ht="11.25" customHeight="1" x14ac:dyDescent="0.25">
      <c r="A318" s="4" t="s">
        <v>21</v>
      </c>
      <c r="B318" s="4" t="s">
        <v>38</v>
      </c>
      <c r="C318" s="4" t="s">
        <v>39</v>
      </c>
      <c r="D318" s="4" t="s">
        <v>43</v>
      </c>
      <c r="E318" s="4" t="s">
        <v>25</v>
      </c>
      <c r="F318" s="4" t="s">
        <v>25</v>
      </c>
      <c r="G318" s="4" t="s">
        <v>25</v>
      </c>
      <c r="H318" s="4" t="s">
        <v>34</v>
      </c>
      <c r="I318" s="5">
        <v>44501</v>
      </c>
      <c r="J318" s="6">
        <v>0</v>
      </c>
      <c r="K318" s="96">
        <v>0</v>
      </c>
      <c r="L318" s="6">
        <v>105.44</v>
      </c>
      <c r="M318" s="96">
        <v>105.44</v>
      </c>
      <c r="N318" s="6">
        <v>105.44</v>
      </c>
      <c r="O318" s="96">
        <v>105.44</v>
      </c>
      <c r="P318" s="6">
        <v>0</v>
      </c>
      <c r="Q318" s="4" t="s">
        <v>26</v>
      </c>
      <c r="R318" s="4">
        <v>0</v>
      </c>
      <c r="S318" s="6">
        <v>0</v>
      </c>
      <c r="T318" s="6">
        <v>17</v>
      </c>
      <c r="U318" s="6">
        <v>78</v>
      </c>
      <c r="V318" s="96">
        <f>IF(ISERROR(VLOOKUP($S$318,'TAR FIN'!$A$1:$O$86,15,0)),0,VLOOKUP($S$318,'TAR FIN'!$A$1:$O$86,15,0))</f>
        <v>0</v>
      </c>
      <c r="W318" s="96">
        <f>IF(ISERROR(VLOOKUP($T$318,'TAR FIN'!$A$1:$O$86,15,0)),0,VLOOKUP($T$318,'TAR FIN'!$A$1:$O$86,15,0))*(1-0.04)</f>
        <v>68.409599999999998</v>
      </c>
      <c r="X318" s="96">
        <f>IF(ISERROR(VLOOKUP($U$318,'TAR FIN'!$A$1:$O$86,15,0)),0,VLOOKUP($U$318,'TAR FIN'!$A$1:$O$86,15,0))*(1-0.04)</f>
        <v>285.41759999999999</v>
      </c>
      <c r="Y318" s="96"/>
      <c r="Z318" s="96">
        <f ca="1">('TUSD BE'!$AM$12+'TUSD BF_350'!$AM$12+'TUSD CVA'!$AM$12)*1*(1-0.02)</f>
        <v>93.899139140559214</v>
      </c>
      <c r="AA318" s="96">
        <f ca="1">('TE BE'!$AB$6+'TE BF_350'!$AB$6+'TE CVA'!$AB$6)*1*(1-0.02)</f>
        <v>230.63309335138217</v>
      </c>
      <c r="AB318" s="6">
        <f>$K$318*$V$318</f>
        <v>0</v>
      </c>
      <c r="AC318" s="6">
        <f>$M$318*$W$318</f>
        <v>7213.1082239999996</v>
      </c>
      <c r="AD318" s="6">
        <f>$O$318*$X$318</f>
        <v>30094.431743999998</v>
      </c>
      <c r="AE318" s="6">
        <f>$K$318*$Y$318</f>
        <v>0</v>
      </c>
      <c r="AF318" s="6">
        <f ca="1">$M$318*$Z$318</f>
        <v>9900.7252309805626</v>
      </c>
      <c r="AG318" s="6">
        <f ca="1">$O$318*$AA$318</f>
        <v>24317.953362969736</v>
      </c>
    </row>
    <row r="319" spans="1:33" ht="11.25" customHeight="1" x14ac:dyDescent="0.25">
      <c r="A319" s="4" t="s">
        <v>21</v>
      </c>
      <c r="B319" s="4" t="s">
        <v>38</v>
      </c>
      <c r="C319" s="4" t="s">
        <v>39</v>
      </c>
      <c r="D319" s="4" t="s">
        <v>43</v>
      </c>
      <c r="E319" s="4" t="s">
        <v>25</v>
      </c>
      <c r="F319" s="4" t="s">
        <v>25</v>
      </c>
      <c r="G319" s="4" t="s">
        <v>25</v>
      </c>
      <c r="H319" s="4" t="s">
        <v>34</v>
      </c>
      <c r="I319" s="5">
        <v>44531</v>
      </c>
      <c r="J319" s="6">
        <v>0</v>
      </c>
      <c r="K319" s="96">
        <v>0</v>
      </c>
      <c r="L319" s="6">
        <v>85.52</v>
      </c>
      <c r="M319" s="96">
        <v>85.52</v>
      </c>
      <c r="N319" s="6">
        <v>85.52</v>
      </c>
      <c r="O319" s="96">
        <v>85.52</v>
      </c>
      <c r="P319" s="6">
        <v>0</v>
      </c>
      <c r="Q319" s="4" t="s">
        <v>26</v>
      </c>
      <c r="R319" s="4">
        <v>0</v>
      </c>
      <c r="S319" s="6">
        <v>0</v>
      </c>
      <c r="T319" s="6">
        <v>17</v>
      </c>
      <c r="U319" s="6">
        <v>78</v>
      </c>
      <c r="V319" s="96">
        <f>IF(ISERROR(VLOOKUP($S$319,'TAR FIN'!$A$1:$O$86,15,0)),0,VLOOKUP($S$319,'TAR FIN'!$A$1:$O$86,15,0))</f>
        <v>0</v>
      </c>
      <c r="W319" s="96">
        <f>IF(ISERROR(VLOOKUP($T$319,'TAR FIN'!$A$1:$O$86,15,0)),0,VLOOKUP($T$319,'TAR FIN'!$A$1:$O$86,15,0))*(1-0.04)</f>
        <v>68.409599999999998</v>
      </c>
      <c r="X319" s="96">
        <f>IF(ISERROR(VLOOKUP($U$319,'TAR FIN'!$A$1:$O$86,15,0)),0,VLOOKUP($U$319,'TAR FIN'!$A$1:$O$86,15,0))*(1-0.04)</f>
        <v>285.41759999999999</v>
      </c>
      <c r="Y319" s="96"/>
      <c r="Z319" s="96">
        <f ca="1">('TUSD BE'!$AM$12+'TUSD BF_350'!$AM$12+'TUSD CVA'!$AM$12)*1*(1-0.02)</f>
        <v>93.899139140559214</v>
      </c>
      <c r="AA319" s="96">
        <f ca="1">('TE BE'!$AB$6+'TE BF_350'!$AB$6+'TE CVA'!$AB$6)*1*(1-0.02)</f>
        <v>230.63309335138217</v>
      </c>
      <c r="AB319" s="6">
        <f>$K$319*$V$319</f>
        <v>0</v>
      </c>
      <c r="AC319" s="6">
        <f>$M$319*$W$319</f>
        <v>5850.3889919999992</v>
      </c>
      <c r="AD319" s="6">
        <f>$O$319*$X$319</f>
        <v>24408.913151999997</v>
      </c>
      <c r="AE319" s="6">
        <f>$K$319*$Y$319</f>
        <v>0</v>
      </c>
      <c r="AF319" s="6">
        <f ca="1">$M$319*$Z$319</f>
        <v>8030.2543793006234</v>
      </c>
      <c r="AG319" s="6">
        <f ca="1">$O$319*$AA$319</f>
        <v>19723.742143410203</v>
      </c>
    </row>
    <row r="320" spans="1:33" ht="11.25" customHeight="1" x14ac:dyDescent="0.25">
      <c r="A320" s="4" t="s">
        <v>21</v>
      </c>
      <c r="B320" s="4" t="s">
        <v>38</v>
      </c>
      <c r="C320" s="4" t="s">
        <v>39</v>
      </c>
      <c r="D320" s="4" t="s">
        <v>43</v>
      </c>
      <c r="E320" s="4" t="s">
        <v>25</v>
      </c>
      <c r="F320" s="4" t="s">
        <v>25</v>
      </c>
      <c r="G320" s="4" t="s">
        <v>25</v>
      </c>
      <c r="H320" s="4" t="s">
        <v>34</v>
      </c>
      <c r="I320" s="5">
        <v>44562</v>
      </c>
      <c r="J320" s="6">
        <v>0</v>
      </c>
      <c r="K320" s="96">
        <v>0</v>
      </c>
      <c r="L320" s="6">
        <v>110.642</v>
      </c>
      <c r="M320" s="96">
        <v>110.642</v>
      </c>
      <c r="N320" s="6">
        <v>110.642</v>
      </c>
      <c r="O320" s="96">
        <v>110.642</v>
      </c>
      <c r="P320" s="6">
        <v>0</v>
      </c>
      <c r="Q320" s="4" t="s">
        <v>26</v>
      </c>
      <c r="R320" s="4">
        <v>0</v>
      </c>
      <c r="S320" s="6">
        <v>0</v>
      </c>
      <c r="T320" s="6">
        <v>17</v>
      </c>
      <c r="U320" s="6">
        <v>78</v>
      </c>
      <c r="V320" s="96">
        <f>IF(ISERROR(VLOOKUP($S$320,'TAR FIN'!$A$1:$O$86,15,0)),0,VLOOKUP($S$320,'TAR FIN'!$A$1:$O$86,15,0))</f>
        <v>0</v>
      </c>
      <c r="W320" s="96">
        <f>IF(ISERROR(VLOOKUP($T$320,'TAR FIN'!$A$1:$O$86,15,0)),0,VLOOKUP($T$320,'TAR FIN'!$A$1:$O$86,15,0))*(1-0.04)</f>
        <v>68.409599999999998</v>
      </c>
      <c r="X320" s="96">
        <f>IF(ISERROR(VLOOKUP($U$320,'TAR FIN'!$A$1:$O$86,15,0)),0,VLOOKUP($U$320,'TAR FIN'!$A$1:$O$86,15,0))*(1-0.04)</f>
        <v>285.41759999999999</v>
      </c>
      <c r="Y320" s="96"/>
      <c r="Z320" s="96">
        <f ca="1">('TUSD BE'!$AM$12+'TUSD BF_350'!$AM$12+'TUSD CVA'!$AM$12)*1*(1-0.02)</f>
        <v>93.899139140559214</v>
      </c>
      <c r="AA320" s="96">
        <f ca="1">('TE BE'!$AB$6+'TE BF_350'!$AB$6+'TE CVA'!$AB$6)*1*(1-0.02)</f>
        <v>230.63309335138217</v>
      </c>
      <c r="AB320" s="6">
        <f>$K$320*$V$320</f>
        <v>0</v>
      </c>
      <c r="AC320" s="6">
        <f>$M$320*$W$320</f>
        <v>7568.9749631999994</v>
      </c>
      <c r="AD320" s="6">
        <f>$O$320*$X$320</f>
        <v>31579.174099199998</v>
      </c>
      <c r="AE320" s="6">
        <f>$K$320*$Y$320</f>
        <v>0</v>
      </c>
      <c r="AF320" s="6">
        <f ca="1">$M$320*$Z$320</f>
        <v>10389.188552789752</v>
      </c>
      <c r="AG320" s="6">
        <f ca="1">$O$320*$AA$320</f>
        <v>25517.706714583626</v>
      </c>
    </row>
    <row r="321" spans="1:33" ht="11.25" customHeight="1" x14ac:dyDescent="0.25">
      <c r="A321" s="4" t="s">
        <v>21</v>
      </c>
      <c r="B321" s="4" t="s">
        <v>38</v>
      </c>
      <c r="C321" s="4" t="s">
        <v>39</v>
      </c>
      <c r="D321" s="4" t="s">
        <v>43</v>
      </c>
      <c r="E321" s="4" t="s">
        <v>25</v>
      </c>
      <c r="F321" s="4" t="s">
        <v>25</v>
      </c>
      <c r="G321" s="4" t="s">
        <v>25</v>
      </c>
      <c r="H321" s="4" t="s">
        <v>34</v>
      </c>
      <c r="I321" s="5">
        <v>44593</v>
      </c>
      <c r="J321" s="6">
        <v>0</v>
      </c>
      <c r="K321" s="96">
        <v>0</v>
      </c>
      <c r="L321" s="6">
        <v>104.31</v>
      </c>
      <c r="M321" s="96">
        <v>104.31</v>
      </c>
      <c r="N321" s="6">
        <v>104.31</v>
      </c>
      <c r="O321" s="96">
        <v>104.31</v>
      </c>
      <c r="P321" s="6">
        <v>0</v>
      </c>
      <c r="Q321" s="4" t="s">
        <v>26</v>
      </c>
      <c r="R321" s="4">
        <v>0</v>
      </c>
      <c r="S321" s="6">
        <v>0</v>
      </c>
      <c r="T321" s="6">
        <v>17</v>
      </c>
      <c r="U321" s="6">
        <v>78</v>
      </c>
      <c r="V321" s="96">
        <f>IF(ISERROR(VLOOKUP($S$321,'TAR FIN'!$A$1:$O$86,15,0)),0,VLOOKUP($S$321,'TAR FIN'!$A$1:$O$86,15,0))</f>
        <v>0</v>
      </c>
      <c r="W321" s="96">
        <f>IF(ISERROR(VLOOKUP($T$321,'TAR FIN'!$A$1:$O$86,15,0)),0,VLOOKUP($T$321,'TAR FIN'!$A$1:$O$86,15,0))*(1-0.04)</f>
        <v>68.409599999999998</v>
      </c>
      <c r="X321" s="96">
        <f>IF(ISERROR(VLOOKUP($U$321,'TAR FIN'!$A$1:$O$86,15,0)),0,VLOOKUP($U$321,'TAR FIN'!$A$1:$O$86,15,0))*(1-0.04)</f>
        <v>285.41759999999999</v>
      </c>
      <c r="Y321" s="96"/>
      <c r="Z321" s="96">
        <f ca="1">('TUSD BE'!$AM$12+'TUSD BF_350'!$AM$12+'TUSD CVA'!$AM$12)*1*(1-0.02)</f>
        <v>93.899139140559214</v>
      </c>
      <c r="AA321" s="96">
        <f ca="1">('TE BE'!$AB$6+'TE BF_350'!$AB$6+'TE CVA'!$AB$6)*1*(1-0.02)</f>
        <v>230.63309335138217</v>
      </c>
      <c r="AB321" s="6">
        <f>$K$321*$V$321</f>
        <v>0</v>
      </c>
      <c r="AC321" s="6">
        <f>$M$321*$W$321</f>
        <v>7135.8053760000003</v>
      </c>
      <c r="AD321" s="6">
        <f>$O$321*$X$321</f>
        <v>29771.909855999998</v>
      </c>
      <c r="AE321" s="6">
        <f>$K$321*$Y$321</f>
        <v>0</v>
      </c>
      <c r="AF321" s="6">
        <f ca="1">$M$321*$Z$321</f>
        <v>9794.6192037517321</v>
      </c>
      <c r="AG321" s="6">
        <f ca="1">$O$321*$AA$321</f>
        <v>24057.337967482676</v>
      </c>
    </row>
    <row r="322" spans="1:33" ht="11.25" customHeight="1" x14ac:dyDescent="0.25">
      <c r="A322" s="4" t="s">
        <v>21</v>
      </c>
      <c r="B322" s="4" t="s">
        <v>38</v>
      </c>
      <c r="C322" s="4" t="s">
        <v>39</v>
      </c>
      <c r="D322" s="4" t="s">
        <v>43</v>
      </c>
      <c r="E322" s="4" t="s">
        <v>25</v>
      </c>
      <c r="F322" s="4" t="s">
        <v>25</v>
      </c>
      <c r="G322" s="4" t="s">
        <v>25</v>
      </c>
      <c r="H322" s="4" t="s">
        <v>34</v>
      </c>
      <c r="I322" s="5">
        <v>44621</v>
      </c>
      <c r="J322" s="6">
        <v>0</v>
      </c>
      <c r="K322" s="96">
        <v>0</v>
      </c>
      <c r="L322" s="6">
        <v>115.179</v>
      </c>
      <c r="M322" s="96">
        <v>115.179</v>
      </c>
      <c r="N322" s="6">
        <v>115.179</v>
      </c>
      <c r="O322" s="96">
        <v>115.179</v>
      </c>
      <c r="P322" s="6">
        <v>0</v>
      </c>
      <c r="Q322" s="4" t="s">
        <v>26</v>
      </c>
      <c r="R322" s="4">
        <v>0</v>
      </c>
      <c r="S322" s="6">
        <v>0</v>
      </c>
      <c r="T322" s="6">
        <v>17</v>
      </c>
      <c r="U322" s="6">
        <v>78</v>
      </c>
      <c r="V322" s="96">
        <f>IF(ISERROR(VLOOKUP($S$322,'TAR FIN'!$A$1:$O$86,15,0)),0,VLOOKUP($S$322,'TAR FIN'!$A$1:$O$86,15,0))</f>
        <v>0</v>
      </c>
      <c r="W322" s="96">
        <f>IF(ISERROR(VLOOKUP($T$322,'TAR FIN'!$A$1:$O$86,15,0)),0,VLOOKUP($T$322,'TAR FIN'!$A$1:$O$86,15,0))*(1-0.04)</f>
        <v>68.409599999999998</v>
      </c>
      <c r="X322" s="96">
        <f>IF(ISERROR(VLOOKUP($U$322,'TAR FIN'!$A$1:$O$86,15,0)),0,VLOOKUP($U$322,'TAR FIN'!$A$1:$O$86,15,0))*(1-0.04)</f>
        <v>285.41759999999999</v>
      </c>
      <c r="Y322" s="96"/>
      <c r="Z322" s="96">
        <f ca="1">('TUSD BE'!$AM$12+'TUSD BF_350'!$AM$12+'TUSD CVA'!$AM$12)*1*(1-0.02)</f>
        <v>93.899139140559214</v>
      </c>
      <c r="AA322" s="96">
        <f ca="1">('TE BE'!$AB$6+'TE BF_350'!$AB$6+'TE CVA'!$AB$6)*1*(1-0.02)</f>
        <v>230.63309335138217</v>
      </c>
      <c r="AB322" s="6">
        <f>$K$322*$V$322</f>
        <v>0</v>
      </c>
      <c r="AC322" s="6">
        <f>$M$322*$W$322</f>
        <v>7879.3493183999999</v>
      </c>
      <c r="AD322" s="6">
        <f>$O$322*$X$322</f>
        <v>32874.1137504</v>
      </c>
      <c r="AE322" s="6">
        <f>$K$322*$Y$322</f>
        <v>0</v>
      </c>
      <c r="AF322" s="6">
        <f ca="1">$M$322*$Z$322</f>
        <v>10815.20894707047</v>
      </c>
      <c r="AG322" s="6">
        <f ca="1">$O$322*$AA$322</f>
        <v>26564.089059118847</v>
      </c>
    </row>
    <row r="323" spans="1:33" ht="11.25" customHeight="1" x14ac:dyDescent="0.25">
      <c r="A323" s="4" t="s">
        <v>21</v>
      </c>
      <c r="B323" s="4" t="s">
        <v>38</v>
      </c>
      <c r="C323" s="4" t="s">
        <v>39</v>
      </c>
      <c r="D323" s="4" t="s">
        <v>43</v>
      </c>
      <c r="E323" s="4" t="s">
        <v>25</v>
      </c>
      <c r="F323" s="4" t="s">
        <v>25</v>
      </c>
      <c r="G323" s="4" t="s">
        <v>25</v>
      </c>
      <c r="H323" s="4" t="s">
        <v>34</v>
      </c>
      <c r="I323" s="5">
        <v>44652</v>
      </c>
      <c r="J323" s="6">
        <v>0</v>
      </c>
      <c r="K323" s="96">
        <v>0</v>
      </c>
      <c r="L323" s="6">
        <v>144.667</v>
      </c>
      <c r="M323" s="96">
        <v>144.667</v>
      </c>
      <c r="N323" s="6">
        <v>144.667</v>
      </c>
      <c r="O323" s="96">
        <v>144.667</v>
      </c>
      <c r="P323" s="6">
        <v>0</v>
      </c>
      <c r="Q323" s="4" t="s">
        <v>26</v>
      </c>
      <c r="R323" s="4">
        <v>0</v>
      </c>
      <c r="S323" s="6">
        <v>0</v>
      </c>
      <c r="T323" s="6">
        <v>17</v>
      </c>
      <c r="U323" s="6">
        <v>78</v>
      </c>
      <c r="V323" s="96">
        <f>IF(ISERROR(VLOOKUP($S$323,'TAR FIN'!$A$1:$O$86,15,0)),0,VLOOKUP($S$323,'TAR FIN'!$A$1:$O$86,15,0))</f>
        <v>0</v>
      </c>
      <c r="W323" s="96">
        <f>IF(ISERROR(VLOOKUP($T$323,'TAR FIN'!$A$1:$O$86,15,0)),0,VLOOKUP($T$323,'TAR FIN'!$A$1:$O$86,15,0))*(1-0.04)</f>
        <v>68.409599999999998</v>
      </c>
      <c r="X323" s="96">
        <f>IF(ISERROR(VLOOKUP($U$323,'TAR FIN'!$A$1:$O$86,15,0)),0,VLOOKUP($U$323,'TAR FIN'!$A$1:$O$86,15,0))*(1-0.04)</f>
        <v>285.41759999999999</v>
      </c>
      <c r="Y323" s="96"/>
      <c r="Z323" s="96">
        <f ca="1">('TUSD BE'!$AM$12+'TUSD BF_350'!$AM$12+'TUSD CVA'!$AM$12)*1*(1-0.02)</f>
        <v>93.899139140559214</v>
      </c>
      <c r="AA323" s="96">
        <f ca="1">('TE BE'!$AB$6+'TE BF_350'!$AB$6+'TE CVA'!$AB$6)*1*(1-0.02)</f>
        <v>230.63309335138217</v>
      </c>
      <c r="AB323" s="6">
        <f>$K$323*$V$323</f>
        <v>0</v>
      </c>
      <c r="AC323" s="6">
        <f>$M$323*$W$323</f>
        <v>9896.6116031999991</v>
      </c>
      <c r="AD323" s="6">
        <f>$O$323*$X$323</f>
        <v>41290.507939199997</v>
      </c>
      <c r="AE323" s="6">
        <f>$K$323*$Y$323</f>
        <v>0</v>
      </c>
      <c r="AF323" s="6">
        <f ca="1">$M$323*$Z$323</f>
        <v>13584.10676204728</v>
      </c>
      <c r="AG323" s="6">
        <f ca="1">$O$323*$AA$323</f>
        <v>33364.997715864403</v>
      </c>
    </row>
    <row r="324" spans="1:33" ht="11.25" customHeight="1" x14ac:dyDescent="0.25">
      <c r="A324" s="4" t="s">
        <v>21</v>
      </c>
      <c r="B324" s="4" t="s">
        <v>38</v>
      </c>
      <c r="C324" s="4" t="s">
        <v>39</v>
      </c>
      <c r="D324" s="4" t="s">
        <v>43</v>
      </c>
      <c r="E324" s="4" t="s">
        <v>25</v>
      </c>
      <c r="F324" s="4" t="s">
        <v>25</v>
      </c>
      <c r="G324" s="4" t="s">
        <v>25</v>
      </c>
      <c r="H324" s="4" t="s">
        <v>34</v>
      </c>
      <c r="I324" s="5">
        <v>44682</v>
      </c>
      <c r="J324" s="6">
        <v>0</v>
      </c>
      <c r="K324" s="96">
        <v>0</v>
      </c>
      <c r="L324" s="6">
        <v>117.187</v>
      </c>
      <c r="M324" s="96">
        <v>117.187</v>
      </c>
      <c r="N324" s="6">
        <v>117.187</v>
      </c>
      <c r="O324" s="96">
        <v>117.187</v>
      </c>
      <c r="P324" s="6">
        <v>0</v>
      </c>
      <c r="Q324" s="4" t="s">
        <v>26</v>
      </c>
      <c r="R324" s="4">
        <v>0</v>
      </c>
      <c r="S324" s="6">
        <v>0</v>
      </c>
      <c r="T324" s="6">
        <v>17</v>
      </c>
      <c r="U324" s="6">
        <v>78</v>
      </c>
      <c r="V324" s="96">
        <f>IF(ISERROR(VLOOKUP($S$324,'TAR FIN'!$A$1:$O$86,15,0)),0,VLOOKUP($S$324,'TAR FIN'!$A$1:$O$86,15,0))</f>
        <v>0</v>
      </c>
      <c r="W324" s="96">
        <f>IF(ISERROR(VLOOKUP($T$324,'TAR FIN'!$A$1:$O$86,15,0)),0,VLOOKUP($T$324,'TAR FIN'!$A$1:$O$86,15,0))*(1-0.04)</f>
        <v>68.409599999999998</v>
      </c>
      <c r="X324" s="96">
        <f>IF(ISERROR(VLOOKUP($U$324,'TAR FIN'!$A$1:$O$86,15,0)),0,VLOOKUP($U$324,'TAR FIN'!$A$1:$O$86,15,0))*(1-0.04)</f>
        <v>285.41759999999999</v>
      </c>
      <c r="Y324" s="96"/>
      <c r="Z324" s="96">
        <f ca="1">('TUSD BE'!$AM$12+'TUSD BF_350'!$AM$12+'TUSD CVA'!$AM$12)*1*(1-0.02)</f>
        <v>93.899139140559214</v>
      </c>
      <c r="AA324" s="96">
        <f ca="1">('TE BE'!$AB$6+'TE BF_350'!$AB$6+'TE CVA'!$AB$6)*1*(1-0.02)</f>
        <v>230.63309335138217</v>
      </c>
      <c r="AB324" s="6">
        <f>$K$324*$V$324</f>
        <v>0</v>
      </c>
      <c r="AC324" s="6">
        <f>$M$324*$W$324</f>
        <v>8016.7157951999998</v>
      </c>
      <c r="AD324" s="6">
        <f>$O$324*$X$324</f>
        <v>33447.232291200002</v>
      </c>
      <c r="AE324" s="6">
        <f>$K$324*$Y$324</f>
        <v>0</v>
      </c>
      <c r="AF324" s="6">
        <f ca="1">$M$324*$Z$324</f>
        <v>11003.758418464713</v>
      </c>
      <c r="AG324" s="6">
        <f ca="1">$O$324*$AA$324</f>
        <v>27027.200310568423</v>
      </c>
    </row>
    <row r="325" spans="1:33" ht="11.25" customHeight="1" x14ac:dyDescent="0.25">
      <c r="A325" s="4" t="s">
        <v>55</v>
      </c>
      <c r="B325" s="4" t="s">
        <v>38</v>
      </c>
      <c r="C325" s="4" t="s">
        <v>39</v>
      </c>
      <c r="D325" s="4" t="s">
        <v>43</v>
      </c>
      <c r="E325" s="4" t="s">
        <v>25</v>
      </c>
      <c r="F325" s="4" t="s">
        <v>25</v>
      </c>
      <c r="G325" s="4" t="s">
        <v>25</v>
      </c>
      <c r="H325" s="4" t="s">
        <v>34</v>
      </c>
      <c r="I325" s="5">
        <v>44713</v>
      </c>
      <c r="J325" s="6">
        <v>0</v>
      </c>
      <c r="K325" s="96">
        <v>0</v>
      </c>
      <c r="L325" s="6">
        <v>117.187</v>
      </c>
      <c r="M325" s="96">
        <v>117.187</v>
      </c>
      <c r="N325" s="6">
        <v>117.187</v>
      </c>
      <c r="O325" s="96">
        <v>117.187</v>
      </c>
      <c r="P325" s="6">
        <v>0</v>
      </c>
      <c r="Q325" s="4" t="s">
        <v>26</v>
      </c>
      <c r="R325" s="4">
        <v>0</v>
      </c>
      <c r="S325" s="6">
        <v>0</v>
      </c>
      <c r="T325" s="6">
        <v>17</v>
      </c>
      <c r="U325" s="6">
        <v>78</v>
      </c>
      <c r="V325" s="96">
        <f>IF(ISERROR(VLOOKUP($S$325,'TAR FIN'!$A$1:$O$86,15,0)),0,VLOOKUP($S$325,'TAR FIN'!$A$1:$O$86,15,0))</f>
        <v>0</v>
      </c>
      <c r="W325" s="96">
        <f>IF(ISERROR(VLOOKUP($T$325,'TAR FIN'!$A$1:$O$86,15,0)),0,VLOOKUP($T$325,'TAR FIN'!$A$1:$O$86,15,0))*(1-0.04)</f>
        <v>68.409599999999998</v>
      </c>
      <c r="X325" s="96">
        <f>IF(ISERROR(VLOOKUP($U$325,'TAR FIN'!$A$1:$O$86,15,0)),0,VLOOKUP($U$325,'TAR FIN'!$A$1:$O$86,15,0))*(1-0.04)</f>
        <v>285.41759999999999</v>
      </c>
      <c r="Y325" s="96"/>
      <c r="Z325" s="96">
        <f ca="1">('TUSD BE'!$AM$12+'TUSD BF_350'!$AM$12+'TUSD CVA'!$AM$12)*1*(1-0.02)</f>
        <v>93.899139140559214</v>
      </c>
      <c r="AA325" s="96">
        <f ca="1">('TE BE'!$AB$6+'TE BF_350'!$AB$6+'TE CVA'!$AB$6)*1*(1-0.02)</f>
        <v>230.63309335138217</v>
      </c>
      <c r="AB325" s="6">
        <f>$K$325*$V$325</f>
        <v>0</v>
      </c>
      <c r="AC325" s="6">
        <f>$M$325*$W$325</f>
        <v>8016.7157951999998</v>
      </c>
      <c r="AD325" s="6">
        <f>$O$325*$X$325</f>
        <v>33447.232291200002</v>
      </c>
      <c r="AE325" s="6">
        <f>$K$325*$Y$325</f>
        <v>0</v>
      </c>
      <c r="AF325" s="6">
        <f ca="1">$M$325*$Z$325</f>
        <v>11003.758418464713</v>
      </c>
      <c r="AG325" s="6">
        <f ca="1">$O$325*$AA$325</f>
        <v>27027.200310568423</v>
      </c>
    </row>
    <row r="326" spans="1:33" ht="11.25" customHeight="1" x14ac:dyDescent="0.25">
      <c r="A326" s="4" t="s">
        <v>21</v>
      </c>
      <c r="B326" s="4" t="s">
        <v>38</v>
      </c>
      <c r="C326" s="4" t="s">
        <v>39</v>
      </c>
      <c r="D326" s="4" t="s">
        <v>43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44378</v>
      </c>
      <c r="J326" s="6">
        <v>518</v>
      </c>
      <c r="K326" s="96">
        <v>518</v>
      </c>
      <c r="L326" s="6">
        <v>0</v>
      </c>
      <c r="M326" s="96">
        <v>0</v>
      </c>
      <c r="N326" s="6">
        <v>0</v>
      </c>
      <c r="O326" s="96">
        <v>0</v>
      </c>
      <c r="P326" s="6">
        <v>5</v>
      </c>
      <c r="Q326" s="4" t="s">
        <v>26</v>
      </c>
      <c r="R326" s="4">
        <v>0</v>
      </c>
      <c r="S326" s="6">
        <v>19</v>
      </c>
      <c r="T326" s="6">
        <v>0</v>
      </c>
      <c r="U326" s="6">
        <v>0</v>
      </c>
      <c r="V326" s="96">
        <f>IF(ISERROR(VLOOKUP($S$326,'TAR FIN'!$A$1:$O$86,15,0)),0,VLOOKUP($S$326,'TAR FIN'!$A$1:$O$86,15,0))*(1-0.04)</f>
        <v>15.638399999999999</v>
      </c>
      <c r="W326" s="96">
        <f>IF(ISERROR(VLOOKUP($T$326,'TAR FIN'!$A$1:$O$86,15,0)),0,VLOOKUP($T$326,'TAR FIN'!$A$1:$O$86,15,0))</f>
        <v>0</v>
      </c>
      <c r="X326" s="96">
        <f>IF(ISERROR(VLOOKUP($U$326,'TAR FIN'!$A$1:$O$86,15,0)),0,VLOOKUP($U$326,'TAR FIN'!$A$1:$O$86,15,0))</f>
        <v>0</v>
      </c>
      <c r="Y326" s="96">
        <f ca="1">('TUSD BE'!$AM$10+'TUSD BF_350'!$AM$10+'TUSD CVA'!$AM$10)*1*(1-0.02)</f>
        <v>20.716782055066915</v>
      </c>
      <c r="Z326" s="96"/>
      <c r="AA326" s="96"/>
      <c r="AB326" s="6">
        <f>$K$326*$V$326</f>
        <v>8100.6911999999993</v>
      </c>
      <c r="AC326" s="6">
        <f>$M$326*$W$326</f>
        <v>0</v>
      </c>
      <c r="AD326" s="6">
        <f>$O$326*$X$326</f>
        <v>0</v>
      </c>
      <c r="AE326" s="6">
        <f ca="1">$K$326*$Y$326</f>
        <v>10731.293104524662</v>
      </c>
      <c r="AF326" s="6">
        <f>$M$326*$Z$326</f>
        <v>0</v>
      </c>
      <c r="AG326" s="6">
        <f>$O$326*$AA$326</f>
        <v>0</v>
      </c>
    </row>
    <row r="327" spans="1:33" ht="11.25" customHeight="1" x14ac:dyDescent="0.25">
      <c r="A327" s="4" t="s">
        <v>21</v>
      </c>
      <c r="B327" s="4" t="s">
        <v>38</v>
      </c>
      <c r="C327" s="4" t="s">
        <v>39</v>
      </c>
      <c r="D327" s="4" t="s">
        <v>43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44409</v>
      </c>
      <c r="J327" s="6">
        <v>380</v>
      </c>
      <c r="K327" s="96">
        <v>380</v>
      </c>
      <c r="L327" s="6">
        <v>0</v>
      </c>
      <c r="M327" s="96">
        <v>0</v>
      </c>
      <c r="N327" s="6">
        <v>0</v>
      </c>
      <c r="O327" s="96">
        <v>0</v>
      </c>
      <c r="P327" s="6">
        <v>5</v>
      </c>
      <c r="Q327" s="4" t="s">
        <v>26</v>
      </c>
      <c r="R327" s="4">
        <v>0</v>
      </c>
      <c r="S327" s="6">
        <v>19</v>
      </c>
      <c r="T327" s="6">
        <v>0</v>
      </c>
      <c r="U327" s="6">
        <v>0</v>
      </c>
      <c r="V327" s="96">
        <f>IF(ISERROR(VLOOKUP($S$327,'TAR FIN'!$A$1:$O$86,15,0)),0,VLOOKUP($S$327,'TAR FIN'!$A$1:$O$86,15,0))*(1-0.04)</f>
        <v>15.638399999999999</v>
      </c>
      <c r="W327" s="96">
        <f>IF(ISERROR(VLOOKUP($T$327,'TAR FIN'!$A$1:$O$86,15,0)),0,VLOOKUP($T$327,'TAR FIN'!$A$1:$O$86,15,0))</f>
        <v>0</v>
      </c>
      <c r="X327" s="96">
        <f>IF(ISERROR(VLOOKUP($U$327,'TAR FIN'!$A$1:$O$86,15,0)),0,VLOOKUP($U$327,'TAR FIN'!$A$1:$O$86,15,0))</f>
        <v>0</v>
      </c>
      <c r="Y327" s="96">
        <f ca="1">('TUSD BE'!$AM$10+'TUSD BF_350'!$AM$10+'TUSD CVA'!$AM$10)*1*(1-0.02)</f>
        <v>20.716782055066915</v>
      </c>
      <c r="Z327" s="96"/>
      <c r="AA327" s="96"/>
      <c r="AB327" s="6">
        <f>$K$327*$V$327</f>
        <v>5942.5919999999996</v>
      </c>
      <c r="AC327" s="6">
        <f>$M$327*$W$327</f>
        <v>0</v>
      </c>
      <c r="AD327" s="6">
        <f>$O$327*$X$327</f>
        <v>0</v>
      </c>
      <c r="AE327" s="6">
        <f ca="1">$K$327*$Y$327</f>
        <v>7872.3771809254276</v>
      </c>
      <c r="AF327" s="6">
        <f>$M$327*$Z$327</f>
        <v>0</v>
      </c>
      <c r="AG327" s="6">
        <f>$O$327*$AA$327</f>
        <v>0</v>
      </c>
    </row>
    <row r="328" spans="1:33" ht="11.25" customHeight="1" x14ac:dyDescent="0.25">
      <c r="A328" s="4" t="s">
        <v>21</v>
      </c>
      <c r="B328" s="4" t="s">
        <v>38</v>
      </c>
      <c r="C328" s="4" t="s">
        <v>39</v>
      </c>
      <c r="D328" s="4" t="s">
        <v>43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44440</v>
      </c>
      <c r="J328" s="6">
        <v>321</v>
      </c>
      <c r="K328" s="96">
        <v>321</v>
      </c>
      <c r="L328" s="6">
        <v>0</v>
      </c>
      <c r="M328" s="96">
        <v>0</v>
      </c>
      <c r="N328" s="6">
        <v>0</v>
      </c>
      <c r="O328" s="96">
        <v>0</v>
      </c>
      <c r="P328" s="6">
        <v>5</v>
      </c>
      <c r="Q328" s="4" t="s">
        <v>26</v>
      </c>
      <c r="R328" s="4">
        <v>0</v>
      </c>
      <c r="S328" s="6">
        <v>19</v>
      </c>
      <c r="T328" s="6">
        <v>0</v>
      </c>
      <c r="U328" s="6">
        <v>0</v>
      </c>
      <c r="V328" s="96">
        <f>IF(ISERROR(VLOOKUP($S$328,'TAR FIN'!$A$1:$O$86,15,0)),0,VLOOKUP($S$328,'TAR FIN'!$A$1:$O$86,15,0))*(1-0.04)</f>
        <v>15.638399999999999</v>
      </c>
      <c r="W328" s="96">
        <f>IF(ISERROR(VLOOKUP($T$328,'TAR FIN'!$A$1:$O$86,15,0)),0,VLOOKUP($T$328,'TAR FIN'!$A$1:$O$86,15,0))</f>
        <v>0</v>
      </c>
      <c r="X328" s="96">
        <f>IF(ISERROR(VLOOKUP($U$328,'TAR FIN'!$A$1:$O$86,15,0)),0,VLOOKUP($U$328,'TAR FIN'!$A$1:$O$86,15,0))</f>
        <v>0</v>
      </c>
      <c r="Y328" s="96">
        <f ca="1">('TUSD BE'!$AM$10+'TUSD BF_350'!$AM$10+'TUSD CVA'!$AM$10)*1*(1-0.02)</f>
        <v>20.716782055066915</v>
      </c>
      <c r="Z328" s="96"/>
      <c r="AA328" s="96"/>
      <c r="AB328" s="6">
        <f>$K$328*$V$328</f>
        <v>5019.9263999999994</v>
      </c>
      <c r="AC328" s="6">
        <f>$M$328*$W$328</f>
        <v>0</v>
      </c>
      <c r="AD328" s="6">
        <f>$O$328*$X$328</f>
        <v>0</v>
      </c>
      <c r="AE328" s="6">
        <f ca="1">$K$328*$Y$328</f>
        <v>6650.0870396764794</v>
      </c>
      <c r="AF328" s="6">
        <f>$M$328*$Z$328</f>
        <v>0</v>
      </c>
      <c r="AG328" s="6">
        <f>$O$328*$AA$328</f>
        <v>0</v>
      </c>
    </row>
    <row r="329" spans="1:33" ht="11.25" customHeight="1" x14ac:dyDescent="0.25">
      <c r="A329" s="4" t="s">
        <v>21</v>
      </c>
      <c r="B329" s="4" t="s">
        <v>38</v>
      </c>
      <c r="C329" s="4" t="s">
        <v>39</v>
      </c>
      <c r="D329" s="4" t="s">
        <v>43</v>
      </c>
      <c r="E329" s="4" t="s">
        <v>25</v>
      </c>
      <c r="F329" s="4" t="s">
        <v>25</v>
      </c>
      <c r="G329" s="4" t="s">
        <v>25</v>
      </c>
      <c r="H329" s="4" t="s">
        <v>25</v>
      </c>
      <c r="I329" s="5">
        <v>44470</v>
      </c>
      <c r="J329" s="6">
        <v>450</v>
      </c>
      <c r="K329" s="96">
        <v>450</v>
      </c>
      <c r="L329" s="6">
        <v>0</v>
      </c>
      <c r="M329" s="96">
        <v>0</v>
      </c>
      <c r="N329" s="6">
        <v>0</v>
      </c>
      <c r="O329" s="96">
        <v>0</v>
      </c>
      <c r="P329" s="6">
        <v>5</v>
      </c>
      <c r="Q329" s="4" t="s">
        <v>26</v>
      </c>
      <c r="R329" s="4">
        <v>0</v>
      </c>
      <c r="S329" s="6">
        <v>19</v>
      </c>
      <c r="T329" s="6">
        <v>0</v>
      </c>
      <c r="U329" s="6">
        <v>0</v>
      </c>
      <c r="V329" s="96">
        <f>IF(ISERROR(VLOOKUP($S$329,'TAR FIN'!$A$1:$O$86,15,0)),0,VLOOKUP($S$329,'TAR FIN'!$A$1:$O$86,15,0))*(1-0.04)</f>
        <v>15.638399999999999</v>
      </c>
      <c r="W329" s="96">
        <f>IF(ISERROR(VLOOKUP($T$329,'TAR FIN'!$A$1:$O$86,15,0)),0,VLOOKUP($T$329,'TAR FIN'!$A$1:$O$86,15,0))</f>
        <v>0</v>
      </c>
      <c r="X329" s="96">
        <f>IF(ISERROR(VLOOKUP($U$329,'TAR FIN'!$A$1:$O$86,15,0)),0,VLOOKUP($U$329,'TAR FIN'!$A$1:$O$86,15,0))</f>
        <v>0</v>
      </c>
      <c r="Y329" s="96">
        <f ca="1">('TUSD BE'!$AM$10+'TUSD BF_350'!$AM$10+'TUSD CVA'!$AM$10)*1*(1-0.02)</f>
        <v>20.716782055066915</v>
      </c>
      <c r="Z329" s="96"/>
      <c r="AA329" s="96"/>
      <c r="AB329" s="6">
        <f>$K$329*$V$329</f>
        <v>7037.28</v>
      </c>
      <c r="AC329" s="6">
        <f>$M$329*$W$329</f>
        <v>0</v>
      </c>
      <c r="AD329" s="6">
        <f>$O$329*$X$329</f>
        <v>0</v>
      </c>
      <c r="AE329" s="6">
        <f ca="1">$K$329*$Y$329</f>
        <v>9322.5519247801112</v>
      </c>
      <c r="AF329" s="6">
        <f>$M$329*$Z$329</f>
        <v>0</v>
      </c>
      <c r="AG329" s="6">
        <f>$O$329*$AA$329</f>
        <v>0</v>
      </c>
    </row>
    <row r="330" spans="1:33" ht="11.25" customHeight="1" x14ac:dyDescent="0.25">
      <c r="A330" s="4" t="s">
        <v>21</v>
      </c>
      <c r="B330" s="4" t="s">
        <v>38</v>
      </c>
      <c r="C330" s="4" t="s">
        <v>39</v>
      </c>
      <c r="D330" s="4" t="s">
        <v>43</v>
      </c>
      <c r="E330" s="4" t="s">
        <v>25</v>
      </c>
      <c r="F330" s="4" t="s">
        <v>25</v>
      </c>
      <c r="G330" s="4" t="s">
        <v>25</v>
      </c>
      <c r="H330" s="4" t="s">
        <v>25</v>
      </c>
      <c r="I330" s="5">
        <v>44501</v>
      </c>
      <c r="J330" s="6">
        <v>537</v>
      </c>
      <c r="K330" s="96">
        <v>537</v>
      </c>
      <c r="L330" s="6">
        <v>0</v>
      </c>
      <c r="M330" s="96">
        <v>0</v>
      </c>
      <c r="N330" s="6">
        <v>0</v>
      </c>
      <c r="O330" s="96">
        <v>0</v>
      </c>
      <c r="P330" s="6">
        <v>5</v>
      </c>
      <c r="Q330" s="4" t="s">
        <v>26</v>
      </c>
      <c r="R330" s="4">
        <v>0</v>
      </c>
      <c r="S330" s="6">
        <v>19</v>
      </c>
      <c r="T330" s="6">
        <v>0</v>
      </c>
      <c r="U330" s="6">
        <v>0</v>
      </c>
      <c r="V330" s="96">
        <f>IF(ISERROR(VLOOKUP($S$330,'TAR FIN'!$A$1:$O$86,15,0)),0,VLOOKUP($S$330,'TAR FIN'!$A$1:$O$86,15,0))*(1-0.04)</f>
        <v>15.638399999999999</v>
      </c>
      <c r="W330" s="96">
        <f>IF(ISERROR(VLOOKUP($T$330,'TAR FIN'!$A$1:$O$86,15,0)),0,VLOOKUP($T$330,'TAR FIN'!$A$1:$O$86,15,0))</f>
        <v>0</v>
      </c>
      <c r="X330" s="96">
        <f>IF(ISERROR(VLOOKUP($U$330,'TAR FIN'!$A$1:$O$86,15,0)),0,VLOOKUP($U$330,'TAR FIN'!$A$1:$O$86,15,0))</f>
        <v>0</v>
      </c>
      <c r="Y330" s="96">
        <f ca="1">('TUSD BE'!$AM$10+'TUSD BF_350'!$AM$10+'TUSD CVA'!$AM$10)*1*(1-0.02)</f>
        <v>20.716782055066915</v>
      </c>
      <c r="Z330" s="96"/>
      <c r="AA330" s="96"/>
      <c r="AB330" s="6">
        <f>$K$330*$V$330</f>
        <v>8397.8207999999995</v>
      </c>
      <c r="AC330" s="6">
        <f>$M$330*$W$330</f>
        <v>0</v>
      </c>
      <c r="AD330" s="6">
        <f>$O$330*$X$330</f>
        <v>0</v>
      </c>
      <c r="AE330" s="6">
        <f ca="1">$K$330*$Y$330</f>
        <v>11124.911963570934</v>
      </c>
      <c r="AF330" s="6">
        <f>$M$330*$Z$330</f>
        <v>0</v>
      </c>
      <c r="AG330" s="6">
        <f>$O$330*$AA$330</f>
        <v>0</v>
      </c>
    </row>
    <row r="331" spans="1:33" ht="11.25" customHeight="1" x14ac:dyDescent="0.25">
      <c r="A331" s="4" t="s">
        <v>21</v>
      </c>
      <c r="B331" s="4" t="s">
        <v>38</v>
      </c>
      <c r="C331" s="4" t="s">
        <v>39</v>
      </c>
      <c r="D331" s="4" t="s">
        <v>43</v>
      </c>
      <c r="E331" s="4" t="s">
        <v>25</v>
      </c>
      <c r="F331" s="4" t="s">
        <v>25</v>
      </c>
      <c r="G331" s="4" t="s">
        <v>25</v>
      </c>
      <c r="H331" s="4" t="s">
        <v>25</v>
      </c>
      <c r="I331" s="5">
        <v>44531</v>
      </c>
      <c r="J331" s="6">
        <v>404</v>
      </c>
      <c r="K331" s="96">
        <v>404</v>
      </c>
      <c r="L331" s="6">
        <v>0</v>
      </c>
      <c r="M331" s="96">
        <v>0</v>
      </c>
      <c r="N331" s="6">
        <v>0</v>
      </c>
      <c r="O331" s="96">
        <v>0</v>
      </c>
      <c r="P331" s="6">
        <v>5</v>
      </c>
      <c r="Q331" s="4" t="s">
        <v>26</v>
      </c>
      <c r="R331" s="4">
        <v>0</v>
      </c>
      <c r="S331" s="6">
        <v>19</v>
      </c>
      <c r="T331" s="6">
        <v>0</v>
      </c>
      <c r="U331" s="6">
        <v>0</v>
      </c>
      <c r="V331" s="96">
        <f>IF(ISERROR(VLOOKUP($S$331,'TAR FIN'!$A$1:$O$86,15,0)),0,VLOOKUP($S$331,'TAR FIN'!$A$1:$O$86,15,0))*(1-0.04)</f>
        <v>15.638399999999999</v>
      </c>
      <c r="W331" s="96">
        <f>IF(ISERROR(VLOOKUP($T$331,'TAR FIN'!$A$1:$O$86,15,0)),0,VLOOKUP($T$331,'TAR FIN'!$A$1:$O$86,15,0))</f>
        <v>0</v>
      </c>
      <c r="X331" s="96">
        <f>IF(ISERROR(VLOOKUP($U$331,'TAR FIN'!$A$1:$O$86,15,0)),0,VLOOKUP($U$331,'TAR FIN'!$A$1:$O$86,15,0))</f>
        <v>0</v>
      </c>
      <c r="Y331" s="96">
        <f ca="1">('TUSD BE'!$AM$10+'TUSD BF_350'!$AM$10+'TUSD CVA'!$AM$10)*1*(1-0.02)</f>
        <v>20.716782055066915</v>
      </c>
      <c r="Z331" s="96"/>
      <c r="AA331" s="96"/>
      <c r="AB331" s="6">
        <f>$K$331*$V$331</f>
        <v>6317.9135999999999</v>
      </c>
      <c r="AC331" s="6">
        <f>$M$331*$W$331</f>
        <v>0</v>
      </c>
      <c r="AD331" s="6">
        <f>$O$331*$X$331</f>
        <v>0</v>
      </c>
      <c r="AE331" s="6">
        <f ca="1">$K$331*$Y$331</f>
        <v>8369.5799502470327</v>
      </c>
      <c r="AF331" s="6">
        <f>$M$331*$Z$331</f>
        <v>0</v>
      </c>
      <c r="AG331" s="6">
        <f>$O$331*$AA$331</f>
        <v>0</v>
      </c>
    </row>
    <row r="332" spans="1:33" ht="11.25" customHeight="1" x14ac:dyDescent="0.25">
      <c r="A332" s="4" t="s">
        <v>21</v>
      </c>
      <c r="B332" s="4" t="s">
        <v>38</v>
      </c>
      <c r="C332" s="4" t="s">
        <v>39</v>
      </c>
      <c r="D332" s="4" t="s">
        <v>43</v>
      </c>
      <c r="E332" s="4" t="s">
        <v>25</v>
      </c>
      <c r="F332" s="4" t="s">
        <v>25</v>
      </c>
      <c r="G332" s="4" t="s">
        <v>25</v>
      </c>
      <c r="H332" s="4" t="s">
        <v>25</v>
      </c>
      <c r="I332" s="5">
        <v>44562</v>
      </c>
      <c r="J332" s="6">
        <v>525</v>
      </c>
      <c r="K332" s="96">
        <v>525</v>
      </c>
      <c r="L332" s="6">
        <v>0</v>
      </c>
      <c r="M332" s="96">
        <v>0</v>
      </c>
      <c r="N332" s="6">
        <v>0</v>
      </c>
      <c r="O332" s="96">
        <v>0</v>
      </c>
      <c r="P332" s="6">
        <v>5</v>
      </c>
      <c r="Q332" s="4" t="s">
        <v>26</v>
      </c>
      <c r="R332" s="4">
        <v>0</v>
      </c>
      <c r="S332" s="6">
        <v>19</v>
      </c>
      <c r="T332" s="6">
        <v>0</v>
      </c>
      <c r="U332" s="6">
        <v>0</v>
      </c>
      <c r="V332" s="96">
        <f>IF(ISERROR(VLOOKUP($S$332,'TAR FIN'!$A$1:$O$86,15,0)),0,VLOOKUP($S$332,'TAR FIN'!$A$1:$O$86,15,0))*(1-0.04)</f>
        <v>15.638399999999999</v>
      </c>
      <c r="W332" s="96">
        <f>IF(ISERROR(VLOOKUP($T$332,'TAR FIN'!$A$1:$O$86,15,0)),0,VLOOKUP($T$332,'TAR FIN'!$A$1:$O$86,15,0))</f>
        <v>0</v>
      </c>
      <c r="X332" s="96">
        <f>IF(ISERROR(VLOOKUP($U$332,'TAR FIN'!$A$1:$O$86,15,0)),0,VLOOKUP($U$332,'TAR FIN'!$A$1:$O$86,15,0))</f>
        <v>0</v>
      </c>
      <c r="Y332" s="96">
        <f ca="1">('TUSD BE'!$AM$10+'TUSD BF_350'!$AM$10+'TUSD CVA'!$AM$10)*1*(1-0.02)</f>
        <v>20.716782055066915</v>
      </c>
      <c r="Z332" s="96"/>
      <c r="AA332" s="96"/>
      <c r="AB332" s="6">
        <f>$K$332*$V$332</f>
        <v>8210.16</v>
      </c>
      <c r="AC332" s="6">
        <f>$M$332*$W$332</f>
        <v>0</v>
      </c>
      <c r="AD332" s="6">
        <f>$O$332*$X$332</f>
        <v>0</v>
      </c>
      <c r="AE332" s="6">
        <f ca="1">$K$332*$Y$332</f>
        <v>10876.31057891013</v>
      </c>
      <c r="AF332" s="6">
        <f>$M$332*$Z$332</f>
        <v>0</v>
      </c>
      <c r="AG332" s="6">
        <f>$O$332*$AA$332</f>
        <v>0</v>
      </c>
    </row>
    <row r="333" spans="1:33" ht="11.25" customHeight="1" x14ac:dyDescent="0.25">
      <c r="A333" s="4" t="s">
        <v>21</v>
      </c>
      <c r="B333" s="4" t="s">
        <v>38</v>
      </c>
      <c r="C333" s="4" t="s">
        <v>39</v>
      </c>
      <c r="D333" s="4" t="s">
        <v>43</v>
      </c>
      <c r="E333" s="4" t="s">
        <v>25</v>
      </c>
      <c r="F333" s="4" t="s">
        <v>25</v>
      </c>
      <c r="G333" s="4" t="s">
        <v>25</v>
      </c>
      <c r="H333" s="4" t="s">
        <v>25</v>
      </c>
      <c r="I333" s="5">
        <v>44593</v>
      </c>
      <c r="J333" s="6">
        <v>595</v>
      </c>
      <c r="K333" s="96">
        <v>595</v>
      </c>
      <c r="L333" s="6">
        <v>0</v>
      </c>
      <c r="M333" s="96">
        <v>0</v>
      </c>
      <c r="N333" s="6">
        <v>0</v>
      </c>
      <c r="O333" s="96">
        <v>0</v>
      </c>
      <c r="P333" s="6">
        <v>5</v>
      </c>
      <c r="Q333" s="4" t="s">
        <v>26</v>
      </c>
      <c r="R333" s="4">
        <v>0</v>
      </c>
      <c r="S333" s="6">
        <v>19</v>
      </c>
      <c r="T333" s="6">
        <v>0</v>
      </c>
      <c r="U333" s="6">
        <v>0</v>
      </c>
      <c r="V333" s="96">
        <f>IF(ISERROR(VLOOKUP($S$333,'TAR FIN'!$A$1:$O$86,15,0)),0,VLOOKUP($S$333,'TAR FIN'!$A$1:$O$86,15,0))*(1-0.04)</f>
        <v>15.638399999999999</v>
      </c>
      <c r="W333" s="96">
        <f>IF(ISERROR(VLOOKUP($T$333,'TAR FIN'!$A$1:$O$86,15,0)),0,VLOOKUP($T$333,'TAR FIN'!$A$1:$O$86,15,0))</f>
        <v>0</v>
      </c>
      <c r="X333" s="96">
        <f>IF(ISERROR(VLOOKUP($U$333,'TAR FIN'!$A$1:$O$86,15,0)),0,VLOOKUP($U$333,'TAR FIN'!$A$1:$O$86,15,0))</f>
        <v>0</v>
      </c>
      <c r="Y333" s="96">
        <f ca="1">('TUSD BE'!$AM$10+'TUSD BF_350'!$AM$10+'TUSD CVA'!$AM$10)*1*(1-0.02)</f>
        <v>20.716782055066915</v>
      </c>
      <c r="Z333" s="96"/>
      <c r="AA333" s="96"/>
      <c r="AB333" s="6">
        <f>$K$333*$V$333</f>
        <v>9304.848</v>
      </c>
      <c r="AC333" s="6">
        <f>$M$333*$W$333</f>
        <v>0</v>
      </c>
      <c r="AD333" s="6">
        <f>$O$333*$X$333</f>
        <v>0</v>
      </c>
      <c r="AE333" s="6">
        <f ca="1">$K$333*$Y$333</f>
        <v>12326.485322764815</v>
      </c>
      <c r="AF333" s="6">
        <f>$M$333*$Z$333</f>
        <v>0</v>
      </c>
      <c r="AG333" s="6">
        <f>$O$333*$AA$333</f>
        <v>0</v>
      </c>
    </row>
    <row r="334" spans="1:33" ht="11.25" customHeight="1" x14ac:dyDescent="0.25">
      <c r="A334" s="4" t="s">
        <v>21</v>
      </c>
      <c r="B334" s="4" t="s">
        <v>38</v>
      </c>
      <c r="C334" s="4" t="s">
        <v>39</v>
      </c>
      <c r="D334" s="4" t="s">
        <v>43</v>
      </c>
      <c r="E334" s="4" t="s">
        <v>25</v>
      </c>
      <c r="F334" s="4" t="s">
        <v>25</v>
      </c>
      <c r="G334" s="4" t="s">
        <v>25</v>
      </c>
      <c r="H334" s="4" t="s">
        <v>25</v>
      </c>
      <c r="I334" s="5">
        <v>44621</v>
      </c>
      <c r="J334" s="6">
        <v>737</v>
      </c>
      <c r="K334" s="96">
        <v>737</v>
      </c>
      <c r="L334" s="6">
        <v>0</v>
      </c>
      <c r="M334" s="96">
        <v>0</v>
      </c>
      <c r="N334" s="6">
        <v>0</v>
      </c>
      <c r="O334" s="96">
        <v>0</v>
      </c>
      <c r="P334" s="6">
        <v>5</v>
      </c>
      <c r="Q334" s="4" t="s">
        <v>26</v>
      </c>
      <c r="R334" s="4">
        <v>0</v>
      </c>
      <c r="S334" s="6">
        <v>19</v>
      </c>
      <c r="T334" s="6">
        <v>0</v>
      </c>
      <c r="U334" s="6">
        <v>0</v>
      </c>
      <c r="V334" s="96">
        <f>IF(ISERROR(VLOOKUP($S$334,'TAR FIN'!$A$1:$O$86,15,0)),0,VLOOKUP($S$334,'TAR FIN'!$A$1:$O$86,15,0))*(1-0.04)</f>
        <v>15.638399999999999</v>
      </c>
      <c r="W334" s="96">
        <f>IF(ISERROR(VLOOKUP($T$334,'TAR FIN'!$A$1:$O$86,15,0)),0,VLOOKUP($T$334,'TAR FIN'!$A$1:$O$86,15,0))</f>
        <v>0</v>
      </c>
      <c r="X334" s="96">
        <f>IF(ISERROR(VLOOKUP($U$334,'TAR FIN'!$A$1:$O$86,15,0)),0,VLOOKUP($U$334,'TAR FIN'!$A$1:$O$86,15,0))</f>
        <v>0</v>
      </c>
      <c r="Y334" s="96">
        <f ca="1">('TUSD BE'!$AM$10+'TUSD BF_350'!$AM$10+'TUSD CVA'!$AM$10)*1*(1-0.02)</f>
        <v>20.716782055066915</v>
      </c>
      <c r="Z334" s="96"/>
      <c r="AA334" s="96"/>
      <c r="AB334" s="6">
        <f>$K$334*$V$334</f>
        <v>11525.5008</v>
      </c>
      <c r="AC334" s="6">
        <f>$M$334*$W$334</f>
        <v>0</v>
      </c>
      <c r="AD334" s="6">
        <f>$O$334*$X$334</f>
        <v>0</v>
      </c>
      <c r="AE334" s="6">
        <f ca="1">$K$334*$Y$334</f>
        <v>15268.268374584317</v>
      </c>
      <c r="AF334" s="6">
        <f>$M$334*$Z$334</f>
        <v>0</v>
      </c>
      <c r="AG334" s="6">
        <f>$O$334*$AA$334</f>
        <v>0</v>
      </c>
    </row>
    <row r="335" spans="1:33" ht="11.25" customHeight="1" x14ac:dyDescent="0.25">
      <c r="A335" s="4" t="s">
        <v>21</v>
      </c>
      <c r="B335" s="4" t="s">
        <v>38</v>
      </c>
      <c r="C335" s="4" t="s">
        <v>39</v>
      </c>
      <c r="D335" s="4" t="s">
        <v>43</v>
      </c>
      <c r="E335" s="4" t="s">
        <v>25</v>
      </c>
      <c r="F335" s="4" t="s">
        <v>25</v>
      </c>
      <c r="G335" s="4" t="s">
        <v>25</v>
      </c>
      <c r="H335" s="4" t="s">
        <v>25</v>
      </c>
      <c r="I335" s="5">
        <v>44652</v>
      </c>
      <c r="J335" s="6">
        <v>810</v>
      </c>
      <c r="K335" s="96">
        <v>810</v>
      </c>
      <c r="L335" s="6">
        <v>0</v>
      </c>
      <c r="M335" s="96">
        <v>0</v>
      </c>
      <c r="N335" s="6">
        <v>0</v>
      </c>
      <c r="O335" s="96">
        <v>0</v>
      </c>
      <c r="P335" s="6">
        <v>5</v>
      </c>
      <c r="Q335" s="4" t="s">
        <v>26</v>
      </c>
      <c r="R335" s="4">
        <v>0</v>
      </c>
      <c r="S335" s="6">
        <v>19</v>
      </c>
      <c r="T335" s="6">
        <v>0</v>
      </c>
      <c r="U335" s="6">
        <v>0</v>
      </c>
      <c r="V335" s="96">
        <f>IF(ISERROR(VLOOKUP($S$335,'TAR FIN'!$A$1:$O$86,15,0)),0,VLOOKUP($S$335,'TAR FIN'!$A$1:$O$86,15,0))*(1-0.04)</f>
        <v>15.638399999999999</v>
      </c>
      <c r="W335" s="96">
        <f>IF(ISERROR(VLOOKUP($T$335,'TAR FIN'!$A$1:$O$86,15,0)),0,VLOOKUP($T$335,'TAR FIN'!$A$1:$O$86,15,0))</f>
        <v>0</v>
      </c>
      <c r="X335" s="96">
        <f>IF(ISERROR(VLOOKUP($U$335,'TAR FIN'!$A$1:$O$86,15,0)),0,VLOOKUP($U$335,'TAR FIN'!$A$1:$O$86,15,0))</f>
        <v>0</v>
      </c>
      <c r="Y335" s="96">
        <f ca="1">('TUSD BE'!$AM$10+'TUSD BF_350'!$AM$10+'TUSD CVA'!$AM$10)*1*(1-0.02)</f>
        <v>20.716782055066915</v>
      </c>
      <c r="Z335" s="96"/>
      <c r="AA335" s="96"/>
      <c r="AB335" s="6">
        <f>$K$335*$V$335</f>
        <v>12667.103999999999</v>
      </c>
      <c r="AC335" s="6">
        <f>$M$335*$W$335</f>
        <v>0</v>
      </c>
      <c r="AD335" s="6">
        <f>$O$335*$X$335</f>
        <v>0</v>
      </c>
      <c r="AE335" s="6">
        <f ca="1">$K$335*$Y$335</f>
        <v>16780.593464604201</v>
      </c>
      <c r="AF335" s="6">
        <f>$M$335*$Z$335</f>
        <v>0</v>
      </c>
      <c r="AG335" s="6">
        <f>$O$335*$AA$335</f>
        <v>0</v>
      </c>
    </row>
    <row r="336" spans="1:33" ht="11.25" customHeight="1" x14ac:dyDescent="0.25">
      <c r="A336" s="4" t="s">
        <v>21</v>
      </c>
      <c r="B336" s="4" t="s">
        <v>38</v>
      </c>
      <c r="C336" s="4" t="s">
        <v>39</v>
      </c>
      <c r="D336" s="4" t="s">
        <v>43</v>
      </c>
      <c r="E336" s="4" t="s">
        <v>25</v>
      </c>
      <c r="F336" s="4" t="s">
        <v>25</v>
      </c>
      <c r="G336" s="4" t="s">
        <v>25</v>
      </c>
      <c r="H336" s="4" t="s">
        <v>25</v>
      </c>
      <c r="I336" s="5">
        <v>44682</v>
      </c>
      <c r="J336" s="6">
        <v>773</v>
      </c>
      <c r="K336" s="96">
        <v>773</v>
      </c>
      <c r="L336" s="6">
        <v>0</v>
      </c>
      <c r="M336" s="96">
        <v>0</v>
      </c>
      <c r="N336" s="6">
        <v>0</v>
      </c>
      <c r="O336" s="96">
        <v>0</v>
      </c>
      <c r="P336" s="6">
        <v>5</v>
      </c>
      <c r="Q336" s="4" t="s">
        <v>26</v>
      </c>
      <c r="R336" s="4">
        <v>0</v>
      </c>
      <c r="S336" s="6">
        <v>19</v>
      </c>
      <c r="T336" s="6">
        <v>0</v>
      </c>
      <c r="U336" s="6">
        <v>0</v>
      </c>
      <c r="V336" s="96">
        <f>IF(ISERROR(VLOOKUP($S$336,'TAR FIN'!$A$1:$O$86,15,0)),0,VLOOKUP($S$336,'TAR FIN'!$A$1:$O$86,15,0))*(1-0.04)</f>
        <v>15.638399999999999</v>
      </c>
      <c r="W336" s="96">
        <f>IF(ISERROR(VLOOKUP($T$336,'TAR FIN'!$A$1:$O$86,15,0)),0,VLOOKUP($T$336,'TAR FIN'!$A$1:$O$86,15,0))</f>
        <v>0</v>
      </c>
      <c r="X336" s="96">
        <f>IF(ISERROR(VLOOKUP($U$336,'TAR FIN'!$A$1:$O$86,15,0)),0,VLOOKUP($U$336,'TAR FIN'!$A$1:$O$86,15,0))</f>
        <v>0</v>
      </c>
      <c r="Y336" s="96">
        <f ca="1">('TUSD BE'!$AM$10+'TUSD BF_350'!$AM$10+'TUSD CVA'!$AM$10)*1*(1-0.02)</f>
        <v>20.716782055066915</v>
      </c>
      <c r="Z336" s="96"/>
      <c r="AA336" s="96"/>
      <c r="AB336" s="6">
        <f>$K$336*$V$336</f>
        <v>12088.483199999999</v>
      </c>
      <c r="AC336" s="6">
        <f>$M$336*$W$336</f>
        <v>0</v>
      </c>
      <c r="AD336" s="6">
        <f>$O$336*$X$336</f>
        <v>0</v>
      </c>
      <c r="AE336" s="6">
        <f ca="1">$K$336*$Y$336</f>
        <v>16014.072528566725</v>
      </c>
      <c r="AF336" s="6">
        <f>$M$336*$Z$336</f>
        <v>0</v>
      </c>
      <c r="AG336" s="6">
        <f>$O$336*$AA$336</f>
        <v>0</v>
      </c>
    </row>
    <row r="337" spans="1:33" ht="11.25" customHeight="1" x14ac:dyDescent="0.25">
      <c r="A337" s="4" t="s">
        <v>55</v>
      </c>
      <c r="B337" s="4" t="s">
        <v>38</v>
      </c>
      <c r="C337" s="4" t="s">
        <v>39</v>
      </c>
      <c r="D337" s="4" t="s">
        <v>43</v>
      </c>
      <c r="E337" s="4" t="s">
        <v>25</v>
      </c>
      <c r="F337" s="4" t="s">
        <v>25</v>
      </c>
      <c r="G337" s="4" t="s">
        <v>25</v>
      </c>
      <c r="H337" s="4" t="s">
        <v>25</v>
      </c>
      <c r="I337" s="5">
        <v>44713</v>
      </c>
      <c r="J337" s="6">
        <v>773</v>
      </c>
      <c r="K337" s="96">
        <v>773</v>
      </c>
      <c r="L337" s="6">
        <v>0</v>
      </c>
      <c r="M337" s="96">
        <v>0</v>
      </c>
      <c r="N337" s="6">
        <v>0</v>
      </c>
      <c r="O337" s="96">
        <v>0</v>
      </c>
      <c r="P337" s="6">
        <v>5</v>
      </c>
      <c r="Q337" s="4" t="s">
        <v>26</v>
      </c>
      <c r="R337" s="4">
        <v>0</v>
      </c>
      <c r="S337" s="6">
        <v>19</v>
      </c>
      <c r="T337" s="6">
        <v>0</v>
      </c>
      <c r="U337" s="6">
        <v>0</v>
      </c>
      <c r="V337" s="96">
        <f>IF(ISERROR(VLOOKUP($S$337,'TAR FIN'!$A$1:$O$86,15,0)),0,VLOOKUP($S$337,'TAR FIN'!$A$1:$O$86,15,0))*(1-0.04)</f>
        <v>15.638399999999999</v>
      </c>
      <c r="W337" s="96">
        <f>IF(ISERROR(VLOOKUP($T$337,'TAR FIN'!$A$1:$O$86,15,0)),0,VLOOKUP($T$337,'TAR FIN'!$A$1:$O$86,15,0))</f>
        <v>0</v>
      </c>
      <c r="X337" s="96">
        <f>IF(ISERROR(VLOOKUP($U$337,'TAR FIN'!$A$1:$O$86,15,0)),0,VLOOKUP($U$337,'TAR FIN'!$A$1:$O$86,15,0))</f>
        <v>0</v>
      </c>
      <c r="Y337" s="96">
        <f ca="1">('TUSD BE'!$AM$10+'TUSD BF_350'!$AM$10+'TUSD CVA'!$AM$10)*1*(1-0.02)</f>
        <v>20.716782055066915</v>
      </c>
      <c r="Z337" s="96"/>
      <c r="AA337" s="96"/>
      <c r="AB337" s="6">
        <f>$K$337*$V$337</f>
        <v>12088.483199999999</v>
      </c>
      <c r="AC337" s="6">
        <f>$M$337*$W$337</f>
        <v>0</v>
      </c>
      <c r="AD337" s="6">
        <f>$O$337*$X$337</f>
        <v>0</v>
      </c>
      <c r="AE337" s="6">
        <f ca="1">$K$337*$Y$337</f>
        <v>16014.072528566725</v>
      </c>
      <c r="AF337" s="6">
        <f>$M$337*$Z$337</f>
        <v>0</v>
      </c>
      <c r="AG337" s="6">
        <f>$O$337*$AA$337</f>
        <v>0</v>
      </c>
    </row>
    <row r="338" spans="1:33" ht="11.25" customHeight="1" x14ac:dyDescent="0.25">
      <c r="A338" s="4" t="s">
        <v>21</v>
      </c>
      <c r="B338" s="4" t="s">
        <v>38</v>
      </c>
      <c r="C338" s="4" t="s">
        <v>39</v>
      </c>
      <c r="D338" s="4" t="s">
        <v>43</v>
      </c>
      <c r="E338" s="4" t="s">
        <v>25</v>
      </c>
      <c r="F338" s="4" t="s">
        <v>25</v>
      </c>
      <c r="G338" s="4" t="s">
        <v>25</v>
      </c>
      <c r="H338" s="4" t="s">
        <v>33</v>
      </c>
      <c r="I338" s="5">
        <v>44378</v>
      </c>
      <c r="J338" s="6">
        <v>0</v>
      </c>
      <c r="K338" s="96">
        <v>0</v>
      </c>
      <c r="L338" s="6">
        <v>3.0960000000000001</v>
      </c>
      <c r="M338" s="96">
        <v>3.0960000000000001</v>
      </c>
      <c r="N338" s="6">
        <v>3.0960000000000001</v>
      </c>
      <c r="O338" s="96">
        <v>3.0960000000000001</v>
      </c>
      <c r="P338" s="6">
        <v>0</v>
      </c>
      <c r="Q338" s="4" t="s">
        <v>26</v>
      </c>
      <c r="R338" s="4">
        <v>0</v>
      </c>
      <c r="S338" s="6">
        <v>0</v>
      </c>
      <c r="T338" s="6">
        <v>21</v>
      </c>
      <c r="U338" s="6">
        <v>66</v>
      </c>
      <c r="V338" s="96">
        <f>IF(ISERROR(VLOOKUP($S$338,'TAR FIN'!$A$1:$O$86,15,0)),0,VLOOKUP($S$338,'TAR FIN'!$A$1:$O$86,15,0))</f>
        <v>0</v>
      </c>
      <c r="W338" s="96">
        <f>IF(ISERROR(VLOOKUP($T$338,'TAR FIN'!$A$1:$O$86,15,0)),0,VLOOKUP($T$338,'TAR FIN'!$A$1:$O$86,15,0))*(1-0.04)</f>
        <v>572.90879999999993</v>
      </c>
      <c r="X338" s="96">
        <f>IF(ISERROR(VLOOKUP($U$338,'TAR FIN'!$A$1:$O$86,15,0)),0,VLOOKUP($U$338,'TAR FIN'!$A$1:$O$86,15,0))*(1-0.04)</f>
        <v>483.66719999999998</v>
      </c>
      <c r="Y338" s="96"/>
      <c r="Z338" s="96">
        <f ca="1">('TUSD BE'!$AM$11+'TUSD BF_350'!$AM$11+'TUSD CVA'!$AM$11)*1*(1-0.02)</f>
        <v>613.15693267511767</v>
      </c>
      <c r="AA338" s="96">
        <f ca="1">('TE BE'!$AB$5+'TE BF_350'!$AB$5+'TE CVA'!$AB$5)*1*(1-0.02)</f>
        <v>390.05630765165643</v>
      </c>
      <c r="AB338" s="6">
        <f>$K$338*$V$338</f>
        <v>0</v>
      </c>
      <c r="AC338" s="6">
        <f>$M$338*$W$338</f>
        <v>1773.7256447999998</v>
      </c>
      <c r="AD338" s="6">
        <f>$O$338*$X$338</f>
        <v>1497.4336512</v>
      </c>
      <c r="AE338" s="6">
        <f>$K$338*$Y$338</f>
        <v>0</v>
      </c>
      <c r="AF338" s="6">
        <f ca="1">$M$338*$Z$338</f>
        <v>1898.3338635621644</v>
      </c>
      <c r="AG338" s="6">
        <f ca="1">$O$338*$AA$338</f>
        <v>1207.6143284895284</v>
      </c>
    </row>
    <row r="339" spans="1:33" ht="11.25" customHeight="1" x14ac:dyDescent="0.25">
      <c r="A339" s="4" t="s">
        <v>21</v>
      </c>
      <c r="B339" s="4" t="s">
        <v>38</v>
      </c>
      <c r="C339" s="4" t="s">
        <v>39</v>
      </c>
      <c r="D339" s="4" t="s">
        <v>43</v>
      </c>
      <c r="E339" s="4" t="s">
        <v>25</v>
      </c>
      <c r="F339" s="4" t="s">
        <v>25</v>
      </c>
      <c r="G339" s="4" t="s">
        <v>25</v>
      </c>
      <c r="H339" s="4" t="s">
        <v>33</v>
      </c>
      <c r="I339" s="5">
        <v>44409</v>
      </c>
      <c r="J339" s="6">
        <v>0</v>
      </c>
      <c r="K339" s="96">
        <v>0</v>
      </c>
      <c r="L339" s="6">
        <v>3.1389999999999998</v>
      </c>
      <c r="M339" s="96">
        <v>3.1389999999999998</v>
      </c>
      <c r="N339" s="6">
        <v>3.1389999999999998</v>
      </c>
      <c r="O339" s="96">
        <v>3.1389999999999998</v>
      </c>
      <c r="P339" s="6">
        <v>0</v>
      </c>
      <c r="Q339" s="4" t="s">
        <v>26</v>
      </c>
      <c r="R339" s="4">
        <v>0</v>
      </c>
      <c r="S339" s="6">
        <v>0</v>
      </c>
      <c r="T339" s="6">
        <v>21</v>
      </c>
      <c r="U339" s="6">
        <v>66</v>
      </c>
      <c r="V339" s="96">
        <f>IF(ISERROR(VLOOKUP($S$339,'TAR FIN'!$A$1:$O$86,15,0)),0,VLOOKUP($S$339,'TAR FIN'!$A$1:$O$86,15,0))</f>
        <v>0</v>
      </c>
      <c r="W339" s="96">
        <f>IF(ISERROR(VLOOKUP($T$339,'TAR FIN'!$A$1:$O$86,15,0)),0,VLOOKUP($T$339,'TAR FIN'!$A$1:$O$86,15,0))*(1-0.04)</f>
        <v>572.90879999999993</v>
      </c>
      <c r="X339" s="96">
        <f>IF(ISERROR(VLOOKUP($U$339,'TAR FIN'!$A$1:$O$86,15,0)),0,VLOOKUP($U$339,'TAR FIN'!$A$1:$O$86,15,0))*(1-0.04)</f>
        <v>483.66719999999998</v>
      </c>
      <c r="Y339" s="96"/>
      <c r="Z339" s="96">
        <f ca="1">('TUSD BE'!$AM$11+'TUSD BF_350'!$AM$11+'TUSD CVA'!$AM$11)*1*(1-0.02)</f>
        <v>613.15693267511767</v>
      </c>
      <c r="AA339" s="96">
        <f ca="1">('TE BE'!$AB$5+'TE BF_350'!$AB$5+'TE CVA'!$AB$5)*1*(1-0.02)</f>
        <v>390.05630765165643</v>
      </c>
      <c r="AB339" s="6">
        <f>$K$339*$V$339</f>
        <v>0</v>
      </c>
      <c r="AC339" s="6">
        <f>$M$339*$W$339</f>
        <v>1798.3607231999997</v>
      </c>
      <c r="AD339" s="6">
        <f>$O$339*$X$339</f>
        <v>1518.2313407999998</v>
      </c>
      <c r="AE339" s="6">
        <f>$K$339*$Y$339</f>
        <v>0</v>
      </c>
      <c r="AF339" s="6">
        <f ca="1">$M$339*$Z$339</f>
        <v>1924.6996116671942</v>
      </c>
      <c r="AG339" s="6">
        <f ca="1">$O$339*$AA$339</f>
        <v>1224.3867497185495</v>
      </c>
    </row>
    <row r="340" spans="1:33" ht="11.25" customHeight="1" x14ac:dyDescent="0.25">
      <c r="A340" s="4" t="s">
        <v>21</v>
      </c>
      <c r="B340" s="4" t="s">
        <v>38</v>
      </c>
      <c r="C340" s="4" t="s">
        <v>39</v>
      </c>
      <c r="D340" s="4" t="s">
        <v>43</v>
      </c>
      <c r="E340" s="4" t="s">
        <v>25</v>
      </c>
      <c r="F340" s="4" t="s">
        <v>25</v>
      </c>
      <c r="G340" s="4" t="s">
        <v>25</v>
      </c>
      <c r="H340" s="4" t="s">
        <v>33</v>
      </c>
      <c r="I340" s="5">
        <v>44440</v>
      </c>
      <c r="J340" s="6">
        <v>0</v>
      </c>
      <c r="K340" s="96">
        <v>0</v>
      </c>
      <c r="L340" s="6">
        <v>3.145</v>
      </c>
      <c r="M340" s="96">
        <v>3.145</v>
      </c>
      <c r="N340" s="6">
        <v>3.145</v>
      </c>
      <c r="O340" s="96">
        <v>3.145</v>
      </c>
      <c r="P340" s="6">
        <v>0</v>
      </c>
      <c r="Q340" s="4" t="s">
        <v>26</v>
      </c>
      <c r="R340" s="4">
        <v>0</v>
      </c>
      <c r="S340" s="6">
        <v>0</v>
      </c>
      <c r="T340" s="6">
        <v>21</v>
      </c>
      <c r="U340" s="6">
        <v>66</v>
      </c>
      <c r="V340" s="96">
        <f>IF(ISERROR(VLOOKUP($S$340,'TAR FIN'!$A$1:$O$86,15,0)),0,VLOOKUP($S$340,'TAR FIN'!$A$1:$O$86,15,0))</f>
        <v>0</v>
      </c>
      <c r="W340" s="96">
        <f>IF(ISERROR(VLOOKUP($T$340,'TAR FIN'!$A$1:$O$86,15,0)),0,VLOOKUP($T$340,'TAR FIN'!$A$1:$O$86,15,0))*(1-0.04)</f>
        <v>572.90879999999993</v>
      </c>
      <c r="X340" s="96">
        <f>IF(ISERROR(VLOOKUP($U$340,'TAR FIN'!$A$1:$O$86,15,0)),0,VLOOKUP($U$340,'TAR FIN'!$A$1:$O$86,15,0))*(1-0.04)</f>
        <v>483.66719999999998</v>
      </c>
      <c r="Y340" s="96"/>
      <c r="Z340" s="96">
        <f ca="1">('TUSD BE'!$AM$11+'TUSD BF_350'!$AM$11+'TUSD CVA'!$AM$11)*1*(1-0.02)</f>
        <v>613.15693267511767</v>
      </c>
      <c r="AA340" s="96">
        <f ca="1">('TE BE'!$AB$5+'TE BF_350'!$AB$5+'TE CVA'!$AB$5)*1*(1-0.02)</f>
        <v>390.05630765165643</v>
      </c>
      <c r="AB340" s="6">
        <f>$K$340*$V$340</f>
        <v>0</v>
      </c>
      <c r="AC340" s="6">
        <f>$M$340*$W$340</f>
        <v>1801.7981759999998</v>
      </c>
      <c r="AD340" s="6">
        <f>$O$340*$X$340</f>
        <v>1521.1333439999999</v>
      </c>
      <c r="AE340" s="6">
        <f>$K$340*$Y$340</f>
        <v>0</v>
      </c>
      <c r="AF340" s="6">
        <f ca="1">$M$340*$Z$340</f>
        <v>1928.3785532632451</v>
      </c>
      <c r="AG340" s="6">
        <f ca="1">$O$340*$AA$340</f>
        <v>1226.7270875644595</v>
      </c>
    </row>
    <row r="341" spans="1:33" ht="11.25" customHeight="1" x14ac:dyDescent="0.25">
      <c r="A341" s="4" t="s">
        <v>21</v>
      </c>
      <c r="B341" s="4" t="s">
        <v>38</v>
      </c>
      <c r="C341" s="4" t="s">
        <v>39</v>
      </c>
      <c r="D341" s="4" t="s">
        <v>43</v>
      </c>
      <c r="E341" s="4" t="s">
        <v>25</v>
      </c>
      <c r="F341" s="4" t="s">
        <v>25</v>
      </c>
      <c r="G341" s="4" t="s">
        <v>25</v>
      </c>
      <c r="H341" s="4" t="s">
        <v>33</v>
      </c>
      <c r="I341" s="5">
        <v>44470</v>
      </c>
      <c r="J341" s="6">
        <v>0</v>
      </c>
      <c r="K341" s="96">
        <v>0</v>
      </c>
      <c r="L341" s="6">
        <v>7.8280000000000003</v>
      </c>
      <c r="M341" s="96">
        <v>7.8280000000000003</v>
      </c>
      <c r="N341" s="6">
        <v>7.8280000000000003</v>
      </c>
      <c r="O341" s="96">
        <v>7.8280000000000003</v>
      </c>
      <c r="P341" s="6">
        <v>0</v>
      </c>
      <c r="Q341" s="4" t="s">
        <v>26</v>
      </c>
      <c r="R341" s="4">
        <v>0</v>
      </c>
      <c r="S341" s="6">
        <v>0</v>
      </c>
      <c r="T341" s="6">
        <v>21</v>
      </c>
      <c r="U341" s="6">
        <v>66</v>
      </c>
      <c r="V341" s="96">
        <f>IF(ISERROR(VLOOKUP($S$341,'TAR FIN'!$A$1:$O$86,15,0)),0,VLOOKUP($S$341,'TAR FIN'!$A$1:$O$86,15,0))</f>
        <v>0</v>
      </c>
      <c r="W341" s="96">
        <f>IF(ISERROR(VLOOKUP($T$341,'TAR FIN'!$A$1:$O$86,15,0)),0,VLOOKUP($T$341,'TAR FIN'!$A$1:$O$86,15,0))*(1-0.04)</f>
        <v>572.90879999999993</v>
      </c>
      <c r="X341" s="96">
        <f>IF(ISERROR(VLOOKUP($U$341,'TAR FIN'!$A$1:$O$86,15,0)),0,VLOOKUP($U$341,'TAR FIN'!$A$1:$O$86,15,0))*(1-0.04)</f>
        <v>483.66719999999998</v>
      </c>
      <c r="Y341" s="96"/>
      <c r="Z341" s="96">
        <f ca="1">('TUSD BE'!$AM$11+'TUSD BF_350'!$AM$11+'TUSD CVA'!$AM$11)*1*(1-0.02)</f>
        <v>613.15693267511767</v>
      </c>
      <c r="AA341" s="96">
        <f ca="1">('TE BE'!$AB$5+'TE BF_350'!$AB$5+'TE CVA'!$AB$5)*1*(1-0.02)</f>
        <v>390.05630765165643</v>
      </c>
      <c r="AB341" s="6">
        <f>$K$341*$V$341</f>
        <v>0</v>
      </c>
      <c r="AC341" s="6">
        <f>$M$341*$W$341</f>
        <v>4484.7300863999999</v>
      </c>
      <c r="AD341" s="6">
        <f>$O$341*$X$341</f>
        <v>3786.1468415999998</v>
      </c>
      <c r="AE341" s="6">
        <f>$K$341*$Y$341</f>
        <v>0</v>
      </c>
      <c r="AF341" s="6">
        <f ca="1">$M$341*$Z$341</f>
        <v>4799.7924689808215</v>
      </c>
      <c r="AG341" s="6">
        <f ca="1">$O$341*$AA$341</f>
        <v>3053.3607762971665</v>
      </c>
    </row>
    <row r="342" spans="1:33" ht="11.25" customHeight="1" x14ac:dyDescent="0.25">
      <c r="A342" s="4" t="s">
        <v>21</v>
      </c>
      <c r="B342" s="4" t="s">
        <v>38</v>
      </c>
      <c r="C342" s="4" t="s">
        <v>39</v>
      </c>
      <c r="D342" s="4" t="s">
        <v>43</v>
      </c>
      <c r="E342" s="4" t="s">
        <v>25</v>
      </c>
      <c r="F342" s="4" t="s">
        <v>25</v>
      </c>
      <c r="G342" s="4" t="s">
        <v>25</v>
      </c>
      <c r="H342" s="4" t="s">
        <v>33</v>
      </c>
      <c r="I342" s="5">
        <v>44501</v>
      </c>
      <c r="J342" s="6">
        <v>0</v>
      </c>
      <c r="K342" s="96">
        <v>0</v>
      </c>
      <c r="L342" s="6">
        <v>9.3659999999999997</v>
      </c>
      <c r="M342" s="96">
        <v>9.3659999999999997</v>
      </c>
      <c r="N342" s="6">
        <v>9.3659999999999997</v>
      </c>
      <c r="O342" s="96">
        <v>9.3659999999999997</v>
      </c>
      <c r="P342" s="6">
        <v>0</v>
      </c>
      <c r="Q342" s="4" t="s">
        <v>26</v>
      </c>
      <c r="R342" s="4">
        <v>0</v>
      </c>
      <c r="S342" s="6">
        <v>0</v>
      </c>
      <c r="T342" s="6">
        <v>21</v>
      </c>
      <c r="U342" s="6">
        <v>66</v>
      </c>
      <c r="V342" s="96">
        <f>IF(ISERROR(VLOOKUP($S$342,'TAR FIN'!$A$1:$O$86,15,0)),0,VLOOKUP($S$342,'TAR FIN'!$A$1:$O$86,15,0))</f>
        <v>0</v>
      </c>
      <c r="W342" s="96">
        <f>IF(ISERROR(VLOOKUP($T$342,'TAR FIN'!$A$1:$O$86,15,0)),0,VLOOKUP($T$342,'TAR FIN'!$A$1:$O$86,15,0))*(1-0.04)</f>
        <v>572.90879999999993</v>
      </c>
      <c r="X342" s="96">
        <f>IF(ISERROR(VLOOKUP($U$342,'TAR FIN'!$A$1:$O$86,15,0)),0,VLOOKUP($U$342,'TAR FIN'!$A$1:$O$86,15,0))*(1-0.04)</f>
        <v>483.66719999999998</v>
      </c>
      <c r="Y342" s="96"/>
      <c r="Z342" s="96">
        <f ca="1">('TUSD BE'!$AM$11+'TUSD BF_350'!$AM$11+'TUSD CVA'!$AM$11)*1*(1-0.02)</f>
        <v>613.15693267511767</v>
      </c>
      <c r="AA342" s="96">
        <f ca="1">('TE BE'!$AB$5+'TE BF_350'!$AB$5+'TE CVA'!$AB$5)*1*(1-0.02)</f>
        <v>390.05630765165643</v>
      </c>
      <c r="AB342" s="6">
        <f>$K$342*$V$342</f>
        <v>0</v>
      </c>
      <c r="AC342" s="6">
        <f>$M$342*$W$342</f>
        <v>5365.8638207999993</v>
      </c>
      <c r="AD342" s="6">
        <f>$O$342*$X$342</f>
        <v>4530.0269951999999</v>
      </c>
      <c r="AE342" s="6">
        <f>$K$342*$Y$342</f>
        <v>0</v>
      </c>
      <c r="AF342" s="6">
        <f ca="1">$M$342*$Z$342</f>
        <v>5742.8278314351519</v>
      </c>
      <c r="AG342" s="6">
        <f ca="1">$O$342*$AA$342</f>
        <v>3653.267377465414</v>
      </c>
    </row>
    <row r="343" spans="1:33" ht="11.25" customHeight="1" x14ac:dyDescent="0.25">
      <c r="A343" s="4" t="s">
        <v>21</v>
      </c>
      <c r="B343" s="4" t="s">
        <v>38</v>
      </c>
      <c r="C343" s="4" t="s">
        <v>39</v>
      </c>
      <c r="D343" s="4" t="s">
        <v>43</v>
      </c>
      <c r="E343" s="4" t="s">
        <v>25</v>
      </c>
      <c r="F343" s="4" t="s">
        <v>25</v>
      </c>
      <c r="G343" s="4" t="s">
        <v>25</v>
      </c>
      <c r="H343" s="4" t="s">
        <v>33</v>
      </c>
      <c r="I343" s="5">
        <v>44531</v>
      </c>
      <c r="J343" s="6">
        <v>0</v>
      </c>
      <c r="K343" s="96">
        <v>0</v>
      </c>
      <c r="L343" s="6">
        <v>3.806</v>
      </c>
      <c r="M343" s="96">
        <v>3.806</v>
      </c>
      <c r="N343" s="6">
        <v>3.806</v>
      </c>
      <c r="O343" s="96">
        <v>3.806</v>
      </c>
      <c r="P343" s="6">
        <v>0</v>
      </c>
      <c r="Q343" s="4" t="s">
        <v>26</v>
      </c>
      <c r="R343" s="4">
        <v>0</v>
      </c>
      <c r="S343" s="6">
        <v>0</v>
      </c>
      <c r="T343" s="6">
        <v>21</v>
      </c>
      <c r="U343" s="6">
        <v>66</v>
      </c>
      <c r="V343" s="96">
        <f>IF(ISERROR(VLOOKUP($S$343,'TAR FIN'!$A$1:$O$86,15,0)),0,VLOOKUP($S$343,'TAR FIN'!$A$1:$O$86,15,0))</f>
        <v>0</v>
      </c>
      <c r="W343" s="96">
        <f>IF(ISERROR(VLOOKUP($T$343,'TAR FIN'!$A$1:$O$86,15,0)),0,VLOOKUP($T$343,'TAR FIN'!$A$1:$O$86,15,0))*(1-0.04)</f>
        <v>572.90879999999993</v>
      </c>
      <c r="X343" s="96">
        <f>IF(ISERROR(VLOOKUP($U$343,'TAR FIN'!$A$1:$O$86,15,0)),0,VLOOKUP($U$343,'TAR FIN'!$A$1:$O$86,15,0))*(1-0.04)</f>
        <v>483.66719999999998</v>
      </c>
      <c r="Y343" s="96"/>
      <c r="Z343" s="96">
        <f ca="1">('TUSD BE'!$AM$11+'TUSD BF_350'!$AM$11+'TUSD CVA'!$AM$11)*1*(1-0.02)</f>
        <v>613.15693267511767</v>
      </c>
      <c r="AA343" s="96">
        <f ca="1">('TE BE'!$AB$5+'TE BF_350'!$AB$5+'TE CVA'!$AB$5)*1*(1-0.02)</f>
        <v>390.05630765165643</v>
      </c>
      <c r="AB343" s="6">
        <f>$K$343*$V$343</f>
        <v>0</v>
      </c>
      <c r="AC343" s="6">
        <f>$M$343*$W$343</f>
        <v>2180.4908927999995</v>
      </c>
      <c r="AD343" s="6">
        <f>$O$343*$X$343</f>
        <v>1840.8373632</v>
      </c>
      <c r="AE343" s="6">
        <f>$K$343*$Y$343</f>
        <v>0</v>
      </c>
      <c r="AF343" s="6">
        <f ca="1">$M$343*$Z$343</f>
        <v>2333.6752857614979</v>
      </c>
      <c r="AG343" s="6">
        <f ca="1">$O$343*$AA$343</f>
        <v>1484.5543069222044</v>
      </c>
    </row>
    <row r="344" spans="1:33" ht="11.25" customHeight="1" x14ac:dyDescent="0.25">
      <c r="A344" s="4" t="s">
        <v>21</v>
      </c>
      <c r="B344" s="4" t="s">
        <v>38</v>
      </c>
      <c r="C344" s="4" t="s">
        <v>39</v>
      </c>
      <c r="D344" s="4" t="s">
        <v>43</v>
      </c>
      <c r="E344" s="4" t="s">
        <v>25</v>
      </c>
      <c r="F344" s="4" t="s">
        <v>25</v>
      </c>
      <c r="G344" s="4" t="s">
        <v>25</v>
      </c>
      <c r="H344" s="4" t="s">
        <v>33</v>
      </c>
      <c r="I344" s="5">
        <v>44562</v>
      </c>
      <c r="J344" s="6">
        <v>0</v>
      </c>
      <c r="K344" s="96">
        <v>0</v>
      </c>
      <c r="L344" s="6">
        <v>6.9459999999999997</v>
      </c>
      <c r="M344" s="96">
        <v>6.9459999999999997</v>
      </c>
      <c r="N344" s="6">
        <v>6.9459999999999997</v>
      </c>
      <c r="O344" s="96">
        <v>6.9459999999999997</v>
      </c>
      <c r="P344" s="6">
        <v>0</v>
      </c>
      <c r="Q344" s="4" t="s">
        <v>26</v>
      </c>
      <c r="R344" s="4">
        <v>0</v>
      </c>
      <c r="S344" s="6">
        <v>0</v>
      </c>
      <c r="T344" s="6">
        <v>21</v>
      </c>
      <c r="U344" s="6">
        <v>66</v>
      </c>
      <c r="V344" s="96">
        <f>IF(ISERROR(VLOOKUP($S$344,'TAR FIN'!$A$1:$O$86,15,0)),0,VLOOKUP($S$344,'TAR FIN'!$A$1:$O$86,15,0))</f>
        <v>0</v>
      </c>
      <c r="W344" s="96">
        <f>IF(ISERROR(VLOOKUP($T$344,'TAR FIN'!$A$1:$O$86,15,0)),0,VLOOKUP($T$344,'TAR FIN'!$A$1:$O$86,15,0))*(1-0.04)</f>
        <v>572.90879999999993</v>
      </c>
      <c r="X344" s="96">
        <f>IF(ISERROR(VLOOKUP($U$344,'TAR FIN'!$A$1:$O$86,15,0)),0,VLOOKUP($U$344,'TAR FIN'!$A$1:$O$86,15,0))*(1-0.04)</f>
        <v>483.66719999999998</v>
      </c>
      <c r="Y344" s="96"/>
      <c r="Z344" s="96">
        <f ca="1">('TUSD BE'!$AM$11+'TUSD BF_350'!$AM$11+'TUSD CVA'!$AM$11)*1*(1-0.02)</f>
        <v>613.15693267511767</v>
      </c>
      <c r="AA344" s="96">
        <f ca="1">('TE BE'!$AB$5+'TE BF_350'!$AB$5+'TE CVA'!$AB$5)*1*(1-0.02)</f>
        <v>390.05630765165643</v>
      </c>
      <c r="AB344" s="6">
        <f>$K$344*$V$344</f>
        <v>0</v>
      </c>
      <c r="AC344" s="6">
        <f>$M$344*$W$344</f>
        <v>3979.4245247999993</v>
      </c>
      <c r="AD344" s="6">
        <f>$O$344*$X$344</f>
        <v>3359.5523711999999</v>
      </c>
      <c r="AE344" s="6">
        <f>$K$344*$Y$344</f>
        <v>0</v>
      </c>
      <c r="AF344" s="6">
        <f ca="1">$M$344*$Z$344</f>
        <v>4258.9880543613672</v>
      </c>
      <c r="AG344" s="6">
        <f ca="1">$O$344*$AA$344</f>
        <v>2709.3311129484055</v>
      </c>
    </row>
    <row r="345" spans="1:33" ht="11.25" customHeight="1" x14ac:dyDescent="0.25">
      <c r="A345" s="4" t="s">
        <v>21</v>
      </c>
      <c r="B345" s="4" t="s">
        <v>38</v>
      </c>
      <c r="C345" s="4" t="s">
        <v>39</v>
      </c>
      <c r="D345" s="4" t="s">
        <v>43</v>
      </c>
      <c r="E345" s="4" t="s">
        <v>25</v>
      </c>
      <c r="F345" s="4" t="s">
        <v>25</v>
      </c>
      <c r="G345" s="4" t="s">
        <v>25</v>
      </c>
      <c r="H345" s="4" t="s">
        <v>33</v>
      </c>
      <c r="I345" s="5">
        <v>44593</v>
      </c>
      <c r="J345" s="6">
        <v>0</v>
      </c>
      <c r="K345" s="96">
        <v>0</v>
      </c>
      <c r="L345" s="6">
        <v>7.7380000000000004</v>
      </c>
      <c r="M345" s="96">
        <v>7.7380000000000004</v>
      </c>
      <c r="N345" s="6">
        <v>7.7380000000000004</v>
      </c>
      <c r="O345" s="96">
        <v>7.7380000000000004</v>
      </c>
      <c r="P345" s="6">
        <v>0</v>
      </c>
      <c r="Q345" s="4" t="s">
        <v>26</v>
      </c>
      <c r="R345" s="4">
        <v>0</v>
      </c>
      <c r="S345" s="6">
        <v>0</v>
      </c>
      <c r="T345" s="6">
        <v>21</v>
      </c>
      <c r="U345" s="6">
        <v>66</v>
      </c>
      <c r="V345" s="96">
        <f>IF(ISERROR(VLOOKUP($S$345,'TAR FIN'!$A$1:$O$86,15,0)),0,VLOOKUP($S$345,'TAR FIN'!$A$1:$O$86,15,0))</f>
        <v>0</v>
      </c>
      <c r="W345" s="96">
        <f>IF(ISERROR(VLOOKUP($T$345,'TAR FIN'!$A$1:$O$86,15,0)),0,VLOOKUP($T$345,'TAR FIN'!$A$1:$O$86,15,0))*(1-0.04)</f>
        <v>572.90879999999993</v>
      </c>
      <c r="X345" s="96">
        <f>IF(ISERROR(VLOOKUP($U$345,'TAR FIN'!$A$1:$O$86,15,0)),0,VLOOKUP($U$345,'TAR FIN'!$A$1:$O$86,15,0))*(1-0.04)</f>
        <v>483.66719999999998</v>
      </c>
      <c r="Y345" s="96"/>
      <c r="Z345" s="96">
        <f ca="1">('TUSD BE'!$AM$11+'TUSD BF_350'!$AM$11+'TUSD CVA'!$AM$11)*1*(1-0.02)</f>
        <v>613.15693267511767</v>
      </c>
      <c r="AA345" s="96">
        <f ca="1">('TE BE'!$AB$5+'TE BF_350'!$AB$5+'TE CVA'!$AB$5)*1*(1-0.02)</f>
        <v>390.05630765165643</v>
      </c>
      <c r="AB345" s="6">
        <f>$K$345*$V$345</f>
        <v>0</v>
      </c>
      <c r="AC345" s="6">
        <f>$M$345*$W$345</f>
        <v>4433.1682943999995</v>
      </c>
      <c r="AD345" s="6">
        <f>$O$345*$X$345</f>
        <v>3742.6167936000002</v>
      </c>
      <c r="AE345" s="6">
        <f>$K$345*$Y$345</f>
        <v>0</v>
      </c>
      <c r="AF345" s="6">
        <f ca="1">$M$345*$Z$345</f>
        <v>4744.6083450400611</v>
      </c>
      <c r="AG345" s="6">
        <f ca="1">$O$345*$AA$345</f>
        <v>3018.2557086085176</v>
      </c>
    </row>
    <row r="346" spans="1:33" ht="11.25" customHeight="1" x14ac:dyDescent="0.25">
      <c r="A346" s="4" t="s">
        <v>21</v>
      </c>
      <c r="B346" s="4" t="s">
        <v>38</v>
      </c>
      <c r="C346" s="4" t="s">
        <v>39</v>
      </c>
      <c r="D346" s="4" t="s">
        <v>43</v>
      </c>
      <c r="E346" s="4" t="s">
        <v>25</v>
      </c>
      <c r="F346" s="4" t="s">
        <v>25</v>
      </c>
      <c r="G346" s="4" t="s">
        <v>25</v>
      </c>
      <c r="H346" s="4" t="s">
        <v>33</v>
      </c>
      <c r="I346" s="5">
        <v>44621</v>
      </c>
      <c r="J346" s="6">
        <v>0</v>
      </c>
      <c r="K346" s="96">
        <v>0</v>
      </c>
      <c r="L346" s="6">
        <v>12.128</v>
      </c>
      <c r="M346" s="96">
        <v>12.128</v>
      </c>
      <c r="N346" s="6">
        <v>12.128</v>
      </c>
      <c r="O346" s="96">
        <v>12.128</v>
      </c>
      <c r="P346" s="6">
        <v>0</v>
      </c>
      <c r="Q346" s="4" t="s">
        <v>26</v>
      </c>
      <c r="R346" s="4">
        <v>0</v>
      </c>
      <c r="S346" s="6">
        <v>0</v>
      </c>
      <c r="T346" s="6">
        <v>21</v>
      </c>
      <c r="U346" s="6">
        <v>66</v>
      </c>
      <c r="V346" s="96">
        <f>IF(ISERROR(VLOOKUP($S$346,'TAR FIN'!$A$1:$O$86,15,0)),0,VLOOKUP($S$346,'TAR FIN'!$A$1:$O$86,15,0))</f>
        <v>0</v>
      </c>
      <c r="W346" s="96">
        <f>IF(ISERROR(VLOOKUP($T$346,'TAR FIN'!$A$1:$O$86,15,0)),0,VLOOKUP($T$346,'TAR FIN'!$A$1:$O$86,15,0))*(1-0.04)</f>
        <v>572.90879999999993</v>
      </c>
      <c r="X346" s="96">
        <f>IF(ISERROR(VLOOKUP($U$346,'TAR FIN'!$A$1:$O$86,15,0)),0,VLOOKUP($U$346,'TAR FIN'!$A$1:$O$86,15,0))*(1-0.04)</f>
        <v>483.66719999999998</v>
      </c>
      <c r="Y346" s="96"/>
      <c r="Z346" s="96">
        <f ca="1">('TUSD BE'!$AM$11+'TUSD BF_350'!$AM$11+'TUSD CVA'!$AM$11)*1*(1-0.02)</f>
        <v>613.15693267511767</v>
      </c>
      <c r="AA346" s="96">
        <f ca="1">('TE BE'!$AB$5+'TE BF_350'!$AB$5+'TE CVA'!$AB$5)*1*(1-0.02)</f>
        <v>390.05630765165643</v>
      </c>
      <c r="AB346" s="6">
        <f>$K$346*$V$346</f>
        <v>0</v>
      </c>
      <c r="AC346" s="6">
        <f>$M$346*$W$346</f>
        <v>6948.2379263999992</v>
      </c>
      <c r="AD346" s="6">
        <f>$O$346*$X$346</f>
        <v>5865.9158016000001</v>
      </c>
      <c r="AE346" s="6">
        <f>$K$346*$Y$346</f>
        <v>0</v>
      </c>
      <c r="AF346" s="6">
        <f ca="1">$M$346*$Z$346</f>
        <v>7436.3672794838276</v>
      </c>
      <c r="AG346" s="6">
        <f ca="1">$O$346*$AA$346</f>
        <v>4730.6028991992889</v>
      </c>
    </row>
    <row r="347" spans="1:33" ht="11.25" customHeight="1" x14ac:dyDescent="0.25">
      <c r="A347" s="4" t="s">
        <v>21</v>
      </c>
      <c r="B347" s="4" t="s">
        <v>38</v>
      </c>
      <c r="C347" s="4" t="s">
        <v>39</v>
      </c>
      <c r="D347" s="4" t="s">
        <v>43</v>
      </c>
      <c r="E347" s="4" t="s">
        <v>25</v>
      </c>
      <c r="F347" s="4" t="s">
        <v>25</v>
      </c>
      <c r="G347" s="4" t="s">
        <v>25</v>
      </c>
      <c r="H347" s="4" t="s">
        <v>33</v>
      </c>
      <c r="I347" s="5">
        <v>44652</v>
      </c>
      <c r="J347" s="6">
        <v>0</v>
      </c>
      <c r="K347" s="96">
        <v>0</v>
      </c>
      <c r="L347" s="6">
        <v>13.789</v>
      </c>
      <c r="M347" s="96">
        <v>13.789</v>
      </c>
      <c r="N347" s="6">
        <v>13.789</v>
      </c>
      <c r="O347" s="96">
        <v>13.789</v>
      </c>
      <c r="P347" s="6">
        <v>0</v>
      </c>
      <c r="Q347" s="4" t="s">
        <v>26</v>
      </c>
      <c r="R347" s="4">
        <v>0</v>
      </c>
      <c r="S347" s="6">
        <v>0</v>
      </c>
      <c r="T347" s="6">
        <v>21</v>
      </c>
      <c r="U347" s="6">
        <v>66</v>
      </c>
      <c r="V347" s="96">
        <f>IF(ISERROR(VLOOKUP($S$347,'TAR FIN'!$A$1:$O$86,15,0)),0,VLOOKUP($S$347,'TAR FIN'!$A$1:$O$86,15,0))</f>
        <v>0</v>
      </c>
      <c r="W347" s="96">
        <f>IF(ISERROR(VLOOKUP($T$347,'TAR FIN'!$A$1:$O$86,15,0)),0,VLOOKUP($T$347,'TAR FIN'!$A$1:$O$86,15,0))*(1-0.04)</f>
        <v>572.90879999999993</v>
      </c>
      <c r="X347" s="96">
        <f>IF(ISERROR(VLOOKUP($U$347,'TAR FIN'!$A$1:$O$86,15,0)),0,VLOOKUP($U$347,'TAR FIN'!$A$1:$O$86,15,0))*(1-0.04)</f>
        <v>483.66719999999998</v>
      </c>
      <c r="Y347" s="96"/>
      <c r="Z347" s="96">
        <f ca="1">('TUSD BE'!$AM$11+'TUSD BF_350'!$AM$11+'TUSD CVA'!$AM$11)*1*(1-0.02)</f>
        <v>613.15693267511767</v>
      </c>
      <c r="AA347" s="96">
        <f ca="1">('TE BE'!$AB$5+'TE BF_350'!$AB$5+'TE CVA'!$AB$5)*1*(1-0.02)</f>
        <v>390.05630765165643</v>
      </c>
      <c r="AB347" s="6">
        <f>$K$347*$V$347</f>
        <v>0</v>
      </c>
      <c r="AC347" s="6">
        <f>$M$347*$W$347</f>
        <v>7899.8394431999986</v>
      </c>
      <c r="AD347" s="6">
        <f>$O$347*$X$347</f>
        <v>6669.2870207999995</v>
      </c>
      <c r="AE347" s="6">
        <f>$K$347*$Y$347</f>
        <v>0</v>
      </c>
      <c r="AF347" s="6">
        <f ca="1">$M$347*$Z$347</f>
        <v>8454.8209446571982</v>
      </c>
      <c r="AG347" s="6">
        <f ca="1">$O$347*$AA$347</f>
        <v>5378.4864262086903</v>
      </c>
    </row>
    <row r="348" spans="1:33" ht="11.25" customHeight="1" x14ac:dyDescent="0.25">
      <c r="A348" s="4" t="s">
        <v>21</v>
      </c>
      <c r="B348" s="4" t="s">
        <v>38</v>
      </c>
      <c r="C348" s="4" t="s">
        <v>39</v>
      </c>
      <c r="D348" s="4" t="s">
        <v>43</v>
      </c>
      <c r="E348" s="4" t="s">
        <v>25</v>
      </c>
      <c r="F348" s="4" t="s">
        <v>25</v>
      </c>
      <c r="G348" s="4" t="s">
        <v>25</v>
      </c>
      <c r="H348" s="4" t="s">
        <v>33</v>
      </c>
      <c r="I348" s="5">
        <v>44682</v>
      </c>
      <c r="J348" s="6">
        <v>0</v>
      </c>
      <c r="K348" s="96">
        <v>0</v>
      </c>
      <c r="L348" s="6">
        <v>8.1319999999999997</v>
      </c>
      <c r="M348" s="96">
        <v>8.1319999999999997</v>
      </c>
      <c r="N348" s="6">
        <v>8.1319999999999997</v>
      </c>
      <c r="O348" s="96">
        <v>8.1319999999999997</v>
      </c>
      <c r="P348" s="6">
        <v>0</v>
      </c>
      <c r="Q348" s="4" t="s">
        <v>26</v>
      </c>
      <c r="R348" s="4">
        <v>0</v>
      </c>
      <c r="S348" s="6">
        <v>0</v>
      </c>
      <c r="T348" s="6">
        <v>21</v>
      </c>
      <c r="U348" s="6">
        <v>66</v>
      </c>
      <c r="V348" s="96">
        <f>IF(ISERROR(VLOOKUP($S$348,'TAR FIN'!$A$1:$O$86,15,0)),0,VLOOKUP($S$348,'TAR FIN'!$A$1:$O$86,15,0))</f>
        <v>0</v>
      </c>
      <c r="W348" s="96">
        <f>IF(ISERROR(VLOOKUP($T$348,'TAR FIN'!$A$1:$O$86,15,0)),0,VLOOKUP($T$348,'TAR FIN'!$A$1:$O$86,15,0))*(1-0.04)</f>
        <v>572.90879999999993</v>
      </c>
      <c r="X348" s="96">
        <f>IF(ISERROR(VLOOKUP($U$348,'TAR FIN'!$A$1:$O$86,15,0)),0,VLOOKUP($U$348,'TAR FIN'!$A$1:$O$86,15,0))*(1-0.04)</f>
        <v>483.66719999999998</v>
      </c>
      <c r="Y348" s="96"/>
      <c r="Z348" s="96">
        <f ca="1">('TUSD BE'!$AM$11+'TUSD BF_350'!$AM$11+'TUSD CVA'!$AM$11)*1*(1-0.02)</f>
        <v>613.15693267511767</v>
      </c>
      <c r="AA348" s="96">
        <f ca="1">('TE BE'!$AB$5+'TE BF_350'!$AB$5+'TE CVA'!$AB$5)*1*(1-0.02)</f>
        <v>390.05630765165643</v>
      </c>
      <c r="AB348" s="6">
        <f>$K$348*$V$348</f>
        <v>0</v>
      </c>
      <c r="AC348" s="6">
        <f>$M$348*$W$348</f>
        <v>4658.8943615999997</v>
      </c>
      <c r="AD348" s="6">
        <f>$O$348*$X$348</f>
        <v>3933.1816703999998</v>
      </c>
      <c r="AE348" s="6">
        <f>$K$348*$Y$348</f>
        <v>0</v>
      </c>
      <c r="AF348" s="6">
        <f ca="1">$M$348*$Z$348</f>
        <v>4986.1921765140569</v>
      </c>
      <c r="AG348" s="6">
        <f ca="1">$O$348*$AA$348</f>
        <v>3171.9378938232699</v>
      </c>
    </row>
    <row r="349" spans="1:33" ht="11.25" customHeight="1" x14ac:dyDescent="0.25">
      <c r="A349" s="4" t="s">
        <v>55</v>
      </c>
      <c r="B349" s="4" t="s">
        <v>38</v>
      </c>
      <c r="C349" s="4" t="s">
        <v>39</v>
      </c>
      <c r="D349" s="4" t="s">
        <v>43</v>
      </c>
      <c r="E349" s="4" t="s">
        <v>25</v>
      </c>
      <c r="F349" s="4" t="s">
        <v>25</v>
      </c>
      <c r="G349" s="4" t="s">
        <v>25</v>
      </c>
      <c r="H349" s="4" t="s">
        <v>33</v>
      </c>
      <c r="I349" s="5">
        <v>44713</v>
      </c>
      <c r="J349" s="6">
        <v>0</v>
      </c>
      <c r="K349" s="96">
        <v>0</v>
      </c>
      <c r="L349" s="6">
        <v>8.1319999999999997</v>
      </c>
      <c r="M349" s="96">
        <v>8.1319999999999997</v>
      </c>
      <c r="N349" s="6">
        <v>8.1319999999999997</v>
      </c>
      <c r="O349" s="96">
        <v>8.1319999999999997</v>
      </c>
      <c r="P349" s="6">
        <v>0</v>
      </c>
      <c r="Q349" s="4" t="s">
        <v>26</v>
      </c>
      <c r="R349" s="4">
        <v>0</v>
      </c>
      <c r="S349" s="6">
        <v>0</v>
      </c>
      <c r="T349" s="6">
        <v>21</v>
      </c>
      <c r="U349" s="6">
        <v>66</v>
      </c>
      <c r="V349" s="96">
        <f>IF(ISERROR(VLOOKUP($S$349,'TAR FIN'!$A$1:$O$86,15,0)),0,VLOOKUP($S$349,'TAR FIN'!$A$1:$O$86,15,0))</f>
        <v>0</v>
      </c>
      <c r="W349" s="96">
        <f>IF(ISERROR(VLOOKUP($T$349,'TAR FIN'!$A$1:$O$86,15,0)),0,VLOOKUP($T$349,'TAR FIN'!$A$1:$O$86,15,0))*(1-0.04)</f>
        <v>572.90879999999993</v>
      </c>
      <c r="X349" s="96">
        <f>IF(ISERROR(VLOOKUP($U$349,'TAR FIN'!$A$1:$O$86,15,0)),0,VLOOKUP($U$349,'TAR FIN'!$A$1:$O$86,15,0))*(1-0.04)</f>
        <v>483.66719999999998</v>
      </c>
      <c r="Y349" s="96"/>
      <c r="Z349" s="96">
        <f ca="1">('TUSD BE'!$AM$11+'TUSD BF_350'!$AM$11+'TUSD CVA'!$AM$11)*1*(1-0.02)</f>
        <v>613.15693267511767</v>
      </c>
      <c r="AA349" s="96">
        <f ca="1">('TE BE'!$AB$5+'TE BF_350'!$AB$5+'TE CVA'!$AB$5)*1*(1-0.02)</f>
        <v>390.05630765165643</v>
      </c>
      <c r="AB349" s="6">
        <f>$K$349*$V$349</f>
        <v>0</v>
      </c>
      <c r="AC349" s="6">
        <f>$M$349*$W$349</f>
        <v>4658.8943615999997</v>
      </c>
      <c r="AD349" s="6">
        <f>$O$349*$X$349</f>
        <v>3933.1816703999998</v>
      </c>
      <c r="AE349" s="6">
        <f>$K$349*$Y$349</f>
        <v>0</v>
      </c>
      <c r="AF349" s="6">
        <f ca="1">$M$349*$Z$349</f>
        <v>4986.1921765140569</v>
      </c>
      <c r="AG349" s="6">
        <f ca="1">$O$349*$AA$349</f>
        <v>3171.9378938232699</v>
      </c>
    </row>
    <row r="350" spans="1:33" ht="11.25" customHeight="1" x14ac:dyDescent="0.25">
      <c r="A350" s="4" t="s">
        <v>21</v>
      </c>
      <c r="B350" s="4" t="s">
        <v>22</v>
      </c>
      <c r="C350" s="4" t="s">
        <v>32</v>
      </c>
      <c r="D350" s="4" t="s">
        <v>24</v>
      </c>
      <c r="E350" s="4" t="s">
        <v>24</v>
      </c>
      <c r="F350" s="4" t="s">
        <v>25</v>
      </c>
      <c r="G350" s="4" t="s">
        <v>25</v>
      </c>
      <c r="H350" s="4" t="s">
        <v>34</v>
      </c>
      <c r="I350" s="5">
        <v>44378</v>
      </c>
      <c r="J350" s="6">
        <v>0</v>
      </c>
      <c r="K350" s="6">
        <v>0</v>
      </c>
      <c r="L350" s="6">
        <v>2.1110000000000002</v>
      </c>
      <c r="M350" s="6">
        <v>2.1110000000000002</v>
      </c>
      <c r="N350" s="6">
        <v>2.1110000000000002</v>
      </c>
      <c r="O350" s="6">
        <v>2.1110000000000002</v>
      </c>
      <c r="P350" s="6">
        <v>0</v>
      </c>
      <c r="Q350" s="4" t="s">
        <v>26</v>
      </c>
      <c r="R350" s="4">
        <v>0</v>
      </c>
      <c r="S350" s="6">
        <v>0</v>
      </c>
      <c r="T350" s="6">
        <v>2</v>
      </c>
      <c r="U350" s="6">
        <v>37</v>
      </c>
      <c r="V350" s="6">
        <f>IF(ISERROR(VLOOKUP($S$350,'TAR FIN'!$A$1:$O$86,15,0)),0,VLOOKUP($S$350,'TAR FIN'!$A$1:$O$86,15,0))</f>
        <v>0</v>
      </c>
      <c r="W350" s="6">
        <f>IF(ISERROR(VLOOKUP($T$350,'TAR FIN'!$A$1:$O$86,15,0)),0,VLOOKUP($T$350,'TAR FIN'!$A$1:$O$86,15,0))</f>
        <v>155.24</v>
      </c>
      <c r="X350" s="6">
        <f>IF(ISERROR(VLOOKUP($U$350,'TAR FIN'!$A$1:$O$86,15,0)),0,VLOOKUP($U$350,'TAR FIN'!$A$1:$O$86,15,0))</f>
        <v>297.31</v>
      </c>
      <c r="Y350" s="6"/>
      <c r="Z350" s="6">
        <f ca="1">('TUSD BE'!$AM$19+'TUSD BF_350'!$AM$19+'TUSD CVA'!$AM$19)*1</f>
        <v>186.39450398462222</v>
      </c>
      <c r="AA350" s="6">
        <f ca="1">('TE BE'!$AB$11+'TE BF_350'!$AB$11+'TE CVA'!$AB$11)*1</f>
        <v>235.33989117487977</v>
      </c>
      <c r="AB350" s="6">
        <f>$K$350*$V$350</f>
        <v>0</v>
      </c>
      <c r="AC350" s="6">
        <f>$M$350*$W$350</f>
        <v>327.71164000000005</v>
      </c>
      <c r="AD350" s="6">
        <f>$O$350*$X$350</f>
        <v>627.62141000000008</v>
      </c>
      <c r="AE350" s="6">
        <f>$K$350*$Y$350</f>
        <v>0</v>
      </c>
      <c r="AF350" s="6">
        <f ca="1">$M$350*$Z$350</f>
        <v>393.47879791153753</v>
      </c>
      <c r="AG350" s="6">
        <f ca="1">$O$350*$AA$350</f>
        <v>496.80251027017124</v>
      </c>
    </row>
    <row r="351" spans="1:33" ht="11.25" customHeight="1" x14ac:dyDescent="0.25">
      <c r="A351" s="4" t="s">
        <v>21</v>
      </c>
      <c r="B351" s="4" t="s">
        <v>22</v>
      </c>
      <c r="C351" s="4" t="s">
        <v>32</v>
      </c>
      <c r="D351" s="4" t="s">
        <v>24</v>
      </c>
      <c r="E351" s="4" t="s">
        <v>24</v>
      </c>
      <c r="F351" s="4" t="s">
        <v>25</v>
      </c>
      <c r="G351" s="4" t="s">
        <v>25</v>
      </c>
      <c r="H351" s="4" t="s">
        <v>34</v>
      </c>
      <c r="I351" s="5">
        <v>44409</v>
      </c>
      <c r="J351" s="6">
        <v>0</v>
      </c>
      <c r="K351" s="6">
        <v>0</v>
      </c>
      <c r="L351" s="6">
        <v>1.8939999999999999</v>
      </c>
      <c r="M351" s="6">
        <v>1.8939999999999999</v>
      </c>
      <c r="N351" s="6">
        <v>1.8939999999999999</v>
      </c>
      <c r="O351" s="6">
        <v>1.8939999999999999</v>
      </c>
      <c r="P351" s="6">
        <v>0</v>
      </c>
      <c r="Q351" s="4" t="s">
        <v>26</v>
      </c>
      <c r="R351" s="4">
        <v>0</v>
      </c>
      <c r="S351" s="6">
        <v>0</v>
      </c>
      <c r="T351" s="6">
        <v>2</v>
      </c>
      <c r="U351" s="6">
        <v>37</v>
      </c>
      <c r="V351" s="6">
        <f>IF(ISERROR(VLOOKUP($S$351,'TAR FIN'!$A$1:$O$86,15,0)),0,VLOOKUP($S$351,'TAR FIN'!$A$1:$O$86,15,0))</f>
        <v>0</v>
      </c>
      <c r="W351" s="6">
        <f>IF(ISERROR(VLOOKUP($T$351,'TAR FIN'!$A$1:$O$86,15,0)),0,VLOOKUP($T$351,'TAR FIN'!$A$1:$O$86,15,0))</f>
        <v>155.24</v>
      </c>
      <c r="X351" s="6">
        <f>IF(ISERROR(VLOOKUP($U$351,'TAR FIN'!$A$1:$O$86,15,0)),0,VLOOKUP($U$351,'TAR FIN'!$A$1:$O$86,15,0))</f>
        <v>297.31</v>
      </c>
      <c r="Y351" s="6"/>
      <c r="Z351" s="6">
        <f ca="1">('TUSD BE'!$AM$19+'TUSD BF_350'!$AM$19+'TUSD CVA'!$AM$19)*1</f>
        <v>186.39450398462222</v>
      </c>
      <c r="AA351" s="6">
        <f ca="1">('TE BE'!$AB$11+'TE BF_350'!$AB$11+'TE CVA'!$AB$11)*1</f>
        <v>235.33989117487977</v>
      </c>
      <c r="AB351" s="6">
        <f>$K$351*$V$351</f>
        <v>0</v>
      </c>
      <c r="AC351" s="6">
        <f>$M$351*$W$351</f>
        <v>294.02456000000001</v>
      </c>
      <c r="AD351" s="6">
        <f>$O$351*$X$351</f>
        <v>563.10514000000001</v>
      </c>
      <c r="AE351" s="6">
        <f>$K$351*$Y$351</f>
        <v>0</v>
      </c>
      <c r="AF351" s="6">
        <f ca="1">$M$351*$Z$351</f>
        <v>353.03119054687448</v>
      </c>
      <c r="AG351" s="6">
        <f ca="1">$O$351*$AA$351</f>
        <v>445.73375388522226</v>
      </c>
    </row>
    <row r="352" spans="1:33" ht="11.25" customHeight="1" x14ac:dyDescent="0.25">
      <c r="A352" s="4" t="s">
        <v>21</v>
      </c>
      <c r="B352" s="4" t="s">
        <v>22</v>
      </c>
      <c r="C352" s="4" t="s">
        <v>32</v>
      </c>
      <c r="D352" s="4" t="s">
        <v>24</v>
      </c>
      <c r="E352" s="4" t="s">
        <v>24</v>
      </c>
      <c r="F352" s="4" t="s">
        <v>25</v>
      </c>
      <c r="G352" s="4" t="s">
        <v>25</v>
      </c>
      <c r="H352" s="4" t="s">
        <v>34</v>
      </c>
      <c r="I352" s="5">
        <v>44440</v>
      </c>
      <c r="J352" s="6">
        <v>0</v>
      </c>
      <c r="K352" s="6">
        <v>0</v>
      </c>
      <c r="L352" s="6">
        <v>1.3680000000000001</v>
      </c>
      <c r="M352" s="6">
        <v>1.3680000000000001</v>
      </c>
      <c r="N352" s="6">
        <v>1.3680000000000001</v>
      </c>
      <c r="O352" s="6">
        <v>1.3680000000000001</v>
      </c>
      <c r="P352" s="6">
        <v>0</v>
      </c>
      <c r="Q352" s="4" t="s">
        <v>26</v>
      </c>
      <c r="R352" s="4">
        <v>0</v>
      </c>
      <c r="S352" s="6">
        <v>0</v>
      </c>
      <c r="T352" s="6">
        <v>2</v>
      </c>
      <c r="U352" s="6">
        <v>37</v>
      </c>
      <c r="V352" s="6">
        <f>IF(ISERROR(VLOOKUP($S$352,'TAR FIN'!$A$1:$O$86,15,0)),0,VLOOKUP($S$352,'TAR FIN'!$A$1:$O$86,15,0))</f>
        <v>0</v>
      </c>
      <c r="W352" s="6">
        <f>IF(ISERROR(VLOOKUP($T$352,'TAR FIN'!$A$1:$O$86,15,0)),0,VLOOKUP($T$352,'TAR FIN'!$A$1:$O$86,15,0))</f>
        <v>155.24</v>
      </c>
      <c r="X352" s="6">
        <f>IF(ISERROR(VLOOKUP($U$352,'TAR FIN'!$A$1:$O$86,15,0)),0,VLOOKUP($U$352,'TAR FIN'!$A$1:$O$86,15,0))</f>
        <v>297.31</v>
      </c>
      <c r="Y352" s="6"/>
      <c r="Z352" s="6">
        <f ca="1">('TUSD BE'!$AM$19+'TUSD BF_350'!$AM$19+'TUSD CVA'!$AM$19)*1</f>
        <v>186.39450398462222</v>
      </c>
      <c r="AA352" s="6">
        <f ca="1">('TE BE'!$AB$11+'TE BF_350'!$AB$11+'TE CVA'!$AB$11)*1</f>
        <v>235.33989117487977</v>
      </c>
      <c r="AB352" s="6">
        <f>$K$352*$V$352</f>
        <v>0</v>
      </c>
      <c r="AC352" s="6">
        <f>$M$352*$W$352</f>
        <v>212.36832000000004</v>
      </c>
      <c r="AD352" s="6">
        <f>$O$352*$X$352</f>
        <v>406.72008000000005</v>
      </c>
      <c r="AE352" s="6">
        <f>$K$352*$Y$352</f>
        <v>0</v>
      </c>
      <c r="AF352" s="6">
        <f ca="1">$M$352*$Z$352</f>
        <v>254.98768145096321</v>
      </c>
      <c r="AG352" s="6">
        <f ca="1">$O$352*$AA$352</f>
        <v>321.94497112723553</v>
      </c>
    </row>
    <row r="353" spans="1:33" ht="11.25" customHeight="1" x14ac:dyDescent="0.25">
      <c r="A353" s="4" t="s">
        <v>21</v>
      </c>
      <c r="B353" s="4" t="s">
        <v>22</v>
      </c>
      <c r="C353" s="4" t="s">
        <v>32</v>
      </c>
      <c r="D353" s="4" t="s">
        <v>24</v>
      </c>
      <c r="E353" s="4" t="s">
        <v>24</v>
      </c>
      <c r="F353" s="4" t="s">
        <v>25</v>
      </c>
      <c r="G353" s="4" t="s">
        <v>25</v>
      </c>
      <c r="H353" s="4" t="s">
        <v>34</v>
      </c>
      <c r="I353" s="5">
        <v>44470</v>
      </c>
      <c r="J353" s="6">
        <v>0</v>
      </c>
      <c r="K353" s="6">
        <v>0</v>
      </c>
      <c r="L353" s="6">
        <v>1.0580000000000001</v>
      </c>
      <c r="M353" s="6">
        <v>1.0580000000000001</v>
      </c>
      <c r="N353" s="6">
        <v>1.0580000000000001</v>
      </c>
      <c r="O353" s="6">
        <v>1.0580000000000001</v>
      </c>
      <c r="P353" s="6">
        <v>0</v>
      </c>
      <c r="Q353" s="4" t="s">
        <v>26</v>
      </c>
      <c r="R353" s="4">
        <v>0</v>
      </c>
      <c r="S353" s="6">
        <v>0</v>
      </c>
      <c r="T353" s="6">
        <v>2</v>
      </c>
      <c r="U353" s="6">
        <v>37</v>
      </c>
      <c r="V353" s="6">
        <f>IF(ISERROR(VLOOKUP($S$353,'TAR FIN'!$A$1:$O$86,15,0)),0,VLOOKUP($S$353,'TAR FIN'!$A$1:$O$86,15,0))</f>
        <v>0</v>
      </c>
      <c r="W353" s="6">
        <f>IF(ISERROR(VLOOKUP($T$353,'TAR FIN'!$A$1:$O$86,15,0)),0,VLOOKUP($T$353,'TAR FIN'!$A$1:$O$86,15,0))</f>
        <v>155.24</v>
      </c>
      <c r="X353" s="6">
        <f>IF(ISERROR(VLOOKUP($U$353,'TAR FIN'!$A$1:$O$86,15,0)),0,VLOOKUP($U$353,'TAR FIN'!$A$1:$O$86,15,0))</f>
        <v>297.31</v>
      </c>
      <c r="Y353" s="6"/>
      <c r="Z353" s="6">
        <f ca="1">('TUSD BE'!$AM$19+'TUSD BF_350'!$AM$19+'TUSD CVA'!$AM$19)*1</f>
        <v>186.39450398462222</v>
      </c>
      <c r="AA353" s="6">
        <f ca="1">('TE BE'!$AB$11+'TE BF_350'!$AB$11+'TE CVA'!$AB$11)*1</f>
        <v>235.33989117487977</v>
      </c>
      <c r="AB353" s="6">
        <f>$K$353*$V$353</f>
        <v>0</v>
      </c>
      <c r="AC353" s="6">
        <f>$M$353*$W$353</f>
        <v>164.24392000000003</v>
      </c>
      <c r="AD353" s="6">
        <f>$O$353*$X$353</f>
        <v>314.55398000000002</v>
      </c>
      <c r="AE353" s="6">
        <f>$K$353*$Y$353</f>
        <v>0</v>
      </c>
      <c r="AF353" s="6">
        <f ca="1">$M$353*$Z$353</f>
        <v>197.20538521573033</v>
      </c>
      <c r="AG353" s="6">
        <f ca="1">$O$353*$AA$353</f>
        <v>248.98960486302281</v>
      </c>
    </row>
    <row r="354" spans="1:33" ht="11.25" customHeight="1" x14ac:dyDescent="0.25">
      <c r="A354" s="4" t="s">
        <v>21</v>
      </c>
      <c r="B354" s="4" t="s">
        <v>22</v>
      </c>
      <c r="C354" s="4" t="s">
        <v>32</v>
      </c>
      <c r="D354" s="4" t="s">
        <v>24</v>
      </c>
      <c r="E354" s="4" t="s">
        <v>24</v>
      </c>
      <c r="F354" s="4" t="s">
        <v>25</v>
      </c>
      <c r="G354" s="4" t="s">
        <v>25</v>
      </c>
      <c r="H354" s="4" t="s">
        <v>34</v>
      </c>
      <c r="I354" s="5">
        <v>44501</v>
      </c>
      <c r="J354" s="6">
        <v>0</v>
      </c>
      <c r="K354" s="6">
        <v>0</v>
      </c>
      <c r="L354" s="6">
        <v>1.204</v>
      </c>
      <c r="M354" s="6">
        <v>1.204</v>
      </c>
      <c r="N354" s="6">
        <v>1.204</v>
      </c>
      <c r="O354" s="6">
        <v>1.204</v>
      </c>
      <c r="P354" s="6">
        <v>0</v>
      </c>
      <c r="Q354" s="4" t="s">
        <v>26</v>
      </c>
      <c r="R354" s="4">
        <v>0</v>
      </c>
      <c r="S354" s="6">
        <v>0</v>
      </c>
      <c r="T354" s="6">
        <v>2</v>
      </c>
      <c r="U354" s="6">
        <v>37</v>
      </c>
      <c r="V354" s="6">
        <f>IF(ISERROR(VLOOKUP($S$354,'TAR FIN'!$A$1:$O$86,15,0)),0,VLOOKUP($S$354,'TAR FIN'!$A$1:$O$86,15,0))</f>
        <v>0</v>
      </c>
      <c r="W354" s="6">
        <f>IF(ISERROR(VLOOKUP($T$354,'TAR FIN'!$A$1:$O$86,15,0)),0,VLOOKUP($T$354,'TAR FIN'!$A$1:$O$86,15,0))</f>
        <v>155.24</v>
      </c>
      <c r="X354" s="6">
        <f>IF(ISERROR(VLOOKUP($U$354,'TAR FIN'!$A$1:$O$86,15,0)),0,VLOOKUP($U$354,'TAR FIN'!$A$1:$O$86,15,0))</f>
        <v>297.31</v>
      </c>
      <c r="Y354" s="6"/>
      <c r="Z354" s="6">
        <f ca="1">('TUSD BE'!$AM$19+'TUSD BF_350'!$AM$19+'TUSD CVA'!$AM$19)*1</f>
        <v>186.39450398462222</v>
      </c>
      <c r="AA354" s="6">
        <f ca="1">('TE BE'!$AB$11+'TE BF_350'!$AB$11+'TE CVA'!$AB$11)*1</f>
        <v>235.33989117487977</v>
      </c>
      <c r="AB354" s="6">
        <f>$K$354*$V$354</f>
        <v>0</v>
      </c>
      <c r="AC354" s="6">
        <f>$M$354*$W$354</f>
        <v>186.90896000000001</v>
      </c>
      <c r="AD354" s="6">
        <f>$O$354*$X$354</f>
        <v>357.96123999999998</v>
      </c>
      <c r="AE354" s="6">
        <f>$K$354*$Y$354</f>
        <v>0</v>
      </c>
      <c r="AF354" s="6">
        <f ca="1">$M$354*$Z$354</f>
        <v>224.41898279748514</v>
      </c>
      <c r="AG354" s="6">
        <f ca="1">$O$354*$AA$354</f>
        <v>283.34922897455522</v>
      </c>
    </row>
    <row r="355" spans="1:33" ht="11.25" customHeight="1" x14ac:dyDescent="0.25">
      <c r="A355" s="4" t="s">
        <v>21</v>
      </c>
      <c r="B355" s="4" t="s">
        <v>22</v>
      </c>
      <c r="C355" s="4" t="s">
        <v>32</v>
      </c>
      <c r="D355" s="4" t="s">
        <v>24</v>
      </c>
      <c r="E355" s="4" t="s">
        <v>24</v>
      </c>
      <c r="F355" s="4" t="s">
        <v>25</v>
      </c>
      <c r="G355" s="4" t="s">
        <v>25</v>
      </c>
      <c r="H355" s="4" t="s">
        <v>34</v>
      </c>
      <c r="I355" s="5">
        <v>44531</v>
      </c>
      <c r="J355" s="6">
        <v>0</v>
      </c>
      <c r="K355" s="6">
        <v>0</v>
      </c>
      <c r="L355" s="6">
        <v>1.3480000000000001</v>
      </c>
      <c r="M355" s="6">
        <v>1.3480000000000001</v>
      </c>
      <c r="N355" s="6">
        <v>1.3480000000000001</v>
      </c>
      <c r="O355" s="6">
        <v>1.3480000000000001</v>
      </c>
      <c r="P355" s="6">
        <v>0</v>
      </c>
      <c r="Q355" s="4" t="s">
        <v>26</v>
      </c>
      <c r="R355" s="4">
        <v>0</v>
      </c>
      <c r="S355" s="6">
        <v>0</v>
      </c>
      <c r="T355" s="6">
        <v>2</v>
      </c>
      <c r="U355" s="6">
        <v>37</v>
      </c>
      <c r="V355" s="6">
        <f>IF(ISERROR(VLOOKUP($S$355,'TAR FIN'!$A$1:$O$86,15,0)),0,VLOOKUP($S$355,'TAR FIN'!$A$1:$O$86,15,0))</f>
        <v>0</v>
      </c>
      <c r="W355" s="6">
        <f>IF(ISERROR(VLOOKUP($T$355,'TAR FIN'!$A$1:$O$86,15,0)),0,VLOOKUP($T$355,'TAR FIN'!$A$1:$O$86,15,0))</f>
        <v>155.24</v>
      </c>
      <c r="X355" s="6">
        <f>IF(ISERROR(VLOOKUP($U$355,'TAR FIN'!$A$1:$O$86,15,0)),0,VLOOKUP($U$355,'TAR FIN'!$A$1:$O$86,15,0))</f>
        <v>297.31</v>
      </c>
      <c r="Y355" s="6"/>
      <c r="Z355" s="6">
        <f ca="1">('TUSD BE'!$AM$19+'TUSD BF_350'!$AM$19+'TUSD CVA'!$AM$19)*1</f>
        <v>186.39450398462222</v>
      </c>
      <c r="AA355" s="6">
        <f ca="1">('TE BE'!$AB$11+'TE BF_350'!$AB$11+'TE CVA'!$AB$11)*1</f>
        <v>235.33989117487977</v>
      </c>
      <c r="AB355" s="6">
        <f>$K$355*$V$355</f>
        <v>0</v>
      </c>
      <c r="AC355" s="6">
        <f>$M$355*$W$355</f>
        <v>209.26352000000003</v>
      </c>
      <c r="AD355" s="6">
        <f>$O$355*$X$355</f>
        <v>400.77388000000002</v>
      </c>
      <c r="AE355" s="6">
        <f>$K$355*$Y$355</f>
        <v>0</v>
      </c>
      <c r="AF355" s="6">
        <f ca="1">$M$355*$Z$355</f>
        <v>251.25979137127078</v>
      </c>
      <c r="AG355" s="6">
        <f ca="1">$O$355*$AA$355</f>
        <v>317.23817330373794</v>
      </c>
    </row>
    <row r="356" spans="1:33" ht="11.25" customHeight="1" x14ac:dyDescent="0.25">
      <c r="A356" s="4" t="s">
        <v>21</v>
      </c>
      <c r="B356" s="4" t="s">
        <v>22</v>
      </c>
      <c r="C356" s="4" t="s">
        <v>32</v>
      </c>
      <c r="D356" s="4" t="s">
        <v>24</v>
      </c>
      <c r="E356" s="4" t="s">
        <v>24</v>
      </c>
      <c r="F356" s="4" t="s">
        <v>25</v>
      </c>
      <c r="G356" s="4" t="s">
        <v>25</v>
      </c>
      <c r="H356" s="4" t="s">
        <v>34</v>
      </c>
      <c r="I356" s="5">
        <v>44562</v>
      </c>
      <c r="J356" s="6">
        <v>0</v>
      </c>
      <c r="K356" s="6">
        <v>0</v>
      </c>
      <c r="L356" s="6">
        <v>1.6739999999999999</v>
      </c>
      <c r="M356" s="6">
        <v>1.6739999999999999</v>
      </c>
      <c r="N356" s="6">
        <v>1.6739999999999999</v>
      </c>
      <c r="O356" s="6">
        <v>1.6739999999999999</v>
      </c>
      <c r="P356" s="6">
        <v>0</v>
      </c>
      <c r="Q356" s="4" t="s">
        <v>26</v>
      </c>
      <c r="R356" s="4">
        <v>0</v>
      </c>
      <c r="S356" s="6">
        <v>0</v>
      </c>
      <c r="T356" s="6">
        <v>2</v>
      </c>
      <c r="U356" s="6">
        <v>37</v>
      </c>
      <c r="V356" s="6">
        <f>IF(ISERROR(VLOOKUP($S$356,'TAR FIN'!$A$1:$O$86,15,0)),0,VLOOKUP($S$356,'TAR FIN'!$A$1:$O$86,15,0))</f>
        <v>0</v>
      </c>
      <c r="W356" s="6">
        <f>IF(ISERROR(VLOOKUP($T$356,'TAR FIN'!$A$1:$O$86,15,0)),0,VLOOKUP($T$356,'TAR FIN'!$A$1:$O$86,15,0))</f>
        <v>155.24</v>
      </c>
      <c r="X356" s="6">
        <f>IF(ISERROR(VLOOKUP($U$356,'TAR FIN'!$A$1:$O$86,15,0)),0,VLOOKUP($U$356,'TAR FIN'!$A$1:$O$86,15,0))</f>
        <v>297.31</v>
      </c>
      <c r="Y356" s="6"/>
      <c r="Z356" s="6">
        <f ca="1">('TUSD BE'!$AM$19+'TUSD BF_350'!$AM$19+'TUSD CVA'!$AM$19)*1</f>
        <v>186.39450398462222</v>
      </c>
      <c r="AA356" s="6">
        <f ca="1">('TE BE'!$AB$11+'TE BF_350'!$AB$11+'TE CVA'!$AB$11)*1</f>
        <v>235.33989117487977</v>
      </c>
      <c r="AB356" s="6">
        <f>$K$356*$V$356</f>
        <v>0</v>
      </c>
      <c r="AC356" s="6">
        <f>$M$356*$W$356</f>
        <v>259.87175999999999</v>
      </c>
      <c r="AD356" s="6">
        <f>$O$356*$X$356</f>
        <v>497.69693999999998</v>
      </c>
      <c r="AE356" s="6">
        <f>$K$356*$Y$356</f>
        <v>0</v>
      </c>
      <c r="AF356" s="6">
        <f ca="1">$M$356*$Z$356</f>
        <v>312.02439967025759</v>
      </c>
      <c r="AG356" s="6">
        <f ca="1">$O$356*$AA$356</f>
        <v>393.95897782674871</v>
      </c>
    </row>
    <row r="357" spans="1:33" ht="11.25" customHeight="1" x14ac:dyDescent="0.25">
      <c r="A357" s="4" t="s">
        <v>21</v>
      </c>
      <c r="B357" s="4" t="s">
        <v>22</v>
      </c>
      <c r="C357" s="4" t="s">
        <v>32</v>
      </c>
      <c r="D357" s="4" t="s">
        <v>24</v>
      </c>
      <c r="E357" s="4" t="s">
        <v>24</v>
      </c>
      <c r="F357" s="4" t="s">
        <v>25</v>
      </c>
      <c r="G357" s="4" t="s">
        <v>25</v>
      </c>
      <c r="H357" s="4" t="s">
        <v>34</v>
      </c>
      <c r="I357" s="5">
        <v>44593</v>
      </c>
      <c r="J357" s="6">
        <v>0</v>
      </c>
      <c r="K357" s="6">
        <v>0</v>
      </c>
      <c r="L357" s="6">
        <v>1.49</v>
      </c>
      <c r="M357" s="6">
        <v>1.49</v>
      </c>
      <c r="N357" s="6">
        <v>1.49</v>
      </c>
      <c r="O357" s="6">
        <v>1.49</v>
      </c>
      <c r="P357" s="6">
        <v>0</v>
      </c>
      <c r="Q357" s="4" t="s">
        <v>26</v>
      </c>
      <c r="R357" s="4">
        <v>0</v>
      </c>
      <c r="S357" s="6">
        <v>0</v>
      </c>
      <c r="T357" s="6">
        <v>2</v>
      </c>
      <c r="U357" s="6">
        <v>37</v>
      </c>
      <c r="V357" s="6">
        <f>IF(ISERROR(VLOOKUP($S$357,'TAR FIN'!$A$1:$O$86,15,0)),0,VLOOKUP($S$357,'TAR FIN'!$A$1:$O$86,15,0))</f>
        <v>0</v>
      </c>
      <c r="W357" s="6">
        <f>IF(ISERROR(VLOOKUP($T$357,'TAR FIN'!$A$1:$O$86,15,0)),0,VLOOKUP($T$357,'TAR FIN'!$A$1:$O$86,15,0))</f>
        <v>155.24</v>
      </c>
      <c r="X357" s="6">
        <f>IF(ISERROR(VLOOKUP($U$357,'TAR FIN'!$A$1:$O$86,15,0)),0,VLOOKUP($U$357,'TAR FIN'!$A$1:$O$86,15,0))</f>
        <v>297.31</v>
      </c>
      <c r="Y357" s="6"/>
      <c r="Z357" s="6">
        <f ca="1">('TUSD BE'!$AM$19+'TUSD BF_350'!$AM$19+'TUSD CVA'!$AM$19)*1</f>
        <v>186.39450398462222</v>
      </c>
      <c r="AA357" s="6">
        <f ca="1">('TE BE'!$AB$11+'TE BF_350'!$AB$11+'TE CVA'!$AB$11)*1</f>
        <v>235.33989117487977</v>
      </c>
      <c r="AB357" s="6">
        <f>$K$357*$V$357</f>
        <v>0</v>
      </c>
      <c r="AC357" s="6">
        <f>$M$357*$W$357</f>
        <v>231.30760000000001</v>
      </c>
      <c r="AD357" s="6">
        <f>$O$357*$X$357</f>
        <v>442.99189999999999</v>
      </c>
      <c r="AE357" s="6">
        <f>$K$357*$Y$357</f>
        <v>0</v>
      </c>
      <c r="AF357" s="6">
        <f ca="1">$M$357*$Z$357</f>
        <v>277.7278109370871</v>
      </c>
      <c r="AG357" s="6">
        <f ca="1">$O$357*$AA$357</f>
        <v>350.65643785057085</v>
      </c>
    </row>
    <row r="358" spans="1:33" ht="11.25" customHeight="1" x14ac:dyDescent="0.25">
      <c r="A358" s="4" t="s">
        <v>21</v>
      </c>
      <c r="B358" s="4" t="s">
        <v>22</v>
      </c>
      <c r="C358" s="4" t="s">
        <v>32</v>
      </c>
      <c r="D358" s="4" t="s">
        <v>24</v>
      </c>
      <c r="E358" s="4" t="s">
        <v>24</v>
      </c>
      <c r="F358" s="4" t="s">
        <v>25</v>
      </c>
      <c r="G358" s="4" t="s">
        <v>25</v>
      </c>
      <c r="H358" s="4" t="s">
        <v>34</v>
      </c>
      <c r="I358" s="5">
        <v>44621</v>
      </c>
      <c r="J358" s="6">
        <v>0</v>
      </c>
      <c r="K358" s="6">
        <v>0</v>
      </c>
      <c r="L358" s="6">
        <v>1.5249999999999999</v>
      </c>
      <c r="M358" s="6">
        <v>1.5249999999999999</v>
      </c>
      <c r="N358" s="6">
        <v>1.5249999999999999</v>
      </c>
      <c r="O358" s="6">
        <v>1.5249999999999999</v>
      </c>
      <c r="P358" s="6">
        <v>0</v>
      </c>
      <c r="Q358" s="4" t="s">
        <v>26</v>
      </c>
      <c r="R358" s="4">
        <v>0</v>
      </c>
      <c r="S358" s="6">
        <v>0</v>
      </c>
      <c r="T358" s="6">
        <v>2</v>
      </c>
      <c r="U358" s="6">
        <v>37</v>
      </c>
      <c r="V358" s="6">
        <f>IF(ISERROR(VLOOKUP($S$358,'TAR FIN'!$A$1:$O$86,15,0)),0,VLOOKUP($S$358,'TAR FIN'!$A$1:$O$86,15,0))</f>
        <v>0</v>
      </c>
      <c r="W358" s="6">
        <f>IF(ISERROR(VLOOKUP($T$358,'TAR FIN'!$A$1:$O$86,15,0)),0,VLOOKUP($T$358,'TAR FIN'!$A$1:$O$86,15,0))</f>
        <v>155.24</v>
      </c>
      <c r="X358" s="6">
        <f>IF(ISERROR(VLOOKUP($U$358,'TAR FIN'!$A$1:$O$86,15,0)),0,VLOOKUP($U$358,'TAR FIN'!$A$1:$O$86,15,0))</f>
        <v>297.31</v>
      </c>
      <c r="Y358" s="6"/>
      <c r="Z358" s="6">
        <f ca="1">('TUSD BE'!$AM$19+'TUSD BF_350'!$AM$19+'TUSD CVA'!$AM$19)*1</f>
        <v>186.39450398462222</v>
      </c>
      <c r="AA358" s="6">
        <f ca="1">('TE BE'!$AB$11+'TE BF_350'!$AB$11+'TE CVA'!$AB$11)*1</f>
        <v>235.33989117487977</v>
      </c>
      <c r="AB358" s="6">
        <f>$K$358*$V$358</f>
        <v>0</v>
      </c>
      <c r="AC358" s="6">
        <f>$M$358*$W$358</f>
        <v>236.74100000000001</v>
      </c>
      <c r="AD358" s="6">
        <f>$O$358*$X$358</f>
        <v>453.39774999999997</v>
      </c>
      <c r="AE358" s="6">
        <f>$K$358*$Y$358</f>
        <v>0</v>
      </c>
      <c r="AF358" s="6">
        <f ca="1">$M$358*$Z$358</f>
        <v>284.25161857654888</v>
      </c>
      <c r="AG358" s="6">
        <f ca="1">$O$358*$AA$358</f>
        <v>358.89333404169162</v>
      </c>
    </row>
    <row r="359" spans="1:33" ht="11.25" customHeight="1" x14ac:dyDescent="0.25">
      <c r="A359" s="4" t="s">
        <v>21</v>
      </c>
      <c r="B359" s="4" t="s">
        <v>22</v>
      </c>
      <c r="C359" s="4" t="s">
        <v>32</v>
      </c>
      <c r="D359" s="4" t="s">
        <v>24</v>
      </c>
      <c r="E359" s="4" t="s">
        <v>24</v>
      </c>
      <c r="F359" s="4" t="s">
        <v>25</v>
      </c>
      <c r="G359" s="4" t="s">
        <v>25</v>
      </c>
      <c r="H359" s="4" t="s">
        <v>34</v>
      </c>
      <c r="I359" s="5">
        <v>44652</v>
      </c>
      <c r="J359" s="6">
        <v>0</v>
      </c>
      <c r="K359" s="6">
        <v>0</v>
      </c>
      <c r="L359" s="6">
        <v>0.93600000000000005</v>
      </c>
      <c r="M359" s="6">
        <v>0.93600000000000005</v>
      </c>
      <c r="N359" s="6">
        <v>0.93600000000000005</v>
      </c>
      <c r="O359" s="6">
        <v>0.93600000000000005</v>
      </c>
      <c r="P359" s="6">
        <v>0</v>
      </c>
      <c r="Q359" s="4" t="s">
        <v>26</v>
      </c>
      <c r="R359" s="4">
        <v>0</v>
      </c>
      <c r="S359" s="6">
        <v>0</v>
      </c>
      <c r="T359" s="6">
        <v>2</v>
      </c>
      <c r="U359" s="6">
        <v>37</v>
      </c>
      <c r="V359" s="6">
        <f>IF(ISERROR(VLOOKUP($S$359,'TAR FIN'!$A$1:$O$86,15,0)),0,VLOOKUP($S$359,'TAR FIN'!$A$1:$O$86,15,0))</f>
        <v>0</v>
      </c>
      <c r="W359" s="6">
        <f>IF(ISERROR(VLOOKUP($T$359,'TAR FIN'!$A$1:$O$86,15,0)),0,VLOOKUP($T$359,'TAR FIN'!$A$1:$O$86,15,0))</f>
        <v>155.24</v>
      </c>
      <c r="X359" s="6">
        <f>IF(ISERROR(VLOOKUP($U$359,'TAR FIN'!$A$1:$O$86,15,0)),0,VLOOKUP($U$359,'TAR FIN'!$A$1:$O$86,15,0))</f>
        <v>297.31</v>
      </c>
      <c r="Y359" s="6"/>
      <c r="Z359" s="6">
        <f ca="1">('TUSD BE'!$AM$19+'TUSD BF_350'!$AM$19+'TUSD CVA'!$AM$19)*1</f>
        <v>186.39450398462222</v>
      </c>
      <c r="AA359" s="6">
        <f ca="1">('TE BE'!$AB$11+'TE BF_350'!$AB$11+'TE CVA'!$AB$11)*1</f>
        <v>235.33989117487977</v>
      </c>
      <c r="AB359" s="6">
        <f>$K$359*$V$359</f>
        <v>0</v>
      </c>
      <c r="AC359" s="6">
        <f>$M$359*$W$359</f>
        <v>145.30464000000001</v>
      </c>
      <c r="AD359" s="6">
        <f>$O$359*$X$359</f>
        <v>278.28216000000003</v>
      </c>
      <c r="AE359" s="6">
        <f>$K$359*$Y$359</f>
        <v>0</v>
      </c>
      <c r="AF359" s="6">
        <f ca="1">$M$359*$Z$359</f>
        <v>174.46525572960641</v>
      </c>
      <c r="AG359" s="6">
        <f ca="1">$O$359*$AA$359</f>
        <v>220.27813813968748</v>
      </c>
    </row>
    <row r="360" spans="1:33" ht="11.25" customHeight="1" x14ac:dyDescent="0.25">
      <c r="A360" s="4" t="s">
        <v>21</v>
      </c>
      <c r="B360" s="4" t="s">
        <v>22</v>
      </c>
      <c r="C360" s="4" t="s">
        <v>32</v>
      </c>
      <c r="D360" s="4" t="s">
        <v>24</v>
      </c>
      <c r="E360" s="4" t="s">
        <v>24</v>
      </c>
      <c r="F360" s="4" t="s">
        <v>25</v>
      </c>
      <c r="G360" s="4" t="s">
        <v>25</v>
      </c>
      <c r="H360" s="4" t="s">
        <v>34</v>
      </c>
      <c r="I360" s="5">
        <v>44682</v>
      </c>
      <c r="J360" s="6">
        <v>0</v>
      </c>
      <c r="K360" s="6">
        <v>0</v>
      </c>
      <c r="L360" s="6">
        <v>1.093</v>
      </c>
      <c r="M360" s="6">
        <v>1.093</v>
      </c>
      <c r="N360" s="6">
        <v>1.093</v>
      </c>
      <c r="O360" s="6">
        <v>1.093</v>
      </c>
      <c r="P360" s="6">
        <v>0</v>
      </c>
      <c r="Q360" s="4" t="s">
        <v>26</v>
      </c>
      <c r="R360" s="4">
        <v>0</v>
      </c>
      <c r="S360" s="6">
        <v>0</v>
      </c>
      <c r="T360" s="6">
        <v>2</v>
      </c>
      <c r="U360" s="6">
        <v>37</v>
      </c>
      <c r="V360" s="6">
        <f>IF(ISERROR(VLOOKUP($S$360,'TAR FIN'!$A$1:$O$86,15,0)),0,VLOOKUP($S$360,'TAR FIN'!$A$1:$O$86,15,0))</f>
        <v>0</v>
      </c>
      <c r="W360" s="6">
        <f>IF(ISERROR(VLOOKUP($T$360,'TAR FIN'!$A$1:$O$86,15,0)),0,VLOOKUP($T$360,'TAR FIN'!$A$1:$O$86,15,0))</f>
        <v>155.24</v>
      </c>
      <c r="X360" s="6">
        <f>IF(ISERROR(VLOOKUP($U$360,'TAR FIN'!$A$1:$O$86,15,0)),0,VLOOKUP($U$360,'TAR FIN'!$A$1:$O$86,15,0))</f>
        <v>297.31</v>
      </c>
      <c r="Y360" s="6"/>
      <c r="Z360" s="6">
        <f ca="1">('TUSD BE'!$AM$19+'TUSD BF_350'!$AM$19+'TUSD CVA'!$AM$19)*1</f>
        <v>186.39450398462222</v>
      </c>
      <c r="AA360" s="6">
        <f ca="1">('TE BE'!$AB$11+'TE BF_350'!$AB$11+'TE CVA'!$AB$11)*1</f>
        <v>235.33989117487977</v>
      </c>
      <c r="AB360" s="6">
        <f>$K$360*$V$360</f>
        <v>0</v>
      </c>
      <c r="AC360" s="6">
        <f>$M$360*$W$360</f>
        <v>169.67732000000001</v>
      </c>
      <c r="AD360" s="6">
        <f>$O$360*$X$360</f>
        <v>324.95983000000001</v>
      </c>
      <c r="AE360" s="6">
        <f>$K$360*$Y$360</f>
        <v>0</v>
      </c>
      <c r="AF360" s="6">
        <f ca="1">$M$360*$Z$360</f>
        <v>203.72919285519208</v>
      </c>
      <c r="AG360" s="6">
        <f ca="1">$O$360*$AA$360</f>
        <v>257.22650105414357</v>
      </c>
    </row>
    <row r="361" spans="1:33" ht="11.25" customHeight="1" x14ac:dyDescent="0.25">
      <c r="A361" s="4" t="s">
        <v>55</v>
      </c>
      <c r="B361" s="4" t="s">
        <v>22</v>
      </c>
      <c r="C361" s="4" t="s">
        <v>32</v>
      </c>
      <c r="D361" s="4" t="s">
        <v>24</v>
      </c>
      <c r="E361" s="4" t="s">
        <v>24</v>
      </c>
      <c r="F361" s="4" t="s">
        <v>25</v>
      </c>
      <c r="G361" s="4" t="s">
        <v>25</v>
      </c>
      <c r="H361" s="4" t="s">
        <v>34</v>
      </c>
      <c r="I361" s="5">
        <v>44713</v>
      </c>
      <c r="J361" s="6">
        <v>0</v>
      </c>
      <c r="K361" s="6">
        <v>0</v>
      </c>
      <c r="L361" s="6">
        <v>1.093</v>
      </c>
      <c r="M361" s="6">
        <v>1.093</v>
      </c>
      <c r="N361" s="6">
        <v>1.093</v>
      </c>
      <c r="O361" s="6">
        <v>1.093</v>
      </c>
      <c r="P361" s="6">
        <v>0</v>
      </c>
      <c r="Q361" s="4" t="s">
        <v>26</v>
      </c>
      <c r="R361" s="4">
        <v>0</v>
      </c>
      <c r="S361" s="6">
        <v>0</v>
      </c>
      <c r="T361" s="6">
        <v>2</v>
      </c>
      <c r="U361" s="6">
        <v>37</v>
      </c>
      <c r="V361" s="6">
        <f>IF(ISERROR(VLOOKUP($S$361,'TAR FIN'!$A$1:$O$86,15,0)),0,VLOOKUP($S$361,'TAR FIN'!$A$1:$O$86,15,0))</f>
        <v>0</v>
      </c>
      <c r="W361" s="6">
        <f>IF(ISERROR(VLOOKUP($T$361,'TAR FIN'!$A$1:$O$86,15,0)),0,VLOOKUP($T$361,'TAR FIN'!$A$1:$O$86,15,0))</f>
        <v>155.24</v>
      </c>
      <c r="X361" s="6">
        <f>IF(ISERROR(VLOOKUP($U$361,'TAR FIN'!$A$1:$O$86,15,0)),0,VLOOKUP($U$361,'TAR FIN'!$A$1:$O$86,15,0))</f>
        <v>297.31</v>
      </c>
      <c r="Y361" s="6"/>
      <c r="Z361" s="6">
        <f ca="1">('TUSD BE'!$AM$19+'TUSD BF_350'!$AM$19+'TUSD CVA'!$AM$19)*1</f>
        <v>186.39450398462222</v>
      </c>
      <c r="AA361" s="6">
        <f ca="1">('TE BE'!$AB$11+'TE BF_350'!$AB$11+'TE CVA'!$AB$11)*1</f>
        <v>235.33989117487977</v>
      </c>
      <c r="AB361" s="6">
        <f>$K$361*$V$361</f>
        <v>0</v>
      </c>
      <c r="AC361" s="6">
        <f>$M$361*$W$361</f>
        <v>169.67732000000001</v>
      </c>
      <c r="AD361" s="6">
        <f>$O$361*$X$361</f>
        <v>324.95983000000001</v>
      </c>
      <c r="AE361" s="6">
        <f>$K$361*$Y$361</f>
        <v>0</v>
      </c>
      <c r="AF361" s="6">
        <f ca="1">$M$361*$Z$361</f>
        <v>203.72919285519208</v>
      </c>
      <c r="AG361" s="6">
        <f ca="1">$O$361*$AA$361</f>
        <v>257.22650105414357</v>
      </c>
    </row>
    <row r="362" spans="1:33" ht="11.25" customHeight="1" x14ac:dyDescent="0.25">
      <c r="A362" s="4" t="s">
        <v>21</v>
      </c>
      <c r="B362" s="4" t="s">
        <v>22</v>
      </c>
      <c r="C362" s="4" t="s">
        <v>32</v>
      </c>
      <c r="D362" s="4" t="s">
        <v>24</v>
      </c>
      <c r="E362" s="4" t="s">
        <v>24</v>
      </c>
      <c r="F362" s="4" t="s">
        <v>25</v>
      </c>
      <c r="G362" s="4" t="s">
        <v>25</v>
      </c>
      <c r="H362" s="4" t="s">
        <v>35</v>
      </c>
      <c r="I362" s="5">
        <v>44378</v>
      </c>
      <c r="J362" s="6">
        <v>0</v>
      </c>
      <c r="K362" s="6">
        <v>0</v>
      </c>
      <c r="L362" s="6">
        <v>0.192</v>
      </c>
      <c r="M362" s="6">
        <v>0.192</v>
      </c>
      <c r="N362" s="6">
        <v>0.192</v>
      </c>
      <c r="O362" s="6">
        <v>0.192</v>
      </c>
      <c r="P362" s="6">
        <v>0</v>
      </c>
      <c r="Q362" s="4" t="s">
        <v>26</v>
      </c>
      <c r="R362" s="4">
        <v>0</v>
      </c>
      <c r="S362" s="6">
        <v>0</v>
      </c>
      <c r="T362" s="6">
        <v>9</v>
      </c>
      <c r="U362" s="6">
        <v>46</v>
      </c>
      <c r="V362" s="6">
        <f>IF(ISERROR(VLOOKUP($S$362,'TAR FIN'!$A$1:$O$86,15,0)),0,VLOOKUP($S$362,'TAR FIN'!$A$1:$O$86,15,0))</f>
        <v>0</v>
      </c>
      <c r="W362" s="6">
        <f>IF(ISERROR(VLOOKUP($T$362,'TAR FIN'!$A$1:$O$86,15,0)),0,VLOOKUP($T$362,'TAR FIN'!$A$1:$O$86,15,0))</f>
        <v>493.16</v>
      </c>
      <c r="X362" s="6">
        <f>IF(ISERROR(VLOOKUP($U$362,'TAR FIN'!$A$1:$O$86,15,0)),0,VLOOKUP($U$362,'TAR FIN'!$A$1:$O$86,15,0))</f>
        <v>297.31</v>
      </c>
      <c r="Y362" s="6"/>
      <c r="Z362" s="6">
        <f ca="1">('TUSD BE'!$AM$18+'TUSD BF_350'!$AM$18+'TUSD CVA'!$AM$18)*1</f>
        <v>437.62682457863491</v>
      </c>
      <c r="AA362" s="6">
        <f ca="1">('TE BE'!$AB$10+'TE BF_350'!$AB$10+'TE CVA'!$AB$10)*1</f>
        <v>235.33989117487977</v>
      </c>
      <c r="AB362" s="6">
        <f>$K$362*$V$362</f>
        <v>0</v>
      </c>
      <c r="AC362" s="6">
        <f>$M$362*$W$362</f>
        <v>94.686720000000008</v>
      </c>
      <c r="AD362" s="6">
        <f>$O$362*$X$362</f>
        <v>57.08352</v>
      </c>
      <c r="AE362" s="6">
        <f>$K$362*$Y$362</f>
        <v>0</v>
      </c>
      <c r="AF362" s="6">
        <f ca="1">$M$362*$Z$362</f>
        <v>84.024350319097906</v>
      </c>
      <c r="AG362" s="6">
        <f ca="1">$O$362*$AA$362</f>
        <v>45.185259105576918</v>
      </c>
    </row>
    <row r="363" spans="1:33" ht="11.25" customHeight="1" x14ac:dyDescent="0.25">
      <c r="A363" s="4" t="s">
        <v>21</v>
      </c>
      <c r="B363" s="4" t="s">
        <v>22</v>
      </c>
      <c r="C363" s="4" t="s">
        <v>32</v>
      </c>
      <c r="D363" s="4" t="s">
        <v>24</v>
      </c>
      <c r="E363" s="4" t="s">
        <v>24</v>
      </c>
      <c r="F363" s="4" t="s">
        <v>25</v>
      </c>
      <c r="G363" s="4" t="s">
        <v>25</v>
      </c>
      <c r="H363" s="4" t="s">
        <v>35</v>
      </c>
      <c r="I363" s="5">
        <v>44409</v>
      </c>
      <c r="J363" s="6">
        <v>0</v>
      </c>
      <c r="K363" s="6">
        <v>0</v>
      </c>
      <c r="L363" s="6">
        <v>0.184</v>
      </c>
      <c r="M363" s="6">
        <v>0.184</v>
      </c>
      <c r="N363" s="6">
        <v>0.184</v>
      </c>
      <c r="O363" s="6">
        <v>0.184</v>
      </c>
      <c r="P363" s="6">
        <v>0</v>
      </c>
      <c r="Q363" s="4" t="s">
        <v>26</v>
      </c>
      <c r="R363" s="4">
        <v>0</v>
      </c>
      <c r="S363" s="6">
        <v>0</v>
      </c>
      <c r="T363" s="6">
        <v>9</v>
      </c>
      <c r="U363" s="6">
        <v>46</v>
      </c>
      <c r="V363" s="6">
        <f>IF(ISERROR(VLOOKUP($S$363,'TAR FIN'!$A$1:$O$86,15,0)),0,VLOOKUP($S$363,'TAR FIN'!$A$1:$O$86,15,0))</f>
        <v>0</v>
      </c>
      <c r="W363" s="6">
        <f>IF(ISERROR(VLOOKUP($T$363,'TAR FIN'!$A$1:$O$86,15,0)),0,VLOOKUP($T$363,'TAR FIN'!$A$1:$O$86,15,0))</f>
        <v>493.16</v>
      </c>
      <c r="X363" s="6">
        <f>IF(ISERROR(VLOOKUP($U$363,'TAR FIN'!$A$1:$O$86,15,0)),0,VLOOKUP($U$363,'TAR FIN'!$A$1:$O$86,15,0))</f>
        <v>297.31</v>
      </c>
      <c r="Y363" s="6"/>
      <c r="Z363" s="6">
        <f ca="1">('TUSD BE'!$AM$18+'TUSD BF_350'!$AM$18+'TUSD CVA'!$AM$18)*1</f>
        <v>437.62682457863491</v>
      </c>
      <c r="AA363" s="6">
        <f ca="1">('TE BE'!$AB$10+'TE BF_350'!$AB$10+'TE CVA'!$AB$10)*1</f>
        <v>235.33989117487977</v>
      </c>
      <c r="AB363" s="6">
        <f>$K$363*$V$363</f>
        <v>0</v>
      </c>
      <c r="AC363" s="6">
        <f>$M$363*$W$363</f>
        <v>90.741439999999997</v>
      </c>
      <c r="AD363" s="6">
        <f>$O$363*$X$363</f>
        <v>54.705039999999997</v>
      </c>
      <c r="AE363" s="6">
        <f>$K$363*$Y$363</f>
        <v>0</v>
      </c>
      <c r="AF363" s="6">
        <f ca="1">$M$363*$Z$363</f>
        <v>80.523335722468829</v>
      </c>
      <c r="AG363" s="6">
        <f ca="1">$O$363*$AA$363</f>
        <v>43.302539976177876</v>
      </c>
    </row>
    <row r="364" spans="1:33" ht="11.25" customHeight="1" x14ac:dyDescent="0.25">
      <c r="A364" s="4" t="s">
        <v>21</v>
      </c>
      <c r="B364" s="4" t="s">
        <v>22</v>
      </c>
      <c r="C364" s="4" t="s">
        <v>32</v>
      </c>
      <c r="D364" s="4" t="s">
        <v>24</v>
      </c>
      <c r="E364" s="4" t="s">
        <v>24</v>
      </c>
      <c r="F364" s="4" t="s">
        <v>25</v>
      </c>
      <c r="G364" s="4" t="s">
        <v>25</v>
      </c>
      <c r="H364" s="4" t="s">
        <v>35</v>
      </c>
      <c r="I364" s="5">
        <v>44440</v>
      </c>
      <c r="J364" s="6">
        <v>0</v>
      </c>
      <c r="K364" s="6">
        <v>0</v>
      </c>
      <c r="L364" s="6">
        <v>0.123</v>
      </c>
      <c r="M364" s="6">
        <v>0.123</v>
      </c>
      <c r="N364" s="6">
        <v>0.123</v>
      </c>
      <c r="O364" s="6">
        <v>0.123</v>
      </c>
      <c r="P364" s="6">
        <v>0</v>
      </c>
      <c r="Q364" s="4" t="s">
        <v>26</v>
      </c>
      <c r="R364" s="4">
        <v>0</v>
      </c>
      <c r="S364" s="6">
        <v>0</v>
      </c>
      <c r="T364" s="6">
        <v>9</v>
      </c>
      <c r="U364" s="6">
        <v>46</v>
      </c>
      <c r="V364" s="6">
        <f>IF(ISERROR(VLOOKUP($S$364,'TAR FIN'!$A$1:$O$86,15,0)),0,VLOOKUP($S$364,'TAR FIN'!$A$1:$O$86,15,0))</f>
        <v>0</v>
      </c>
      <c r="W364" s="6">
        <f>IF(ISERROR(VLOOKUP($T$364,'TAR FIN'!$A$1:$O$86,15,0)),0,VLOOKUP($T$364,'TAR FIN'!$A$1:$O$86,15,0))</f>
        <v>493.16</v>
      </c>
      <c r="X364" s="6">
        <f>IF(ISERROR(VLOOKUP($U$364,'TAR FIN'!$A$1:$O$86,15,0)),0,VLOOKUP($U$364,'TAR FIN'!$A$1:$O$86,15,0))</f>
        <v>297.31</v>
      </c>
      <c r="Y364" s="6"/>
      <c r="Z364" s="6">
        <f ca="1">('TUSD BE'!$AM$18+'TUSD BF_350'!$AM$18+'TUSD CVA'!$AM$18)*1</f>
        <v>437.62682457863491</v>
      </c>
      <c r="AA364" s="6">
        <f ca="1">('TE BE'!$AB$10+'TE BF_350'!$AB$10+'TE CVA'!$AB$10)*1</f>
        <v>235.33989117487977</v>
      </c>
      <c r="AB364" s="6">
        <f>$K$364*$V$364</f>
        <v>0</v>
      </c>
      <c r="AC364" s="6">
        <f>$M$364*$W$364</f>
        <v>60.658680000000004</v>
      </c>
      <c r="AD364" s="6">
        <f>$O$364*$X$364</f>
        <v>36.569130000000001</v>
      </c>
      <c r="AE364" s="6">
        <f>$K$364*$Y$364</f>
        <v>0</v>
      </c>
      <c r="AF364" s="6">
        <f ca="1">$M$364*$Z$364</f>
        <v>53.828099423172091</v>
      </c>
      <c r="AG364" s="6">
        <f ca="1">$O$364*$AA$364</f>
        <v>28.946806614510212</v>
      </c>
    </row>
    <row r="365" spans="1:33" ht="11.25" customHeight="1" x14ac:dyDescent="0.25">
      <c r="A365" s="4" t="s">
        <v>21</v>
      </c>
      <c r="B365" s="4" t="s">
        <v>22</v>
      </c>
      <c r="C365" s="4" t="s">
        <v>32</v>
      </c>
      <c r="D365" s="4" t="s">
        <v>24</v>
      </c>
      <c r="E365" s="4" t="s">
        <v>24</v>
      </c>
      <c r="F365" s="4" t="s">
        <v>25</v>
      </c>
      <c r="G365" s="4" t="s">
        <v>25</v>
      </c>
      <c r="H365" s="4" t="s">
        <v>35</v>
      </c>
      <c r="I365" s="5">
        <v>44470</v>
      </c>
      <c r="J365" s="6">
        <v>0</v>
      </c>
      <c r="K365" s="6">
        <v>0</v>
      </c>
      <c r="L365" s="6">
        <v>0.105</v>
      </c>
      <c r="M365" s="6">
        <v>0.105</v>
      </c>
      <c r="N365" s="6">
        <v>0.105</v>
      </c>
      <c r="O365" s="6">
        <v>0.105</v>
      </c>
      <c r="P365" s="6">
        <v>0</v>
      </c>
      <c r="Q365" s="4" t="s">
        <v>26</v>
      </c>
      <c r="R365" s="4">
        <v>0</v>
      </c>
      <c r="S365" s="6">
        <v>0</v>
      </c>
      <c r="T365" s="6">
        <v>9</v>
      </c>
      <c r="U365" s="6">
        <v>46</v>
      </c>
      <c r="V365" s="6">
        <f>IF(ISERROR(VLOOKUP($S$365,'TAR FIN'!$A$1:$O$86,15,0)),0,VLOOKUP($S$365,'TAR FIN'!$A$1:$O$86,15,0))</f>
        <v>0</v>
      </c>
      <c r="W365" s="6">
        <f>IF(ISERROR(VLOOKUP($T$365,'TAR FIN'!$A$1:$O$86,15,0)),0,VLOOKUP($T$365,'TAR FIN'!$A$1:$O$86,15,0))</f>
        <v>493.16</v>
      </c>
      <c r="X365" s="6">
        <f>IF(ISERROR(VLOOKUP($U$365,'TAR FIN'!$A$1:$O$86,15,0)),0,VLOOKUP($U$365,'TAR FIN'!$A$1:$O$86,15,0))</f>
        <v>297.31</v>
      </c>
      <c r="Y365" s="6"/>
      <c r="Z365" s="6">
        <f ca="1">('TUSD BE'!$AM$18+'TUSD BF_350'!$AM$18+'TUSD CVA'!$AM$18)*1</f>
        <v>437.62682457863491</v>
      </c>
      <c r="AA365" s="6">
        <f ca="1">('TE BE'!$AB$10+'TE BF_350'!$AB$10+'TE CVA'!$AB$10)*1</f>
        <v>235.33989117487977</v>
      </c>
      <c r="AB365" s="6">
        <f>$K$365*$V$365</f>
        <v>0</v>
      </c>
      <c r="AC365" s="6">
        <f>$M$365*$W$365</f>
        <v>51.781800000000004</v>
      </c>
      <c r="AD365" s="6">
        <f>$O$365*$X$365</f>
        <v>31.217549999999999</v>
      </c>
      <c r="AE365" s="6">
        <f>$K$365*$Y$365</f>
        <v>0</v>
      </c>
      <c r="AF365" s="6">
        <f ca="1">$M$365*$Z$365</f>
        <v>45.950816580756666</v>
      </c>
      <c r="AG365" s="6">
        <f ca="1">$O$365*$AA$365</f>
        <v>24.710688573362376</v>
      </c>
    </row>
    <row r="366" spans="1:33" ht="11.25" customHeight="1" x14ac:dyDescent="0.25">
      <c r="A366" s="4" t="s">
        <v>21</v>
      </c>
      <c r="B366" s="4" t="s">
        <v>22</v>
      </c>
      <c r="C366" s="4" t="s">
        <v>32</v>
      </c>
      <c r="D366" s="4" t="s">
        <v>24</v>
      </c>
      <c r="E366" s="4" t="s">
        <v>24</v>
      </c>
      <c r="F366" s="4" t="s">
        <v>25</v>
      </c>
      <c r="G366" s="4" t="s">
        <v>25</v>
      </c>
      <c r="H366" s="4" t="s">
        <v>35</v>
      </c>
      <c r="I366" s="5">
        <v>44501</v>
      </c>
      <c r="J366" s="6">
        <v>0</v>
      </c>
      <c r="K366" s="6">
        <v>0</v>
      </c>
      <c r="L366" s="6">
        <v>9.7000000000000003E-2</v>
      </c>
      <c r="M366" s="6">
        <v>9.7000000000000003E-2</v>
      </c>
      <c r="N366" s="6">
        <v>9.7000000000000003E-2</v>
      </c>
      <c r="O366" s="6">
        <v>9.7000000000000003E-2</v>
      </c>
      <c r="P366" s="6">
        <v>0</v>
      </c>
      <c r="Q366" s="4" t="s">
        <v>26</v>
      </c>
      <c r="R366" s="4">
        <v>0</v>
      </c>
      <c r="S366" s="6">
        <v>0</v>
      </c>
      <c r="T366" s="6">
        <v>9</v>
      </c>
      <c r="U366" s="6">
        <v>46</v>
      </c>
      <c r="V366" s="6">
        <f>IF(ISERROR(VLOOKUP($S$366,'TAR FIN'!$A$1:$O$86,15,0)),0,VLOOKUP($S$366,'TAR FIN'!$A$1:$O$86,15,0))</f>
        <v>0</v>
      </c>
      <c r="W366" s="6">
        <f>IF(ISERROR(VLOOKUP($T$366,'TAR FIN'!$A$1:$O$86,15,0)),0,VLOOKUP($T$366,'TAR FIN'!$A$1:$O$86,15,0))</f>
        <v>493.16</v>
      </c>
      <c r="X366" s="6">
        <f>IF(ISERROR(VLOOKUP($U$366,'TAR FIN'!$A$1:$O$86,15,0)),0,VLOOKUP($U$366,'TAR FIN'!$A$1:$O$86,15,0))</f>
        <v>297.31</v>
      </c>
      <c r="Y366" s="6"/>
      <c r="Z366" s="6">
        <f ca="1">('TUSD BE'!$AM$18+'TUSD BF_350'!$AM$18+'TUSD CVA'!$AM$18)*1</f>
        <v>437.62682457863491</v>
      </c>
      <c r="AA366" s="6">
        <f ca="1">('TE BE'!$AB$10+'TE BF_350'!$AB$10+'TE CVA'!$AB$10)*1</f>
        <v>235.33989117487977</v>
      </c>
      <c r="AB366" s="6">
        <f>$K$366*$V$366</f>
        <v>0</v>
      </c>
      <c r="AC366" s="6">
        <f>$M$366*$W$366</f>
        <v>47.836520000000007</v>
      </c>
      <c r="AD366" s="6">
        <f>$O$366*$X$366</f>
        <v>28.83907</v>
      </c>
      <c r="AE366" s="6">
        <f>$K$366*$Y$366</f>
        <v>0</v>
      </c>
      <c r="AF366" s="6">
        <f ca="1">$M$366*$Z$366</f>
        <v>42.449801984127589</v>
      </c>
      <c r="AG366" s="6">
        <f ca="1">$O$366*$AA$366</f>
        <v>22.827969443963337</v>
      </c>
    </row>
    <row r="367" spans="1:33" ht="11.25" customHeight="1" x14ac:dyDescent="0.25">
      <c r="A367" s="4" t="s">
        <v>21</v>
      </c>
      <c r="B367" s="4" t="s">
        <v>22</v>
      </c>
      <c r="C367" s="4" t="s">
        <v>32</v>
      </c>
      <c r="D367" s="4" t="s">
        <v>24</v>
      </c>
      <c r="E367" s="4" t="s">
        <v>24</v>
      </c>
      <c r="F367" s="4" t="s">
        <v>25</v>
      </c>
      <c r="G367" s="4" t="s">
        <v>25</v>
      </c>
      <c r="H367" s="4" t="s">
        <v>35</v>
      </c>
      <c r="I367" s="5">
        <v>44531</v>
      </c>
      <c r="J367" s="6">
        <v>0</v>
      </c>
      <c r="K367" s="6">
        <v>0</v>
      </c>
      <c r="L367" s="6">
        <v>0.108</v>
      </c>
      <c r="M367" s="6">
        <v>0.108</v>
      </c>
      <c r="N367" s="6">
        <v>0.108</v>
      </c>
      <c r="O367" s="6">
        <v>0.108</v>
      </c>
      <c r="P367" s="6">
        <v>0</v>
      </c>
      <c r="Q367" s="4" t="s">
        <v>26</v>
      </c>
      <c r="R367" s="4">
        <v>0</v>
      </c>
      <c r="S367" s="6">
        <v>0</v>
      </c>
      <c r="T367" s="6">
        <v>9</v>
      </c>
      <c r="U367" s="6">
        <v>46</v>
      </c>
      <c r="V367" s="6">
        <f>IF(ISERROR(VLOOKUP($S$367,'TAR FIN'!$A$1:$O$86,15,0)),0,VLOOKUP($S$367,'TAR FIN'!$A$1:$O$86,15,0))</f>
        <v>0</v>
      </c>
      <c r="W367" s="6">
        <f>IF(ISERROR(VLOOKUP($T$367,'TAR FIN'!$A$1:$O$86,15,0)),0,VLOOKUP($T$367,'TAR FIN'!$A$1:$O$86,15,0))</f>
        <v>493.16</v>
      </c>
      <c r="X367" s="6">
        <f>IF(ISERROR(VLOOKUP($U$367,'TAR FIN'!$A$1:$O$86,15,0)),0,VLOOKUP($U$367,'TAR FIN'!$A$1:$O$86,15,0))</f>
        <v>297.31</v>
      </c>
      <c r="Y367" s="6"/>
      <c r="Z367" s="6">
        <f ca="1">('TUSD BE'!$AM$18+'TUSD BF_350'!$AM$18+'TUSD CVA'!$AM$18)*1</f>
        <v>437.62682457863491</v>
      </c>
      <c r="AA367" s="6">
        <f ca="1">('TE BE'!$AB$10+'TE BF_350'!$AB$10+'TE CVA'!$AB$10)*1</f>
        <v>235.33989117487977</v>
      </c>
      <c r="AB367" s="6">
        <f>$K$367*$V$367</f>
        <v>0</v>
      </c>
      <c r="AC367" s="6">
        <f>$M$367*$W$367</f>
        <v>53.261279999999999</v>
      </c>
      <c r="AD367" s="6">
        <f>$O$367*$X$367</f>
        <v>32.109479999999998</v>
      </c>
      <c r="AE367" s="6">
        <f>$K$367*$Y$367</f>
        <v>0</v>
      </c>
      <c r="AF367" s="6">
        <f ca="1">$M$367*$Z$367</f>
        <v>47.263697054492567</v>
      </c>
      <c r="AG367" s="6">
        <f ca="1">$O$367*$AA$367</f>
        <v>25.416708246887016</v>
      </c>
    </row>
    <row r="368" spans="1:33" ht="11.25" customHeight="1" x14ac:dyDescent="0.25">
      <c r="A368" s="4" t="s">
        <v>21</v>
      </c>
      <c r="B368" s="4" t="s">
        <v>22</v>
      </c>
      <c r="C368" s="4" t="s">
        <v>32</v>
      </c>
      <c r="D368" s="4" t="s">
        <v>24</v>
      </c>
      <c r="E368" s="4" t="s">
        <v>24</v>
      </c>
      <c r="F368" s="4" t="s">
        <v>25</v>
      </c>
      <c r="G368" s="4" t="s">
        <v>25</v>
      </c>
      <c r="H368" s="4" t="s">
        <v>35</v>
      </c>
      <c r="I368" s="5">
        <v>44562</v>
      </c>
      <c r="J368" s="6">
        <v>0</v>
      </c>
      <c r="K368" s="6">
        <v>0</v>
      </c>
      <c r="L368" s="6">
        <v>0.16300000000000001</v>
      </c>
      <c r="M368" s="6">
        <v>0.16300000000000001</v>
      </c>
      <c r="N368" s="6">
        <v>0.16300000000000001</v>
      </c>
      <c r="O368" s="6">
        <v>0.16300000000000001</v>
      </c>
      <c r="P368" s="6">
        <v>0</v>
      </c>
      <c r="Q368" s="4" t="s">
        <v>26</v>
      </c>
      <c r="R368" s="4">
        <v>0</v>
      </c>
      <c r="S368" s="6">
        <v>0</v>
      </c>
      <c r="T368" s="6">
        <v>9</v>
      </c>
      <c r="U368" s="6">
        <v>46</v>
      </c>
      <c r="V368" s="6">
        <f>IF(ISERROR(VLOOKUP($S$368,'TAR FIN'!$A$1:$O$86,15,0)),0,VLOOKUP($S$368,'TAR FIN'!$A$1:$O$86,15,0))</f>
        <v>0</v>
      </c>
      <c r="W368" s="6">
        <f>IF(ISERROR(VLOOKUP($T$368,'TAR FIN'!$A$1:$O$86,15,0)),0,VLOOKUP($T$368,'TAR FIN'!$A$1:$O$86,15,0))</f>
        <v>493.16</v>
      </c>
      <c r="X368" s="6">
        <f>IF(ISERROR(VLOOKUP($U$368,'TAR FIN'!$A$1:$O$86,15,0)),0,VLOOKUP($U$368,'TAR FIN'!$A$1:$O$86,15,0))</f>
        <v>297.31</v>
      </c>
      <c r="Y368" s="6"/>
      <c r="Z368" s="6">
        <f ca="1">('TUSD BE'!$AM$18+'TUSD BF_350'!$AM$18+'TUSD CVA'!$AM$18)*1</f>
        <v>437.62682457863491</v>
      </c>
      <c r="AA368" s="6">
        <f ca="1">('TE BE'!$AB$10+'TE BF_350'!$AB$10+'TE CVA'!$AB$10)*1</f>
        <v>235.33989117487977</v>
      </c>
      <c r="AB368" s="6">
        <f>$K$368*$V$368</f>
        <v>0</v>
      </c>
      <c r="AC368" s="6">
        <f>$M$368*$W$368</f>
        <v>80.385080000000002</v>
      </c>
      <c r="AD368" s="6">
        <f>$O$368*$X$368</f>
        <v>48.461530000000003</v>
      </c>
      <c r="AE368" s="6">
        <f>$K$368*$Y$368</f>
        <v>0</v>
      </c>
      <c r="AF368" s="6">
        <f ca="1">$M$368*$Z$368</f>
        <v>71.333172406317487</v>
      </c>
      <c r="AG368" s="6">
        <f ca="1">$O$368*$AA$368</f>
        <v>38.360402261505406</v>
      </c>
    </row>
    <row r="369" spans="1:33" ht="11.25" customHeight="1" x14ac:dyDescent="0.25">
      <c r="A369" s="4" t="s">
        <v>21</v>
      </c>
      <c r="B369" s="4" t="s">
        <v>22</v>
      </c>
      <c r="C369" s="4" t="s">
        <v>32</v>
      </c>
      <c r="D369" s="4" t="s">
        <v>24</v>
      </c>
      <c r="E369" s="4" t="s">
        <v>24</v>
      </c>
      <c r="F369" s="4" t="s">
        <v>25</v>
      </c>
      <c r="G369" s="4" t="s">
        <v>25</v>
      </c>
      <c r="H369" s="4" t="s">
        <v>35</v>
      </c>
      <c r="I369" s="5">
        <v>44593</v>
      </c>
      <c r="J369" s="6">
        <v>0</v>
      </c>
      <c r="K369" s="6">
        <v>0</v>
      </c>
      <c r="L369" s="6">
        <v>0.13200000000000001</v>
      </c>
      <c r="M369" s="6">
        <v>0.13200000000000001</v>
      </c>
      <c r="N369" s="6">
        <v>0.13200000000000001</v>
      </c>
      <c r="O369" s="6">
        <v>0.13200000000000001</v>
      </c>
      <c r="P369" s="6">
        <v>0</v>
      </c>
      <c r="Q369" s="4" t="s">
        <v>26</v>
      </c>
      <c r="R369" s="4">
        <v>0</v>
      </c>
      <c r="S369" s="6">
        <v>0</v>
      </c>
      <c r="T369" s="6">
        <v>9</v>
      </c>
      <c r="U369" s="6">
        <v>46</v>
      </c>
      <c r="V369" s="6">
        <f>IF(ISERROR(VLOOKUP($S$369,'TAR FIN'!$A$1:$O$86,15,0)),0,VLOOKUP($S$369,'TAR FIN'!$A$1:$O$86,15,0))</f>
        <v>0</v>
      </c>
      <c r="W369" s="6">
        <f>IF(ISERROR(VLOOKUP($T$369,'TAR FIN'!$A$1:$O$86,15,0)),0,VLOOKUP($T$369,'TAR FIN'!$A$1:$O$86,15,0))</f>
        <v>493.16</v>
      </c>
      <c r="X369" s="6">
        <f>IF(ISERROR(VLOOKUP($U$369,'TAR FIN'!$A$1:$O$86,15,0)),0,VLOOKUP($U$369,'TAR FIN'!$A$1:$O$86,15,0))</f>
        <v>297.31</v>
      </c>
      <c r="Y369" s="6"/>
      <c r="Z369" s="6">
        <f ca="1">('TUSD BE'!$AM$18+'TUSD BF_350'!$AM$18+'TUSD CVA'!$AM$18)*1</f>
        <v>437.62682457863491</v>
      </c>
      <c r="AA369" s="6">
        <f ca="1">('TE BE'!$AB$10+'TE BF_350'!$AB$10+'TE CVA'!$AB$10)*1</f>
        <v>235.33989117487977</v>
      </c>
      <c r="AB369" s="6">
        <f>$K$369*$V$369</f>
        <v>0</v>
      </c>
      <c r="AC369" s="6">
        <f>$M$369*$W$369</f>
        <v>65.097120000000004</v>
      </c>
      <c r="AD369" s="6">
        <f>$O$369*$X$369</f>
        <v>39.24492</v>
      </c>
      <c r="AE369" s="6">
        <f>$K$369*$Y$369</f>
        <v>0</v>
      </c>
      <c r="AF369" s="6">
        <f ca="1">$M$369*$Z$369</f>
        <v>57.766740844379811</v>
      </c>
      <c r="AG369" s="6">
        <f ca="1">$O$369*$AA$369</f>
        <v>31.064865635084132</v>
      </c>
    </row>
    <row r="370" spans="1:33" ht="11.25" customHeight="1" x14ac:dyDescent="0.25">
      <c r="A370" s="4" t="s">
        <v>21</v>
      </c>
      <c r="B370" s="4" t="s">
        <v>22</v>
      </c>
      <c r="C370" s="4" t="s">
        <v>32</v>
      </c>
      <c r="D370" s="4" t="s">
        <v>24</v>
      </c>
      <c r="E370" s="4" t="s">
        <v>24</v>
      </c>
      <c r="F370" s="4" t="s">
        <v>25</v>
      </c>
      <c r="G370" s="4" t="s">
        <v>25</v>
      </c>
      <c r="H370" s="4" t="s">
        <v>35</v>
      </c>
      <c r="I370" s="5">
        <v>44621</v>
      </c>
      <c r="J370" s="6">
        <v>0</v>
      </c>
      <c r="K370" s="6">
        <v>0</v>
      </c>
      <c r="L370" s="6">
        <v>0.14899999999999999</v>
      </c>
      <c r="M370" s="6">
        <v>0.14899999999999999</v>
      </c>
      <c r="N370" s="6">
        <v>0.14899999999999999</v>
      </c>
      <c r="O370" s="6">
        <v>0.14899999999999999</v>
      </c>
      <c r="P370" s="6">
        <v>0</v>
      </c>
      <c r="Q370" s="4" t="s">
        <v>26</v>
      </c>
      <c r="R370" s="4">
        <v>0</v>
      </c>
      <c r="S370" s="6">
        <v>0</v>
      </c>
      <c r="T370" s="6">
        <v>9</v>
      </c>
      <c r="U370" s="6">
        <v>46</v>
      </c>
      <c r="V370" s="6">
        <f>IF(ISERROR(VLOOKUP($S$370,'TAR FIN'!$A$1:$O$86,15,0)),0,VLOOKUP($S$370,'TAR FIN'!$A$1:$O$86,15,0))</f>
        <v>0</v>
      </c>
      <c r="W370" s="6">
        <f>IF(ISERROR(VLOOKUP($T$370,'TAR FIN'!$A$1:$O$86,15,0)),0,VLOOKUP($T$370,'TAR FIN'!$A$1:$O$86,15,0))</f>
        <v>493.16</v>
      </c>
      <c r="X370" s="6">
        <f>IF(ISERROR(VLOOKUP($U$370,'TAR FIN'!$A$1:$O$86,15,0)),0,VLOOKUP($U$370,'TAR FIN'!$A$1:$O$86,15,0))</f>
        <v>297.31</v>
      </c>
      <c r="Y370" s="6"/>
      <c r="Z370" s="6">
        <f ca="1">('TUSD BE'!$AM$18+'TUSD BF_350'!$AM$18+'TUSD CVA'!$AM$18)*1</f>
        <v>437.62682457863491</v>
      </c>
      <c r="AA370" s="6">
        <f ca="1">('TE BE'!$AB$10+'TE BF_350'!$AB$10+'TE CVA'!$AB$10)*1</f>
        <v>235.33989117487977</v>
      </c>
      <c r="AB370" s="6">
        <f>$K$370*$V$370</f>
        <v>0</v>
      </c>
      <c r="AC370" s="6">
        <f>$M$370*$W$370</f>
        <v>73.480840000000001</v>
      </c>
      <c r="AD370" s="6">
        <f>$O$370*$X$370</f>
        <v>44.299189999999996</v>
      </c>
      <c r="AE370" s="6">
        <f>$K$370*$Y$370</f>
        <v>0</v>
      </c>
      <c r="AF370" s="6">
        <f ca="1">$M$370*$Z$370</f>
        <v>65.206396862216593</v>
      </c>
      <c r="AG370" s="6">
        <f ca="1">$O$370*$AA$370</f>
        <v>35.065643785057084</v>
      </c>
    </row>
    <row r="371" spans="1:33" ht="11.25" customHeight="1" x14ac:dyDescent="0.25">
      <c r="A371" s="4" t="s">
        <v>21</v>
      </c>
      <c r="B371" s="4" t="s">
        <v>22</v>
      </c>
      <c r="C371" s="4" t="s">
        <v>32</v>
      </c>
      <c r="D371" s="4" t="s">
        <v>24</v>
      </c>
      <c r="E371" s="4" t="s">
        <v>24</v>
      </c>
      <c r="F371" s="4" t="s">
        <v>25</v>
      </c>
      <c r="G371" s="4" t="s">
        <v>25</v>
      </c>
      <c r="H371" s="4" t="s">
        <v>35</v>
      </c>
      <c r="I371" s="5">
        <v>44652</v>
      </c>
      <c r="J371" s="6">
        <v>0</v>
      </c>
      <c r="K371" s="6">
        <v>0</v>
      </c>
      <c r="L371" s="6">
        <v>8.4000000000000005E-2</v>
      </c>
      <c r="M371" s="6">
        <v>8.4000000000000005E-2</v>
      </c>
      <c r="N371" s="6">
        <v>8.4000000000000005E-2</v>
      </c>
      <c r="O371" s="6">
        <v>8.4000000000000005E-2</v>
      </c>
      <c r="P371" s="6">
        <v>0</v>
      </c>
      <c r="Q371" s="4" t="s">
        <v>26</v>
      </c>
      <c r="R371" s="4">
        <v>0</v>
      </c>
      <c r="S371" s="6">
        <v>0</v>
      </c>
      <c r="T371" s="6">
        <v>9</v>
      </c>
      <c r="U371" s="6">
        <v>46</v>
      </c>
      <c r="V371" s="6">
        <f>IF(ISERROR(VLOOKUP($S$371,'TAR FIN'!$A$1:$O$86,15,0)),0,VLOOKUP($S$371,'TAR FIN'!$A$1:$O$86,15,0))</f>
        <v>0</v>
      </c>
      <c r="W371" s="6">
        <f>IF(ISERROR(VLOOKUP($T$371,'TAR FIN'!$A$1:$O$86,15,0)),0,VLOOKUP($T$371,'TAR FIN'!$A$1:$O$86,15,0))</f>
        <v>493.16</v>
      </c>
      <c r="X371" s="6">
        <f>IF(ISERROR(VLOOKUP($U$371,'TAR FIN'!$A$1:$O$86,15,0)),0,VLOOKUP($U$371,'TAR FIN'!$A$1:$O$86,15,0))</f>
        <v>297.31</v>
      </c>
      <c r="Y371" s="6"/>
      <c r="Z371" s="6">
        <f ca="1">('TUSD BE'!$AM$18+'TUSD BF_350'!$AM$18+'TUSD CVA'!$AM$18)*1</f>
        <v>437.62682457863491</v>
      </c>
      <c r="AA371" s="6">
        <f ca="1">('TE BE'!$AB$10+'TE BF_350'!$AB$10+'TE CVA'!$AB$10)*1</f>
        <v>235.33989117487977</v>
      </c>
      <c r="AB371" s="6">
        <f>$K$371*$V$371</f>
        <v>0</v>
      </c>
      <c r="AC371" s="6">
        <f>$M$371*$W$371</f>
        <v>41.425440000000002</v>
      </c>
      <c r="AD371" s="6">
        <f>$O$371*$X$371</f>
        <v>24.974040000000002</v>
      </c>
      <c r="AE371" s="6">
        <f>$K$371*$Y$371</f>
        <v>0</v>
      </c>
      <c r="AF371" s="6">
        <f ca="1">$M$371*$Z$371</f>
        <v>36.760653264605338</v>
      </c>
      <c r="AG371" s="6">
        <f ca="1">$O$371*$AA$371</f>
        <v>19.768550858689903</v>
      </c>
    </row>
    <row r="372" spans="1:33" ht="11.25" customHeight="1" x14ac:dyDescent="0.25">
      <c r="A372" s="4" t="s">
        <v>21</v>
      </c>
      <c r="B372" s="4" t="s">
        <v>22</v>
      </c>
      <c r="C372" s="4" t="s">
        <v>32</v>
      </c>
      <c r="D372" s="4" t="s">
        <v>24</v>
      </c>
      <c r="E372" s="4" t="s">
        <v>24</v>
      </c>
      <c r="F372" s="4" t="s">
        <v>25</v>
      </c>
      <c r="G372" s="4" t="s">
        <v>25</v>
      </c>
      <c r="H372" s="4" t="s">
        <v>35</v>
      </c>
      <c r="I372" s="5">
        <v>44682</v>
      </c>
      <c r="J372" s="6">
        <v>0</v>
      </c>
      <c r="K372" s="6">
        <v>0</v>
      </c>
      <c r="L372" s="6">
        <v>0.32500000000000001</v>
      </c>
      <c r="M372" s="6">
        <v>0.32500000000000001</v>
      </c>
      <c r="N372" s="6">
        <v>0.32500000000000001</v>
      </c>
      <c r="O372" s="6">
        <v>0.32500000000000001</v>
      </c>
      <c r="P372" s="6">
        <v>0</v>
      </c>
      <c r="Q372" s="4" t="s">
        <v>26</v>
      </c>
      <c r="R372" s="4">
        <v>0</v>
      </c>
      <c r="S372" s="6">
        <v>0</v>
      </c>
      <c r="T372" s="6">
        <v>9</v>
      </c>
      <c r="U372" s="6">
        <v>46</v>
      </c>
      <c r="V372" s="6">
        <f>IF(ISERROR(VLOOKUP($S$372,'TAR FIN'!$A$1:$O$86,15,0)),0,VLOOKUP($S$372,'TAR FIN'!$A$1:$O$86,15,0))</f>
        <v>0</v>
      </c>
      <c r="W372" s="6">
        <f>IF(ISERROR(VLOOKUP($T$372,'TAR FIN'!$A$1:$O$86,15,0)),0,VLOOKUP($T$372,'TAR FIN'!$A$1:$O$86,15,0))</f>
        <v>493.16</v>
      </c>
      <c r="X372" s="6">
        <f>IF(ISERROR(VLOOKUP($U$372,'TAR FIN'!$A$1:$O$86,15,0)),0,VLOOKUP($U$372,'TAR FIN'!$A$1:$O$86,15,0))</f>
        <v>297.31</v>
      </c>
      <c r="Y372" s="6"/>
      <c r="Z372" s="6">
        <f ca="1">('TUSD BE'!$AM$18+'TUSD BF_350'!$AM$18+'TUSD CVA'!$AM$18)*1</f>
        <v>437.62682457863491</v>
      </c>
      <c r="AA372" s="6">
        <f ca="1">('TE BE'!$AB$10+'TE BF_350'!$AB$10+'TE CVA'!$AB$10)*1</f>
        <v>235.33989117487977</v>
      </c>
      <c r="AB372" s="6">
        <f>$K$372*$V$372</f>
        <v>0</v>
      </c>
      <c r="AC372" s="6">
        <f>$M$372*$W$372</f>
        <v>160.27700000000002</v>
      </c>
      <c r="AD372" s="6">
        <f>$O$372*$X$372</f>
        <v>96.625750000000011</v>
      </c>
      <c r="AE372" s="6">
        <f>$K$372*$Y$372</f>
        <v>0</v>
      </c>
      <c r="AF372" s="6">
        <f ca="1">$M$372*$Z$372</f>
        <v>142.22871798805636</v>
      </c>
      <c r="AG372" s="6">
        <f ca="1">$O$372*$AA$372</f>
        <v>76.485464631835924</v>
      </c>
    </row>
    <row r="373" spans="1:33" ht="11.25" customHeight="1" x14ac:dyDescent="0.25">
      <c r="A373" s="4" t="s">
        <v>55</v>
      </c>
      <c r="B373" s="4" t="s">
        <v>22</v>
      </c>
      <c r="C373" s="4" t="s">
        <v>32</v>
      </c>
      <c r="D373" s="4" t="s">
        <v>24</v>
      </c>
      <c r="E373" s="4" t="s">
        <v>24</v>
      </c>
      <c r="F373" s="4" t="s">
        <v>25</v>
      </c>
      <c r="G373" s="4" t="s">
        <v>25</v>
      </c>
      <c r="H373" s="4" t="s">
        <v>35</v>
      </c>
      <c r="I373" s="5">
        <v>44713</v>
      </c>
      <c r="J373" s="6">
        <v>0</v>
      </c>
      <c r="K373" s="6">
        <v>0</v>
      </c>
      <c r="L373" s="6">
        <v>0.32500000000000001</v>
      </c>
      <c r="M373" s="6">
        <v>0.32500000000000001</v>
      </c>
      <c r="N373" s="6">
        <v>0.32500000000000001</v>
      </c>
      <c r="O373" s="6">
        <v>0.32500000000000001</v>
      </c>
      <c r="P373" s="6">
        <v>0</v>
      </c>
      <c r="Q373" s="4" t="s">
        <v>26</v>
      </c>
      <c r="R373" s="4">
        <v>0</v>
      </c>
      <c r="S373" s="6">
        <v>0</v>
      </c>
      <c r="T373" s="6">
        <v>9</v>
      </c>
      <c r="U373" s="6">
        <v>46</v>
      </c>
      <c r="V373" s="6">
        <f>IF(ISERROR(VLOOKUP($S$373,'TAR FIN'!$A$1:$O$86,15,0)),0,VLOOKUP($S$373,'TAR FIN'!$A$1:$O$86,15,0))</f>
        <v>0</v>
      </c>
      <c r="W373" s="6">
        <f>IF(ISERROR(VLOOKUP($T$373,'TAR FIN'!$A$1:$O$86,15,0)),0,VLOOKUP($T$373,'TAR FIN'!$A$1:$O$86,15,0))</f>
        <v>493.16</v>
      </c>
      <c r="X373" s="6">
        <f>IF(ISERROR(VLOOKUP($U$373,'TAR FIN'!$A$1:$O$86,15,0)),0,VLOOKUP($U$373,'TAR FIN'!$A$1:$O$86,15,0))</f>
        <v>297.31</v>
      </c>
      <c r="Y373" s="6"/>
      <c r="Z373" s="6">
        <f ca="1">('TUSD BE'!$AM$18+'TUSD BF_350'!$AM$18+'TUSD CVA'!$AM$18)*1</f>
        <v>437.62682457863491</v>
      </c>
      <c r="AA373" s="6">
        <f ca="1">('TE BE'!$AB$10+'TE BF_350'!$AB$10+'TE CVA'!$AB$10)*1</f>
        <v>235.33989117487977</v>
      </c>
      <c r="AB373" s="6">
        <f>$K$373*$V$373</f>
        <v>0</v>
      </c>
      <c r="AC373" s="6">
        <f>$M$373*$W$373</f>
        <v>160.27700000000002</v>
      </c>
      <c r="AD373" s="6">
        <f>$O$373*$X$373</f>
        <v>96.625750000000011</v>
      </c>
      <c r="AE373" s="6">
        <f>$K$373*$Y$373</f>
        <v>0</v>
      </c>
      <c r="AF373" s="6">
        <f ca="1">$M$373*$Z$373</f>
        <v>142.22871798805636</v>
      </c>
      <c r="AG373" s="6">
        <f ca="1">$O$373*$AA$373</f>
        <v>76.485464631835924</v>
      </c>
    </row>
    <row r="374" spans="1:33" ht="11.25" customHeight="1" x14ac:dyDescent="0.25">
      <c r="A374" s="4" t="s">
        <v>21</v>
      </c>
      <c r="B374" s="4" t="s">
        <v>22</v>
      </c>
      <c r="C374" s="4" t="s">
        <v>32</v>
      </c>
      <c r="D374" s="4" t="s">
        <v>24</v>
      </c>
      <c r="E374" s="4" t="s">
        <v>24</v>
      </c>
      <c r="F374" s="4" t="s">
        <v>25</v>
      </c>
      <c r="G374" s="4" t="s">
        <v>25</v>
      </c>
      <c r="H374" s="4" t="s">
        <v>33</v>
      </c>
      <c r="I374" s="5">
        <v>44378</v>
      </c>
      <c r="J374" s="6">
        <v>0</v>
      </c>
      <c r="K374" s="6">
        <v>0</v>
      </c>
      <c r="L374" s="6">
        <v>0.32800000000000001</v>
      </c>
      <c r="M374" s="6">
        <v>0.32800000000000001</v>
      </c>
      <c r="N374" s="6">
        <v>0.32800000000000001</v>
      </c>
      <c r="O374" s="6">
        <v>0.32800000000000001</v>
      </c>
      <c r="P374" s="6">
        <v>0</v>
      </c>
      <c r="Q374" s="4" t="s">
        <v>26</v>
      </c>
      <c r="R374" s="4">
        <v>0</v>
      </c>
      <c r="S374" s="6">
        <v>0</v>
      </c>
      <c r="T374" s="6">
        <v>15</v>
      </c>
      <c r="U374" s="6">
        <v>69</v>
      </c>
      <c r="V374" s="6">
        <f>IF(ISERROR(VLOOKUP($S$374,'TAR FIN'!$A$1:$O$86,15,0)),0,VLOOKUP($S$374,'TAR FIN'!$A$1:$O$86,15,0))</f>
        <v>0</v>
      </c>
      <c r="W374" s="6">
        <f>IF(ISERROR(VLOOKUP($T$374,'TAR FIN'!$A$1:$O$86,15,0)),0,VLOOKUP($T$374,'TAR FIN'!$A$1:$O$86,15,0))</f>
        <v>874.51</v>
      </c>
      <c r="X374" s="6">
        <f>IF(ISERROR(VLOOKUP($U$374,'TAR FIN'!$A$1:$O$86,15,0)),0,VLOOKUP($U$374,'TAR FIN'!$A$1:$O$86,15,0))</f>
        <v>503.82</v>
      </c>
      <c r="Y374" s="6"/>
      <c r="Z374" s="6">
        <f ca="1">('TUSD BE'!$AM$17+'TUSD BF_350'!$AM$17+'TUSD CVA'!$AM$17)*1</f>
        <v>751.66721126633001</v>
      </c>
      <c r="AA374" s="6">
        <f ca="1">('TE BE'!$AB$9+'TE BF_350'!$AB$9+'TE CVA'!$AB$9)*1</f>
        <v>398.01664046087393</v>
      </c>
      <c r="AB374" s="6">
        <f>$K$374*$V$374</f>
        <v>0</v>
      </c>
      <c r="AC374" s="6">
        <f>$M$374*$W$374</f>
        <v>286.83928000000003</v>
      </c>
      <c r="AD374" s="6">
        <f>$O$374*$X$374</f>
        <v>165.25296</v>
      </c>
      <c r="AE374" s="6">
        <f>$K$374*$Y$374</f>
        <v>0</v>
      </c>
      <c r="AF374" s="6">
        <f ca="1">$M$374*$Z$374</f>
        <v>246.54684529535626</v>
      </c>
      <c r="AG374" s="6">
        <f ca="1">$O$374*$AA$374</f>
        <v>130.54945807116667</v>
      </c>
    </row>
    <row r="375" spans="1:33" ht="11.25" customHeight="1" x14ac:dyDescent="0.25">
      <c r="A375" s="4" t="s">
        <v>21</v>
      </c>
      <c r="B375" s="4" t="s">
        <v>22</v>
      </c>
      <c r="C375" s="4" t="s">
        <v>32</v>
      </c>
      <c r="D375" s="4" t="s">
        <v>24</v>
      </c>
      <c r="E375" s="4" t="s">
        <v>24</v>
      </c>
      <c r="F375" s="4" t="s">
        <v>25</v>
      </c>
      <c r="G375" s="4" t="s">
        <v>25</v>
      </c>
      <c r="H375" s="4" t="s">
        <v>33</v>
      </c>
      <c r="I375" s="5">
        <v>44409</v>
      </c>
      <c r="J375" s="6">
        <v>0</v>
      </c>
      <c r="K375" s="6">
        <v>0</v>
      </c>
      <c r="L375" s="6">
        <v>0.30399999999999999</v>
      </c>
      <c r="M375" s="6">
        <v>0.30399999999999999</v>
      </c>
      <c r="N375" s="6">
        <v>0.30399999999999999</v>
      </c>
      <c r="O375" s="6">
        <v>0.30399999999999999</v>
      </c>
      <c r="P375" s="6">
        <v>0</v>
      </c>
      <c r="Q375" s="4" t="s">
        <v>26</v>
      </c>
      <c r="R375" s="4">
        <v>0</v>
      </c>
      <c r="S375" s="6">
        <v>0</v>
      </c>
      <c r="T375" s="6">
        <v>15</v>
      </c>
      <c r="U375" s="6">
        <v>69</v>
      </c>
      <c r="V375" s="6">
        <f>IF(ISERROR(VLOOKUP($S$375,'TAR FIN'!$A$1:$O$86,15,0)),0,VLOOKUP($S$375,'TAR FIN'!$A$1:$O$86,15,0))</f>
        <v>0</v>
      </c>
      <c r="W375" s="6">
        <f>IF(ISERROR(VLOOKUP($T$375,'TAR FIN'!$A$1:$O$86,15,0)),0,VLOOKUP($T$375,'TAR FIN'!$A$1:$O$86,15,0))</f>
        <v>874.51</v>
      </c>
      <c r="X375" s="6">
        <f>IF(ISERROR(VLOOKUP($U$375,'TAR FIN'!$A$1:$O$86,15,0)),0,VLOOKUP($U$375,'TAR FIN'!$A$1:$O$86,15,0))</f>
        <v>503.82</v>
      </c>
      <c r="Y375" s="6"/>
      <c r="Z375" s="6">
        <f ca="1">('TUSD BE'!$AM$17+'TUSD BF_350'!$AM$17+'TUSD CVA'!$AM$17)*1</f>
        <v>751.66721126633001</v>
      </c>
      <c r="AA375" s="6">
        <f ca="1">('TE BE'!$AB$9+'TE BF_350'!$AB$9+'TE CVA'!$AB$9)*1</f>
        <v>398.01664046087393</v>
      </c>
      <c r="AB375" s="6">
        <f>$K$375*$V$375</f>
        <v>0</v>
      </c>
      <c r="AC375" s="6">
        <f>$M$375*$W$375</f>
        <v>265.85104000000001</v>
      </c>
      <c r="AD375" s="6">
        <f>$O$375*$X$375</f>
        <v>153.16128</v>
      </c>
      <c r="AE375" s="6">
        <f>$K$375*$Y$375</f>
        <v>0</v>
      </c>
      <c r="AF375" s="6">
        <f ca="1">$M$375*$Z$375</f>
        <v>228.50683222496431</v>
      </c>
      <c r="AG375" s="6">
        <f ca="1">$O$375*$AA$375</f>
        <v>120.99705870010567</v>
      </c>
    </row>
    <row r="376" spans="1:33" ht="11.25" customHeight="1" x14ac:dyDescent="0.25">
      <c r="A376" s="4" t="s">
        <v>21</v>
      </c>
      <c r="B376" s="4" t="s">
        <v>22</v>
      </c>
      <c r="C376" s="4" t="s">
        <v>32</v>
      </c>
      <c r="D376" s="4" t="s">
        <v>24</v>
      </c>
      <c r="E376" s="4" t="s">
        <v>24</v>
      </c>
      <c r="F376" s="4" t="s">
        <v>25</v>
      </c>
      <c r="G376" s="4" t="s">
        <v>25</v>
      </c>
      <c r="H376" s="4" t="s">
        <v>33</v>
      </c>
      <c r="I376" s="5">
        <v>44440</v>
      </c>
      <c r="J376" s="6">
        <v>0</v>
      </c>
      <c r="K376" s="6">
        <v>0</v>
      </c>
      <c r="L376" s="6">
        <v>0.223</v>
      </c>
      <c r="M376" s="6">
        <v>0.223</v>
      </c>
      <c r="N376" s="6">
        <v>0.223</v>
      </c>
      <c r="O376" s="6">
        <v>0.223</v>
      </c>
      <c r="P376" s="6">
        <v>0</v>
      </c>
      <c r="Q376" s="4" t="s">
        <v>26</v>
      </c>
      <c r="R376" s="4">
        <v>0</v>
      </c>
      <c r="S376" s="6">
        <v>0</v>
      </c>
      <c r="T376" s="6">
        <v>15</v>
      </c>
      <c r="U376" s="6">
        <v>69</v>
      </c>
      <c r="V376" s="6">
        <f>IF(ISERROR(VLOOKUP($S$376,'TAR FIN'!$A$1:$O$86,15,0)),0,VLOOKUP($S$376,'TAR FIN'!$A$1:$O$86,15,0))</f>
        <v>0</v>
      </c>
      <c r="W376" s="6">
        <f>IF(ISERROR(VLOOKUP($T$376,'TAR FIN'!$A$1:$O$86,15,0)),0,VLOOKUP($T$376,'TAR FIN'!$A$1:$O$86,15,0))</f>
        <v>874.51</v>
      </c>
      <c r="X376" s="6">
        <f>IF(ISERROR(VLOOKUP($U$376,'TAR FIN'!$A$1:$O$86,15,0)),0,VLOOKUP($U$376,'TAR FIN'!$A$1:$O$86,15,0))</f>
        <v>503.82</v>
      </c>
      <c r="Y376" s="6"/>
      <c r="Z376" s="6">
        <f ca="1">('TUSD BE'!$AM$17+'TUSD BF_350'!$AM$17+'TUSD CVA'!$AM$17)*1</f>
        <v>751.66721126633001</v>
      </c>
      <c r="AA376" s="6">
        <f ca="1">('TE BE'!$AB$9+'TE BF_350'!$AB$9+'TE CVA'!$AB$9)*1</f>
        <v>398.01664046087393</v>
      </c>
      <c r="AB376" s="6">
        <f>$K$376*$V$376</f>
        <v>0</v>
      </c>
      <c r="AC376" s="6">
        <f>$M$376*$W$376</f>
        <v>195.01572999999999</v>
      </c>
      <c r="AD376" s="6">
        <f>$O$376*$X$376</f>
        <v>112.35186</v>
      </c>
      <c r="AE376" s="6">
        <f>$K$376*$Y$376</f>
        <v>0</v>
      </c>
      <c r="AF376" s="6">
        <f ca="1">$M$376*$Z$376</f>
        <v>167.62178811239158</v>
      </c>
      <c r="AG376" s="6">
        <f ca="1">$O$376*$AA$376</f>
        <v>88.757710822774882</v>
      </c>
    </row>
    <row r="377" spans="1:33" ht="11.25" customHeight="1" x14ac:dyDescent="0.25">
      <c r="A377" s="4" t="s">
        <v>21</v>
      </c>
      <c r="B377" s="4" t="s">
        <v>22</v>
      </c>
      <c r="C377" s="4" t="s">
        <v>32</v>
      </c>
      <c r="D377" s="4" t="s">
        <v>24</v>
      </c>
      <c r="E377" s="4" t="s">
        <v>24</v>
      </c>
      <c r="F377" s="4" t="s">
        <v>25</v>
      </c>
      <c r="G377" s="4" t="s">
        <v>25</v>
      </c>
      <c r="H377" s="4" t="s">
        <v>33</v>
      </c>
      <c r="I377" s="5">
        <v>44470</v>
      </c>
      <c r="J377" s="6">
        <v>0</v>
      </c>
      <c r="K377" s="6">
        <v>0</v>
      </c>
      <c r="L377" s="6">
        <v>0.192</v>
      </c>
      <c r="M377" s="6">
        <v>0.192</v>
      </c>
      <c r="N377" s="6">
        <v>0.192</v>
      </c>
      <c r="O377" s="6">
        <v>0.192</v>
      </c>
      <c r="P377" s="6">
        <v>0</v>
      </c>
      <c r="Q377" s="4" t="s">
        <v>26</v>
      </c>
      <c r="R377" s="4">
        <v>0</v>
      </c>
      <c r="S377" s="6">
        <v>0</v>
      </c>
      <c r="T377" s="6">
        <v>15</v>
      </c>
      <c r="U377" s="6">
        <v>69</v>
      </c>
      <c r="V377" s="6">
        <f>IF(ISERROR(VLOOKUP($S$377,'TAR FIN'!$A$1:$O$86,15,0)),0,VLOOKUP($S$377,'TAR FIN'!$A$1:$O$86,15,0))</f>
        <v>0</v>
      </c>
      <c r="W377" s="6">
        <f>IF(ISERROR(VLOOKUP($T$377,'TAR FIN'!$A$1:$O$86,15,0)),0,VLOOKUP($T$377,'TAR FIN'!$A$1:$O$86,15,0))</f>
        <v>874.51</v>
      </c>
      <c r="X377" s="6">
        <f>IF(ISERROR(VLOOKUP($U$377,'TAR FIN'!$A$1:$O$86,15,0)),0,VLOOKUP($U$377,'TAR FIN'!$A$1:$O$86,15,0))</f>
        <v>503.82</v>
      </c>
      <c r="Y377" s="6"/>
      <c r="Z377" s="6">
        <f ca="1">('TUSD BE'!$AM$17+'TUSD BF_350'!$AM$17+'TUSD CVA'!$AM$17)*1</f>
        <v>751.66721126633001</v>
      </c>
      <c r="AA377" s="6">
        <f ca="1">('TE BE'!$AB$9+'TE BF_350'!$AB$9+'TE CVA'!$AB$9)*1</f>
        <v>398.01664046087393</v>
      </c>
      <c r="AB377" s="6">
        <f>$K$377*$V$377</f>
        <v>0</v>
      </c>
      <c r="AC377" s="6">
        <f>$M$377*$W$377</f>
        <v>167.90592000000001</v>
      </c>
      <c r="AD377" s="6">
        <f>$O$377*$X$377</f>
        <v>96.733440000000002</v>
      </c>
      <c r="AE377" s="6">
        <f>$K$377*$Y$377</f>
        <v>0</v>
      </c>
      <c r="AF377" s="6">
        <f ca="1">$M$377*$Z$377</f>
        <v>144.32010456313537</v>
      </c>
      <c r="AG377" s="6">
        <f ca="1">$O$377*$AA$377</f>
        <v>76.419194968487801</v>
      </c>
    </row>
    <row r="378" spans="1:33" ht="11.25" customHeight="1" x14ac:dyDescent="0.25">
      <c r="A378" s="4" t="s">
        <v>21</v>
      </c>
      <c r="B378" s="4" t="s">
        <v>22</v>
      </c>
      <c r="C378" s="4" t="s">
        <v>32</v>
      </c>
      <c r="D378" s="4" t="s">
        <v>24</v>
      </c>
      <c r="E378" s="4" t="s">
        <v>24</v>
      </c>
      <c r="F378" s="4" t="s">
        <v>25</v>
      </c>
      <c r="G378" s="4" t="s">
        <v>25</v>
      </c>
      <c r="H378" s="4" t="s">
        <v>33</v>
      </c>
      <c r="I378" s="5">
        <v>44501</v>
      </c>
      <c r="J378" s="6">
        <v>0</v>
      </c>
      <c r="K378" s="6">
        <v>0</v>
      </c>
      <c r="L378" s="6">
        <v>0.2</v>
      </c>
      <c r="M378" s="6">
        <v>0.2</v>
      </c>
      <c r="N378" s="6">
        <v>0.2</v>
      </c>
      <c r="O378" s="6">
        <v>0.2</v>
      </c>
      <c r="P378" s="6">
        <v>0</v>
      </c>
      <c r="Q378" s="4" t="s">
        <v>26</v>
      </c>
      <c r="R378" s="4">
        <v>0</v>
      </c>
      <c r="S378" s="6">
        <v>0</v>
      </c>
      <c r="T378" s="6">
        <v>15</v>
      </c>
      <c r="U378" s="6">
        <v>69</v>
      </c>
      <c r="V378" s="6">
        <f>IF(ISERROR(VLOOKUP($S$378,'TAR FIN'!$A$1:$O$86,15,0)),0,VLOOKUP($S$378,'TAR FIN'!$A$1:$O$86,15,0))</f>
        <v>0</v>
      </c>
      <c r="W378" s="6">
        <f>IF(ISERROR(VLOOKUP($T$378,'TAR FIN'!$A$1:$O$86,15,0)),0,VLOOKUP($T$378,'TAR FIN'!$A$1:$O$86,15,0))</f>
        <v>874.51</v>
      </c>
      <c r="X378" s="6">
        <f>IF(ISERROR(VLOOKUP($U$378,'TAR FIN'!$A$1:$O$86,15,0)),0,VLOOKUP($U$378,'TAR FIN'!$A$1:$O$86,15,0))</f>
        <v>503.82</v>
      </c>
      <c r="Y378" s="6"/>
      <c r="Z378" s="6">
        <f ca="1">('TUSD BE'!$AM$17+'TUSD BF_350'!$AM$17+'TUSD CVA'!$AM$17)*1</f>
        <v>751.66721126633001</v>
      </c>
      <c r="AA378" s="6">
        <f ca="1">('TE BE'!$AB$9+'TE BF_350'!$AB$9+'TE CVA'!$AB$9)*1</f>
        <v>398.01664046087393</v>
      </c>
      <c r="AB378" s="6">
        <f>$K$378*$V$378</f>
        <v>0</v>
      </c>
      <c r="AC378" s="6">
        <f>$M$378*$W$378</f>
        <v>174.90200000000002</v>
      </c>
      <c r="AD378" s="6">
        <f>$O$378*$X$378</f>
        <v>100.76400000000001</v>
      </c>
      <c r="AE378" s="6">
        <f>$K$378*$Y$378</f>
        <v>0</v>
      </c>
      <c r="AF378" s="6">
        <f ca="1">$M$378*$Z$378</f>
        <v>150.33344225326601</v>
      </c>
      <c r="AG378" s="6">
        <f ca="1">$O$378*$AA$378</f>
        <v>79.603328092174792</v>
      </c>
    </row>
    <row r="379" spans="1:33" ht="11.25" customHeight="1" x14ac:dyDescent="0.25">
      <c r="A379" s="4" t="s">
        <v>21</v>
      </c>
      <c r="B379" s="4" t="s">
        <v>22</v>
      </c>
      <c r="C379" s="4" t="s">
        <v>32</v>
      </c>
      <c r="D379" s="4" t="s">
        <v>24</v>
      </c>
      <c r="E379" s="4" t="s">
        <v>24</v>
      </c>
      <c r="F379" s="4" t="s">
        <v>25</v>
      </c>
      <c r="G379" s="4" t="s">
        <v>25</v>
      </c>
      <c r="H379" s="4" t="s">
        <v>33</v>
      </c>
      <c r="I379" s="5">
        <v>44531</v>
      </c>
      <c r="J379" s="6">
        <v>0</v>
      </c>
      <c r="K379" s="6">
        <v>0</v>
      </c>
      <c r="L379" s="6">
        <v>0.187</v>
      </c>
      <c r="M379" s="6">
        <v>0.187</v>
      </c>
      <c r="N379" s="6">
        <v>0.187</v>
      </c>
      <c r="O379" s="6">
        <v>0.187</v>
      </c>
      <c r="P379" s="6">
        <v>0</v>
      </c>
      <c r="Q379" s="4" t="s">
        <v>26</v>
      </c>
      <c r="R379" s="4">
        <v>0</v>
      </c>
      <c r="S379" s="6">
        <v>0</v>
      </c>
      <c r="T379" s="6">
        <v>15</v>
      </c>
      <c r="U379" s="6">
        <v>69</v>
      </c>
      <c r="V379" s="6">
        <f>IF(ISERROR(VLOOKUP($S$379,'TAR FIN'!$A$1:$O$86,15,0)),0,VLOOKUP($S$379,'TAR FIN'!$A$1:$O$86,15,0))</f>
        <v>0</v>
      </c>
      <c r="W379" s="6">
        <f>IF(ISERROR(VLOOKUP($T$379,'TAR FIN'!$A$1:$O$86,15,0)),0,VLOOKUP($T$379,'TAR FIN'!$A$1:$O$86,15,0))</f>
        <v>874.51</v>
      </c>
      <c r="X379" s="6">
        <f>IF(ISERROR(VLOOKUP($U$379,'TAR FIN'!$A$1:$O$86,15,0)),0,VLOOKUP($U$379,'TAR FIN'!$A$1:$O$86,15,0))</f>
        <v>503.82</v>
      </c>
      <c r="Y379" s="6"/>
      <c r="Z379" s="6">
        <f ca="1">('TUSD BE'!$AM$17+'TUSD BF_350'!$AM$17+'TUSD CVA'!$AM$17)*1</f>
        <v>751.66721126633001</v>
      </c>
      <c r="AA379" s="6">
        <f ca="1">('TE BE'!$AB$9+'TE BF_350'!$AB$9+'TE CVA'!$AB$9)*1</f>
        <v>398.01664046087393</v>
      </c>
      <c r="AB379" s="6">
        <f>$K$379*$V$379</f>
        <v>0</v>
      </c>
      <c r="AC379" s="6">
        <f>$M$379*$W$379</f>
        <v>163.53336999999999</v>
      </c>
      <c r="AD379" s="6">
        <f>$O$379*$X$379</f>
        <v>94.214339999999993</v>
      </c>
      <c r="AE379" s="6">
        <f>$K$379*$Y$379</f>
        <v>0</v>
      </c>
      <c r="AF379" s="6">
        <f ca="1">$M$379*$Z$379</f>
        <v>140.5617685068037</v>
      </c>
      <c r="AG379" s="6">
        <f ca="1">$O$379*$AA$379</f>
        <v>74.429111766183425</v>
      </c>
    </row>
    <row r="380" spans="1:33" ht="11.25" customHeight="1" x14ac:dyDescent="0.25">
      <c r="A380" s="4" t="s">
        <v>21</v>
      </c>
      <c r="B380" s="4" t="s">
        <v>22</v>
      </c>
      <c r="C380" s="4" t="s">
        <v>32</v>
      </c>
      <c r="D380" s="4" t="s">
        <v>24</v>
      </c>
      <c r="E380" s="4" t="s">
        <v>24</v>
      </c>
      <c r="F380" s="4" t="s">
        <v>25</v>
      </c>
      <c r="G380" s="4" t="s">
        <v>25</v>
      </c>
      <c r="H380" s="4" t="s">
        <v>33</v>
      </c>
      <c r="I380" s="5">
        <v>44562</v>
      </c>
      <c r="J380" s="6">
        <v>0</v>
      </c>
      <c r="K380" s="6">
        <v>0</v>
      </c>
      <c r="L380" s="6">
        <v>0.252</v>
      </c>
      <c r="M380" s="6">
        <v>0.252</v>
      </c>
      <c r="N380" s="6">
        <v>0.252</v>
      </c>
      <c r="O380" s="6">
        <v>0.252</v>
      </c>
      <c r="P380" s="6">
        <v>0</v>
      </c>
      <c r="Q380" s="4" t="s">
        <v>26</v>
      </c>
      <c r="R380" s="4">
        <v>0</v>
      </c>
      <c r="S380" s="6">
        <v>0</v>
      </c>
      <c r="T380" s="6">
        <v>15</v>
      </c>
      <c r="U380" s="6">
        <v>69</v>
      </c>
      <c r="V380" s="6">
        <f>IF(ISERROR(VLOOKUP($S$380,'TAR FIN'!$A$1:$O$86,15,0)),0,VLOOKUP($S$380,'TAR FIN'!$A$1:$O$86,15,0))</f>
        <v>0</v>
      </c>
      <c r="W380" s="6">
        <f>IF(ISERROR(VLOOKUP($T$380,'TAR FIN'!$A$1:$O$86,15,0)),0,VLOOKUP($T$380,'TAR FIN'!$A$1:$O$86,15,0))</f>
        <v>874.51</v>
      </c>
      <c r="X380" s="6">
        <f>IF(ISERROR(VLOOKUP($U$380,'TAR FIN'!$A$1:$O$86,15,0)),0,VLOOKUP($U$380,'TAR FIN'!$A$1:$O$86,15,0))</f>
        <v>503.82</v>
      </c>
      <c r="Y380" s="6"/>
      <c r="Z380" s="6">
        <f ca="1">('TUSD BE'!$AM$17+'TUSD BF_350'!$AM$17+'TUSD CVA'!$AM$17)*1</f>
        <v>751.66721126633001</v>
      </c>
      <c r="AA380" s="6">
        <f ca="1">('TE BE'!$AB$9+'TE BF_350'!$AB$9+'TE CVA'!$AB$9)*1</f>
        <v>398.01664046087393</v>
      </c>
      <c r="AB380" s="6">
        <f>$K$380*$V$380</f>
        <v>0</v>
      </c>
      <c r="AC380" s="6">
        <f>$M$380*$W$380</f>
        <v>220.37652</v>
      </c>
      <c r="AD380" s="6">
        <f>$O$380*$X$380</f>
        <v>126.96263999999999</v>
      </c>
      <c r="AE380" s="6">
        <f>$K$380*$Y$380</f>
        <v>0</v>
      </c>
      <c r="AF380" s="6">
        <f ca="1">$M$380*$Z$380</f>
        <v>189.42013723911518</v>
      </c>
      <c r="AG380" s="6">
        <f ca="1">$O$380*$AA$380</f>
        <v>100.30019339614023</v>
      </c>
    </row>
    <row r="381" spans="1:33" ht="11.25" customHeight="1" x14ac:dyDescent="0.25">
      <c r="A381" s="4" t="s">
        <v>21</v>
      </c>
      <c r="B381" s="4" t="s">
        <v>22</v>
      </c>
      <c r="C381" s="4" t="s">
        <v>32</v>
      </c>
      <c r="D381" s="4" t="s">
        <v>24</v>
      </c>
      <c r="E381" s="4" t="s">
        <v>24</v>
      </c>
      <c r="F381" s="4" t="s">
        <v>25</v>
      </c>
      <c r="G381" s="4" t="s">
        <v>25</v>
      </c>
      <c r="H381" s="4" t="s">
        <v>33</v>
      </c>
      <c r="I381" s="5">
        <v>44593</v>
      </c>
      <c r="J381" s="6">
        <v>0</v>
      </c>
      <c r="K381" s="6">
        <v>0</v>
      </c>
      <c r="L381" s="6">
        <v>0.20300000000000001</v>
      </c>
      <c r="M381" s="6">
        <v>0.20300000000000001</v>
      </c>
      <c r="N381" s="6">
        <v>0.20300000000000001</v>
      </c>
      <c r="O381" s="6">
        <v>0.20300000000000001</v>
      </c>
      <c r="P381" s="6">
        <v>0</v>
      </c>
      <c r="Q381" s="4" t="s">
        <v>26</v>
      </c>
      <c r="R381" s="4">
        <v>0</v>
      </c>
      <c r="S381" s="6">
        <v>0</v>
      </c>
      <c r="T381" s="6">
        <v>15</v>
      </c>
      <c r="U381" s="6">
        <v>69</v>
      </c>
      <c r="V381" s="6">
        <f>IF(ISERROR(VLOOKUP($S$381,'TAR FIN'!$A$1:$O$86,15,0)),0,VLOOKUP($S$381,'TAR FIN'!$A$1:$O$86,15,0))</f>
        <v>0</v>
      </c>
      <c r="W381" s="6">
        <f>IF(ISERROR(VLOOKUP($T$381,'TAR FIN'!$A$1:$O$86,15,0)),0,VLOOKUP($T$381,'TAR FIN'!$A$1:$O$86,15,0))</f>
        <v>874.51</v>
      </c>
      <c r="X381" s="6">
        <f>IF(ISERROR(VLOOKUP($U$381,'TAR FIN'!$A$1:$O$86,15,0)),0,VLOOKUP($U$381,'TAR FIN'!$A$1:$O$86,15,0))</f>
        <v>503.82</v>
      </c>
      <c r="Y381" s="6"/>
      <c r="Z381" s="6">
        <f ca="1">('TUSD BE'!$AM$17+'TUSD BF_350'!$AM$17+'TUSD CVA'!$AM$17)*1</f>
        <v>751.66721126633001</v>
      </c>
      <c r="AA381" s="6">
        <f ca="1">('TE BE'!$AB$9+'TE BF_350'!$AB$9+'TE CVA'!$AB$9)*1</f>
        <v>398.01664046087393</v>
      </c>
      <c r="AB381" s="6">
        <f>$K$381*$V$381</f>
        <v>0</v>
      </c>
      <c r="AC381" s="6">
        <f>$M$381*$W$381</f>
        <v>177.52553</v>
      </c>
      <c r="AD381" s="6">
        <f>$O$381*$X$381</f>
        <v>102.27546000000001</v>
      </c>
      <c r="AE381" s="6">
        <f>$K$381*$Y$381</f>
        <v>0</v>
      </c>
      <c r="AF381" s="6">
        <f ca="1">$M$381*$Z$381</f>
        <v>152.58844388706501</v>
      </c>
      <c r="AG381" s="6">
        <f ca="1">$O$381*$AA$381</f>
        <v>80.79737801355742</v>
      </c>
    </row>
    <row r="382" spans="1:33" ht="11.25" customHeight="1" x14ac:dyDescent="0.25">
      <c r="A382" s="4" t="s">
        <v>21</v>
      </c>
      <c r="B382" s="4" t="s">
        <v>22</v>
      </c>
      <c r="C382" s="4" t="s">
        <v>32</v>
      </c>
      <c r="D382" s="4" t="s">
        <v>24</v>
      </c>
      <c r="E382" s="4" t="s">
        <v>24</v>
      </c>
      <c r="F382" s="4" t="s">
        <v>25</v>
      </c>
      <c r="G382" s="4" t="s">
        <v>25</v>
      </c>
      <c r="H382" s="4" t="s">
        <v>33</v>
      </c>
      <c r="I382" s="5">
        <v>44621</v>
      </c>
      <c r="J382" s="6">
        <v>0</v>
      </c>
      <c r="K382" s="6">
        <v>0</v>
      </c>
      <c r="L382" s="6">
        <v>0.24299999999999999</v>
      </c>
      <c r="M382" s="6">
        <v>0.24299999999999999</v>
      </c>
      <c r="N382" s="6">
        <v>0.24299999999999999</v>
      </c>
      <c r="O382" s="6">
        <v>0.24299999999999999</v>
      </c>
      <c r="P382" s="6">
        <v>0</v>
      </c>
      <c r="Q382" s="4" t="s">
        <v>26</v>
      </c>
      <c r="R382" s="4">
        <v>0</v>
      </c>
      <c r="S382" s="6">
        <v>0</v>
      </c>
      <c r="T382" s="6">
        <v>15</v>
      </c>
      <c r="U382" s="6">
        <v>69</v>
      </c>
      <c r="V382" s="6">
        <f>IF(ISERROR(VLOOKUP($S$382,'TAR FIN'!$A$1:$O$86,15,0)),0,VLOOKUP($S$382,'TAR FIN'!$A$1:$O$86,15,0))</f>
        <v>0</v>
      </c>
      <c r="W382" s="6">
        <f>IF(ISERROR(VLOOKUP($T$382,'TAR FIN'!$A$1:$O$86,15,0)),0,VLOOKUP($T$382,'TAR FIN'!$A$1:$O$86,15,0))</f>
        <v>874.51</v>
      </c>
      <c r="X382" s="6">
        <f>IF(ISERROR(VLOOKUP($U$382,'TAR FIN'!$A$1:$O$86,15,0)),0,VLOOKUP($U$382,'TAR FIN'!$A$1:$O$86,15,0))</f>
        <v>503.82</v>
      </c>
      <c r="Y382" s="6"/>
      <c r="Z382" s="6">
        <f ca="1">('TUSD BE'!$AM$17+'TUSD BF_350'!$AM$17+'TUSD CVA'!$AM$17)*1</f>
        <v>751.66721126633001</v>
      </c>
      <c r="AA382" s="6">
        <f ca="1">('TE BE'!$AB$9+'TE BF_350'!$AB$9+'TE CVA'!$AB$9)*1</f>
        <v>398.01664046087393</v>
      </c>
      <c r="AB382" s="6">
        <f>$K$382*$V$382</f>
        <v>0</v>
      </c>
      <c r="AC382" s="6">
        <f>$M$382*$W$382</f>
        <v>212.50593000000001</v>
      </c>
      <c r="AD382" s="6">
        <f>$O$382*$X$382</f>
        <v>122.42825999999999</v>
      </c>
      <c r="AE382" s="6">
        <f>$K$382*$Y$382</f>
        <v>0</v>
      </c>
      <c r="AF382" s="6">
        <f ca="1">$M$382*$Z$382</f>
        <v>182.65513233771819</v>
      </c>
      <c r="AG382" s="6">
        <f ca="1">$O$382*$AA$382</f>
        <v>96.718043631992359</v>
      </c>
    </row>
    <row r="383" spans="1:33" ht="11.25" customHeight="1" x14ac:dyDescent="0.25">
      <c r="A383" s="4" t="s">
        <v>21</v>
      </c>
      <c r="B383" s="4" t="s">
        <v>22</v>
      </c>
      <c r="C383" s="4" t="s">
        <v>32</v>
      </c>
      <c r="D383" s="4" t="s">
        <v>24</v>
      </c>
      <c r="E383" s="4" t="s">
        <v>24</v>
      </c>
      <c r="F383" s="4" t="s">
        <v>25</v>
      </c>
      <c r="G383" s="4" t="s">
        <v>25</v>
      </c>
      <c r="H383" s="4" t="s">
        <v>33</v>
      </c>
      <c r="I383" s="5">
        <v>44652</v>
      </c>
      <c r="J383" s="6">
        <v>0</v>
      </c>
      <c r="K383" s="6">
        <v>0</v>
      </c>
      <c r="L383" s="6">
        <v>0.184</v>
      </c>
      <c r="M383" s="6">
        <v>0.184</v>
      </c>
      <c r="N383" s="6">
        <v>0.184</v>
      </c>
      <c r="O383" s="6">
        <v>0.184</v>
      </c>
      <c r="P383" s="6">
        <v>0</v>
      </c>
      <c r="Q383" s="4" t="s">
        <v>26</v>
      </c>
      <c r="R383" s="4">
        <v>0</v>
      </c>
      <c r="S383" s="6">
        <v>0</v>
      </c>
      <c r="T383" s="6">
        <v>15</v>
      </c>
      <c r="U383" s="6">
        <v>69</v>
      </c>
      <c r="V383" s="6">
        <f>IF(ISERROR(VLOOKUP($S$383,'TAR FIN'!$A$1:$O$86,15,0)),0,VLOOKUP($S$383,'TAR FIN'!$A$1:$O$86,15,0))</f>
        <v>0</v>
      </c>
      <c r="W383" s="6">
        <f>IF(ISERROR(VLOOKUP($T$383,'TAR FIN'!$A$1:$O$86,15,0)),0,VLOOKUP($T$383,'TAR FIN'!$A$1:$O$86,15,0))</f>
        <v>874.51</v>
      </c>
      <c r="X383" s="6">
        <f>IF(ISERROR(VLOOKUP($U$383,'TAR FIN'!$A$1:$O$86,15,0)),0,VLOOKUP($U$383,'TAR FIN'!$A$1:$O$86,15,0))</f>
        <v>503.82</v>
      </c>
      <c r="Y383" s="6"/>
      <c r="Z383" s="6">
        <f ca="1">('TUSD BE'!$AM$17+'TUSD BF_350'!$AM$17+'TUSD CVA'!$AM$17)*1</f>
        <v>751.66721126633001</v>
      </c>
      <c r="AA383" s="6">
        <f ca="1">('TE BE'!$AB$9+'TE BF_350'!$AB$9+'TE CVA'!$AB$9)*1</f>
        <v>398.01664046087393</v>
      </c>
      <c r="AB383" s="6">
        <f>$K$383*$V$383</f>
        <v>0</v>
      </c>
      <c r="AC383" s="6">
        <f>$M$383*$W$383</f>
        <v>160.90984</v>
      </c>
      <c r="AD383" s="6">
        <f>$O$383*$X$383</f>
        <v>92.702879999999993</v>
      </c>
      <c r="AE383" s="6">
        <f>$K$383*$Y$383</f>
        <v>0</v>
      </c>
      <c r="AF383" s="6">
        <f ca="1">$M$383*$Z$383</f>
        <v>138.30676687300473</v>
      </c>
      <c r="AG383" s="6">
        <f ca="1">$O$383*$AA$383</f>
        <v>73.235061844800796</v>
      </c>
    </row>
    <row r="384" spans="1:33" ht="11.25" customHeight="1" x14ac:dyDescent="0.25">
      <c r="A384" s="4" t="s">
        <v>21</v>
      </c>
      <c r="B384" s="4" t="s">
        <v>22</v>
      </c>
      <c r="C384" s="4" t="s">
        <v>32</v>
      </c>
      <c r="D384" s="4" t="s">
        <v>24</v>
      </c>
      <c r="E384" s="4" t="s">
        <v>24</v>
      </c>
      <c r="F384" s="4" t="s">
        <v>25</v>
      </c>
      <c r="G384" s="4" t="s">
        <v>25</v>
      </c>
      <c r="H384" s="4" t="s">
        <v>33</v>
      </c>
      <c r="I384" s="5">
        <v>44682</v>
      </c>
      <c r="J384" s="6">
        <v>0</v>
      </c>
      <c r="K384" s="6">
        <v>0</v>
      </c>
      <c r="L384" s="6">
        <v>0.221</v>
      </c>
      <c r="M384" s="6">
        <v>0.221</v>
      </c>
      <c r="N384" s="6">
        <v>0.221</v>
      </c>
      <c r="O384" s="6">
        <v>0.221</v>
      </c>
      <c r="P384" s="6">
        <v>0</v>
      </c>
      <c r="Q384" s="4" t="s">
        <v>26</v>
      </c>
      <c r="R384" s="4">
        <v>0</v>
      </c>
      <c r="S384" s="6">
        <v>0</v>
      </c>
      <c r="T384" s="6">
        <v>15</v>
      </c>
      <c r="U384" s="6">
        <v>69</v>
      </c>
      <c r="V384" s="6">
        <f>IF(ISERROR(VLOOKUP($S$384,'TAR FIN'!$A$1:$O$86,15,0)),0,VLOOKUP($S$384,'TAR FIN'!$A$1:$O$86,15,0))</f>
        <v>0</v>
      </c>
      <c r="W384" s="6">
        <f>IF(ISERROR(VLOOKUP($T$384,'TAR FIN'!$A$1:$O$86,15,0)),0,VLOOKUP($T$384,'TAR FIN'!$A$1:$O$86,15,0))</f>
        <v>874.51</v>
      </c>
      <c r="X384" s="6">
        <f>IF(ISERROR(VLOOKUP($U$384,'TAR FIN'!$A$1:$O$86,15,0)),0,VLOOKUP($U$384,'TAR FIN'!$A$1:$O$86,15,0))</f>
        <v>503.82</v>
      </c>
      <c r="Y384" s="6"/>
      <c r="Z384" s="6">
        <f ca="1">('TUSD BE'!$AM$17+'TUSD BF_350'!$AM$17+'TUSD CVA'!$AM$17)*1</f>
        <v>751.66721126633001</v>
      </c>
      <c r="AA384" s="6">
        <f ca="1">('TE BE'!$AB$9+'TE BF_350'!$AB$9+'TE CVA'!$AB$9)*1</f>
        <v>398.01664046087393</v>
      </c>
      <c r="AB384" s="6">
        <f>$K$384*$V$384</f>
        <v>0</v>
      </c>
      <c r="AC384" s="6">
        <f>$M$384*$W$384</f>
        <v>193.26670999999999</v>
      </c>
      <c r="AD384" s="6">
        <f>$O$384*$X$384</f>
        <v>111.34421999999999</v>
      </c>
      <c r="AE384" s="6">
        <f>$K$384*$Y$384</f>
        <v>0</v>
      </c>
      <c r="AF384" s="6">
        <f ca="1">$M$384*$Z$384</f>
        <v>166.11845368985894</v>
      </c>
      <c r="AG384" s="6">
        <f ca="1">$O$384*$AA$384</f>
        <v>87.961677541853135</v>
      </c>
    </row>
    <row r="385" spans="1:33" ht="11.25" customHeight="1" x14ac:dyDescent="0.25">
      <c r="A385" s="4" t="s">
        <v>55</v>
      </c>
      <c r="B385" s="4" t="s">
        <v>22</v>
      </c>
      <c r="C385" s="4" t="s">
        <v>32</v>
      </c>
      <c r="D385" s="4" t="s">
        <v>24</v>
      </c>
      <c r="E385" s="4" t="s">
        <v>24</v>
      </c>
      <c r="F385" s="4" t="s">
        <v>25</v>
      </c>
      <c r="G385" s="4" t="s">
        <v>25</v>
      </c>
      <c r="H385" s="4" t="s">
        <v>33</v>
      </c>
      <c r="I385" s="5">
        <v>44713</v>
      </c>
      <c r="J385" s="6">
        <v>0</v>
      </c>
      <c r="K385" s="6">
        <v>0</v>
      </c>
      <c r="L385" s="6">
        <v>0.221</v>
      </c>
      <c r="M385" s="6">
        <v>0.221</v>
      </c>
      <c r="N385" s="6">
        <v>0.221</v>
      </c>
      <c r="O385" s="6">
        <v>0.221</v>
      </c>
      <c r="P385" s="6">
        <v>0</v>
      </c>
      <c r="Q385" s="4" t="s">
        <v>26</v>
      </c>
      <c r="R385" s="4">
        <v>0</v>
      </c>
      <c r="S385" s="6">
        <v>0</v>
      </c>
      <c r="T385" s="6">
        <v>15</v>
      </c>
      <c r="U385" s="6">
        <v>69</v>
      </c>
      <c r="V385" s="6">
        <f>IF(ISERROR(VLOOKUP($S$385,'TAR FIN'!$A$1:$O$86,15,0)),0,VLOOKUP($S$385,'TAR FIN'!$A$1:$O$86,15,0))</f>
        <v>0</v>
      </c>
      <c r="W385" s="6">
        <f>IF(ISERROR(VLOOKUP($T$385,'TAR FIN'!$A$1:$O$86,15,0)),0,VLOOKUP($T$385,'TAR FIN'!$A$1:$O$86,15,0))</f>
        <v>874.51</v>
      </c>
      <c r="X385" s="6">
        <f>IF(ISERROR(VLOOKUP($U$385,'TAR FIN'!$A$1:$O$86,15,0)),0,VLOOKUP($U$385,'TAR FIN'!$A$1:$O$86,15,0))</f>
        <v>503.82</v>
      </c>
      <c r="Y385" s="6"/>
      <c r="Z385" s="6">
        <f ca="1">('TUSD BE'!$AM$17+'TUSD BF_350'!$AM$17+'TUSD CVA'!$AM$17)*1</f>
        <v>751.66721126633001</v>
      </c>
      <c r="AA385" s="6">
        <f ca="1">('TE BE'!$AB$9+'TE BF_350'!$AB$9+'TE CVA'!$AB$9)*1</f>
        <v>398.01664046087393</v>
      </c>
      <c r="AB385" s="6">
        <f>$K$385*$V$385</f>
        <v>0</v>
      </c>
      <c r="AC385" s="6">
        <f>$M$385*$W$385</f>
        <v>193.26670999999999</v>
      </c>
      <c r="AD385" s="6">
        <f>$O$385*$X$385</f>
        <v>111.34421999999999</v>
      </c>
      <c r="AE385" s="6">
        <f>$K$385*$Y$385</f>
        <v>0</v>
      </c>
      <c r="AF385" s="6">
        <f ca="1">$M$385*$Z$385</f>
        <v>166.11845368985894</v>
      </c>
      <c r="AG385" s="6">
        <f ca="1">$O$385*$AA$385</f>
        <v>87.961677541853135</v>
      </c>
    </row>
    <row r="386" spans="1:33" ht="11.25" customHeight="1" x14ac:dyDescent="0.25">
      <c r="A386" s="4" t="s">
        <v>21</v>
      </c>
      <c r="B386" s="4" t="s">
        <v>22</v>
      </c>
      <c r="C386" s="4" t="s">
        <v>23</v>
      </c>
      <c r="D386" s="4" t="s">
        <v>24</v>
      </c>
      <c r="E386" s="4" t="s">
        <v>24</v>
      </c>
      <c r="F386" s="4" t="s">
        <v>25</v>
      </c>
      <c r="G386" s="4" t="s">
        <v>25</v>
      </c>
      <c r="H386" s="4" t="s">
        <v>25</v>
      </c>
      <c r="I386" s="5">
        <v>44378</v>
      </c>
      <c r="J386" s="6">
        <v>0</v>
      </c>
      <c r="K386" s="6">
        <v>0</v>
      </c>
      <c r="L386" s="6">
        <v>3154.2910000000002</v>
      </c>
      <c r="M386" s="6">
        <v>3154.2910000000002</v>
      </c>
      <c r="N386" s="6">
        <v>3154.2910000000002</v>
      </c>
      <c r="O386" s="6">
        <v>3154.2910000000002</v>
      </c>
      <c r="P386" s="6">
        <v>16524</v>
      </c>
      <c r="Q386" s="4" t="s">
        <v>26</v>
      </c>
      <c r="R386" s="4">
        <v>0</v>
      </c>
      <c r="S386" s="6">
        <v>0</v>
      </c>
      <c r="T386" s="6">
        <v>12</v>
      </c>
      <c r="U386" s="6">
        <v>48</v>
      </c>
      <c r="V386" s="6">
        <f>IF(ISERROR(VLOOKUP($S$386,'TAR FIN'!$A$1:$O$86,15,0)),0,VLOOKUP($S$386,'TAR FIN'!$A$1:$O$86,15,0))</f>
        <v>0</v>
      </c>
      <c r="W386" s="6">
        <f>IF(ISERROR(VLOOKUP($T$386,'TAR FIN'!$A$1:$O$86,15,0)),0,VLOOKUP($T$386,'TAR FIN'!$A$1:$O$86,15,0))</f>
        <v>326.98</v>
      </c>
      <c r="X386" s="6">
        <f>IF(ISERROR(VLOOKUP($U$386,'TAR FIN'!$A$1:$O$86,15,0)),0,VLOOKUP($U$386,'TAR FIN'!$A$1:$O$86,15,0))</f>
        <v>314.52</v>
      </c>
      <c r="Y386" s="6"/>
      <c r="Z386" s="6">
        <f ca="1">('TUSD BE'!$AM$20+'TUSD BF_350'!$AM$20+'TUSD CVA'!$AM$20)*1</f>
        <v>313.91386533817797</v>
      </c>
      <c r="AA386" s="6">
        <f ca="1">('TE BE'!$AB$12+'TE BF_350'!$AB$12+'TE CVA'!$AB$12)*1</f>
        <v>248.89628694871266</v>
      </c>
      <c r="AB386" s="6">
        <f>$K$386*$V$386</f>
        <v>0</v>
      </c>
      <c r="AC386" s="6">
        <f>$M$386*$W$386</f>
        <v>1031390.0711800001</v>
      </c>
      <c r="AD386" s="6">
        <f>$O$386*$X$386</f>
        <v>992087.60531999997</v>
      </c>
      <c r="AE386" s="6">
        <f>$K$386*$Y$386</f>
        <v>0</v>
      </c>
      <c r="AF386" s="6">
        <f ca="1">$M$386*$Z$386</f>
        <v>990175.68021142681</v>
      </c>
      <c r="AG386" s="6">
        <f ca="1">$O$386*$AA$386</f>
        <v>785091.31785574183</v>
      </c>
    </row>
    <row r="387" spans="1:33" ht="11.25" customHeight="1" x14ac:dyDescent="0.25">
      <c r="A387" s="4" t="s">
        <v>27</v>
      </c>
      <c r="B387" s="4" t="s">
        <v>22</v>
      </c>
      <c r="C387" s="4" t="s">
        <v>23</v>
      </c>
      <c r="D387" s="4" t="s">
        <v>24</v>
      </c>
      <c r="E387" s="4" t="s">
        <v>24</v>
      </c>
      <c r="F387" s="4" t="s">
        <v>25</v>
      </c>
      <c r="G387" s="4" t="s">
        <v>25</v>
      </c>
      <c r="H387" s="4" t="s">
        <v>25</v>
      </c>
      <c r="I387" s="5">
        <v>44378</v>
      </c>
      <c r="J387" s="6">
        <v>0</v>
      </c>
      <c r="K387" s="6">
        <v>0</v>
      </c>
      <c r="L387" s="6">
        <v>46.767000000000003</v>
      </c>
      <c r="M387" s="6">
        <v>46.767000000000003</v>
      </c>
      <c r="N387" s="6">
        <v>46.767000000000003</v>
      </c>
      <c r="O387" s="6">
        <v>46.767000000000003</v>
      </c>
      <c r="P387" s="6">
        <v>332</v>
      </c>
      <c r="Q387" s="4" t="s">
        <v>26</v>
      </c>
      <c r="R387" s="4">
        <v>0</v>
      </c>
      <c r="S387" s="6">
        <v>0</v>
      </c>
      <c r="T387" s="6">
        <v>12</v>
      </c>
      <c r="U387" s="6">
        <v>48</v>
      </c>
      <c r="V387" s="6">
        <f>IF(ISERROR(VLOOKUP($S$387,'TAR FIN'!$A$1:$O$86,15,0)),0,VLOOKUP($S$387,'TAR FIN'!$A$1:$O$86,15,0))</f>
        <v>0</v>
      </c>
      <c r="W387" s="6">
        <f>IF(ISERROR(VLOOKUP($T$387,'TAR FIN'!$A$1:$O$86,15,0)),0,VLOOKUP($T$387,'TAR FIN'!$A$1:$O$86,15,0))</f>
        <v>326.98</v>
      </c>
      <c r="X387" s="6">
        <f>IF(ISERROR(VLOOKUP($U$387,'TAR FIN'!$A$1:$O$86,15,0)),0,VLOOKUP($U$387,'TAR FIN'!$A$1:$O$86,15,0))</f>
        <v>314.52</v>
      </c>
      <c r="Y387" s="6"/>
      <c r="Z387" s="6">
        <f ca="1">('TUSD BE'!$AM$20+'TUSD BF_350'!$AM$20+'TUSD CVA'!$AM$20)*1</f>
        <v>313.91386533817797</v>
      </c>
      <c r="AA387" s="6">
        <f ca="1">('TE BE'!$AB$12+'TE BF_350'!$AB$12+'TE CVA'!$AB$12)*1</f>
        <v>248.89628694871266</v>
      </c>
      <c r="AB387" s="6">
        <f>$K$387*$V$387</f>
        <v>0</v>
      </c>
      <c r="AC387" s="6">
        <f>$M$387*$W$387</f>
        <v>15291.873660000001</v>
      </c>
      <c r="AD387" s="6">
        <f>$O$387*$X$387</f>
        <v>14709.15684</v>
      </c>
      <c r="AE387" s="6">
        <f>$K$387*$Y$387</f>
        <v>0</v>
      </c>
      <c r="AF387" s="6">
        <f ca="1">$M$387*$Z$387</f>
        <v>14680.80974027057</v>
      </c>
      <c r="AG387" s="6">
        <f ca="1">$O$387*$AA$387</f>
        <v>11640.132651730446</v>
      </c>
    </row>
    <row r="388" spans="1:33" ht="11.25" customHeight="1" x14ac:dyDescent="0.25">
      <c r="A388" s="4" t="s">
        <v>21</v>
      </c>
      <c r="B388" s="4" t="s">
        <v>22</v>
      </c>
      <c r="C388" s="4" t="s">
        <v>23</v>
      </c>
      <c r="D388" s="4" t="s">
        <v>24</v>
      </c>
      <c r="E388" s="4" t="s">
        <v>24</v>
      </c>
      <c r="F388" s="4" t="s">
        <v>25</v>
      </c>
      <c r="G388" s="4" t="s">
        <v>25</v>
      </c>
      <c r="H388" s="4" t="s">
        <v>25</v>
      </c>
      <c r="I388" s="5">
        <v>44409</v>
      </c>
      <c r="J388" s="6">
        <v>0</v>
      </c>
      <c r="K388" s="6">
        <v>0</v>
      </c>
      <c r="L388" s="6">
        <v>3090.5439999999999</v>
      </c>
      <c r="M388" s="6">
        <v>3090.5439999999999</v>
      </c>
      <c r="N388" s="6">
        <v>3090.5439999999999</v>
      </c>
      <c r="O388" s="6">
        <v>3090.5439999999999</v>
      </c>
      <c r="P388" s="6">
        <v>16536</v>
      </c>
      <c r="Q388" s="4" t="s">
        <v>26</v>
      </c>
      <c r="R388" s="4">
        <v>0</v>
      </c>
      <c r="S388" s="6">
        <v>0</v>
      </c>
      <c r="T388" s="6">
        <v>12</v>
      </c>
      <c r="U388" s="6">
        <v>48</v>
      </c>
      <c r="V388" s="6">
        <f>IF(ISERROR(VLOOKUP($S$388,'TAR FIN'!$A$1:$O$86,15,0)),0,VLOOKUP($S$388,'TAR FIN'!$A$1:$O$86,15,0))</f>
        <v>0</v>
      </c>
      <c r="W388" s="6">
        <f>IF(ISERROR(VLOOKUP($T$388,'TAR FIN'!$A$1:$O$86,15,0)),0,VLOOKUP($T$388,'TAR FIN'!$A$1:$O$86,15,0))</f>
        <v>326.98</v>
      </c>
      <c r="X388" s="6">
        <f>IF(ISERROR(VLOOKUP($U$388,'TAR FIN'!$A$1:$O$86,15,0)),0,VLOOKUP($U$388,'TAR FIN'!$A$1:$O$86,15,0))</f>
        <v>314.52</v>
      </c>
      <c r="Y388" s="6"/>
      <c r="Z388" s="6">
        <f ca="1">('TUSD BE'!$AM$20+'TUSD BF_350'!$AM$20+'TUSD CVA'!$AM$20)*1</f>
        <v>313.91386533817797</v>
      </c>
      <c r="AA388" s="6">
        <f ca="1">('TE BE'!$AB$12+'TE BF_350'!$AB$12+'TE CVA'!$AB$12)*1</f>
        <v>248.89628694871266</v>
      </c>
      <c r="AB388" s="6">
        <f>$K$388*$V$388</f>
        <v>0</v>
      </c>
      <c r="AC388" s="6">
        <f>$M$388*$W$388</f>
        <v>1010546.07712</v>
      </c>
      <c r="AD388" s="6">
        <f>$O$388*$X$388</f>
        <v>972037.89887999988</v>
      </c>
      <c r="AE388" s="6">
        <f>$K$388*$Y$388</f>
        <v>0</v>
      </c>
      <c r="AF388" s="6">
        <f ca="1">$M$388*$Z$388</f>
        <v>970164.6130377138</v>
      </c>
      <c r="AG388" s="6">
        <f ca="1">$O$388*$AA$388</f>
        <v>769224.92625162215</v>
      </c>
    </row>
    <row r="389" spans="1:33" ht="11.25" customHeight="1" x14ac:dyDescent="0.25">
      <c r="A389" s="4" t="s">
        <v>41</v>
      </c>
      <c r="B389" s="4" t="s">
        <v>22</v>
      </c>
      <c r="C389" s="4" t="s">
        <v>23</v>
      </c>
      <c r="D389" s="4" t="s">
        <v>24</v>
      </c>
      <c r="E389" s="4" t="s">
        <v>24</v>
      </c>
      <c r="F389" s="4" t="s">
        <v>25</v>
      </c>
      <c r="G389" s="4" t="s">
        <v>25</v>
      </c>
      <c r="H389" s="4" t="s">
        <v>25</v>
      </c>
      <c r="I389" s="5">
        <v>44409</v>
      </c>
      <c r="J389" s="6">
        <v>0</v>
      </c>
      <c r="K389" s="6">
        <v>0</v>
      </c>
      <c r="L389" s="6">
        <v>-0.13800000000000001</v>
      </c>
      <c r="M389" s="6">
        <v>-0.13800000000000001</v>
      </c>
      <c r="N389" s="6">
        <v>-0.13800000000000001</v>
      </c>
      <c r="O389" s="6">
        <v>-0.13800000000000001</v>
      </c>
      <c r="P389" s="6">
        <v>0</v>
      </c>
      <c r="Q389" s="4" t="s">
        <v>26</v>
      </c>
      <c r="R389" s="4">
        <v>0</v>
      </c>
      <c r="S389" s="6">
        <v>0</v>
      </c>
      <c r="T389" s="6">
        <v>12</v>
      </c>
      <c r="U389" s="6">
        <v>48</v>
      </c>
      <c r="V389" s="6">
        <f>IF(ISERROR(VLOOKUP($S$389,'TAR FIN'!$A$1:$O$86,15,0)),0,VLOOKUP($S$389,'TAR FIN'!$A$1:$O$86,15,0))</f>
        <v>0</v>
      </c>
      <c r="W389" s="6">
        <f>IF(ISERROR(VLOOKUP($T$389,'TAR FIN'!$A$1:$O$86,15,0)),0,VLOOKUP($T$389,'TAR FIN'!$A$1:$O$86,15,0))</f>
        <v>326.98</v>
      </c>
      <c r="X389" s="6">
        <f>IF(ISERROR(VLOOKUP($U$389,'TAR FIN'!$A$1:$O$86,15,0)),0,VLOOKUP($U$389,'TAR FIN'!$A$1:$O$86,15,0))</f>
        <v>314.52</v>
      </c>
      <c r="Y389" s="6"/>
      <c r="Z389" s="6">
        <f ca="1">('TUSD BE'!$AM$20+'TUSD BF_350'!$AM$20+'TUSD CVA'!$AM$20)*1</f>
        <v>313.91386533817797</v>
      </c>
      <c r="AA389" s="6">
        <f ca="1">('TE BE'!$AB$12+'TE BF_350'!$AB$12+'TE CVA'!$AB$12)*1</f>
        <v>248.89628694871266</v>
      </c>
      <c r="AB389" s="6">
        <f>$K$389*$V$389</f>
        <v>0</v>
      </c>
      <c r="AC389" s="6">
        <f>$M$389*$W$389</f>
        <v>-45.12324000000001</v>
      </c>
      <c r="AD389" s="6">
        <f>$O$389*$X$389</f>
        <v>-43.403759999999998</v>
      </c>
      <c r="AE389" s="6">
        <f>$K$389*$Y$389</f>
        <v>0</v>
      </c>
      <c r="AF389" s="6">
        <f ca="1">$M$389*$Z$389</f>
        <v>-43.320113416668562</v>
      </c>
      <c r="AG389" s="6">
        <f ca="1">$O$389*$AA$389</f>
        <v>-34.347687598922349</v>
      </c>
    </row>
    <row r="390" spans="1:33" ht="11.25" customHeight="1" x14ac:dyDescent="0.25">
      <c r="A390" s="4" t="s">
        <v>27</v>
      </c>
      <c r="B390" s="4" t="s">
        <v>22</v>
      </c>
      <c r="C390" s="4" t="s">
        <v>23</v>
      </c>
      <c r="D390" s="4" t="s">
        <v>24</v>
      </c>
      <c r="E390" s="4" t="s">
        <v>24</v>
      </c>
      <c r="F390" s="4" t="s">
        <v>25</v>
      </c>
      <c r="G390" s="4" t="s">
        <v>25</v>
      </c>
      <c r="H390" s="4" t="s">
        <v>25</v>
      </c>
      <c r="I390" s="5">
        <v>44409</v>
      </c>
      <c r="J390" s="6">
        <v>0</v>
      </c>
      <c r="K390" s="6">
        <v>0</v>
      </c>
      <c r="L390" s="6">
        <v>43.393000000000001</v>
      </c>
      <c r="M390" s="6">
        <v>43.393000000000001</v>
      </c>
      <c r="N390" s="6">
        <v>43.393000000000001</v>
      </c>
      <c r="O390" s="6">
        <v>43.393000000000001</v>
      </c>
      <c r="P390" s="6">
        <v>350</v>
      </c>
      <c r="Q390" s="4" t="s">
        <v>26</v>
      </c>
      <c r="R390" s="4">
        <v>0</v>
      </c>
      <c r="S390" s="6">
        <v>0</v>
      </c>
      <c r="T390" s="6">
        <v>12</v>
      </c>
      <c r="U390" s="6">
        <v>48</v>
      </c>
      <c r="V390" s="6">
        <f>IF(ISERROR(VLOOKUP($S$390,'TAR FIN'!$A$1:$O$86,15,0)),0,VLOOKUP($S$390,'TAR FIN'!$A$1:$O$86,15,0))</f>
        <v>0</v>
      </c>
      <c r="W390" s="6">
        <f>IF(ISERROR(VLOOKUP($T$390,'TAR FIN'!$A$1:$O$86,15,0)),0,VLOOKUP($T$390,'TAR FIN'!$A$1:$O$86,15,0))</f>
        <v>326.98</v>
      </c>
      <c r="X390" s="6">
        <f>IF(ISERROR(VLOOKUP($U$390,'TAR FIN'!$A$1:$O$86,15,0)),0,VLOOKUP($U$390,'TAR FIN'!$A$1:$O$86,15,0))</f>
        <v>314.52</v>
      </c>
      <c r="Y390" s="6"/>
      <c r="Z390" s="6">
        <f ca="1">('TUSD BE'!$AM$20+'TUSD BF_350'!$AM$20+'TUSD CVA'!$AM$20)*1</f>
        <v>313.91386533817797</v>
      </c>
      <c r="AA390" s="6">
        <f ca="1">('TE BE'!$AB$12+'TE BF_350'!$AB$12+'TE CVA'!$AB$12)*1</f>
        <v>248.89628694871266</v>
      </c>
      <c r="AB390" s="6">
        <f>$K$390*$V$390</f>
        <v>0</v>
      </c>
      <c r="AC390" s="6">
        <f>$M$390*$W$390</f>
        <v>14188.64314</v>
      </c>
      <c r="AD390" s="6">
        <f>$O$390*$X$390</f>
        <v>13647.966359999999</v>
      </c>
      <c r="AE390" s="6">
        <f>$K$390*$Y$390</f>
        <v>0</v>
      </c>
      <c r="AF390" s="6">
        <f ca="1">$M$390*$Z$390</f>
        <v>13621.664358619557</v>
      </c>
      <c r="AG390" s="6">
        <f ca="1">$O$390*$AA$390</f>
        <v>10800.356579565489</v>
      </c>
    </row>
    <row r="391" spans="1:33" ht="11.25" customHeight="1" x14ac:dyDescent="0.25">
      <c r="A391" s="4" t="s">
        <v>21</v>
      </c>
      <c r="B391" s="4" t="s">
        <v>22</v>
      </c>
      <c r="C391" s="4" t="s">
        <v>23</v>
      </c>
      <c r="D391" s="4" t="s">
        <v>24</v>
      </c>
      <c r="E391" s="4" t="s">
        <v>24</v>
      </c>
      <c r="F391" s="4" t="s">
        <v>25</v>
      </c>
      <c r="G391" s="4" t="s">
        <v>25</v>
      </c>
      <c r="H391" s="4" t="s">
        <v>25</v>
      </c>
      <c r="I391" s="5">
        <v>44440</v>
      </c>
      <c r="J391" s="6">
        <v>0</v>
      </c>
      <c r="K391" s="6">
        <v>0</v>
      </c>
      <c r="L391" s="6">
        <v>2833.5360000000001</v>
      </c>
      <c r="M391" s="6">
        <v>2833.5360000000001</v>
      </c>
      <c r="N391" s="6">
        <v>2833.5360000000001</v>
      </c>
      <c r="O391" s="6">
        <v>2833.5360000000001</v>
      </c>
      <c r="P391" s="6">
        <v>16515</v>
      </c>
      <c r="Q391" s="4" t="s">
        <v>26</v>
      </c>
      <c r="R391" s="4">
        <v>0</v>
      </c>
      <c r="S391" s="6">
        <v>0</v>
      </c>
      <c r="T391" s="6">
        <v>12</v>
      </c>
      <c r="U391" s="6">
        <v>48</v>
      </c>
      <c r="V391" s="6">
        <f>IF(ISERROR(VLOOKUP($S$391,'TAR FIN'!$A$1:$O$86,15,0)),0,VLOOKUP($S$391,'TAR FIN'!$A$1:$O$86,15,0))</f>
        <v>0</v>
      </c>
      <c r="W391" s="6">
        <f>IF(ISERROR(VLOOKUP($T$391,'TAR FIN'!$A$1:$O$86,15,0)),0,VLOOKUP($T$391,'TAR FIN'!$A$1:$O$86,15,0))</f>
        <v>326.98</v>
      </c>
      <c r="X391" s="6">
        <f>IF(ISERROR(VLOOKUP($U$391,'TAR FIN'!$A$1:$O$86,15,0)),0,VLOOKUP($U$391,'TAR FIN'!$A$1:$O$86,15,0))</f>
        <v>314.52</v>
      </c>
      <c r="Y391" s="6"/>
      <c r="Z391" s="6">
        <f ca="1">('TUSD BE'!$AM$20+'TUSD BF_350'!$AM$20+'TUSD CVA'!$AM$20)*1</f>
        <v>313.91386533817797</v>
      </c>
      <c r="AA391" s="6">
        <f ca="1">('TE BE'!$AB$12+'TE BF_350'!$AB$12+'TE CVA'!$AB$12)*1</f>
        <v>248.89628694871266</v>
      </c>
      <c r="AB391" s="6">
        <f>$K$391*$V$391</f>
        <v>0</v>
      </c>
      <c r="AC391" s="6">
        <f>$M$391*$W$391</f>
        <v>926509.60128000006</v>
      </c>
      <c r="AD391" s="6">
        <f>$O$391*$X$391</f>
        <v>891203.74271999998</v>
      </c>
      <c r="AE391" s="6">
        <f>$K$391*$Y$391</f>
        <v>0</v>
      </c>
      <c r="AF391" s="6">
        <f ca="1">$M$391*$Z$391</f>
        <v>889486.23833487951</v>
      </c>
      <c r="AG391" s="6">
        <f ca="1">$O$391*$AA$391</f>
        <v>705256.58933550748</v>
      </c>
    </row>
    <row r="392" spans="1:33" ht="11.25" customHeight="1" x14ac:dyDescent="0.25">
      <c r="A392" s="4" t="s">
        <v>41</v>
      </c>
      <c r="B392" s="4" t="s">
        <v>22</v>
      </c>
      <c r="C392" s="4" t="s">
        <v>23</v>
      </c>
      <c r="D392" s="4" t="s">
        <v>24</v>
      </c>
      <c r="E392" s="4" t="s">
        <v>24</v>
      </c>
      <c r="F392" s="4" t="s">
        <v>25</v>
      </c>
      <c r="G392" s="4" t="s">
        <v>25</v>
      </c>
      <c r="H392" s="4" t="s">
        <v>25</v>
      </c>
      <c r="I392" s="5">
        <v>44440</v>
      </c>
      <c r="J392" s="6">
        <v>0</v>
      </c>
      <c r="K392" s="6">
        <v>0</v>
      </c>
      <c r="L392" s="6">
        <v>-0.77</v>
      </c>
      <c r="M392" s="6">
        <v>-0.77</v>
      </c>
      <c r="N392" s="6">
        <v>-0.77</v>
      </c>
      <c r="O392" s="6">
        <v>-0.77</v>
      </c>
      <c r="P392" s="6">
        <v>0</v>
      </c>
      <c r="Q392" s="4" t="s">
        <v>26</v>
      </c>
      <c r="R392" s="4">
        <v>0</v>
      </c>
      <c r="S392" s="6">
        <v>0</v>
      </c>
      <c r="T392" s="6">
        <v>12</v>
      </c>
      <c r="U392" s="6">
        <v>48</v>
      </c>
      <c r="V392" s="6">
        <f>IF(ISERROR(VLOOKUP($S$392,'TAR FIN'!$A$1:$O$86,15,0)),0,VLOOKUP($S$392,'TAR FIN'!$A$1:$O$86,15,0))</f>
        <v>0</v>
      </c>
      <c r="W392" s="6">
        <f>IF(ISERROR(VLOOKUP($T$392,'TAR FIN'!$A$1:$O$86,15,0)),0,VLOOKUP($T$392,'TAR FIN'!$A$1:$O$86,15,0))</f>
        <v>326.98</v>
      </c>
      <c r="X392" s="6">
        <f>IF(ISERROR(VLOOKUP($U$392,'TAR FIN'!$A$1:$O$86,15,0)),0,VLOOKUP($U$392,'TAR FIN'!$A$1:$O$86,15,0))</f>
        <v>314.52</v>
      </c>
      <c r="Y392" s="6"/>
      <c r="Z392" s="6">
        <f ca="1">('TUSD BE'!$AM$20+'TUSD BF_350'!$AM$20+'TUSD CVA'!$AM$20)*1</f>
        <v>313.91386533817797</v>
      </c>
      <c r="AA392" s="6">
        <f ca="1">('TE BE'!$AB$12+'TE BF_350'!$AB$12+'TE CVA'!$AB$12)*1</f>
        <v>248.89628694871266</v>
      </c>
      <c r="AB392" s="6">
        <f>$K$392*$V$392</f>
        <v>0</v>
      </c>
      <c r="AC392" s="6">
        <f>$M$392*$W$392</f>
        <v>-251.77460000000002</v>
      </c>
      <c r="AD392" s="6">
        <f>$O$392*$X$392</f>
        <v>-242.18039999999999</v>
      </c>
      <c r="AE392" s="6">
        <f>$K$392*$Y$392</f>
        <v>0</v>
      </c>
      <c r="AF392" s="6">
        <f ca="1">$M$392*$Z$392</f>
        <v>-241.71367631039703</v>
      </c>
      <c r="AG392" s="6">
        <f ca="1">$O$392*$AA$392</f>
        <v>-191.65014095050876</v>
      </c>
    </row>
    <row r="393" spans="1:33" ht="11.25" customHeight="1" x14ac:dyDescent="0.25">
      <c r="A393" s="4" t="s">
        <v>27</v>
      </c>
      <c r="B393" s="4" t="s">
        <v>22</v>
      </c>
      <c r="C393" s="4" t="s">
        <v>23</v>
      </c>
      <c r="D393" s="4" t="s">
        <v>24</v>
      </c>
      <c r="E393" s="4" t="s">
        <v>24</v>
      </c>
      <c r="F393" s="4" t="s">
        <v>25</v>
      </c>
      <c r="G393" s="4" t="s">
        <v>25</v>
      </c>
      <c r="H393" s="4" t="s">
        <v>25</v>
      </c>
      <c r="I393" s="5">
        <v>44440</v>
      </c>
      <c r="J393" s="6">
        <v>0</v>
      </c>
      <c r="K393" s="6">
        <v>0</v>
      </c>
      <c r="L393" s="6">
        <v>40.738999999999997</v>
      </c>
      <c r="M393" s="6">
        <v>40.738999999999997</v>
      </c>
      <c r="N393" s="6">
        <v>40.738999999999997</v>
      </c>
      <c r="O393" s="6">
        <v>40.738999999999997</v>
      </c>
      <c r="P393" s="6">
        <v>372</v>
      </c>
      <c r="Q393" s="4" t="s">
        <v>26</v>
      </c>
      <c r="R393" s="4">
        <v>0</v>
      </c>
      <c r="S393" s="6">
        <v>0</v>
      </c>
      <c r="T393" s="6">
        <v>12</v>
      </c>
      <c r="U393" s="6">
        <v>48</v>
      </c>
      <c r="V393" s="6">
        <f>IF(ISERROR(VLOOKUP($S$393,'TAR FIN'!$A$1:$O$86,15,0)),0,VLOOKUP($S$393,'TAR FIN'!$A$1:$O$86,15,0))</f>
        <v>0</v>
      </c>
      <c r="W393" s="6">
        <f>IF(ISERROR(VLOOKUP($T$393,'TAR FIN'!$A$1:$O$86,15,0)),0,VLOOKUP($T$393,'TAR FIN'!$A$1:$O$86,15,0))</f>
        <v>326.98</v>
      </c>
      <c r="X393" s="6">
        <f>IF(ISERROR(VLOOKUP($U$393,'TAR FIN'!$A$1:$O$86,15,0)),0,VLOOKUP($U$393,'TAR FIN'!$A$1:$O$86,15,0))</f>
        <v>314.52</v>
      </c>
      <c r="Y393" s="6"/>
      <c r="Z393" s="6">
        <f ca="1">('TUSD BE'!$AM$20+'TUSD BF_350'!$AM$20+'TUSD CVA'!$AM$20)*1</f>
        <v>313.91386533817797</v>
      </c>
      <c r="AA393" s="6">
        <f ca="1">('TE BE'!$AB$12+'TE BF_350'!$AB$12+'TE CVA'!$AB$12)*1</f>
        <v>248.89628694871266</v>
      </c>
      <c r="AB393" s="6">
        <f>$K$393*$V$393</f>
        <v>0</v>
      </c>
      <c r="AC393" s="6">
        <f>$M$393*$W$393</f>
        <v>13320.83822</v>
      </c>
      <c r="AD393" s="6">
        <f>$O$393*$X$393</f>
        <v>12813.230279999998</v>
      </c>
      <c r="AE393" s="6">
        <f>$K$393*$Y$393</f>
        <v>0</v>
      </c>
      <c r="AF393" s="6">
        <f ca="1">$M$393*$Z$393</f>
        <v>12788.536960012032</v>
      </c>
      <c r="AG393" s="6">
        <f ca="1">$O$393*$AA$393</f>
        <v>10139.785834003604</v>
      </c>
    </row>
    <row r="394" spans="1:33" ht="11.25" customHeight="1" x14ac:dyDescent="0.25">
      <c r="A394" s="4" t="s">
        <v>21</v>
      </c>
      <c r="B394" s="4" t="s">
        <v>22</v>
      </c>
      <c r="C394" s="4" t="s">
        <v>23</v>
      </c>
      <c r="D394" s="4" t="s">
        <v>24</v>
      </c>
      <c r="E394" s="4" t="s">
        <v>24</v>
      </c>
      <c r="F394" s="4" t="s">
        <v>25</v>
      </c>
      <c r="G394" s="4" t="s">
        <v>25</v>
      </c>
      <c r="H394" s="4" t="s">
        <v>25</v>
      </c>
      <c r="I394" s="5">
        <v>44470</v>
      </c>
      <c r="J394" s="6">
        <v>0</v>
      </c>
      <c r="K394" s="6">
        <v>0</v>
      </c>
      <c r="L394" s="6">
        <v>2772.837</v>
      </c>
      <c r="M394" s="6">
        <v>2772.837</v>
      </c>
      <c r="N394" s="6">
        <v>2772.837</v>
      </c>
      <c r="O394" s="6">
        <v>2772.837</v>
      </c>
      <c r="P394" s="6">
        <v>16503</v>
      </c>
      <c r="Q394" s="4" t="s">
        <v>26</v>
      </c>
      <c r="R394" s="4">
        <v>0</v>
      </c>
      <c r="S394" s="6">
        <v>0</v>
      </c>
      <c r="T394" s="6">
        <v>12</v>
      </c>
      <c r="U394" s="6">
        <v>48</v>
      </c>
      <c r="V394" s="6">
        <f>IF(ISERROR(VLOOKUP($S$394,'TAR FIN'!$A$1:$O$86,15,0)),0,VLOOKUP($S$394,'TAR FIN'!$A$1:$O$86,15,0))</f>
        <v>0</v>
      </c>
      <c r="W394" s="6">
        <f>IF(ISERROR(VLOOKUP($T$394,'TAR FIN'!$A$1:$O$86,15,0)),0,VLOOKUP($T$394,'TAR FIN'!$A$1:$O$86,15,0))</f>
        <v>326.98</v>
      </c>
      <c r="X394" s="6">
        <f>IF(ISERROR(VLOOKUP($U$394,'TAR FIN'!$A$1:$O$86,15,0)),0,VLOOKUP($U$394,'TAR FIN'!$A$1:$O$86,15,0))</f>
        <v>314.52</v>
      </c>
      <c r="Y394" s="6"/>
      <c r="Z394" s="6">
        <f ca="1">('TUSD BE'!$AM$20+'TUSD BF_350'!$AM$20+'TUSD CVA'!$AM$20)*1</f>
        <v>313.91386533817797</v>
      </c>
      <c r="AA394" s="6">
        <f ca="1">('TE BE'!$AB$12+'TE BF_350'!$AB$12+'TE CVA'!$AB$12)*1</f>
        <v>248.89628694871266</v>
      </c>
      <c r="AB394" s="6">
        <f>$K$394*$V$394</f>
        <v>0</v>
      </c>
      <c r="AC394" s="6">
        <f>$M$394*$W$394</f>
        <v>906662.24226000009</v>
      </c>
      <c r="AD394" s="6">
        <f>$O$394*$X$394</f>
        <v>872112.69323999994</v>
      </c>
      <c r="AE394" s="6">
        <f>$K$394*$Y$394</f>
        <v>0</v>
      </c>
      <c r="AF394" s="6">
        <f ca="1">$M$394*$Z$394</f>
        <v>870431.98062271741</v>
      </c>
      <c r="AG394" s="6">
        <f ca="1">$O$394*$AA$394</f>
        <v>690148.83361400757</v>
      </c>
    </row>
    <row r="395" spans="1:33" ht="11.25" customHeight="1" x14ac:dyDescent="0.25">
      <c r="A395" s="4" t="s">
        <v>41</v>
      </c>
      <c r="B395" s="4" t="s">
        <v>22</v>
      </c>
      <c r="C395" s="4" t="s">
        <v>23</v>
      </c>
      <c r="D395" s="4" t="s">
        <v>24</v>
      </c>
      <c r="E395" s="4" t="s">
        <v>24</v>
      </c>
      <c r="F395" s="4" t="s">
        <v>25</v>
      </c>
      <c r="G395" s="4" t="s">
        <v>25</v>
      </c>
      <c r="H395" s="4" t="s">
        <v>25</v>
      </c>
      <c r="I395" s="5">
        <v>44470</v>
      </c>
      <c r="J395" s="6">
        <v>0</v>
      </c>
      <c r="K395" s="6">
        <v>0</v>
      </c>
      <c r="L395" s="6">
        <v>-1.353</v>
      </c>
      <c r="M395" s="6">
        <v>-1.353</v>
      </c>
      <c r="N395" s="6">
        <v>-1.353</v>
      </c>
      <c r="O395" s="6">
        <v>-1.353</v>
      </c>
      <c r="P395" s="6">
        <v>0</v>
      </c>
      <c r="Q395" s="4" t="s">
        <v>26</v>
      </c>
      <c r="R395" s="4">
        <v>0</v>
      </c>
      <c r="S395" s="6">
        <v>0</v>
      </c>
      <c r="T395" s="6">
        <v>12</v>
      </c>
      <c r="U395" s="6">
        <v>48</v>
      </c>
      <c r="V395" s="6">
        <f>IF(ISERROR(VLOOKUP($S$395,'TAR FIN'!$A$1:$O$86,15,0)),0,VLOOKUP($S$395,'TAR FIN'!$A$1:$O$86,15,0))</f>
        <v>0</v>
      </c>
      <c r="W395" s="6">
        <f>IF(ISERROR(VLOOKUP($T$395,'TAR FIN'!$A$1:$O$86,15,0)),0,VLOOKUP($T$395,'TAR FIN'!$A$1:$O$86,15,0))</f>
        <v>326.98</v>
      </c>
      <c r="X395" s="6">
        <f>IF(ISERROR(VLOOKUP($U$395,'TAR FIN'!$A$1:$O$86,15,0)),0,VLOOKUP($U$395,'TAR FIN'!$A$1:$O$86,15,0))</f>
        <v>314.52</v>
      </c>
      <c r="Y395" s="6"/>
      <c r="Z395" s="6">
        <f ca="1">('TUSD BE'!$AM$20+'TUSD BF_350'!$AM$20+'TUSD CVA'!$AM$20)*1</f>
        <v>313.91386533817797</v>
      </c>
      <c r="AA395" s="6">
        <f ca="1">('TE BE'!$AB$12+'TE BF_350'!$AB$12+'TE CVA'!$AB$12)*1</f>
        <v>248.89628694871266</v>
      </c>
      <c r="AB395" s="6">
        <f>$K$395*$V$395</f>
        <v>0</v>
      </c>
      <c r="AC395" s="6">
        <f>$M$395*$W$395</f>
        <v>-442.40394000000003</v>
      </c>
      <c r="AD395" s="6">
        <f>$O$395*$X$395</f>
        <v>-425.54555999999997</v>
      </c>
      <c r="AE395" s="6">
        <f>$K$395*$Y$395</f>
        <v>0</v>
      </c>
      <c r="AF395" s="6">
        <f ca="1">$M$395*$Z$395</f>
        <v>-424.72545980255478</v>
      </c>
      <c r="AG395" s="6">
        <f ca="1">$O$395*$AA$395</f>
        <v>-336.7566762416082</v>
      </c>
    </row>
    <row r="396" spans="1:33" ht="11.25" customHeight="1" x14ac:dyDescent="0.25">
      <c r="A396" s="4" t="s">
        <v>27</v>
      </c>
      <c r="B396" s="4" t="s">
        <v>22</v>
      </c>
      <c r="C396" s="4" t="s">
        <v>23</v>
      </c>
      <c r="D396" s="4" t="s">
        <v>24</v>
      </c>
      <c r="E396" s="4" t="s">
        <v>24</v>
      </c>
      <c r="F396" s="4" t="s">
        <v>25</v>
      </c>
      <c r="G396" s="4" t="s">
        <v>25</v>
      </c>
      <c r="H396" s="4" t="s">
        <v>25</v>
      </c>
      <c r="I396" s="5">
        <v>44470</v>
      </c>
      <c r="J396" s="6">
        <v>0</v>
      </c>
      <c r="K396" s="6">
        <v>0</v>
      </c>
      <c r="L396" s="6">
        <v>38.133000000000003</v>
      </c>
      <c r="M396" s="6">
        <v>38.133000000000003</v>
      </c>
      <c r="N396" s="6">
        <v>38.133000000000003</v>
      </c>
      <c r="O396" s="6">
        <v>38.133000000000003</v>
      </c>
      <c r="P396" s="6">
        <v>396</v>
      </c>
      <c r="Q396" s="4" t="s">
        <v>26</v>
      </c>
      <c r="R396" s="4">
        <v>0</v>
      </c>
      <c r="S396" s="6">
        <v>0</v>
      </c>
      <c r="T396" s="6">
        <v>12</v>
      </c>
      <c r="U396" s="6">
        <v>48</v>
      </c>
      <c r="V396" s="6">
        <f>IF(ISERROR(VLOOKUP($S$396,'TAR FIN'!$A$1:$O$86,15,0)),0,VLOOKUP($S$396,'TAR FIN'!$A$1:$O$86,15,0))</f>
        <v>0</v>
      </c>
      <c r="W396" s="6">
        <f>IF(ISERROR(VLOOKUP($T$396,'TAR FIN'!$A$1:$O$86,15,0)),0,VLOOKUP($T$396,'TAR FIN'!$A$1:$O$86,15,0))</f>
        <v>326.98</v>
      </c>
      <c r="X396" s="6">
        <f>IF(ISERROR(VLOOKUP($U$396,'TAR FIN'!$A$1:$O$86,15,0)),0,VLOOKUP($U$396,'TAR FIN'!$A$1:$O$86,15,0))</f>
        <v>314.52</v>
      </c>
      <c r="Y396" s="6"/>
      <c r="Z396" s="6">
        <f ca="1">('TUSD BE'!$AM$20+'TUSD BF_350'!$AM$20+'TUSD CVA'!$AM$20)*1</f>
        <v>313.91386533817797</v>
      </c>
      <c r="AA396" s="6">
        <f ca="1">('TE BE'!$AB$12+'TE BF_350'!$AB$12+'TE CVA'!$AB$12)*1</f>
        <v>248.89628694871266</v>
      </c>
      <c r="AB396" s="6">
        <f>$K$396*$V$396</f>
        <v>0</v>
      </c>
      <c r="AC396" s="6">
        <f>$M$396*$W$396</f>
        <v>12468.728340000001</v>
      </c>
      <c r="AD396" s="6">
        <f>$O$396*$X$396</f>
        <v>11993.59116</v>
      </c>
      <c r="AE396" s="6">
        <f>$K$396*$Y$396</f>
        <v>0</v>
      </c>
      <c r="AF396" s="6">
        <f ca="1">$M$396*$Z$396</f>
        <v>11970.477426940741</v>
      </c>
      <c r="AG396" s="6">
        <f ca="1">$O$396*$AA$396</f>
        <v>9491.1621102152603</v>
      </c>
    </row>
    <row r="397" spans="1:33" ht="11.25" customHeight="1" x14ac:dyDescent="0.25">
      <c r="A397" s="4" t="s">
        <v>21</v>
      </c>
      <c r="B397" s="4" t="s">
        <v>22</v>
      </c>
      <c r="C397" s="4" t="s">
        <v>23</v>
      </c>
      <c r="D397" s="4" t="s">
        <v>24</v>
      </c>
      <c r="E397" s="4" t="s">
        <v>24</v>
      </c>
      <c r="F397" s="4" t="s">
        <v>25</v>
      </c>
      <c r="G397" s="4" t="s">
        <v>25</v>
      </c>
      <c r="H397" s="4" t="s">
        <v>25</v>
      </c>
      <c r="I397" s="5">
        <v>44501</v>
      </c>
      <c r="J397" s="6">
        <v>0</v>
      </c>
      <c r="K397" s="6">
        <v>0</v>
      </c>
      <c r="L397" s="6">
        <v>3114.3560000000002</v>
      </c>
      <c r="M397" s="6">
        <v>3114.3560000000002</v>
      </c>
      <c r="N397" s="6">
        <v>3114.3560000000002</v>
      </c>
      <c r="O397" s="6">
        <v>3114.3560000000002</v>
      </c>
      <c r="P397" s="6">
        <v>16484</v>
      </c>
      <c r="Q397" s="4" t="s">
        <v>26</v>
      </c>
      <c r="R397" s="4">
        <v>0</v>
      </c>
      <c r="S397" s="6">
        <v>0</v>
      </c>
      <c r="T397" s="6">
        <v>12</v>
      </c>
      <c r="U397" s="6">
        <v>48</v>
      </c>
      <c r="V397" s="6">
        <f>IF(ISERROR(VLOOKUP($S$397,'TAR FIN'!$A$1:$O$86,15,0)),0,VLOOKUP($S$397,'TAR FIN'!$A$1:$O$86,15,0))</f>
        <v>0</v>
      </c>
      <c r="W397" s="6">
        <f>IF(ISERROR(VLOOKUP($T$397,'TAR FIN'!$A$1:$O$86,15,0)),0,VLOOKUP($T$397,'TAR FIN'!$A$1:$O$86,15,0))</f>
        <v>326.98</v>
      </c>
      <c r="X397" s="6">
        <f>IF(ISERROR(VLOOKUP($U$397,'TAR FIN'!$A$1:$O$86,15,0)),0,VLOOKUP($U$397,'TAR FIN'!$A$1:$O$86,15,0))</f>
        <v>314.52</v>
      </c>
      <c r="Y397" s="6"/>
      <c r="Z397" s="6">
        <f ca="1">('TUSD BE'!$AM$20+'TUSD BF_350'!$AM$20+'TUSD CVA'!$AM$20)*1</f>
        <v>313.91386533817797</v>
      </c>
      <c r="AA397" s="6">
        <f ca="1">('TE BE'!$AB$12+'TE BF_350'!$AB$12+'TE CVA'!$AB$12)*1</f>
        <v>248.89628694871266</v>
      </c>
      <c r="AB397" s="6">
        <f>$K$397*$V$397</f>
        <v>0</v>
      </c>
      <c r="AC397" s="6">
        <f>$M$397*$W$397</f>
        <v>1018332.1248800001</v>
      </c>
      <c r="AD397" s="6">
        <f>$O$397*$X$397</f>
        <v>979527.24912000005</v>
      </c>
      <c r="AE397" s="6">
        <f>$K$397*$Y$397</f>
        <v>0</v>
      </c>
      <c r="AF397" s="6">
        <f ca="1">$M$397*$Z$397</f>
        <v>977639.5299991467</v>
      </c>
      <c r="AG397" s="6">
        <f ca="1">$O$397*$AA$397</f>
        <v>775151.64463644498</v>
      </c>
    </row>
    <row r="398" spans="1:33" ht="11.25" customHeight="1" x14ac:dyDescent="0.25">
      <c r="A398" s="4" t="s">
        <v>41</v>
      </c>
      <c r="B398" s="4" t="s">
        <v>22</v>
      </c>
      <c r="C398" s="4" t="s">
        <v>23</v>
      </c>
      <c r="D398" s="4" t="s">
        <v>24</v>
      </c>
      <c r="E398" s="4" t="s">
        <v>24</v>
      </c>
      <c r="F398" s="4" t="s">
        <v>25</v>
      </c>
      <c r="G398" s="4" t="s">
        <v>25</v>
      </c>
      <c r="H398" s="4" t="s">
        <v>25</v>
      </c>
      <c r="I398" s="5">
        <v>44501</v>
      </c>
      <c r="J398" s="6">
        <v>0</v>
      </c>
      <c r="K398" s="6">
        <v>0</v>
      </c>
      <c r="L398" s="6">
        <v>-1.1379999999999999</v>
      </c>
      <c r="M398" s="6">
        <v>-1.1379999999999999</v>
      </c>
      <c r="N398" s="6">
        <v>-1.1379999999999999</v>
      </c>
      <c r="O398" s="6">
        <v>-1.1379999999999999</v>
      </c>
      <c r="P398" s="6">
        <v>0</v>
      </c>
      <c r="Q398" s="4" t="s">
        <v>26</v>
      </c>
      <c r="R398" s="4">
        <v>0</v>
      </c>
      <c r="S398" s="6">
        <v>0</v>
      </c>
      <c r="T398" s="6">
        <v>12</v>
      </c>
      <c r="U398" s="6">
        <v>48</v>
      </c>
      <c r="V398" s="6">
        <f>IF(ISERROR(VLOOKUP($S$398,'TAR FIN'!$A$1:$O$86,15,0)),0,VLOOKUP($S$398,'TAR FIN'!$A$1:$O$86,15,0))</f>
        <v>0</v>
      </c>
      <c r="W398" s="6">
        <f>IF(ISERROR(VLOOKUP($T$398,'TAR FIN'!$A$1:$O$86,15,0)),0,VLOOKUP($T$398,'TAR FIN'!$A$1:$O$86,15,0))</f>
        <v>326.98</v>
      </c>
      <c r="X398" s="6">
        <f>IF(ISERROR(VLOOKUP($U$398,'TAR FIN'!$A$1:$O$86,15,0)),0,VLOOKUP($U$398,'TAR FIN'!$A$1:$O$86,15,0))</f>
        <v>314.52</v>
      </c>
      <c r="Y398" s="6"/>
      <c r="Z398" s="6">
        <f ca="1">('TUSD BE'!$AM$20+'TUSD BF_350'!$AM$20+'TUSD CVA'!$AM$20)*1</f>
        <v>313.91386533817797</v>
      </c>
      <c r="AA398" s="6">
        <f ca="1">('TE BE'!$AB$12+'TE BF_350'!$AB$12+'TE CVA'!$AB$12)*1</f>
        <v>248.89628694871266</v>
      </c>
      <c r="AB398" s="6">
        <f>$K$398*$V$398</f>
        <v>0</v>
      </c>
      <c r="AC398" s="6">
        <f>$M$398*$W$398</f>
        <v>-372.10323999999997</v>
      </c>
      <c r="AD398" s="6">
        <f>$O$398*$X$398</f>
        <v>-357.92375999999996</v>
      </c>
      <c r="AE398" s="6">
        <f>$K$398*$Y$398</f>
        <v>0</v>
      </c>
      <c r="AF398" s="6">
        <f ca="1">$M$398*$Z$398</f>
        <v>-357.23397875484648</v>
      </c>
      <c r="AG398" s="6">
        <f ca="1">$O$398*$AA$398</f>
        <v>-283.24397454763499</v>
      </c>
    </row>
    <row r="399" spans="1:33" ht="11.25" customHeight="1" x14ac:dyDescent="0.25">
      <c r="A399" s="4" t="s">
        <v>27</v>
      </c>
      <c r="B399" s="4" t="s">
        <v>22</v>
      </c>
      <c r="C399" s="4" t="s">
        <v>23</v>
      </c>
      <c r="D399" s="4" t="s">
        <v>24</v>
      </c>
      <c r="E399" s="4" t="s">
        <v>24</v>
      </c>
      <c r="F399" s="4" t="s">
        <v>25</v>
      </c>
      <c r="G399" s="4" t="s">
        <v>25</v>
      </c>
      <c r="H399" s="4" t="s">
        <v>25</v>
      </c>
      <c r="I399" s="5">
        <v>44501</v>
      </c>
      <c r="J399" s="6">
        <v>0</v>
      </c>
      <c r="K399" s="6">
        <v>0</v>
      </c>
      <c r="L399" s="6">
        <v>45.253999999999998</v>
      </c>
      <c r="M399" s="6">
        <v>45.253999999999998</v>
      </c>
      <c r="N399" s="6">
        <v>45.253999999999998</v>
      </c>
      <c r="O399" s="6">
        <v>45.253999999999998</v>
      </c>
      <c r="P399" s="6">
        <v>430</v>
      </c>
      <c r="Q399" s="4" t="s">
        <v>26</v>
      </c>
      <c r="R399" s="4">
        <v>0</v>
      </c>
      <c r="S399" s="6">
        <v>0</v>
      </c>
      <c r="T399" s="6">
        <v>12</v>
      </c>
      <c r="U399" s="6">
        <v>48</v>
      </c>
      <c r="V399" s="6">
        <f>IF(ISERROR(VLOOKUP($S$399,'TAR FIN'!$A$1:$O$86,15,0)),0,VLOOKUP($S$399,'TAR FIN'!$A$1:$O$86,15,0))</f>
        <v>0</v>
      </c>
      <c r="W399" s="6">
        <f>IF(ISERROR(VLOOKUP($T$399,'TAR FIN'!$A$1:$O$86,15,0)),0,VLOOKUP($T$399,'TAR FIN'!$A$1:$O$86,15,0))</f>
        <v>326.98</v>
      </c>
      <c r="X399" s="6">
        <f>IF(ISERROR(VLOOKUP($U$399,'TAR FIN'!$A$1:$O$86,15,0)),0,VLOOKUP($U$399,'TAR FIN'!$A$1:$O$86,15,0))</f>
        <v>314.52</v>
      </c>
      <c r="Y399" s="6"/>
      <c r="Z399" s="6">
        <f ca="1">('TUSD BE'!$AM$20+'TUSD BF_350'!$AM$20+'TUSD CVA'!$AM$20)*1</f>
        <v>313.91386533817797</v>
      </c>
      <c r="AA399" s="6">
        <f ca="1">('TE BE'!$AB$12+'TE BF_350'!$AB$12+'TE CVA'!$AB$12)*1</f>
        <v>248.89628694871266</v>
      </c>
      <c r="AB399" s="6">
        <f>$K$399*$V$399</f>
        <v>0</v>
      </c>
      <c r="AC399" s="6">
        <f>$M$399*$W$399</f>
        <v>14797.15292</v>
      </c>
      <c r="AD399" s="6">
        <f>$O$399*$X$399</f>
        <v>14233.288079999998</v>
      </c>
      <c r="AE399" s="6">
        <f>$K$399*$Y$399</f>
        <v>0</v>
      </c>
      <c r="AF399" s="6">
        <f ca="1">$M$399*$Z$399</f>
        <v>14205.858062013906</v>
      </c>
      <c r="AG399" s="6">
        <f ca="1">$O$399*$AA$399</f>
        <v>11263.552569577041</v>
      </c>
    </row>
    <row r="400" spans="1:33" ht="11.25" customHeight="1" x14ac:dyDescent="0.25">
      <c r="A400" s="4" t="s">
        <v>21</v>
      </c>
      <c r="B400" s="4" t="s">
        <v>22</v>
      </c>
      <c r="C400" s="4" t="s">
        <v>23</v>
      </c>
      <c r="D400" s="4" t="s">
        <v>24</v>
      </c>
      <c r="E400" s="4" t="s">
        <v>24</v>
      </c>
      <c r="F400" s="4" t="s">
        <v>25</v>
      </c>
      <c r="G400" s="4" t="s">
        <v>25</v>
      </c>
      <c r="H400" s="4" t="s">
        <v>25</v>
      </c>
      <c r="I400" s="5">
        <v>44531</v>
      </c>
      <c r="J400" s="6">
        <v>0</v>
      </c>
      <c r="K400" s="6">
        <v>0</v>
      </c>
      <c r="L400" s="6">
        <v>3332.3330000000001</v>
      </c>
      <c r="M400" s="6">
        <v>3332.3330000000001</v>
      </c>
      <c r="N400" s="6">
        <v>3332.3330000000001</v>
      </c>
      <c r="O400" s="6">
        <v>3332.3330000000001</v>
      </c>
      <c r="P400" s="6">
        <v>16485</v>
      </c>
      <c r="Q400" s="4" t="s">
        <v>26</v>
      </c>
      <c r="R400" s="4">
        <v>0</v>
      </c>
      <c r="S400" s="6">
        <v>0</v>
      </c>
      <c r="T400" s="6">
        <v>12</v>
      </c>
      <c r="U400" s="6">
        <v>48</v>
      </c>
      <c r="V400" s="6">
        <f>IF(ISERROR(VLOOKUP($S$400,'TAR FIN'!$A$1:$O$86,15,0)),0,VLOOKUP($S$400,'TAR FIN'!$A$1:$O$86,15,0))</f>
        <v>0</v>
      </c>
      <c r="W400" s="6">
        <f>IF(ISERROR(VLOOKUP($T$400,'TAR FIN'!$A$1:$O$86,15,0)),0,VLOOKUP($T$400,'TAR FIN'!$A$1:$O$86,15,0))</f>
        <v>326.98</v>
      </c>
      <c r="X400" s="6">
        <f>IF(ISERROR(VLOOKUP($U$400,'TAR FIN'!$A$1:$O$86,15,0)),0,VLOOKUP($U$400,'TAR FIN'!$A$1:$O$86,15,0))</f>
        <v>314.52</v>
      </c>
      <c r="Y400" s="6"/>
      <c r="Z400" s="6">
        <f ca="1">('TUSD BE'!$AM$20+'TUSD BF_350'!$AM$20+'TUSD CVA'!$AM$20)*1</f>
        <v>313.91386533817797</v>
      </c>
      <c r="AA400" s="6">
        <f ca="1">('TE BE'!$AB$12+'TE BF_350'!$AB$12+'TE CVA'!$AB$12)*1</f>
        <v>248.89628694871266</v>
      </c>
      <c r="AB400" s="6">
        <f>$K$400*$V$400</f>
        <v>0</v>
      </c>
      <c r="AC400" s="6">
        <f>$M$400*$W$400</f>
        <v>1089606.24434</v>
      </c>
      <c r="AD400" s="6">
        <f>$O$400*$X$400</f>
        <v>1048085.3751599999</v>
      </c>
      <c r="AE400" s="6">
        <f>$K$400*$Y$400</f>
        <v>0</v>
      </c>
      <c r="AF400" s="6">
        <f ca="1">$M$400*$Z$400</f>
        <v>1046065.5326239667</v>
      </c>
      <c r="AG400" s="6">
        <f ca="1">$O$400*$AA$400</f>
        <v>829405.31057666452</v>
      </c>
    </row>
    <row r="401" spans="1:33" ht="11.25" customHeight="1" x14ac:dyDescent="0.25">
      <c r="A401" s="4" t="s">
        <v>41</v>
      </c>
      <c r="B401" s="4" t="s">
        <v>22</v>
      </c>
      <c r="C401" s="4" t="s">
        <v>23</v>
      </c>
      <c r="D401" s="4" t="s">
        <v>24</v>
      </c>
      <c r="E401" s="4" t="s">
        <v>24</v>
      </c>
      <c r="F401" s="4" t="s">
        <v>25</v>
      </c>
      <c r="G401" s="4" t="s">
        <v>25</v>
      </c>
      <c r="H401" s="4" t="s">
        <v>25</v>
      </c>
      <c r="I401" s="5">
        <v>44531</v>
      </c>
      <c r="J401" s="6">
        <v>0</v>
      </c>
      <c r="K401" s="6">
        <v>0</v>
      </c>
      <c r="L401" s="6">
        <v>-0.97699999999999998</v>
      </c>
      <c r="M401" s="6">
        <v>-0.97699999999999998</v>
      </c>
      <c r="N401" s="6">
        <v>-0.97699999999999998</v>
      </c>
      <c r="O401" s="6">
        <v>-0.97699999999999998</v>
      </c>
      <c r="P401" s="6">
        <v>0</v>
      </c>
      <c r="Q401" s="4" t="s">
        <v>26</v>
      </c>
      <c r="R401" s="4">
        <v>0</v>
      </c>
      <c r="S401" s="6">
        <v>0</v>
      </c>
      <c r="T401" s="6">
        <v>12</v>
      </c>
      <c r="U401" s="6">
        <v>48</v>
      </c>
      <c r="V401" s="6">
        <f>IF(ISERROR(VLOOKUP($S$401,'TAR FIN'!$A$1:$O$86,15,0)),0,VLOOKUP($S$401,'TAR FIN'!$A$1:$O$86,15,0))</f>
        <v>0</v>
      </c>
      <c r="W401" s="6">
        <f>IF(ISERROR(VLOOKUP($T$401,'TAR FIN'!$A$1:$O$86,15,0)),0,VLOOKUP($T$401,'TAR FIN'!$A$1:$O$86,15,0))</f>
        <v>326.98</v>
      </c>
      <c r="X401" s="6">
        <f>IF(ISERROR(VLOOKUP($U$401,'TAR FIN'!$A$1:$O$86,15,0)),0,VLOOKUP($U$401,'TAR FIN'!$A$1:$O$86,15,0))</f>
        <v>314.52</v>
      </c>
      <c r="Y401" s="6"/>
      <c r="Z401" s="6">
        <f ca="1">('TUSD BE'!$AM$20+'TUSD BF_350'!$AM$20+'TUSD CVA'!$AM$20)*1</f>
        <v>313.91386533817797</v>
      </c>
      <c r="AA401" s="6">
        <f ca="1">('TE BE'!$AB$12+'TE BF_350'!$AB$12+'TE CVA'!$AB$12)*1</f>
        <v>248.89628694871266</v>
      </c>
      <c r="AB401" s="6">
        <f>$K$401*$V$401</f>
        <v>0</v>
      </c>
      <c r="AC401" s="6">
        <f>$M$401*$W$401</f>
        <v>-319.45946000000004</v>
      </c>
      <c r="AD401" s="6">
        <f>$O$401*$X$401</f>
        <v>-307.28603999999996</v>
      </c>
      <c r="AE401" s="6">
        <f>$K$401*$Y$401</f>
        <v>0</v>
      </c>
      <c r="AF401" s="6">
        <f ca="1">$M$401*$Z$401</f>
        <v>-306.69384643539985</v>
      </c>
      <c r="AG401" s="6">
        <f ca="1">$O$401*$AA$401</f>
        <v>-243.17167234889226</v>
      </c>
    </row>
    <row r="402" spans="1:33" ht="11.25" customHeight="1" x14ac:dyDescent="0.25">
      <c r="A402" s="4" t="s">
        <v>27</v>
      </c>
      <c r="B402" s="4" t="s">
        <v>22</v>
      </c>
      <c r="C402" s="4" t="s">
        <v>23</v>
      </c>
      <c r="D402" s="4" t="s">
        <v>24</v>
      </c>
      <c r="E402" s="4" t="s">
        <v>24</v>
      </c>
      <c r="F402" s="4" t="s">
        <v>25</v>
      </c>
      <c r="G402" s="4" t="s">
        <v>25</v>
      </c>
      <c r="H402" s="4" t="s">
        <v>25</v>
      </c>
      <c r="I402" s="5">
        <v>44531</v>
      </c>
      <c r="J402" s="6">
        <v>0</v>
      </c>
      <c r="K402" s="6">
        <v>0</v>
      </c>
      <c r="L402" s="6">
        <v>50.527000000000001</v>
      </c>
      <c r="M402" s="6">
        <v>50.527000000000001</v>
      </c>
      <c r="N402" s="6">
        <v>50.527000000000001</v>
      </c>
      <c r="O402" s="6">
        <v>50.527000000000001</v>
      </c>
      <c r="P402" s="6">
        <v>459</v>
      </c>
      <c r="Q402" s="4" t="s">
        <v>26</v>
      </c>
      <c r="R402" s="4">
        <v>0</v>
      </c>
      <c r="S402" s="6">
        <v>0</v>
      </c>
      <c r="T402" s="6">
        <v>12</v>
      </c>
      <c r="U402" s="6">
        <v>48</v>
      </c>
      <c r="V402" s="6">
        <f>IF(ISERROR(VLOOKUP($S$402,'TAR FIN'!$A$1:$O$86,15,0)),0,VLOOKUP($S$402,'TAR FIN'!$A$1:$O$86,15,0))</f>
        <v>0</v>
      </c>
      <c r="W402" s="6">
        <f>IF(ISERROR(VLOOKUP($T$402,'TAR FIN'!$A$1:$O$86,15,0)),0,VLOOKUP($T$402,'TAR FIN'!$A$1:$O$86,15,0))</f>
        <v>326.98</v>
      </c>
      <c r="X402" s="6">
        <f>IF(ISERROR(VLOOKUP($U$402,'TAR FIN'!$A$1:$O$86,15,0)),0,VLOOKUP($U$402,'TAR FIN'!$A$1:$O$86,15,0))</f>
        <v>314.52</v>
      </c>
      <c r="Y402" s="6"/>
      <c r="Z402" s="6">
        <f ca="1">('TUSD BE'!$AM$20+'TUSD BF_350'!$AM$20+'TUSD CVA'!$AM$20)*1</f>
        <v>313.91386533817797</v>
      </c>
      <c r="AA402" s="6">
        <f ca="1">('TE BE'!$AB$12+'TE BF_350'!$AB$12+'TE CVA'!$AB$12)*1</f>
        <v>248.89628694871266</v>
      </c>
      <c r="AB402" s="6">
        <f>$K$402*$V$402</f>
        <v>0</v>
      </c>
      <c r="AC402" s="6">
        <f>$M$402*$W$402</f>
        <v>16521.318460000002</v>
      </c>
      <c r="AD402" s="6">
        <f>$O$402*$X$402</f>
        <v>15891.752039999999</v>
      </c>
      <c r="AE402" s="6">
        <f>$K$402*$Y$402</f>
        <v>0</v>
      </c>
      <c r="AF402" s="6">
        <f ca="1">$M$402*$Z$402</f>
        <v>15861.125873942119</v>
      </c>
      <c r="AG402" s="6">
        <f ca="1">$O$402*$AA$402</f>
        <v>12575.982690657605</v>
      </c>
    </row>
    <row r="403" spans="1:33" ht="11.25" customHeight="1" x14ac:dyDescent="0.25">
      <c r="A403" s="4" t="s">
        <v>21</v>
      </c>
      <c r="B403" s="4" t="s">
        <v>22</v>
      </c>
      <c r="C403" s="4" t="s">
        <v>23</v>
      </c>
      <c r="D403" s="4" t="s">
        <v>24</v>
      </c>
      <c r="E403" s="4" t="s">
        <v>24</v>
      </c>
      <c r="F403" s="4" t="s">
        <v>25</v>
      </c>
      <c r="G403" s="4" t="s">
        <v>25</v>
      </c>
      <c r="H403" s="4" t="s">
        <v>25</v>
      </c>
      <c r="I403" s="5">
        <v>44562</v>
      </c>
      <c r="J403" s="6">
        <v>0</v>
      </c>
      <c r="K403" s="6">
        <v>0</v>
      </c>
      <c r="L403" s="6">
        <v>3819.6080000000002</v>
      </c>
      <c r="M403" s="6">
        <v>3819.6080000000002</v>
      </c>
      <c r="N403" s="6">
        <v>3819.6080000000002</v>
      </c>
      <c r="O403" s="6">
        <v>3819.6080000000002</v>
      </c>
      <c r="P403" s="6">
        <v>16283</v>
      </c>
      <c r="Q403" s="4" t="s">
        <v>26</v>
      </c>
      <c r="R403" s="4">
        <v>0</v>
      </c>
      <c r="S403" s="6">
        <v>0</v>
      </c>
      <c r="T403" s="6">
        <v>12</v>
      </c>
      <c r="U403" s="6">
        <v>48</v>
      </c>
      <c r="V403" s="6">
        <f>IF(ISERROR(VLOOKUP($S$403,'TAR FIN'!$A$1:$O$86,15,0)),0,VLOOKUP($S$403,'TAR FIN'!$A$1:$O$86,15,0))</f>
        <v>0</v>
      </c>
      <c r="W403" s="6">
        <f>IF(ISERROR(VLOOKUP($T$403,'TAR FIN'!$A$1:$O$86,15,0)),0,VLOOKUP($T$403,'TAR FIN'!$A$1:$O$86,15,0))</f>
        <v>326.98</v>
      </c>
      <c r="X403" s="6">
        <f>IF(ISERROR(VLOOKUP($U$403,'TAR FIN'!$A$1:$O$86,15,0)),0,VLOOKUP($U$403,'TAR FIN'!$A$1:$O$86,15,0))</f>
        <v>314.52</v>
      </c>
      <c r="Y403" s="6"/>
      <c r="Z403" s="6">
        <f ca="1">('TUSD BE'!$AM$20+'TUSD BF_350'!$AM$20+'TUSD CVA'!$AM$20)*1</f>
        <v>313.91386533817797</v>
      </c>
      <c r="AA403" s="6">
        <f ca="1">('TE BE'!$AB$12+'TE BF_350'!$AB$12+'TE CVA'!$AB$12)*1</f>
        <v>248.89628694871266</v>
      </c>
      <c r="AB403" s="6">
        <f>$K$403*$V$403</f>
        <v>0</v>
      </c>
      <c r="AC403" s="6">
        <f>$M$403*$W$403</f>
        <v>1248935.4238400001</v>
      </c>
      <c r="AD403" s="6">
        <f>$O$403*$X$403</f>
        <v>1201343.1081600001</v>
      </c>
      <c r="AE403" s="6">
        <f>$K$403*$Y$403</f>
        <v>0</v>
      </c>
      <c r="AF403" s="6">
        <f ca="1">$M$403*$Z$403</f>
        <v>1199027.9113566272</v>
      </c>
      <c r="AG403" s="6">
        <f ca="1">$O$403*$AA$403</f>
        <v>950686.24879959854</v>
      </c>
    </row>
    <row r="404" spans="1:33" ht="11.25" customHeight="1" x14ac:dyDescent="0.25">
      <c r="A404" s="4" t="s">
        <v>27</v>
      </c>
      <c r="B404" s="4" t="s">
        <v>22</v>
      </c>
      <c r="C404" s="4" t="s">
        <v>23</v>
      </c>
      <c r="D404" s="4" t="s">
        <v>24</v>
      </c>
      <c r="E404" s="4" t="s">
        <v>24</v>
      </c>
      <c r="F404" s="4" t="s">
        <v>25</v>
      </c>
      <c r="G404" s="4" t="s">
        <v>25</v>
      </c>
      <c r="H404" s="4" t="s">
        <v>25</v>
      </c>
      <c r="I404" s="5">
        <v>44562</v>
      </c>
      <c r="J404" s="6">
        <v>0</v>
      </c>
      <c r="K404" s="6">
        <v>0</v>
      </c>
      <c r="L404" s="6">
        <v>71.531999999999996</v>
      </c>
      <c r="M404" s="6">
        <v>71.531999999999996</v>
      </c>
      <c r="N404" s="6">
        <v>71.531999999999996</v>
      </c>
      <c r="O404" s="6">
        <v>71.531999999999996</v>
      </c>
      <c r="P404" s="6">
        <v>500</v>
      </c>
      <c r="Q404" s="4" t="s">
        <v>26</v>
      </c>
      <c r="R404" s="4">
        <v>0</v>
      </c>
      <c r="S404" s="6">
        <v>0</v>
      </c>
      <c r="T404" s="6">
        <v>12</v>
      </c>
      <c r="U404" s="6">
        <v>48</v>
      </c>
      <c r="V404" s="6">
        <f>IF(ISERROR(VLOOKUP($S$404,'TAR FIN'!$A$1:$O$86,15,0)),0,VLOOKUP($S$404,'TAR FIN'!$A$1:$O$86,15,0))</f>
        <v>0</v>
      </c>
      <c r="W404" s="6">
        <f>IF(ISERROR(VLOOKUP($T$404,'TAR FIN'!$A$1:$O$86,15,0)),0,VLOOKUP($T$404,'TAR FIN'!$A$1:$O$86,15,0))</f>
        <v>326.98</v>
      </c>
      <c r="X404" s="6">
        <f>IF(ISERROR(VLOOKUP($U$404,'TAR FIN'!$A$1:$O$86,15,0)),0,VLOOKUP($U$404,'TAR FIN'!$A$1:$O$86,15,0))</f>
        <v>314.52</v>
      </c>
      <c r="Y404" s="6"/>
      <c r="Z404" s="6">
        <f ca="1">('TUSD BE'!$AM$20+'TUSD BF_350'!$AM$20+'TUSD CVA'!$AM$20)*1</f>
        <v>313.91386533817797</v>
      </c>
      <c r="AA404" s="6">
        <f ca="1">('TE BE'!$AB$12+'TE BF_350'!$AB$12+'TE CVA'!$AB$12)*1</f>
        <v>248.89628694871266</v>
      </c>
      <c r="AB404" s="6">
        <f>$K$404*$V$404</f>
        <v>0</v>
      </c>
      <c r="AC404" s="6">
        <f>$M$404*$W$404</f>
        <v>23389.533360000001</v>
      </c>
      <c r="AD404" s="6">
        <f>$O$404*$X$404</f>
        <v>22498.244639999997</v>
      </c>
      <c r="AE404" s="6">
        <f>$K$404*$Y$404</f>
        <v>0</v>
      </c>
      <c r="AF404" s="6">
        <f ca="1">$M$404*$Z$404</f>
        <v>22454.886615370546</v>
      </c>
      <c r="AG404" s="6">
        <f ca="1">$O$404*$AA$404</f>
        <v>17804.049198015313</v>
      </c>
    </row>
    <row r="405" spans="1:33" ht="11.25" customHeight="1" x14ac:dyDescent="0.25">
      <c r="A405" s="4" t="s">
        <v>21</v>
      </c>
      <c r="B405" s="4" t="s">
        <v>22</v>
      </c>
      <c r="C405" s="4" t="s">
        <v>23</v>
      </c>
      <c r="D405" s="4" t="s">
        <v>24</v>
      </c>
      <c r="E405" s="4" t="s">
        <v>24</v>
      </c>
      <c r="F405" s="4" t="s">
        <v>25</v>
      </c>
      <c r="G405" s="4" t="s">
        <v>25</v>
      </c>
      <c r="H405" s="4" t="s">
        <v>25</v>
      </c>
      <c r="I405" s="5">
        <v>44593</v>
      </c>
      <c r="J405" s="6">
        <v>0</v>
      </c>
      <c r="K405" s="6">
        <v>0</v>
      </c>
      <c r="L405" s="6">
        <v>3373.0909999999999</v>
      </c>
      <c r="M405" s="6">
        <v>3373.0909999999999</v>
      </c>
      <c r="N405" s="6">
        <v>3373.0909999999999</v>
      </c>
      <c r="O405" s="6">
        <v>3373.0909999999999</v>
      </c>
      <c r="P405" s="6">
        <v>16224</v>
      </c>
      <c r="Q405" s="4" t="s">
        <v>26</v>
      </c>
      <c r="R405" s="4">
        <v>0</v>
      </c>
      <c r="S405" s="6">
        <v>0</v>
      </c>
      <c r="T405" s="6">
        <v>12</v>
      </c>
      <c r="U405" s="6">
        <v>48</v>
      </c>
      <c r="V405" s="6">
        <f>IF(ISERROR(VLOOKUP($S$405,'TAR FIN'!$A$1:$O$86,15,0)),0,VLOOKUP($S$405,'TAR FIN'!$A$1:$O$86,15,0))</f>
        <v>0</v>
      </c>
      <c r="W405" s="6">
        <f>IF(ISERROR(VLOOKUP($T$405,'TAR FIN'!$A$1:$O$86,15,0)),0,VLOOKUP($T$405,'TAR FIN'!$A$1:$O$86,15,0))</f>
        <v>326.98</v>
      </c>
      <c r="X405" s="6">
        <f>IF(ISERROR(VLOOKUP($U$405,'TAR FIN'!$A$1:$O$86,15,0)),0,VLOOKUP($U$405,'TAR FIN'!$A$1:$O$86,15,0))</f>
        <v>314.52</v>
      </c>
      <c r="Y405" s="6"/>
      <c r="Z405" s="6">
        <f ca="1">('TUSD BE'!$AM$20+'TUSD BF_350'!$AM$20+'TUSD CVA'!$AM$20)*1</f>
        <v>313.91386533817797</v>
      </c>
      <c r="AA405" s="6">
        <f ca="1">('TE BE'!$AB$12+'TE BF_350'!$AB$12+'TE CVA'!$AB$12)*1</f>
        <v>248.89628694871266</v>
      </c>
      <c r="AB405" s="6">
        <f>$K$405*$V$405</f>
        <v>0</v>
      </c>
      <c r="AC405" s="6">
        <f>$M$405*$W$405</f>
        <v>1102933.2951800001</v>
      </c>
      <c r="AD405" s="6">
        <f>$O$405*$X$405</f>
        <v>1060904.5813199999</v>
      </c>
      <c r="AE405" s="6">
        <f>$K$405*$Y$405</f>
        <v>0</v>
      </c>
      <c r="AF405" s="6">
        <f ca="1">$M$405*$Z$405</f>
        <v>1058860.0339474201</v>
      </c>
      <c r="AG405" s="6">
        <f ca="1">$O$405*$AA$405</f>
        <v>839549.82544012007</v>
      </c>
    </row>
    <row r="406" spans="1:33" ht="11.25" customHeight="1" x14ac:dyDescent="0.25">
      <c r="A406" s="4" t="s">
        <v>27</v>
      </c>
      <c r="B406" s="4" t="s">
        <v>22</v>
      </c>
      <c r="C406" s="4" t="s">
        <v>23</v>
      </c>
      <c r="D406" s="4" t="s">
        <v>24</v>
      </c>
      <c r="E406" s="4" t="s">
        <v>24</v>
      </c>
      <c r="F406" s="4" t="s">
        <v>25</v>
      </c>
      <c r="G406" s="4" t="s">
        <v>25</v>
      </c>
      <c r="H406" s="4" t="s">
        <v>25</v>
      </c>
      <c r="I406" s="5">
        <v>44593</v>
      </c>
      <c r="J406" s="6">
        <v>0</v>
      </c>
      <c r="K406" s="6">
        <v>0</v>
      </c>
      <c r="L406" s="6">
        <v>53.48</v>
      </c>
      <c r="M406" s="6">
        <v>53.48</v>
      </c>
      <c r="N406" s="6">
        <v>53.48</v>
      </c>
      <c r="O406" s="6">
        <v>53.48</v>
      </c>
      <c r="P406" s="6">
        <v>531</v>
      </c>
      <c r="Q406" s="4" t="s">
        <v>26</v>
      </c>
      <c r="R406" s="4">
        <v>0</v>
      </c>
      <c r="S406" s="6">
        <v>0</v>
      </c>
      <c r="T406" s="6">
        <v>12</v>
      </c>
      <c r="U406" s="6">
        <v>48</v>
      </c>
      <c r="V406" s="6">
        <f>IF(ISERROR(VLOOKUP($S$406,'TAR FIN'!$A$1:$O$86,15,0)),0,VLOOKUP($S$406,'TAR FIN'!$A$1:$O$86,15,0))</f>
        <v>0</v>
      </c>
      <c r="W406" s="6">
        <f>IF(ISERROR(VLOOKUP($T$406,'TAR FIN'!$A$1:$O$86,15,0)),0,VLOOKUP($T$406,'TAR FIN'!$A$1:$O$86,15,0))</f>
        <v>326.98</v>
      </c>
      <c r="X406" s="6">
        <f>IF(ISERROR(VLOOKUP($U$406,'TAR FIN'!$A$1:$O$86,15,0)),0,VLOOKUP($U$406,'TAR FIN'!$A$1:$O$86,15,0))</f>
        <v>314.52</v>
      </c>
      <c r="Y406" s="6"/>
      <c r="Z406" s="6">
        <f ca="1">('TUSD BE'!$AM$20+'TUSD BF_350'!$AM$20+'TUSD CVA'!$AM$20)*1</f>
        <v>313.91386533817797</v>
      </c>
      <c r="AA406" s="6">
        <f ca="1">('TE BE'!$AB$12+'TE BF_350'!$AB$12+'TE CVA'!$AB$12)*1</f>
        <v>248.89628694871266</v>
      </c>
      <c r="AB406" s="6">
        <f>$K$406*$V$406</f>
        <v>0</v>
      </c>
      <c r="AC406" s="6">
        <f>$M$406*$W$406</f>
        <v>17486.8904</v>
      </c>
      <c r="AD406" s="6">
        <f>$O$406*$X$406</f>
        <v>16820.529599999998</v>
      </c>
      <c r="AE406" s="6">
        <f>$K$406*$Y$406</f>
        <v>0</v>
      </c>
      <c r="AF406" s="6">
        <f ca="1">$M$406*$Z$406</f>
        <v>16788.113518285758</v>
      </c>
      <c r="AG406" s="6">
        <f ca="1">$O$406*$AA$406</f>
        <v>13310.973426017152</v>
      </c>
    </row>
    <row r="407" spans="1:33" ht="11.25" customHeight="1" x14ac:dyDescent="0.25">
      <c r="A407" s="4" t="s">
        <v>21</v>
      </c>
      <c r="B407" s="4" t="s">
        <v>22</v>
      </c>
      <c r="C407" s="4" t="s">
        <v>23</v>
      </c>
      <c r="D407" s="4" t="s">
        <v>24</v>
      </c>
      <c r="E407" s="4" t="s">
        <v>24</v>
      </c>
      <c r="F407" s="4" t="s">
        <v>25</v>
      </c>
      <c r="G407" s="4" t="s">
        <v>25</v>
      </c>
      <c r="H407" s="4" t="s">
        <v>25</v>
      </c>
      <c r="I407" s="5">
        <v>44621</v>
      </c>
      <c r="J407" s="6">
        <v>0</v>
      </c>
      <c r="K407" s="6">
        <v>0</v>
      </c>
      <c r="L407" s="6">
        <v>3530.7310000000002</v>
      </c>
      <c r="M407" s="6">
        <v>3530.7310000000002</v>
      </c>
      <c r="N407" s="6">
        <v>3530.7310000000002</v>
      </c>
      <c r="O407" s="6">
        <v>3530.7310000000002</v>
      </c>
      <c r="P407" s="6">
        <v>16199</v>
      </c>
      <c r="Q407" s="4" t="s">
        <v>26</v>
      </c>
      <c r="R407" s="4">
        <v>0</v>
      </c>
      <c r="S407" s="6">
        <v>0</v>
      </c>
      <c r="T407" s="6">
        <v>12</v>
      </c>
      <c r="U407" s="6">
        <v>48</v>
      </c>
      <c r="V407" s="6">
        <f>IF(ISERROR(VLOOKUP($S$407,'TAR FIN'!$A$1:$O$86,15,0)),0,VLOOKUP($S$407,'TAR FIN'!$A$1:$O$86,15,0))</f>
        <v>0</v>
      </c>
      <c r="W407" s="6">
        <f>IF(ISERROR(VLOOKUP($T$407,'TAR FIN'!$A$1:$O$86,15,0)),0,VLOOKUP($T$407,'TAR FIN'!$A$1:$O$86,15,0))</f>
        <v>326.98</v>
      </c>
      <c r="X407" s="6">
        <f>IF(ISERROR(VLOOKUP($U$407,'TAR FIN'!$A$1:$O$86,15,0)),0,VLOOKUP($U$407,'TAR FIN'!$A$1:$O$86,15,0))</f>
        <v>314.52</v>
      </c>
      <c r="Y407" s="6"/>
      <c r="Z407" s="6">
        <f ca="1">('TUSD BE'!$AM$20+'TUSD BF_350'!$AM$20+'TUSD CVA'!$AM$20)*1</f>
        <v>313.91386533817797</v>
      </c>
      <c r="AA407" s="6">
        <f ca="1">('TE BE'!$AB$12+'TE BF_350'!$AB$12+'TE CVA'!$AB$12)*1</f>
        <v>248.89628694871266</v>
      </c>
      <c r="AB407" s="6">
        <f>$K$407*$V$407</f>
        <v>0</v>
      </c>
      <c r="AC407" s="6">
        <f>$M$407*$W$407</f>
        <v>1154478.4223800001</v>
      </c>
      <c r="AD407" s="6">
        <f>$O$407*$X$407</f>
        <v>1110485.5141199999</v>
      </c>
      <c r="AE407" s="6">
        <f>$K$407*$Y$407</f>
        <v>0</v>
      </c>
      <c r="AF407" s="6">
        <f ca="1">$M$407*$Z$407</f>
        <v>1108345.4156793305</v>
      </c>
      <c r="AG407" s="6">
        <f ca="1">$O$407*$AA$407</f>
        <v>878785.8361147152</v>
      </c>
    </row>
    <row r="408" spans="1:33" ht="11.25" customHeight="1" x14ac:dyDescent="0.25">
      <c r="A408" s="4" t="s">
        <v>41</v>
      </c>
      <c r="B408" s="4" t="s">
        <v>22</v>
      </c>
      <c r="C408" s="4" t="s">
        <v>23</v>
      </c>
      <c r="D408" s="4" t="s">
        <v>24</v>
      </c>
      <c r="E408" s="4" t="s">
        <v>24</v>
      </c>
      <c r="F408" s="4" t="s">
        <v>25</v>
      </c>
      <c r="G408" s="4" t="s">
        <v>25</v>
      </c>
      <c r="H408" s="4" t="s">
        <v>25</v>
      </c>
      <c r="I408" s="5">
        <v>44621</v>
      </c>
      <c r="J408" s="6">
        <v>0</v>
      </c>
      <c r="K408" s="6">
        <v>0</v>
      </c>
      <c r="L408" s="6">
        <v>-2.8250000000000002</v>
      </c>
      <c r="M408" s="6">
        <v>-2.8250000000000002</v>
      </c>
      <c r="N408" s="6">
        <v>-2.8250000000000002</v>
      </c>
      <c r="O408" s="6">
        <v>-2.8250000000000002</v>
      </c>
      <c r="P408" s="6">
        <v>0</v>
      </c>
      <c r="Q408" s="4" t="s">
        <v>26</v>
      </c>
      <c r="R408" s="4">
        <v>0</v>
      </c>
      <c r="S408" s="6">
        <v>0</v>
      </c>
      <c r="T408" s="6">
        <v>12</v>
      </c>
      <c r="U408" s="6">
        <v>48</v>
      </c>
      <c r="V408" s="6">
        <f>IF(ISERROR(VLOOKUP($S$408,'TAR FIN'!$A$1:$O$86,15,0)),0,VLOOKUP($S$408,'TAR FIN'!$A$1:$O$86,15,0))</f>
        <v>0</v>
      </c>
      <c r="W408" s="6">
        <f>IF(ISERROR(VLOOKUP($T$408,'TAR FIN'!$A$1:$O$86,15,0)),0,VLOOKUP($T$408,'TAR FIN'!$A$1:$O$86,15,0))</f>
        <v>326.98</v>
      </c>
      <c r="X408" s="6">
        <f>IF(ISERROR(VLOOKUP($U$408,'TAR FIN'!$A$1:$O$86,15,0)),0,VLOOKUP($U$408,'TAR FIN'!$A$1:$O$86,15,0))</f>
        <v>314.52</v>
      </c>
      <c r="Y408" s="6"/>
      <c r="Z408" s="6">
        <f ca="1">('TUSD BE'!$AM$20+'TUSD BF_350'!$AM$20+'TUSD CVA'!$AM$20)*1</f>
        <v>313.91386533817797</v>
      </c>
      <c r="AA408" s="6">
        <f ca="1">('TE BE'!$AB$12+'TE BF_350'!$AB$12+'TE CVA'!$AB$12)*1</f>
        <v>248.89628694871266</v>
      </c>
      <c r="AB408" s="6">
        <f>$K$408*$V$408</f>
        <v>0</v>
      </c>
      <c r="AC408" s="6">
        <f>$M$408*$W$408</f>
        <v>-923.71850000000006</v>
      </c>
      <c r="AD408" s="6">
        <f>$O$408*$X$408</f>
        <v>-888.51900000000001</v>
      </c>
      <c r="AE408" s="6">
        <f>$K$408*$Y$408</f>
        <v>0</v>
      </c>
      <c r="AF408" s="6">
        <f ca="1">$M$408*$Z$408</f>
        <v>-886.80666958035283</v>
      </c>
      <c r="AG408" s="6">
        <f ca="1">$O$408*$AA$408</f>
        <v>-703.13201063011331</v>
      </c>
    </row>
    <row r="409" spans="1:33" ht="11.25" customHeight="1" x14ac:dyDescent="0.25">
      <c r="A409" s="4" t="s">
        <v>27</v>
      </c>
      <c r="B409" s="4" t="s">
        <v>22</v>
      </c>
      <c r="C409" s="4" t="s">
        <v>23</v>
      </c>
      <c r="D409" s="4" t="s">
        <v>24</v>
      </c>
      <c r="E409" s="4" t="s">
        <v>24</v>
      </c>
      <c r="F409" s="4" t="s">
        <v>25</v>
      </c>
      <c r="G409" s="4" t="s">
        <v>25</v>
      </c>
      <c r="H409" s="4" t="s">
        <v>25</v>
      </c>
      <c r="I409" s="5">
        <v>44621</v>
      </c>
      <c r="J409" s="6">
        <v>0</v>
      </c>
      <c r="K409" s="6">
        <v>0</v>
      </c>
      <c r="L409" s="6">
        <v>66.89</v>
      </c>
      <c r="M409" s="6">
        <v>66.89</v>
      </c>
      <c r="N409" s="6">
        <v>66.89</v>
      </c>
      <c r="O409" s="6">
        <v>66.89</v>
      </c>
      <c r="P409" s="6">
        <v>577</v>
      </c>
      <c r="Q409" s="4" t="s">
        <v>26</v>
      </c>
      <c r="R409" s="4">
        <v>0</v>
      </c>
      <c r="S409" s="6">
        <v>0</v>
      </c>
      <c r="T409" s="6">
        <v>12</v>
      </c>
      <c r="U409" s="6">
        <v>48</v>
      </c>
      <c r="V409" s="6">
        <f>IF(ISERROR(VLOOKUP($S$409,'TAR FIN'!$A$1:$O$86,15,0)),0,VLOOKUP($S$409,'TAR FIN'!$A$1:$O$86,15,0))</f>
        <v>0</v>
      </c>
      <c r="W409" s="6">
        <f>IF(ISERROR(VLOOKUP($T$409,'TAR FIN'!$A$1:$O$86,15,0)),0,VLOOKUP($T$409,'TAR FIN'!$A$1:$O$86,15,0))</f>
        <v>326.98</v>
      </c>
      <c r="X409" s="6">
        <f>IF(ISERROR(VLOOKUP($U$409,'TAR FIN'!$A$1:$O$86,15,0)),0,VLOOKUP($U$409,'TAR FIN'!$A$1:$O$86,15,0))</f>
        <v>314.52</v>
      </c>
      <c r="Y409" s="6"/>
      <c r="Z409" s="6">
        <f ca="1">('TUSD BE'!$AM$20+'TUSD BF_350'!$AM$20+'TUSD CVA'!$AM$20)*1</f>
        <v>313.91386533817797</v>
      </c>
      <c r="AA409" s="6">
        <f ca="1">('TE BE'!$AB$12+'TE BF_350'!$AB$12+'TE CVA'!$AB$12)*1</f>
        <v>248.89628694871266</v>
      </c>
      <c r="AB409" s="6">
        <f>$K$409*$V$409</f>
        <v>0</v>
      </c>
      <c r="AC409" s="6">
        <f>$M$409*$W$409</f>
        <v>21871.692200000001</v>
      </c>
      <c r="AD409" s="6">
        <f>$O$409*$X$409</f>
        <v>21038.2428</v>
      </c>
      <c r="AE409" s="6">
        <f>$K$409*$Y$409</f>
        <v>0</v>
      </c>
      <c r="AF409" s="6">
        <f ca="1">$M$409*$Z$409</f>
        <v>20997.698452470726</v>
      </c>
      <c r="AG409" s="6">
        <f ca="1">$O$409*$AA$409</f>
        <v>16648.672633999391</v>
      </c>
    </row>
    <row r="410" spans="1:33" ht="11.25" customHeight="1" x14ac:dyDescent="0.25">
      <c r="A410" s="4" t="s">
        <v>21</v>
      </c>
      <c r="B410" s="4" t="s">
        <v>22</v>
      </c>
      <c r="C410" s="4" t="s">
        <v>23</v>
      </c>
      <c r="D410" s="4" t="s">
        <v>24</v>
      </c>
      <c r="E410" s="4" t="s">
        <v>24</v>
      </c>
      <c r="F410" s="4" t="s">
        <v>25</v>
      </c>
      <c r="G410" s="4" t="s">
        <v>25</v>
      </c>
      <c r="H410" s="4" t="s">
        <v>25</v>
      </c>
      <c r="I410" s="5">
        <v>44652</v>
      </c>
      <c r="J410" s="6">
        <v>0</v>
      </c>
      <c r="K410" s="6">
        <v>0</v>
      </c>
      <c r="L410" s="6">
        <v>2645.02</v>
      </c>
      <c r="M410" s="6">
        <v>2645.02</v>
      </c>
      <c r="N410" s="6">
        <v>2645.02</v>
      </c>
      <c r="O410" s="6">
        <v>2645.02</v>
      </c>
      <c r="P410" s="6">
        <v>16160</v>
      </c>
      <c r="Q410" s="4" t="s">
        <v>26</v>
      </c>
      <c r="R410" s="4">
        <v>0</v>
      </c>
      <c r="S410" s="6">
        <v>0</v>
      </c>
      <c r="T410" s="6">
        <v>12</v>
      </c>
      <c r="U410" s="6">
        <v>48</v>
      </c>
      <c r="V410" s="6">
        <f>IF(ISERROR(VLOOKUP($S$410,'TAR FIN'!$A$1:$O$86,15,0)),0,VLOOKUP($S$410,'TAR FIN'!$A$1:$O$86,15,0))</f>
        <v>0</v>
      </c>
      <c r="W410" s="6">
        <f>IF(ISERROR(VLOOKUP($T$410,'TAR FIN'!$A$1:$O$86,15,0)),0,VLOOKUP($T$410,'TAR FIN'!$A$1:$O$86,15,0))</f>
        <v>326.98</v>
      </c>
      <c r="X410" s="6">
        <f>IF(ISERROR(VLOOKUP($U$410,'TAR FIN'!$A$1:$O$86,15,0)),0,VLOOKUP($U$410,'TAR FIN'!$A$1:$O$86,15,0))</f>
        <v>314.52</v>
      </c>
      <c r="Y410" s="6"/>
      <c r="Z410" s="6">
        <f ca="1">('TUSD BE'!$AM$20+'TUSD BF_350'!$AM$20+'TUSD CVA'!$AM$20)*1</f>
        <v>313.91386533817797</v>
      </c>
      <c r="AA410" s="6">
        <f ca="1">('TE BE'!$AB$12+'TE BF_350'!$AB$12+'TE CVA'!$AB$12)*1</f>
        <v>248.89628694871266</v>
      </c>
      <c r="AB410" s="6">
        <f>$K$410*$V$410</f>
        <v>0</v>
      </c>
      <c r="AC410" s="6">
        <f>$M$410*$W$410</f>
        <v>864868.63959999999</v>
      </c>
      <c r="AD410" s="6">
        <f>$O$410*$X$410</f>
        <v>831911.69039999996</v>
      </c>
      <c r="AE410" s="6">
        <f>$K$410*$Y$410</f>
        <v>0</v>
      </c>
      <c r="AF410" s="6">
        <f ca="1">$M$410*$Z$410</f>
        <v>830308.45209678751</v>
      </c>
      <c r="AG410" s="6">
        <f ca="1">$O$410*$AA$410</f>
        <v>658335.65690508392</v>
      </c>
    </row>
    <row r="411" spans="1:33" ht="11.25" customHeight="1" x14ac:dyDescent="0.25">
      <c r="A411" s="4" t="s">
        <v>41</v>
      </c>
      <c r="B411" s="4" t="s">
        <v>22</v>
      </c>
      <c r="C411" s="4" t="s">
        <v>23</v>
      </c>
      <c r="D411" s="4" t="s">
        <v>24</v>
      </c>
      <c r="E411" s="4" t="s">
        <v>24</v>
      </c>
      <c r="F411" s="4" t="s">
        <v>25</v>
      </c>
      <c r="G411" s="4" t="s">
        <v>25</v>
      </c>
      <c r="H411" s="4" t="s">
        <v>25</v>
      </c>
      <c r="I411" s="5">
        <v>44652</v>
      </c>
      <c r="J411" s="6">
        <v>0</v>
      </c>
      <c r="K411" s="6">
        <v>0</v>
      </c>
      <c r="L411" s="6">
        <v>-0.372</v>
      </c>
      <c r="M411" s="6">
        <v>-0.372</v>
      </c>
      <c r="N411" s="6">
        <v>-0.372</v>
      </c>
      <c r="O411" s="6">
        <v>-0.372</v>
      </c>
      <c r="P411" s="6">
        <v>0</v>
      </c>
      <c r="Q411" s="4" t="s">
        <v>26</v>
      </c>
      <c r="R411" s="4">
        <v>0</v>
      </c>
      <c r="S411" s="6">
        <v>0</v>
      </c>
      <c r="T411" s="6">
        <v>12</v>
      </c>
      <c r="U411" s="6">
        <v>48</v>
      </c>
      <c r="V411" s="6">
        <f>IF(ISERROR(VLOOKUP($S$411,'TAR FIN'!$A$1:$O$86,15,0)),0,VLOOKUP($S$411,'TAR FIN'!$A$1:$O$86,15,0))</f>
        <v>0</v>
      </c>
      <c r="W411" s="6">
        <f>IF(ISERROR(VLOOKUP($T$411,'TAR FIN'!$A$1:$O$86,15,0)),0,VLOOKUP($T$411,'TAR FIN'!$A$1:$O$86,15,0))</f>
        <v>326.98</v>
      </c>
      <c r="X411" s="6">
        <f>IF(ISERROR(VLOOKUP($U$411,'TAR FIN'!$A$1:$O$86,15,0)),0,VLOOKUP($U$411,'TAR FIN'!$A$1:$O$86,15,0))</f>
        <v>314.52</v>
      </c>
      <c r="Y411" s="6"/>
      <c r="Z411" s="6">
        <f ca="1">('TUSD BE'!$AM$20+'TUSD BF_350'!$AM$20+'TUSD CVA'!$AM$20)*1</f>
        <v>313.91386533817797</v>
      </c>
      <c r="AA411" s="6">
        <f ca="1">('TE BE'!$AB$12+'TE BF_350'!$AB$12+'TE CVA'!$AB$12)*1</f>
        <v>248.89628694871266</v>
      </c>
      <c r="AB411" s="6">
        <f>$K$411*$V$411</f>
        <v>0</v>
      </c>
      <c r="AC411" s="6">
        <f>$M$411*$W$411</f>
        <v>-121.63656</v>
      </c>
      <c r="AD411" s="6">
        <f>$O$411*$X$411</f>
        <v>-117.00143999999999</v>
      </c>
      <c r="AE411" s="6">
        <f>$K$411*$Y$411</f>
        <v>0</v>
      </c>
      <c r="AF411" s="6">
        <f ca="1">$M$411*$Z$411</f>
        <v>-116.7759579058022</v>
      </c>
      <c r="AG411" s="6">
        <f ca="1">$O$411*$AA$411</f>
        <v>-92.589418744921105</v>
      </c>
    </row>
    <row r="412" spans="1:33" ht="11.25" customHeight="1" x14ac:dyDescent="0.25">
      <c r="A412" s="4" t="s">
        <v>27</v>
      </c>
      <c r="B412" s="4" t="s">
        <v>22</v>
      </c>
      <c r="C412" s="4" t="s">
        <v>23</v>
      </c>
      <c r="D412" s="4" t="s">
        <v>24</v>
      </c>
      <c r="E412" s="4" t="s">
        <v>24</v>
      </c>
      <c r="F412" s="4" t="s">
        <v>25</v>
      </c>
      <c r="G412" s="4" t="s">
        <v>25</v>
      </c>
      <c r="H412" s="4" t="s">
        <v>25</v>
      </c>
      <c r="I412" s="5">
        <v>44652</v>
      </c>
      <c r="J412" s="6">
        <v>0</v>
      </c>
      <c r="K412" s="6">
        <v>0</v>
      </c>
      <c r="L412" s="6">
        <v>55.558</v>
      </c>
      <c r="M412" s="6">
        <v>55.558</v>
      </c>
      <c r="N412" s="6">
        <v>55.558</v>
      </c>
      <c r="O412" s="6">
        <v>55.558</v>
      </c>
      <c r="P412" s="6">
        <v>629</v>
      </c>
      <c r="Q412" s="4" t="s">
        <v>26</v>
      </c>
      <c r="R412" s="4">
        <v>0</v>
      </c>
      <c r="S412" s="6">
        <v>0</v>
      </c>
      <c r="T412" s="6">
        <v>12</v>
      </c>
      <c r="U412" s="6">
        <v>48</v>
      </c>
      <c r="V412" s="6">
        <f>IF(ISERROR(VLOOKUP($S$412,'TAR FIN'!$A$1:$O$86,15,0)),0,VLOOKUP($S$412,'TAR FIN'!$A$1:$O$86,15,0))</f>
        <v>0</v>
      </c>
      <c r="W412" s="6">
        <f>IF(ISERROR(VLOOKUP($T$412,'TAR FIN'!$A$1:$O$86,15,0)),0,VLOOKUP($T$412,'TAR FIN'!$A$1:$O$86,15,0))</f>
        <v>326.98</v>
      </c>
      <c r="X412" s="6">
        <f>IF(ISERROR(VLOOKUP($U$412,'TAR FIN'!$A$1:$O$86,15,0)),0,VLOOKUP($U$412,'TAR FIN'!$A$1:$O$86,15,0))</f>
        <v>314.52</v>
      </c>
      <c r="Y412" s="6"/>
      <c r="Z412" s="6">
        <f ca="1">('TUSD BE'!$AM$20+'TUSD BF_350'!$AM$20+'TUSD CVA'!$AM$20)*1</f>
        <v>313.91386533817797</v>
      </c>
      <c r="AA412" s="6">
        <f ca="1">('TE BE'!$AB$12+'TE BF_350'!$AB$12+'TE CVA'!$AB$12)*1</f>
        <v>248.89628694871266</v>
      </c>
      <c r="AB412" s="6">
        <f>$K$412*$V$412</f>
        <v>0</v>
      </c>
      <c r="AC412" s="6">
        <f>$M$412*$W$412</f>
        <v>18166.35484</v>
      </c>
      <c r="AD412" s="6">
        <f>$O$412*$X$412</f>
        <v>17474.102159999999</v>
      </c>
      <c r="AE412" s="6">
        <f>$K$412*$Y$412</f>
        <v>0</v>
      </c>
      <c r="AF412" s="6">
        <f ca="1">$M$412*$Z$412</f>
        <v>17440.426530458491</v>
      </c>
      <c r="AG412" s="6">
        <f ca="1">$O$412*$AA$412</f>
        <v>13828.179910296578</v>
      </c>
    </row>
    <row r="413" spans="1:33" ht="11.25" customHeight="1" x14ac:dyDescent="0.25">
      <c r="A413" s="4" t="s">
        <v>21</v>
      </c>
      <c r="B413" s="4" t="s">
        <v>22</v>
      </c>
      <c r="C413" s="4" t="s">
        <v>23</v>
      </c>
      <c r="D413" s="4" t="s">
        <v>24</v>
      </c>
      <c r="E413" s="4" t="s">
        <v>24</v>
      </c>
      <c r="F413" s="4" t="s">
        <v>25</v>
      </c>
      <c r="G413" s="4" t="s">
        <v>25</v>
      </c>
      <c r="H413" s="4" t="s">
        <v>25</v>
      </c>
      <c r="I413" s="5">
        <v>44682</v>
      </c>
      <c r="J413" s="6">
        <v>0</v>
      </c>
      <c r="K413" s="6">
        <v>0</v>
      </c>
      <c r="L413" s="6">
        <v>2859.8270000000002</v>
      </c>
      <c r="M413" s="6">
        <v>2859.8270000000002</v>
      </c>
      <c r="N413" s="6">
        <v>2859.8270000000002</v>
      </c>
      <c r="O413" s="6">
        <v>2859.8270000000002</v>
      </c>
      <c r="P413" s="6">
        <v>16126</v>
      </c>
      <c r="Q413" s="4" t="s">
        <v>26</v>
      </c>
      <c r="R413" s="4">
        <v>0</v>
      </c>
      <c r="S413" s="6">
        <v>0</v>
      </c>
      <c r="T413" s="6">
        <v>12</v>
      </c>
      <c r="U413" s="6">
        <v>48</v>
      </c>
      <c r="V413" s="6">
        <f>IF(ISERROR(VLOOKUP($S$413,'TAR FIN'!$A$1:$O$86,15,0)),0,VLOOKUP($S$413,'TAR FIN'!$A$1:$O$86,15,0))</f>
        <v>0</v>
      </c>
      <c r="W413" s="6">
        <f>IF(ISERROR(VLOOKUP($T$413,'TAR FIN'!$A$1:$O$86,15,0)),0,VLOOKUP($T$413,'TAR FIN'!$A$1:$O$86,15,0))</f>
        <v>326.98</v>
      </c>
      <c r="X413" s="6">
        <f>IF(ISERROR(VLOOKUP($U$413,'TAR FIN'!$A$1:$O$86,15,0)),0,VLOOKUP($U$413,'TAR FIN'!$A$1:$O$86,15,0))</f>
        <v>314.52</v>
      </c>
      <c r="Y413" s="6"/>
      <c r="Z413" s="6">
        <f ca="1">('TUSD BE'!$AM$20+'TUSD BF_350'!$AM$20+'TUSD CVA'!$AM$20)*1</f>
        <v>313.91386533817797</v>
      </c>
      <c r="AA413" s="6">
        <f ca="1">('TE BE'!$AB$12+'TE BF_350'!$AB$12+'TE CVA'!$AB$12)*1</f>
        <v>248.89628694871266</v>
      </c>
      <c r="AB413" s="6">
        <f>$K$413*$V$413</f>
        <v>0</v>
      </c>
      <c r="AC413" s="6">
        <f>$M$413*$W$413</f>
        <v>935106.23246000009</v>
      </c>
      <c r="AD413" s="6">
        <f>$O$413*$X$413</f>
        <v>899472.78804000001</v>
      </c>
      <c r="AE413" s="6">
        <f>$K$413*$Y$413</f>
        <v>0</v>
      </c>
      <c r="AF413" s="6">
        <f ca="1">$M$413*$Z$413</f>
        <v>897739.34776848555</v>
      </c>
      <c r="AG413" s="6">
        <f ca="1">$O$413*$AA$413</f>
        <v>711800.32161567616</v>
      </c>
    </row>
    <row r="414" spans="1:33" ht="11.25" customHeight="1" x14ac:dyDescent="0.25">
      <c r="A414" s="4" t="s">
        <v>41</v>
      </c>
      <c r="B414" s="4" t="s">
        <v>22</v>
      </c>
      <c r="C414" s="4" t="s">
        <v>23</v>
      </c>
      <c r="D414" s="4" t="s">
        <v>24</v>
      </c>
      <c r="E414" s="4" t="s">
        <v>24</v>
      </c>
      <c r="F414" s="4" t="s">
        <v>25</v>
      </c>
      <c r="G414" s="4" t="s">
        <v>25</v>
      </c>
      <c r="H414" s="4" t="s">
        <v>25</v>
      </c>
      <c r="I414" s="5">
        <v>44682</v>
      </c>
      <c r="J414" s="6">
        <v>0</v>
      </c>
      <c r="K414" s="6">
        <v>0</v>
      </c>
      <c r="L414" s="6">
        <v>-1.6659999999999999</v>
      </c>
      <c r="M414" s="6">
        <v>-1.6659999999999999</v>
      </c>
      <c r="N414" s="6">
        <v>-1.6659999999999999</v>
      </c>
      <c r="O414" s="6">
        <v>-1.6659999999999999</v>
      </c>
      <c r="P414" s="6">
        <v>0</v>
      </c>
      <c r="Q414" s="4" t="s">
        <v>26</v>
      </c>
      <c r="R414" s="4">
        <v>0</v>
      </c>
      <c r="S414" s="6">
        <v>0</v>
      </c>
      <c r="T414" s="6">
        <v>12</v>
      </c>
      <c r="U414" s="6">
        <v>48</v>
      </c>
      <c r="V414" s="6">
        <f>IF(ISERROR(VLOOKUP($S$414,'TAR FIN'!$A$1:$O$86,15,0)),0,VLOOKUP($S$414,'TAR FIN'!$A$1:$O$86,15,0))</f>
        <v>0</v>
      </c>
      <c r="W414" s="6">
        <f>IF(ISERROR(VLOOKUP($T$414,'TAR FIN'!$A$1:$O$86,15,0)),0,VLOOKUP($T$414,'TAR FIN'!$A$1:$O$86,15,0))</f>
        <v>326.98</v>
      </c>
      <c r="X414" s="6">
        <f>IF(ISERROR(VLOOKUP($U$414,'TAR FIN'!$A$1:$O$86,15,0)),0,VLOOKUP($U$414,'TAR FIN'!$A$1:$O$86,15,0))</f>
        <v>314.52</v>
      </c>
      <c r="Y414" s="6"/>
      <c r="Z414" s="6">
        <f ca="1">('TUSD BE'!$AM$20+'TUSD BF_350'!$AM$20+'TUSD CVA'!$AM$20)*1</f>
        <v>313.91386533817797</v>
      </c>
      <c r="AA414" s="6">
        <f ca="1">('TE BE'!$AB$12+'TE BF_350'!$AB$12+'TE CVA'!$AB$12)*1</f>
        <v>248.89628694871266</v>
      </c>
      <c r="AB414" s="6">
        <f>$K$414*$V$414</f>
        <v>0</v>
      </c>
      <c r="AC414" s="6">
        <f>$M$414*$W$414</f>
        <v>-544.74868000000004</v>
      </c>
      <c r="AD414" s="6">
        <f>$O$414*$X$414</f>
        <v>-523.99032</v>
      </c>
      <c r="AE414" s="6">
        <f>$K$414*$Y$414</f>
        <v>0</v>
      </c>
      <c r="AF414" s="6">
        <f ca="1">$M$414*$Z$414</f>
        <v>-522.98049965340442</v>
      </c>
      <c r="AG414" s="6">
        <f ca="1">$O$414*$AA$414</f>
        <v>-414.66121405655525</v>
      </c>
    </row>
    <row r="415" spans="1:33" ht="11.25" customHeight="1" x14ac:dyDescent="0.25">
      <c r="A415" s="4" t="s">
        <v>27</v>
      </c>
      <c r="B415" s="4" t="s">
        <v>22</v>
      </c>
      <c r="C415" s="4" t="s">
        <v>23</v>
      </c>
      <c r="D415" s="4" t="s">
        <v>24</v>
      </c>
      <c r="E415" s="4" t="s">
        <v>24</v>
      </c>
      <c r="F415" s="4" t="s">
        <v>25</v>
      </c>
      <c r="G415" s="4" t="s">
        <v>25</v>
      </c>
      <c r="H415" s="4" t="s">
        <v>25</v>
      </c>
      <c r="I415" s="5">
        <v>44682</v>
      </c>
      <c r="J415" s="6">
        <v>0</v>
      </c>
      <c r="K415" s="6">
        <v>0</v>
      </c>
      <c r="L415" s="6">
        <v>86.841999999999999</v>
      </c>
      <c r="M415" s="6">
        <v>86.841999999999999</v>
      </c>
      <c r="N415" s="6">
        <v>86.841999999999999</v>
      </c>
      <c r="O415" s="6">
        <v>86.841999999999999</v>
      </c>
      <c r="P415" s="6">
        <v>720</v>
      </c>
      <c r="Q415" s="4" t="s">
        <v>26</v>
      </c>
      <c r="R415" s="4">
        <v>0</v>
      </c>
      <c r="S415" s="6">
        <v>0</v>
      </c>
      <c r="T415" s="6">
        <v>12</v>
      </c>
      <c r="U415" s="6">
        <v>48</v>
      </c>
      <c r="V415" s="6">
        <f>IF(ISERROR(VLOOKUP($S$415,'TAR FIN'!$A$1:$O$86,15,0)),0,VLOOKUP($S$415,'TAR FIN'!$A$1:$O$86,15,0))</f>
        <v>0</v>
      </c>
      <c r="W415" s="6">
        <f>IF(ISERROR(VLOOKUP($T$415,'TAR FIN'!$A$1:$O$86,15,0)),0,VLOOKUP($T$415,'TAR FIN'!$A$1:$O$86,15,0))</f>
        <v>326.98</v>
      </c>
      <c r="X415" s="6">
        <f>IF(ISERROR(VLOOKUP($U$415,'TAR FIN'!$A$1:$O$86,15,0)),0,VLOOKUP($U$415,'TAR FIN'!$A$1:$O$86,15,0))</f>
        <v>314.52</v>
      </c>
      <c r="Y415" s="6"/>
      <c r="Z415" s="6">
        <f ca="1">('TUSD BE'!$AM$20+'TUSD BF_350'!$AM$20+'TUSD CVA'!$AM$20)*1</f>
        <v>313.91386533817797</v>
      </c>
      <c r="AA415" s="6">
        <f ca="1">('TE BE'!$AB$12+'TE BF_350'!$AB$12+'TE CVA'!$AB$12)*1</f>
        <v>248.89628694871266</v>
      </c>
      <c r="AB415" s="6">
        <f>$K$415*$V$415</f>
        <v>0</v>
      </c>
      <c r="AC415" s="6">
        <f>$M$415*$W$415</f>
        <v>28395.597160000001</v>
      </c>
      <c r="AD415" s="6">
        <f>$O$415*$X$415</f>
        <v>27313.545839999999</v>
      </c>
      <c r="AE415" s="6">
        <f>$K$415*$Y$415</f>
        <v>0</v>
      </c>
      <c r="AF415" s="6">
        <f ca="1">$M$415*$Z$415</f>
        <v>27260.907893698051</v>
      </c>
      <c r="AG415" s="6">
        <f ca="1">$O$415*$AA$415</f>
        <v>21614.651351200104</v>
      </c>
    </row>
    <row r="416" spans="1:33" ht="11.25" customHeight="1" x14ac:dyDescent="0.25">
      <c r="A416" s="4" t="s">
        <v>55</v>
      </c>
      <c r="B416" s="4" t="s">
        <v>22</v>
      </c>
      <c r="C416" s="4" t="s">
        <v>23</v>
      </c>
      <c r="D416" s="4" t="s">
        <v>24</v>
      </c>
      <c r="E416" s="4" t="s">
        <v>24</v>
      </c>
      <c r="F416" s="4" t="s">
        <v>25</v>
      </c>
      <c r="G416" s="4" t="s">
        <v>25</v>
      </c>
      <c r="H416" s="4" t="s">
        <v>25</v>
      </c>
      <c r="I416" s="5">
        <v>44713</v>
      </c>
      <c r="J416" s="6">
        <v>0</v>
      </c>
      <c r="K416" s="6">
        <v>0</v>
      </c>
      <c r="L416" s="6">
        <v>2859.8270000000002</v>
      </c>
      <c r="M416" s="6">
        <v>2859.8270000000002</v>
      </c>
      <c r="N416" s="6">
        <v>2859.8270000000002</v>
      </c>
      <c r="O416" s="6">
        <v>2859.8270000000002</v>
      </c>
      <c r="P416" s="6">
        <v>16126</v>
      </c>
      <c r="Q416" s="4" t="s">
        <v>26</v>
      </c>
      <c r="R416" s="4">
        <v>0</v>
      </c>
      <c r="S416" s="6">
        <v>0</v>
      </c>
      <c r="T416" s="6">
        <v>12</v>
      </c>
      <c r="U416" s="6">
        <v>48</v>
      </c>
      <c r="V416" s="6">
        <f>IF(ISERROR(VLOOKUP($S$416,'TAR FIN'!$A$1:$O$86,15,0)),0,VLOOKUP($S$416,'TAR FIN'!$A$1:$O$86,15,0))</f>
        <v>0</v>
      </c>
      <c r="W416" s="6">
        <f>IF(ISERROR(VLOOKUP($T$416,'TAR FIN'!$A$1:$O$86,15,0)),0,VLOOKUP($T$416,'TAR FIN'!$A$1:$O$86,15,0))</f>
        <v>326.98</v>
      </c>
      <c r="X416" s="6">
        <f>IF(ISERROR(VLOOKUP($U$416,'TAR FIN'!$A$1:$O$86,15,0)),0,VLOOKUP($U$416,'TAR FIN'!$A$1:$O$86,15,0))</f>
        <v>314.52</v>
      </c>
      <c r="Y416" s="6"/>
      <c r="Z416" s="6">
        <f ca="1">('TUSD BE'!$AM$20+'TUSD BF_350'!$AM$20+'TUSD CVA'!$AM$20)*1</f>
        <v>313.91386533817797</v>
      </c>
      <c r="AA416" s="6">
        <f ca="1">('TE BE'!$AB$12+'TE BF_350'!$AB$12+'TE CVA'!$AB$12)*1</f>
        <v>248.89628694871266</v>
      </c>
      <c r="AB416" s="6">
        <f>$K$416*$V$416</f>
        <v>0</v>
      </c>
      <c r="AC416" s="6">
        <f>$M$416*$W$416</f>
        <v>935106.23246000009</v>
      </c>
      <c r="AD416" s="6">
        <f>$O$416*$X$416</f>
        <v>899472.78804000001</v>
      </c>
      <c r="AE416" s="6">
        <f>$K$416*$Y$416</f>
        <v>0</v>
      </c>
      <c r="AF416" s="6">
        <f ca="1">$M$416*$Z$416</f>
        <v>897739.34776848555</v>
      </c>
      <c r="AG416" s="6">
        <f ca="1">$O$416*$AA$416</f>
        <v>711800.32161567616</v>
      </c>
    </row>
    <row r="417" spans="1:33" ht="11.25" customHeight="1" x14ac:dyDescent="0.25">
      <c r="A417" s="4" t="s">
        <v>55</v>
      </c>
      <c r="B417" s="4" t="s">
        <v>22</v>
      </c>
      <c r="C417" s="4" t="s">
        <v>23</v>
      </c>
      <c r="D417" s="4" t="s">
        <v>24</v>
      </c>
      <c r="E417" s="4" t="s">
        <v>24</v>
      </c>
      <c r="F417" s="4" t="s">
        <v>25</v>
      </c>
      <c r="G417" s="4" t="s">
        <v>25</v>
      </c>
      <c r="H417" s="4" t="s">
        <v>25</v>
      </c>
      <c r="I417" s="5">
        <v>44713</v>
      </c>
      <c r="J417" s="6">
        <v>0</v>
      </c>
      <c r="K417" s="6">
        <v>0</v>
      </c>
      <c r="L417" s="6">
        <v>-1.6659999999999999</v>
      </c>
      <c r="M417" s="6">
        <v>-1.6659999999999999</v>
      </c>
      <c r="N417" s="6">
        <v>-1.6659999999999999</v>
      </c>
      <c r="O417" s="6">
        <v>-1.6659999999999999</v>
      </c>
      <c r="P417" s="6">
        <v>0</v>
      </c>
      <c r="Q417" s="4" t="s">
        <v>26</v>
      </c>
      <c r="R417" s="4">
        <v>0</v>
      </c>
      <c r="S417" s="6">
        <v>0</v>
      </c>
      <c r="T417" s="6">
        <v>12</v>
      </c>
      <c r="U417" s="6">
        <v>48</v>
      </c>
      <c r="V417" s="6">
        <f>IF(ISERROR(VLOOKUP($S$417,'TAR FIN'!$A$1:$O$86,15,0)),0,VLOOKUP($S$417,'TAR FIN'!$A$1:$O$86,15,0))</f>
        <v>0</v>
      </c>
      <c r="W417" s="6">
        <f>IF(ISERROR(VLOOKUP($T$417,'TAR FIN'!$A$1:$O$86,15,0)),0,VLOOKUP($T$417,'TAR FIN'!$A$1:$O$86,15,0))</f>
        <v>326.98</v>
      </c>
      <c r="X417" s="6">
        <f>IF(ISERROR(VLOOKUP($U$417,'TAR FIN'!$A$1:$O$86,15,0)),0,VLOOKUP($U$417,'TAR FIN'!$A$1:$O$86,15,0))</f>
        <v>314.52</v>
      </c>
      <c r="Y417" s="6"/>
      <c r="Z417" s="6">
        <f ca="1">('TUSD BE'!$AM$20+'TUSD BF_350'!$AM$20+'TUSD CVA'!$AM$20)*1</f>
        <v>313.91386533817797</v>
      </c>
      <c r="AA417" s="6">
        <f ca="1">('TE BE'!$AB$12+'TE BF_350'!$AB$12+'TE CVA'!$AB$12)*1</f>
        <v>248.89628694871266</v>
      </c>
      <c r="AB417" s="6">
        <f>$K$417*$V$417</f>
        <v>0</v>
      </c>
      <c r="AC417" s="6">
        <f>$M$417*$W$417</f>
        <v>-544.74868000000004</v>
      </c>
      <c r="AD417" s="6">
        <f>$O$417*$X$417</f>
        <v>-523.99032</v>
      </c>
      <c r="AE417" s="6">
        <f>$K$417*$Y$417</f>
        <v>0</v>
      </c>
      <c r="AF417" s="6">
        <f ca="1">$M$417*$Z$417</f>
        <v>-522.98049965340442</v>
      </c>
      <c r="AG417" s="6">
        <f ca="1">$O$417*$AA$417</f>
        <v>-414.66121405655525</v>
      </c>
    </row>
    <row r="418" spans="1:33" ht="11.25" customHeight="1" x14ac:dyDescent="0.25">
      <c r="A418" s="4" t="s">
        <v>55</v>
      </c>
      <c r="B418" s="4" t="s">
        <v>22</v>
      </c>
      <c r="C418" s="4" t="s">
        <v>23</v>
      </c>
      <c r="D418" s="4" t="s">
        <v>24</v>
      </c>
      <c r="E418" s="4" t="s">
        <v>24</v>
      </c>
      <c r="F418" s="4" t="s">
        <v>25</v>
      </c>
      <c r="G418" s="4" t="s">
        <v>25</v>
      </c>
      <c r="H418" s="4" t="s">
        <v>25</v>
      </c>
      <c r="I418" s="5">
        <v>44713</v>
      </c>
      <c r="J418" s="6">
        <v>0</v>
      </c>
      <c r="K418" s="6">
        <v>0</v>
      </c>
      <c r="L418" s="6">
        <v>86.841999999999999</v>
      </c>
      <c r="M418" s="6">
        <v>86.841999999999999</v>
      </c>
      <c r="N418" s="6">
        <v>86.841999999999999</v>
      </c>
      <c r="O418" s="6">
        <v>86.841999999999999</v>
      </c>
      <c r="P418" s="6">
        <v>720</v>
      </c>
      <c r="Q418" s="4" t="s">
        <v>26</v>
      </c>
      <c r="R418" s="4">
        <v>0</v>
      </c>
      <c r="S418" s="6">
        <v>0</v>
      </c>
      <c r="T418" s="6">
        <v>12</v>
      </c>
      <c r="U418" s="6">
        <v>48</v>
      </c>
      <c r="V418" s="6">
        <f>IF(ISERROR(VLOOKUP($S$418,'TAR FIN'!$A$1:$O$86,15,0)),0,VLOOKUP($S$418,'TAR FIN'!$A$1:$O$86,15,0))</f>
        <v>0</v>
      </c>
      <c r="W418" s="6">
        <f>IF(ISERROR(VLOOKUP($T$418,'TAR FIN'!$A$1:$O$86,15,0)),0,VLOOKUP($T$418,'TAR FIN'!$A$1:$O$86,15,0))</f>
        <v>326.98</v>
      </c>
      <c r="X418" s="6">
        <f>IF(ISERROR(VLOOKUP($U$418,'TAR FIN'!$A$1:$O$86,15,0)),0,VLOOKUP($U$418,'TAR FIN'!$A$1:$O$86,15,0))</f>
        <v>314.52</v>
      </c>
      <c r="Y418" s="6"/>
      <c r="Z418" s="6">
        <f ca="1">('TUSD BE'!$AM$20+'TUSD BF_350'!$AM$20+'TUSD CVA'!$AM$20)*1</f>
        <v>313.91386533817797</v>
      </c>
      <c r="AA418" s="6">
        <f ca="1">('TE BE'!$AB$12+'TE BF_350'!$AB$12+'TE CVA'!$AB$12)*1</f>
        <v>248.89628694871266</v>
      </c>
      <c r="AB418" s="6">
        <f>$K$418*$V$418</f>
        <v>0</v>
      </c>
      <c r="AC418" s="6">
        <f>$M$418*$W$418</f>
        <v>28395.597160000001</v>
      </c>
      <c r="AD418" s="6">
        <f>$O$418*$X$418</f>
        <v>27313.545839999999</v>
      </c>
      <c r="AE418" s="6">
        <f>$K$418*$Y$418</f>
        <v>0</v>
      </c>
      <c r="AF418" s="6">
        <f ca="1">$M$418*$Z$418</f>
        <v>27260.907893698051</v>
      </c>
      <c r="AG418" s="6">
        <f ca="1">$O$418*$AA$418</f>
        <v>21614.651351200104</v>
      </c>
    </row>
    <row r="419" spans="1:33" ht="11.25" customHeight="1" x14ac:dyDescent="0.25">
      <c r="A419" s="4" t="s">
        <v>21</v>
      </c>
      <c r="B419" s="4" t="s">
        <v>22</v>
      </c>
      <c r="C419" s="4" t="s">
        <v>23</v>
      </c>
      <c r="D419" s="4" t="s">
        <v>24</v>
      </c>
      <c r="E419" s="4" t="s">
        <v>28</v>
      </c>
      <c r="F419" s="4" t="s">
        <v>25</v>
      </c>
      <c r="G419" s="4" t="s">
        <v>25</v>
      </c>
      <c r="H419" s="4" t="s">
        <v>25</v>
      </c>
      <c r="I419" s="5">
        <v>44378</v>
      </c>
      <c r="J419" s="6">
        <v>0</v>
      </c>
      <c r="K419" s="6">
        <v>0</v>
      </c>
      <c r="L419" s="6">
        <v>18.510000000000002</v>
      </c>
      <c r="M419" s="6">
        <v>18.510000000000002</v>
      </c>
      <c r="N419" s="6">
        <v>18.510000000000002</v>
      </c>
      <c r="O419" s="6">
        <v>18.510000000000002</v>
      </c>
      <c r="P419" s="6">
        <v>23</v>
      </c>
      <c r="Q419" s="4" t="s">
        <v>26</v>
      </c>
      <c r="R419" s="4">
        <v>0</v>
      </c>
      <c r="S419" s="6">
        <v>0</v>
      </c>
      <c r="T419" s="6">
        <v>14</v>
      </c>
      <c r="U419" s="6">
        <v>52</v>
      </c>
      <c r="V419" s="6">
        <f>IF(ISERROR(VLOOKUP($S$419,'TAR FIN'!$A$1:$O$86,15,0)),0,VLOOKUP($S$419,'TAR FIN'!$A$1:$O$86,15,0))</f>
        <v>0</v>
      </c>
      <c r="W419" s="6">
        <f>IF(ISERROR(VLOOKUP($T$419,'TAR FIN'!$A$1:$O$86,15,0)),0,VLOOKUP($T$419,'TAR FIN'!$A$1:$O$86,15,0))</f>
        <v>88.57</v>
      </c>
      <c r="X419" s="6">
        <f>IF(ISERROR(VLOOKUP($U$419,'TAR FIN'!$A$1:$O$86,15,0)),0,VLOOKUP($U$419,'TAR FIN'!$A$1:$O$86,15,0))</f>
        <v>110.08</v>
      </c>
      <c r="Y419" s="6"/>
      <c r="Z419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73.434297166188458</v>
      </c>
      <c r="AA419" s="6">
        <f ca="1">('TE BE'!$AB$13+'TE BF_350'!$AB$13+'TE CVA'!$AB$13)*(1-CUSTOS!$M$34)</f>
        <v>87.113700432049427</v>
      </c>
      <c r="AB419" s="6">
        <f>$K$419*$V$419</f>
        <v>0</v>
      </c>
      <c r="AC419" s="6">
        <f>$M$419*$W$419</f>
        <v>1639.4307000000001</v>
      </c>
      <c r="AD419" s="6">
        <f>$O$419*$X$419</f>
        <v>2037.5808000000002</v>
      </c>
      <c r="AE419" s="6">
        <f>$K$419*$Y$419</f>
        <v>0</v>
      </c>
      <c r="AF419" s="6">
        <f ca="1">$M$419*$Z$419</f>
        <v>1359.2688405461486</v>
      </c>
      <c r="AG419" s="6">
        <f ca="1">$O$419*$AA$419</f>
        <v>1612.474594997235</v>
      </c>
    </row>
    <row r="420" spans="1:33" ht="11.25" customHeight="1" x14ac:dyDescent="0.25">
      <c r="A420" s="4" t="s">
        <v>21</v>
      </c>
      <c r="B420" s="4" t="s">
        <v>22</v>
      </c>
      <c r="C420" s="4" t="s">
        <v>23</v>
      </c>
      <c r="D420" s="4" t="s">
        <v>24</v>
      </c>
      <c r="E420" s="4" t="s">
        <v>28</v>
      </c>
      <c r="F420" s="4" t="s">
        <v>25</v>
      </c>
      <c r="G420" s="4" t="s">
        <v>25</v>
      </c>
      <c r="H420" s="4" t="s">
        <v>25</v>
      </c>
      <c r="I420" s="5">
        <v>44409</v>
      </c>
      <c r="J420" s="6">
        <v>0</v>
      </c>
      <c r="K420" s="6">
        <v>0</v>
      </c>
      <c r="L420" s="6">
        <v>18.72</v>
      </c>
      <c r="M420" s="6">
        <v>18.72</v>
      </c>
      <c r="N420" s="6">
        <v>18.72</v>
      </c>
      <c r="O420" s="6">
        <v>18.72</v>
      </c>
      <c r="P420" s="6">
        <v>18</v>
      </c>
      <c r="Q420" s="4" t="s">
        <v>26</v>
      </c>
      <c r="R420" s="4">
        <v>0</v>
      </c>
      <c r="S420" s="6">
        <v>0</v>
      </c>
      <c r="T420" s="6">
        <v>14</v>
      </c>
      <c r="U420" s="6">
        <v>52</v>
      </c>
      <c r="V420" s="6">
        <f>IF(ISERROR(VLOOKUP($S$420,'TAR FIN'!$A$1:$O$86,15,0)),0,VLOOKUP($S$420,'TAR FIN'!$A$1:$O$86,15,0))</f>
        <v>0</v>
      </c>
      <c r="W420" s="6">
        <f>IF(ISERROR(VLOOKUP($T$420,'TAR FIN'!$A$1:$O$86,15,0)),0,VLOOKUP($T$420,'TAR FIN'!$A$1:$O$86,15,0))</f>
        <v>88.57</v>
      </c>
      <c r="X420" s="6">
        <f>IF(ISERROR(VLOOKUP($U$420,'TAR FIN'!$A$1:$O$86,15,0)),0,VLOOKUP($U$420,'TAR FIN'!$A$1:$O$86,15,0))</f>
        <v>110.08</v>
      </c>
      <c r="Y420" s="6"/>
      <c r="Z420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73.434297166188458</v>
      </c>
      <c r="AA420" s="6">
        <f ca="1">('TE BE'!$AB$13+'TE BF_350'!$AB$13+'TE CVA'!$AB$13)*(1-CUSTOS!$M$34)</f>
        <v>87.113700432049427</v>
      </c>
      <c r="AB420" s="6">
        <f>$K$420*$V$420</f>
        <v>0</v>
      </c>
      <c r="AC420" s="6">
        <f>$M$420*$W$420</f>
        <v>1658.0303999999999</v>
      </c>
      <c r="AD420" s="6">
        <f>$O$420*$X$420</f>
        <v>2060.6976</v>
      </c>
      <c r="AE420" s="6">
        <f>$K$420*$Y$420</f>
        <v>0</v>
      </c>
      <c r="AF420" s="6">
        <f ca="1">$M$420*$Z$420</f>
        <v>1374.6900429510479</v>
      </c>
      <c r="AG420" s="6">
        <f ca="1">$O$420*$AA$420</f>
        <v>1630.7684720879652</v>
      </c>
    </row>
    <row r="421" spans="1:33" ht="11.25" customHeight="1" x14ac:dyDescent="0.25">
      <c r="A421" s="4" t="s">
        <v>21</v>
      </c>
      <c r="B421" s="4" t="s">
        <v>22</v>
      </c>
      <c r="C421" s="4" t="s">
        <v>23</v>
      </c>
      <c r="D421" s="4" t="s">
        <v>24</v>
      </c>
      <c r="E421" s="4" t="s">
        <v>28</v>
      </c>
      <c r="F421" s="4" t="s">
        <v>25</v>
      </c>
      <c r="G421" s="4" t="s">
        <v>25</v>
      </c>
      <c r="H421" s="4" t="s">
        <v>25</v>
      </c>
      <c r="I421" s="5">
        <v>44440</v>
      </c>
      <c r="J421" s="6">
        <v>0</v>
      </c>
      <c r="K421" s="6">
        <v>0</v>
      </c>
      <c r="L421" s="6">
        <v>18.93</v>
      </c>
      <c r="M421" s="6">
        <v>18.93</v>
      </c>
      <c r="N421" s="6">
        <v>18.93</v>
      </c>
      <c r="O421" s="6">
        <v>18.93</v>
      </c>
      <c r="P421" s="6">
        <v>16</v>
      </c>
      <c r="Q421" s="4" t="s">
        <v>26</v>
      </c>
      <c r="R421" s="4">
        <v>0</v>
      </c>
      <c r="S421" s="6">
        <v>0</v>
      </c>
      <c r="T421" s="6">
        <v>14</v>
      </c>
      <c r="U421" s="6">
        <v>52</v>
      </c>
      <c r="V421" s="6">
        <f>IF(ISERROR(VLOOKUP($S$421,'TAR FIN'!$A$1:$O$86,15,0)),0,VLOOKUP($S$421,'TAR FIN'!$A$1:$O$86,15,0))</f>
        <v>0</v>
      </c>
      <c r="W421" s="6">
        <f>IF(ISERROR(VLOOKUP($T$421,'TAR FIN'!$A$1:$O$86,15,0)),0,VLOOKUP($T$421,'TAR FIN'!$A$1:$O$86,15,0))</f>
        <v>88.57</v>
      </c>
      <c r="X421" s="6">
        <f>IF(ISERROR(VLOOKUP($U$421,'TAR FIN'!$A$1:$O$86,15,0)),0,VLOOKUP($U$421,'TAR FIN'!$A$1:$O$86,15,0))</f>
        <v>110.08</v>
      </c>
      <c r="Y421" s="6"/>
      <c r="Z421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73.434297166188458</v>
      </c>
      <c r="AA421" s="6">
        <f ca="1">('TE BE'!$AB$13+'TE BF_350'!$AB$13+'TE CVA'!$AB$13)*(1-CUSTOS!$M$34)</f>
        <v>87.113700432049427</v>
      </c>
      <c r="AB421" s="6">
        <f>$K$421*$V$421</f>
        <v>0</v>
      </c>
      <c r="AC421" s="6">
        <f>$M$421*$W$421</f>
        <v>1676.6300999999999</v>
      </c>
      <c r="AD421" s="6">
        <f>$O$421*$X$421</f>
        <v>2083.8143999999998</v>
      </c>
      <c r="AE421" s="6">
        <f>$K$421*$Y$421</f>
        <v>0</v>
      </c>
      <c r="AF421" s="6">
        <f ca="1">$M$421*$Z$421</f>
        <v>1390.1112453559474</v>
      </c>
      <c r="AG421" s="6">
        <f ca="1">$O$421*$AA$421</f>
        <v>1649.0623491786957</v>
      </c>
    </row>
    <row r="422" spans="1:33" ht="11.25" customHeight="1" x14ac:dyDescent="0.25">
      <c r="A422" s="4" t="s">
        <v>21</v>
      </c>
      <c r="B422" s="4" t="s">
        <v>22</v>
      </c>
      <c r="C422" s="4" t="s">
        <v>23</v>
      </c>
      <c r="D422" s="4" t="s">
        <v>24</v>
      </c>
      <c r="E422" s="4" t="s">
        <v>28</v>
      </c>
      <c r="F422" s="4" t="s">
        <v>25</v>
      </c>
      <c r="G422" s="4" t="s">
        <v>25</v>
      </c>
      <c r="H422" s="4" t="s">
        <v>25</v>
      </c>
      <c r="I422" s="5">
        <v>44470</v>
      </c>
      <c r="J422" s="6">
        <v>0</v>
      </c>
      <c r="K422" s="6">
        <v>0</v>
      </c>
      <c r="L422" s="6">
        <v>19.02</v>
      </c>
      <c r="M422" s="6">
        <v>19.02</v>
      </c>
      <c r="N422" s="6">
        <v>19.02</v>
      </c>
      <c r="O422" s="6">
        <v>19.02</v>
      </c>
      <c r="P422" s="6">
        <v>19</v>
      </c>
      <c r="Q422" s="4" t="s">
        <v>26</v>
      </c>
      <c r="R422" s="4">
        <v>0</v>
      </c>
      <c r="S422" s="6">
        <v>0</v>
      </c>
      <c r="T422" s="6">
        <v>14</v>
      </c>
      <c r="U422" s="6">
        <v>52</v>
      </c>
      <c r="V422" s="6">
        <f>IF(ISERROR(VLOOKUP($S$422,'TAR FIN'!$A$1:$O$86,15,0)),0,VLOOKUP($S$422,'TAR FIN'!$A$1:$O$86,15,0))</f>
        <v>0</v>
      </c>
      <c r="W422" s="6">
        <f>IF(ISERROR(VLOOKUP($T$422,'TAR FIN'!$A$1:$O$86,15,0)),0,VLOOKUP($T$422,'TAR FIN'!$A$1:$O$86,15,0))</f>
        <v>88.57</v>
      </c>
      <c r="X422" s="6">
        <f>IF(ISERROR(VLOOKUP($U$422,'TAR FIN'!$A$1:$O$86,15,0)),0,VLOOKUP($U$422,'TAR FIN'!$A$1:$O$86,15,0))</f>
        <v>110.08</v>
      </c>
      <c r="Y422" s="6"/>
      <c r="Z422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73.434297166188458</v>
      </c>
      <c r="AA422" s="6">
        <f ca="1">('TE BE'!$AB$13+'TE BF_350'!$AB$13+'TE CVA'!$AB$13)*(1-CUSTOS!$M$34)</f>
        <v>87.113700432049427</v>
      </c>
      <c r="AB422" s="6">
        <f>$K$422*$V$422</f>
        <v>0</v>
      </c>
      <c r="AC422" s="6">
        <f>$M$422*$W$422</f>
        <v>1684.6013999999998</v>
      </c>
      <c r="AD422" s="6">
        <f>$O$422*$X$422</f>
        <v>2093.7215999999999</v>
      </c>
      <c r="AE422" s="6">
        <f>$K$422*$Y$422</f>
        <v>0</v>
      </c>
      <c r="AF422" s="6">
        <f ca="1">$M$422*$Z$422</f>
        <v>1396.7203321009044</v>
      </c>
      <c r="AG422" s="6">
        <f ca="1">$O$422*$AA$422</f>
        <v>1656.9025822175802</v>
      </c>
    </row>
    <row r="423" spans="1:33" ht="11.25" customHeight="1" x14ac:dyDescent="0.25">
      <c r="A423" s="4" t="s">
        <v>21</v>
      </c>
      <c r="B423" s="4" t="s">
        <v>22</v>
      </c>
      <c r="C423" s="4" t="s">
        <v>23</v>
      </c>
      <c r="D423" s="4" t="s">
        <v>24</v>
      </c>
      <c r="E423" s="4" t="s">
        <v>28</v>
      </c>
      <c r="F423" s="4" t="s">
        <v>25</v>
      </c>
      <c r="G423" s="4" t="s">
        <v>25</v>
      </c>
      <c r="H423" s="4" t="s">
        <v>25</v>
      </c>
      <c r="I423" s="5">
        <v>44501</v>
      </c>
      <c r="J423" s="6">
        <v>0</v>
      </c>
      <c r="K423" s="6">
        <v>0</v>
      </c>
      <c r="L423" s="6">
        <v>19.14</v>
      </c>
      <c r="M423" s="6">
        <v>19.14</v>
      </c>
      <c r="N423" s="6">
        <v>19.14</v>
      </c>
      <c r="O423" s="6">
        <v>19.14</v>
      </c>
      <c r="P423" s="6">
        <v>14</v>
      </c>
      <c r="Q423" s="4" t="s">
        <v>26</v>
      </c>
      <c r="R423" s="4">
        <v>0</v>
      </c>
      <c r="S423" s="6">
        <v>0</v>
      </c>
      <c r="T423" s="6">
        <v>14</v>
      </c>
      <c r="U423" s="6">
        <v>52</v>
      </c>
      <c r="V423" s="6">
        <f>IF(ISERROR(VLOOKUP($S$423,'TAR FIN'!$A$1:$O$86,15,0)),0,VLOOKUP($S$423,'TAR FIN'!$A$1:$O$86,15,0))</f>
        <v>0</v>
      </c>
      <c r="W423" s="6">
        <f>IF(ISERROR(VLOOKUP($T$423,'TAR FIN'!$A$1:$O$86,15,0)),0,VLOOKUP($T$423,'TAR FIN'!$A$1:$O$86,15,0))</f>
        <v>88.57</v>
      </c>
      <c r="X423" s="6">
        <f>IF(ISERROR(VLOOKUP($U$423,'TAR FIN'!$A$1:$O$86,15,0)),0,VLOOKUP($U$423,'TAR FIN'!$A$1:$O$86,15,0))</f>
        <v>110.08</v>
      </c>
      <c r="Y423" s="6"/>
      <c r="Z423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73.434297166188458</v>
      </c>
      <c r="AA423" s="6">
        <f ca="1">('TE BE'!$AB$13+'TE BF_350'!$AB$13+'TE CVA'!$AB$13)*(1-CUSTOS!$M$34)</f>
        <v>87.113700432049427</v>
      </c>
      <c r="AB423" s="6">
        <f>$K$423*$V$423</f>
        <v>0</v>
      </c>
      <c r="AC423" s="6">
        <f>$M$423*$W$423</f>
        <v>1695.2297999999998</v>
      </c>
      <c r="AD423" s="6">
        <f>$O$423*$X$423</f>
        <v>2106.9312</v>
      </c>
      <c r="AE423" s="6">
        <f>$K$423*$Y$423</f>
        <v>0</v>
      </c>
      <c r="AF423" s="6">
        <f ca="1">$M$423*$Z$423</f>
        <v>1405.5324477608472</v>
      </c>
      <c r="AG423" s="6">
        <f ca="1">$O$423*$AA$423</f>
        <v>1667.3562262694261</v>
      </c>
    </row>
    <row r="424" spans="1:33" ht="11.25" customHeight="1" x14ac:dyDescent="0.25">
      <c r="A424" s="4" t="s">
        <v>21</v>
      </c>
      <c r="B424" s="4" t="s">
        <v>22</v>
      </c>
      <c r="C424" s="4" t="s">
        <v>23</v>
      </c>
      <c r="D424" s="4" t="s">
        <v>24</v>
      </c>
      <c r="E424" s="4" t="s">
        <v>28</v>
      </c>
      <c r="F424" s="4" t="s">
        <v>25</v>
      </c>
      <c r="G424" s="4" t="s">
        <v>25</v>
      </c>
      <c r="H424" s="4" t="s">
        <v>25</v>
      </c>
      <c r="I424" s="5">
        <v>44531</v>
      </c>
      <c r="J424" s="6">
        <v>0</v>
      </c>
      <c r="K424" s="6">
        <v>0</v>
      </c>
      <c r="L424" s="6">
        <v>19.260000000000002</v>
      </c>
      <c r="M424" s="6">
        <v>19.260000000000002</v>
      </c>
      <c r="N424" s="6">
        <v>19.260000000000002</v>
      </c>
      <c r="O424" s="6">
        <v>19.260000000000002</v>
      </c>
      <c r="P424" s="6">
        <v>14</v>
      </c>
      <c r="Q424" s="4" t="s">
        <v>26</v>
      </c>
      <c r="R424" s="4">
        <v>0</v>
      </c>
      <c r="S424" s="6">
        <v>0</v>
      </c>
      <c r="T424" s="6">
        <v>14</v>
      </c>
      <c r="U424" s="6">
        <v>52</v>
      </c>
      <c r="V424" s="6">
        <f>IF(ISERROR(VLOOKUP($S$424,'TAR FIN'!$A$1:$O$86,15,0)),0,VLOOKUP($S$424,'TAR FIN'!$A$1:$O$86,15,0))</f>
        <v>0</v>
      </c>
      <c r="W424" s="6">
        <f>IF(ISERROR(VLOOKUP($T$424,'TAR FIN'!$A$1:$O$86,15,0)),0,VLOOKUP($T$424,'TAR FIN'!$A$1:$O$86,15,0))</f>
        <v>88.57</v>
      </c>
      <c r="X424" s="6">
        <f>IF(ISERROR(VLOOKUP($U$424,'TAR FIN'!$A$1:$O$86,15,0)),0,VLOOKUP($U$424,'TAR FIN'!$A$1:$O$86,15,0))</f>
        <v>110.08</v>
      </c>
      <c r="Y424" s="6"/>
      <c r="Z424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73.434297166188458</v>
      </c>
      <c r="AA424" s="6">
        <f ca="1">('TE BE'!$AB$13+'TE BF_350'!$AB$13+'TE CVA'!$AB$13)*(1-CUSTOS!$M$34)</f>
        <v>87.113700432049427</v>
      </c>
      <c r="AB424" s="6">
        <f>$K$424*$V$424</f>
        <v>0</v>
      </c>
      <c r="AC424" s="6">
        <f>$M$424*$W$424</f>
        <v>1705.8581999999999</v>
      </c>
      <c r="AD424" s="6">
        <f>$O$424*$X$424</f>
        <v>2120.1408000000001</v>
      </c>
      <c r="AE424" s="6">
        <f>$K$424*$Y$424</f>
        <v>0</v>
      </c>
      <c r="AF424" s="6">
        <f ca="1">$M$424*$Z$424</f>
        <v>1414.3445634207899</v>
      </c>
      <c r="AG424" s="6">
        <f ca="1">$O$424*$AA$424</f>
        <v>1677.809870321272</v>
      </c>
    </row>
    <row r="425" spans="1:33" ht="11.25" customHeight="1" x14ac:dyDescent="0.25">
      <c r="A425" s="4" t="s">
        <v>21</v>
      </c>
      <c r="B425" s="4" t="s">
        <v>22</v>
      </c>
      <c r="C425" s="4" t="s">
        <v>23</v>
      </c>
      <c r="D425" s="4" t="s">
        <v>24</v>
      </c>
      <c r="E425" s="4" t="s">
        <v>28</v>
      </c>
      <c r="F425" s="4" t="s">
        <v>25</v>
      </c>
      <c r="G425" s="4" t="s">
        <v>25</v>
      </c>
      <c r="H425" s="4" t="s">
        <v>25</v>
      </c>
      <c r="I425" s="5">
        <v>44562</v>
      </c>
      <c r="J425" s="6">
        <v>0</v>
      </c>
      <c r="K425" s="6">
        <v>0</v>
      </c>
      <c r="L425" s="6">
        <v>23.800999999999998</v>
      </c>
      <c r="M425" s="6">
        <v>23.800999999999998</v>
      </c>
      <c r="N425" s="6">
        <v>23.800999999999998</v>
      </c>
      <c r="O425" s="6">
        <v>23.800999999999998</v>
      </c>
      <c r="P425" s="6">
        <v>17</v>
      </c>
      <c r="Q425" s="4" t="s">
        <v>26</v>
      </c>
      <c r="R425" s="4">
        <v>0</v>
      </c>
      <c r="S425" s="6">
        <v>0</v>
      </c>
      <c r="T425" s="6">
        <v>14</v>
      </c>
      <c r="U425" s="6">
        <v>52</v>
      </c>
      <c r="V425" s="6">
        <f>IF(ISERROR(VLOOKUP($S$425,'TAR FIN'!$A$1:$O$86,15,0)),0,VLOOKUP($S$425,'TAR FIN'!$A$1:$O$86,15,0))</f>
        <v>0</v>
      </c>
      <c r="W425" s="6">
        <f>IF(ISERROR(VLOOKUP($T$425,'TAR FIN'!$A$1:$O$86,15,0)),0,VLOOKUP($T$425,'TAR FIN'!$A$1:$O$86,15,0))</f>
        <v>88.57</v>
      </c>
      <c r="X425" s="6">
        <f>IF(ISERROR(VLOOKUP($U$425,'TAR FIN'!$A$1:$O$86,15,0)),0,VLOOKUP($U$425,'TAR FIN'!$A$1:$O$86,15,0))</f>
        <v>110.08</v>
      </c>
      <c r="Y425" s="6"/>
      <c r="Z425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73.434297166188458</v>
      </c>
      <c r="AA425" s="6">
        <f ca="1">('TE BE'!$AB$13+'TE BF_350'!$AB$13+'TE CVA'!$AB$13)*(1-CUSTOS!$M$34)</f>
        <v>87.113700432049427</v>
      </c>
      <c r="AB425" s="6">
        <f>$K$425*$V$425</f>
        <v>0</v>
      </c>
      <c r="AC425" s="6">
        <f>$M$425*$W$425</f>
        <v>2108.0545699999998</v>
      </c>
      <c r="AD425" s="6">
        <f>$O$425*$X$425</f>
        <v>2620.0140799999999</v>
      </c>
      <c r="AE425" s="6">
        <f>$K$425*$Y$425</f>
        <v>0</v>
      </c>
      <c r="AF425" s="6">
        <f ca="1">$M$425*$Z$425</f>
        <v>1747.8097068524514</v>
      </c>
      <c r="AG425" s="6">
        <f ca="1">$O$425*$AA$425</f>
        <v>2073.3931839832085</v>
      </c>
    </row>
    <row r="426" spans="1:33" ht="11.25" customHeight="1" x14ac:dyDescent="0.25">
      <c r="A426" s="4" t="s">
        <v>27</v>
      </c>
      <c r="B426" s="4" t="s">
        <v>22</v>
      </c>
      <c r="C426" s="4" t="s">
        <v>23</v>
      </c>
      <c r="D426" s="4" t="s">
        <v>24</v>
      </c>
      <c r="E426" s="4" t="s">
        <v>28</v>
      </c>
      <c r="F426" s="4" t="s">
        <v>25</v>
      </c>
      <c r="G426" s="4" t="s">
        <v>25</v>
      </c>
      <c r="H426" s="4" t="s">
        <v>25</v>
      </c>
      <c r="I426" s="5">
        <v>44562</v>
      </c>
      <c r="J426" s="6">
        <v>0</v>
      </c>
      <c r="K426" s="6">
        <v>0</v>
      </c>
      <c r="L426" s="6">
        <v>9.6000000000000002E-2</v>
      </c>
      <c r="M426" s="6">
        <v>9.6000000000000002E-2</v>
      </c>
      <c r="N426" s="6">
        <v>9.6000000000000002E-2</v>
      </c>
      <c r="O426" s="6">
        <v>9.6000000000000002E-2</v>
      </c>
      <c r="P426" s="6">
        <v>0</v>
      </c>
      <c r="Q426" s="4" t="s">
        <v>26</v>
      </c>
      <c r="R426" s="4">
        <v>0</v>
      </c>
      <c r="S426" s="6">
        <v>0</v>
      </c>
      <c r="T426" s="6">
        <v>14</v>
      </c>
      <c r="U426" s="6">
        <v>52</v>
      </c>
      <c r="V426" s="6">
        <f>IF(ISERROR(VLOOKUP($S$426,'TAR FIN'!$A$1:$O$86,15,0)),0,VLOOKUP($S$426,'TAR FIN'!$A$1:$O$86,15,0))</f>
        <v>0</v>
      </c>
      <c r="W426" s="6">
        <f>IF(ISERROR(VLOOKUP($T$426,'TAR FIN'!$A$1:$O$86,15,0)),0,VLOOKUP($T$426,'TAR FIN'!$A$1:$O$86,15,0))</f>
        <v>88.57</v>
      </c>
      <c r="X426" s="6">
        <f>IF(ISERROR(VLOOKUP($U$426,'TAR FIN'!$A$1:$O$86,15,0)),0,VLOOKUP($U$426,'TAR FIN'!$A$1:$O$86,15,0))</f>
        <v>110.08</v>
      </c>
      <c r="Y426" s="6"/>
      <c r="Z426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73.434297166188458</v>
      </c>
      <c r="AA426" s="6">
        <f ca="1">('TE BE'!$AB$13+'TE BF_350'!$AB$13+'TE CVA'!$AB$13)*(1-CUSTOS!$M$34)</f>
        <v>87.113700432049427</v>
      </c>
      <c r="AB426" s="6">
        <f>$K$426*$V$426</f>
        <v>0</v>
      </c>
      <c r="AC426" s="6">
        <f>$M$426*$W$426</f>
        <v>8.5027200000000001</v>
      </c>
      <c r="AD426" s="6">
        <f>$O$426*$X$426</f>
        <v>10.567679999999999</v>
      </c>
      <c r="AE426" s="6">
        <f>$K$426*$Y$426</f>
        <v>0</v>
      </c>
      <c r="AF426" s="6">
        <f ca="1">$M$426*$Z$426</f>
        <v>7.0496925279540923</v>
      </c>
      <c r="AG426" s="6">
        <f ca="1">$O$426*$AA$426</f>
        <v>8.3629152414767454</v>
      </c>
    </row>
    <row r="427" spans="1:33" ht="11.25" customHeight="1" x14ac:dyDescent="0.25">
      <c r="A427" s="4" t="s">
        <v>21</v>
      </c>
      <c r="B427" s="4" t="s">
        <v>22</v>
      </c>
      <c r="C427" s="4" t="s">
        <v>23</v>
      </c>
      <c r="D427" s="4" t="s">
        <v>24</v>
      </c>
      <c r="E427" s="4" t="s">
        <v>28</v>
      </c>
      <c r="F427" s="4" t="s">
        <v>25</v>
      </c>
      <c r="G427" s="4" t="s">
        <v>25</v>
      </c>
      <c r="H427" s="4" t="s">
        <v>25</v>
      </c>
      <c r="I427" s="5">
        <v>44593</v>
      </c>
      <c r="J427" s="6">
        <v>0</v>
      </c>
      <c r="K427" s="6">
        <v>0</v>
      </c>
      <c r="L427" s="6">
        <v>24.66</v>
      </c>
      <c r="M427" s="6">
        <v>24.66</v>
      </c>
      <c r="N427" s="6">
        <v>24.66</v>
      </c>
      <c r="O427" s="6">
        <v>24.66</v>
      </c>
      <c r="P427" s="6">
        <v>19</v>
      </c>
      <c r="Q427" s="4" t="s">
        <v>26</v>
      </c>
      <c r="R427" s="4">
        <v>0</v>
      </c>
      <c r="S427" s="6">
        <v>0</v>
      </c>
      <c r="T427" s="6">
        <v>14</v>
      </c>
      <c r="U427" s="6">
        <v>52</v>
      </c>
      <c r="V427" s="6">
        <f>IF(ISERROR(VLOOKUP($S$427,'TAR FIN'!$A$1:$O$86,15,0)),0,VLOOKUP($S$427,'TAR FIN'!$A$1:$O$86,15,0))</f>
        <v>0</v>
      </c>
      <c r="W427" s="6">
        <f>IF(ISERROR(VLOOKUP($T$427,'TAR FIN'!$A$1:$O$86,15,0)),0,VLOOKUP($T$427,'TAR FIN'!$A$1:$O$86,15,0))</f>
        <v>88.57</v>
      </c>
      <c r="X427" s="6">
        <f>IF(ISERROR(VLOOKUP($U$427,'TAR FIN'!$A$1:$O$86,15,0)),0,VLOOKUP($U$427,'TAR FIN'!$A$1:$O$86,15,0))</f>
        <v>110.08</v>
      </c>
      <c r="Y427" s="6"/>
      <c r="Z427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73.434297166188458</v>
      </c>
      <c r="AA427" s="6">
        <f ca="1">('TE BE'!$AB$13+'TE BF_350'!$AB$13+'TE CVA'!$AB$13)*(1-CUSTOS!$M$34)</f>
        <v>87.113700432049427</v>
      </c>
      <c r="AB427" s="6">
        <f>$K$427*$V$427</f>
        <v>0</v>
      </c>
      <c r="AC427" s="6">
        <f>$M$427*$W$427</f>
        <v>2184.1361999999999</v>
      </c>
      <c r="AD427" s="6">
        <f>$O$427*$X$427</f>
        <v>2714.5727999999999</v>
      </c>
      <c r="AE427" s="6">
        <f>$K$427*$Y$427</f>
        <v>0</v>
      </c>
      <c r="AF427" s="6">
        <f ca="1">$M$427*$Z$427</f>
        <v>1810.8897681182075</v>
      </c>
      <c r="AG427" s="6">
        <f ca="1">$O$427*$AA$427</f>
        <v>2148.2238526543388</v>
      </c>
    </row>
    <row r="428" spans="1:33" ht="11.25" customHeight="1" x14ac:dyDescent="0.25">
      <c r="A428" s="4" t="s">
        <v>21</v>
      </c>
      <c r="B428" s="4" t="s">
        <v>22</v>
      </c>
      <c r="C428" s="4" t="s">
        <v>23</v>
      </c>
      <c r="D428" s="4" t="s">
        <v>24</v>
      </c>
      <c r="E428" s="4" t="s">
        <v>28</v>
      </c>
      <c r="F428" s="4" t="s">
        <v>25</v>
      </c>
      <c r="G428" s="4" t="s">
        <v>25</v>
      </c>
      <c r="H428" s="4" t="s">
        <v>25</v>
      </c>
      <c r="I428" s="5">
        <v>44621</v>
      </c>
      <c r="J428" s="6">
        <v>0</v>
      </c>
      <c r="K428" s="6">
        <v>0</v>
      </c>
      <c r="L428" s="6">
        <v>25.83</v>
      </c>
      <c r="M428" s="6">
        <v>25.83</v>
      </c>
      <c r="N428" s="6">
        <v>25.83</v>
      </c>
      <c r="O428" s="6">
        <v>25.83</v>
      </c>
      <c r="P428" s="6">
        <v>18</v>
      </c>
      <c r="Q428" s="4" t="s">
        <v>26</v>
      </c>
      <c r="R428" s="4">
        <v>0</v>
      </c>
      <c r="S428" s="6">
        <v>0</v>
      </c>
      <c r="T428" s="6">
        <v>14</v>
      </c>
      <c r="U428" s="6">
        <v>52</v>
      </c>
      <c r="V428" s="6">
        <f>IF(ISERROR(VLOOKUP($S$428,'TAR FIN'!$A$1:$O$86,15,0)),0,VLOOKUP($S$428,'TAR FIN'!$A$1:$O$86,15,0))</f>
        <v>0</v>
      </c>
      <c r="W428" s="6">
        <f>IF(ISERROR(VLOOKUP($T$428,'TAR FIN'!$A$1:$O$86,15,0)),0,VLOOKUP($T$428,'TAR FIN'!$A$1:$O$86,15,0))</f>
        <v>88.57</v>
      </c>
      <c r="X428" s="6">
        <f>IF(ISERROR(VLOOKUP($U$428,'TAR FIN'!$A$1:$O$86,15,0)),0,VLOOKUP($U$428,'TAR FIN'!$A$1:$O$86,15,0))</f>
        <v>110.08</v>
      </c>
      <c r="Y428" s="6"/>
      <c r="Z428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73.434297166188458</v>
      </c>
      <c r="AA428" s="6">
        <f ca="1">('TE BE'!$AB$13+'TE BF_350'!$AB$13+'TE CVA'!$AB$13)*(1-CUSTOS!$M$34)</f>
        <v>87.113700432049427</v>
      </c>
      <c r="AB428" s="6">
        <f>$K$428*$V$428</f>
        <v>0</v>
      </c>
      <c r="AC428" s="6">
        <f>$M$428*$W$428</f>
        <v>2287.7630999999997</v>
      </c>
      <c r="AD428" s="6">
        <f>$O$428*$X$428</f>
        <v>2843.3663999999999</v>
      </c>
      <c r="AE428" s="6">
        <f>$K$428*$Y$428</f>
        <v>0</v>
      </c>
      <c r="AF428" s="6">
        <f ca="1">$M$428*$Z$428</f>
        <v>1896.8078958026476</v>
      </c>
      <c r="AG428" s="6">
        <f ca="1">$O$428*$AA$428</f>
        <v>2250.1468821598364</v>
      </c>
    </row>
    <row r="429" spans="1:33" ht="11.25" customHeight="1" x14ac:dyDescent="0.25">
      <c r="A429" s="4" t="s">
        <v>21</v>
      </c>
      <c r="B429" s="4" t="s">
        <v>22</v>
      </c>
      <c r="C429" s="4" t="s">
        <v>23</v>
      </c>
      <c r="D429" s="4" t="s">
        <v>24</v>
      </c>
      <c r="E429" s="4" t="s">
        <v>28</v>
      </c>
      <c r="F429" s="4" t="s">
        <v>25</v>
      </c>
      <c r="G429" s="4" t="s">
        <v>25</v>
      </c>
      <c r="H429" s="4" t="s">
        <v>25</v>
      </c>
      <c r="I429" s="5">
        <v>44652</v>
      </c>
      <c r="J429" s="6">
        <v>0</v>
      </c>
      <c r="K429" s="6">
        <v>0</v>
      </c>
      <c r="L429" s="6">
        <v>26.37</v>
      </c>
      <c r="M429" s="6">
        <v>26.37</v>
      </c>
      <c r="N429" s="6">
        <v>26.37</v>
      </c>
      <c r="O429" s="6">
        <v>26.37</v>
      </c>
      <c r="P429" s="6">
        <v>25</v>
      </c>
      <c r="Q429" s="4" t="s">
        <v>26</v>
      </c>
      <c r="R429" s="4">
        <v>0</v>
      </c>
      <c r="S429" s="6">
        <v>0</v>
      </c>
      <c r="T429" s="6">
        <v>14</v>
      </c>
      <c r="U429" s="6">
        <v>52</v>
      </c>
      <c r="V429" s="6">
        <f>IF(ISERROR(VLOOKUP($S$429,'TAR FIN'!$A$1:$O$86,15,0)),0,VLOOKUP($S$429,'TAR FIN'!$A$1:$O$86,15,0))</f>
        <v>0</v>
      </c>
      <c r="W429" s="6">
        <f>IF(ISERROR(VLOOKUP($T$429,'TAR FIN'!$A$1:$O$86,15,0)),0,VLOOKUP($T$429,'TAR FIN'!$A$1:$O$86,15,0))</f>
        <v>88.57</v>
      </c>
      <c r="X429" s="6">
        <f>IF(ISERROR(VLOOKUP($U$429,'TAR FIN'!$A$1:$O$86,15,0)),0,VLOOKUP($U$429,'TAR FIN'!$A$1:$O$86,15,0))</f>
        <v>110.08</v>
      </c>
      <c r="Y429" s="6"/>
      <c r="Z429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73.434297166188458</v>
      </c>
      <c r="AA429" s="6">
        <f ca="1">('TE BE'!$AB$13+'TE BF_350'!$AB$13+'TE CVA'!$AB$13)*(1-CUSTOS!$M$34)</f>
        <v>87.113700432049427</v>
      </c>
      <c r="AB429" s="6">
        <f>$K$429*$V$429</f>
        <v>0</v>
      </c>
      <c r="AC429" s="6">
        <f>$M$429*$W$429</f>
        <v>2335.5908999999997</v>
      </c>
      <c r="AD429" s="6">
        <f>$O$429*$X$429</f>
        <v>2902.8096</v>
      </c>
      <c r="AE429" s="6">
        <f>$K$429*$Y$429</f>
        <v>0</v>
      </c>
      <c r="AF429" s="6">
        <f ca="1">$M$429*$Z$429</f>
        <v>1936.4624162723896</v>
      </c>
      <c r="AG429" s="6">
        <f ca="1">$O$429*$AA$429</f>
        <v>2297.1882803931435</v>
      </c>
    </row>
    <row r="430" spans="1:33" ht="11.25" customHeight="1" x14ac:dyDescent="0.25">
      <c r="A430" s="4" t="s">
        <v>21</v>
      </c>
      <c r="B430" s="4" t="s">
        <v>22</v>
      </c>
      <c r="C430" s="4" t="s">
        <v>23</v>
      </c>
      <c r="D430" s="4" t="s">
        <v>24</v>
      </c>
      <c r="E430" s="4" t="s">
        <v>28</v>
      </c>
      <c r="F430" s="4" t="s">
        <v>25</v>
      </c>
      <c r="G430" s="4" t="s">
        <v>25</v>
      </c>
      <c r="H430" s="4" t="s">
        <v>25</v>
      </c>
      <c r="I430" s="5">
        <v>44682</v>
      </c>
      <c r="J430" s="6">
        <v>0</v>
      </c>
      <c r="K430" s="6">
        <v>0</v>
      </c>
      <c r="L430" s="6">
        <v>25.265999999999998</v>
      </c>
      <c r="M430" s="6">
        <v>25.265999999999998</v>
      </c>
      <c r="N430" s="6">
        <v>25.265999999999998</v>
      </c>
      <c r="O430" s="6">
        <v>25.265999999999998</v>
      </c>
      <c r="P430" s="6">
        <v>36</v>
      </c>
      <c r="Q430" s="4" t="s">
        <v>26</v>
      </c>
      <c r="R430" s="4">
        <v>0</v>
      </c>
      <c r="S430" s="6">
        <v>0</v>
      </c>
      <c r="T430" s="6">
        <v>14</v>
      </c>
      <c r="U430" s="6">
        <v>52</v>
      </c>
      <c r="V430" s="6">
        <f>IF(ISERROR(VLOOKUP($S$430,'TAR FIN'!$A$1:$O$86,15,0)),0,VLOOKUP($S$430,'TAR FIN'!$A$1:$O$86,15,0))</f>
        <v>0</v>
      </c>
      <c r="W430" s="6">
        <f>IF(ISERROR(VLOOKUP($T$430,'TAR FIN'!$A$1:$O$86,15,0)),0,VLOOKUP($T$430,'TAR FIN'!$A$1:$O$86,15,0))</f>
        <v>88.57</v>
      </c>
      <c r="X430" s="6">
        <f>IF(ISERROR(VLOOKUP($U$430,'TAR FIN'!$A$1:$O$86,15,0)),0,VLOOKUP($U$430,'TAR FIN'!$A$1:$O$86,15,0))</f>
        <v>110.08</v>
      </c>
      <c r="Y430" s="6"/>
      <c r="Z430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73.434297166188458</v>
      </c>
      <c r="AA430" s="6">
        <f ca="1">('TE BE'!$AB$13+'TE BF_350'!$AB$13+'TE CVA'!$AB$13)*(1-CUSTOS!$M$34)</f>
        <v>87.113700432049427</v>
      </c>
      <c r="AB430" s="6">
        <f>$K$430*$V$430</f>
        <v>0</v>
      </c>
      <c r="AC430" s="6">
        <f>$M$430*$W$430</f>
        <v>2237.8096199999995</v>
      </c>
      <c r="AD430" s="6">
        <f>$O$430*$X$430</f>
        <v>2781.2812799999997</v>
      </c>
      <c r="AE430" s="6">
        <f>$K$430*$Y$430</f>
        <v>0</v>
      </c>
      <c r="AF430" s="6">
        <f ca="1">$M$430*$Z$430</f>
        <v>1855.3909522009174</v>
      </c>
      <c r="AG430" s="6">
        <f ca="1">$O$430*$AA$430</f>
        <v>2201.0147551161608</v>
      </c>
    </row>
    <row r="431" spans="1:33" ht="11.25" customHeight="1" x14ac:dyDescent="0.25">
      <c r="A431" s="4" t="s">
        <v>27</v>
      </c>
      <c r="B431" s="4" t="s">
        <v>22</v>
      </c>
      <c r="C431" s="4" t="s">
        <v>23</v>
      </c>
      <c r="D431" s="4" t="s">
        <v>24</v>
      </c>
      <c r="E431" s="4" t="s">
        <v>28</v>
      </c>
      <c r="F431" s="4" t="s">
        <v>25</v>
      </c>
      <c r="G431" s="4" t="s">
        <v>25</v>
      </c>
      <c r="H431" s="4" t="s">
        <v>25</v>
      </c>
      <c r="I431" s="5">
        <v>44682</v>
      </c>
      <c r="J431" s="6">
        <v>0</v>
      </c>
      <c r="K431" s="6">
        <v>0</v>
      </c>
      <c r="L431" s="6">
        <v>0.03</v>
      </c>
      <c r="M431" s="6">
        <v>0.03</v>
      </c>
      <c r="N431" s="6">
        <v>0.03</v>
      </c>
      <c r="O431" s="6">
        <v>0.03</v>
      </c>
      <c r="P431" s="6">
        <v>0</v>
      </c>
      <c r="Q431" s="4" t="s">
        <v>26</v>
      </c>
      <c r="R431" s="4">
        <v>0</v>
      </c>
      <c r="S431" s="6">
        <v>0</v>
      </c>
      <c r="T431" s="6">
        <v>14</v>
      </c>
      <c r="U431" s="6">
        <v>52</v>
      </c>
      <c r="V431" s="6">
        <f>IF(ISERROR(VLOOKUP($S$431,'TAR FIN'!$A$1:$O$86,15,0)),0,VLOOKUP($S$431,'TAR FIN'!$A$1:$O$86,15,0))</f>
        <v>0</v>
      </c>
      <c r="W431" s="6">
        <f>IF(ISERROR(VLOOKUP($T$431,'TAR FIN'!$A$1:$O$86,15,0)),0,VLOOKUP($T$431,'TAR FIN'!$A$1:$O$86,15,0))</f>
        <v>88.57</v>
      </c>
      <c r="X431" s="6">
        <f>IF(ISERROR(VLOOKUP($U$431,'TAR FIN'!$A$1:$O$86,15,0)),0,VLOOKUP($U$431,'TAR FIN'!$A$1:$O$86,15,0))</f>
        <v>110.08</v>
      </c>
      <c r="Y431" s="6"/>
      <c r="Z431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73.434297166188458</v>
      </c>
      <c r="AA431" s="6">
        <f ca="1">('TE BE'!$AB$13+'TE BF_350'!$AB$13+'TE CVA'!$AB$13)*(1-CUSTOS!$M$34)</f>
        <v>87.113700432049427</v>
      </c>
      <c r="AB431" s="6">
        <f>$K$431*$V$431</f>
        <v>0</v>
      </c>
      <c r="AC431" s="6">
        <f>$M$431*$W$431</f>
        <v>2.6570999999999998</v>
      </c>
      <c r="AD431" s="6">
        <f>$O$431*$X$431</f>
        <v>3.3024</v>
      </c>
      <c r="AE431" s="6">
        <f>$K$431*$Y$431</f>
        <v>0</v>
      </c>
      <c r="AF431" s="6">
        <f ca="1">$M$431*$Z$431</f>
        <v>2.2030289149856537</v>
      </c>
      <c r="AG431" s="6">
        <f ca="1">$O$431*$AA$431</f>
        <v>2.6134110129614827</v>
      </c>
    </row>
    <row r="432" spans="1:33" ht="11.25" customHeight="1" x14ac:dyDescent="0.25">
      <c r="A432" s="4" t="s">
        <v>55</v>
      </c>
      <c r="B432" s="4" t="s">
        <v>22</v>
      </c>
      <c r="C432" s="4" t="s">
        <v>23</v>
      </c>
      <c r="D432" s="4" t="s">
        <v>24</v>
      </c>
      <c r="E432" s="4" t="s">
        <v>28</v>
      </c>
      <c r="F432" s="4" t="s">
        <v>25</v>
      </c>
      <c r="G432" s="4" t="s">
        <v>25</v>
      </c>
      <c r="H432" s="4" t="s">
        <v>25</v>
      </c>
      <c r="I432" s="5">
        <v>44713</v>
      </c>
      <c r="J432" s="6">
        <v>0</v>
      </c>
      <c r="K432" s="6">
        <v>0</v>
      </c>
      <c r="L432" s="6">
        <v>25.265999999999998</v>
      </c>
      <c r="M432" s="6">
        <v>25.265999999999998</v>
      </c>
      <c r="N432" s="6">
        <v>25.265999999999998</v>
      </c>
      <c r="O432" s="6">
        <v>25.265999999999998</v>
      </c>
      <c r="P432" s="6">
        <v>36</v>
      </c>
      <c r="Q432" s="4" t="s">
        <v>26</v>
      </c>
      <c r="R432" s="4">
        <v>0</v>
      </c>
      <c r="S432" s="6">
        <v>0</v>
      </c>
      <c r="T432" s="6">
        <v>14</v>
      </c>
      <c r="U432" s="6">
        <v>52</v>
      </c>
      <c r="V432" s="6">
        <f>IF(ISERROR(VLOOKUP($S$432,'TAR FIN'!$A$1:$O$86,15,0)),0,VLOOKUP($S$432,'TAR FIN'!$A$1:$O$86,15,0))</f>
        <v>0</v>
      </c>
      <c r="W432" s="6">
        <f>IF(ISERROR(VLOOKUP($T$432,'TAR FIN'!$A$1:$O$86,15,0)),0,VLOOKUP($T$432,'TAR FIN'!$A$1:$O$86,15,0))</f>
        <v>88.57</v>
      </c>
      <c r="X432" s="6">
        <f>IF(ISERROR(VLOOKUP($U$432,'TAR FIN'!$A$1:$O$86,15,0)),0,VLOOKUP($U$432,'TAR FIN'!$A$1:$O$86,15,0))</f>
        <v>110.08</v>
      </c>
      <c r="Y432" s="6"/>
      <c r="Z432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73.434297166188458</v>
      </c>
      <c r="AA432" s="6">
        <f ca="1">('TE BE'!$AB$13+'TE BF_350'!$AB$13+'TE CVA'!$AB$13)*(1-CUSTOS!$M$34)</f>
        <v>87.113700432049427</v>
      </c>
      <c r="AB432" s="6">
        <f>$K$432*$V$432</f>
        <v>0</v>
      </c>
      <c r="AC432" s="6">
        <f>$M$432*$W$432</f>
        <v>2237.8096199999995</v>
      </c>
      <c r="AD432" s="6">
        <f>$O$432*$X$432</f>
        <v>2781.2812799999997</v>
      </c>
      <c r="AE432" s="6">
        <f>$K$432*$Y$432</f>
        <v>0</v>
      </c>
      <c r="AF432" s="6">
        <f ca="1">$M$432*$Z$432</f>
        <v>1855.3909522009174</v>
      </c>
      <c r="AG432" s="6">
        <f ca="1">$O$432*$AA$432</f>
        <v>2201.0147551161608</v>
      </c>
    </row>
    <row r="433" spans="1:33" ht="11.25" customHeight="1" x14ac:dyDescent="0.25">
      <c r="A433" s="4" t="s">
        <v>55</v>
      </c>
      <c r="B433" s="4" t="s">
        <v>22</v>
      </c>
      <c r="C433" s="4" t="s">
        <v>23</v>
      </c>
      <c r="D433" s="4" t="s">
        <v>24</v>
      </c>
      <c r="E433" s="4" t="s">
        <v>28</v>
      </c>
      <c r="F433" s="4" t="s">
        <v>25</v>
      </c>
      <c r="G433" s="4" t="s">
        <v>25</v>
      </c>
      <c r="H433" s="4" t="s">
        <v>25</v>
      </c>
      <c r="I433" s="5">
        <v>44713</v>
      </c>
      <c r="J433" s="6">
        <v>0</v>
      </c>
      <c r="K433" s="6">
        <v>0</v>
      </c>
      <c r="L433" s="6">
        <v>0.03</v>
      </c>
      <c r="M433" s="6">
        <v>0.03</v>
      </c>
      <c r="N433" s="6">
        <v>0.03</v>
      </c>
      <c r="O433" s="6">
        <v>0.03</v>
      </c>
      <c r="P433" s="6">
        <v>0</v>
      </c>
      <c r="Q433" s="4" t="s">
        <v>26</v>
      </c>
      <c r="R433" s="4">
        <v>0</v>
      </c>
      <c r="S433" s="6">
        <v>0</v>
      </c>
      <c r="T433" s="6">
        <v>14</v>
      </c>
      <c r="U433" s="6">
        <v>52</v>
      </c>
      <c r="V433" s="6">
        <f>IF(ISERROR(VLOOKUP($S$433,'TAR FIN'!$A$1:$O$86,15,0)),0,VLOOKUP($S$433,'TAR FIN'!$A$1:$O$86,15,0))</f>
        <v>0</v>
      </c>
      <c r="W433" s="6">
        <f>IF(ISERROR(VLOOKUP($T$433,'TAR FIN'!$A$1:$O$86,15,0)),0,VLOOKUP($T$433,'TAR FIN'!$A$1:$O$86,15,0))</f>
        <v>88.57</v>
      </c>
      <c r="X433" s="6">
        <f>IF(ISERROR(VLOOKUP($U$433,'TAR FIN'!$A$1:$O$86,15,0)),0,VLOOKUP($U$433,'TAR FIN'!$A$1:$O$86,15,0))</f>
        <v>110.08</v>
      </c>
      <c r="Y433" s="6"/>
      <c r="Z433" s="6">
        <f ca="1">('TUSD BE'!$AM$21+'TUSD BF_350'!$AM$21+'TUSD CVA'!$AM$21-('TUSD BE'!$P$21+'TUSD BF_350'!$P$21+'TUSD CVA'!$P$21)-('TUSD BE'!$Q$21+'TUSD BF_350'!$Q$21+'TUSD CVA'!$Q$21)-('TUSD BE'!$R$21+'TUSD BF_350'!$R$21+'TUSD CVA'!$R$21))*(1-CUSTOS!$M$34)</f>
        <v>73.434297166188458</v>
      </c>
      <c r="AA433" s="6">
        <f ca="1">('TE BE'!$AB$13+'TE BF_350'!$AB$13+'TE CVA'!$AB$13)*(1-CUSTOS!$M$34)</f>
        <v>87.113700432049427</v>
      </c>
      <c r="AB433" s="6">
        <f>$K$433*$V$433</f>
        <v>0</v>
      </c>
      <c r="AC433" s="6">
        <f>$M$433*$W$433</f>
        <v>2.6570999999999998</v>
      </c>
      <c r="AD433" s="6">
        <f>$O$433*$X$433</f>
        <v>3.3024</v>
      </c>
      <c r="AE433" s="6">
        <f>$K$433*$Y$433</f>
        <v>0</v>
      </c>
      <c r="AF433" s="6">
        <f ca="1">$M$433*$Z$433</f>
        <v>2.2030289149856537</v>
      </c>
      <c r="AG433" s="6">
        <f ca="1">$O$433*$AA$433</f>
        <v>2.6134110129614827</v>
      </c>
    </row>
    <row r="434" spans="1:33" ht="11.25" customHeight="1" x14ac:dyDescent="0.25">
      <c r="A434" s="4" t="s">
        <v>21</v>
      </c>
      <c r="B434" s="4" t="s">
        <v>22</v>
      </c>
      <c r="C434" s="4" t="s">
        <v>23</v>
      </c>
      <c r="D434" s="4" t="s">
        <v>24</v>
      </c>
      <c r="E434" s="4" t="s">
        <v>29</v>
      </c>
      <c r="F434" s="4" t="s">
        <v>25</v>
      </c>
      <c r="G434" s="4" t="s">
        <v>25</v>
      </c>
      <c r="H434" s="4" t="s">
        <v>25</v>
      </c>
      <c r="I434" s="5">
        <v>44378</v>
      </c>
      <c r="J434" s="6">
        <v>0</v>
      </c>
      <c r="K434" s="6">
        <v>0</v>
      </c>
      <c r="L434" s="6">
        <v>36.993000000000002</v>
      </c>
      <c r="M434" s="6">
        <v>36.993000000000002</v>
      </c>
      <c r="N434" s="6">
        <v>36.993000000000002</v>
      </c>
      <c r="O434" s="6">
        <v>36.993000000000002</v>
      </c>
      <c r="P434" s="6">
        <v>160</v>
      </c>
      <c r="Q434" s="4" t="s">
        <v>26</v>
      </c>
      <c r="R434" s="4">
        <v>0</v>
      </c>
      <c r="S434" s="6">
        <v>0</v>
      </c>
      <c r="T434" s="6">
        <v>6</v>
      </c>
      <c r="U434" s="6">
        <v>50</v>
      </c>
      <c r="V434" s="6">
        <f>IF(ISERROR(VLOOKUP($S$434,'TAR FIN'!$A$1:$O$86,15,0)),0,VLOOKUP($S$434,'TAR FIN'!$A$1:$O$86,15,0))</f>
        <v>0</v>
      </c>
      <c r="W434" s="6">
        <f>IF(ISERROR(VLOOKUP($T$434,'TAR FIN'!$A$1:$O$86,15,0)),0,VLOOKUP($T$434,'TAR FIN'!$A$1:$O$86,15,0))</f>
        <v>151.83000000000001</v>
      </c>
      <c r="X434" s="6">
        <f>IF(ISERROR(VLOOKUP($U$434,'TAR FIN'!$A$1:$O$86,15,0)),0,VLOOKUP($U$434,'TAR FIN'!$A$1:$O$86,15,0))</f>
        <v>188.71</v>
      </c>
      <c r="Y434" s="6"/>
      <c r="Z434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125.88736657060878</v>
      </c>
      <c r="AA434" s="6">
        <f ca="1">('TE BE'!$AB$14+'TE BF_350'!$AB$14+'TE CVA'!$AB$14)*(1-CUSTOS!$M$35)</f>
        <v>149.33777216922758</v>
      </c>
      <c r="AB434" s="6">
        <f>$K$434*$V$434</f>
        <v>0</v>
      </c>
      <c r="AC434" s="6">
        <f>$M$434*$W$434</f>
        <v>5616.6471900000006</v>
      </c>
      <c r="AD434" s="6">
        <f>$O$434*$X$434</f>
        <v>6980.9490300000007</v>
      </c>
      <c r="AE434" s="6">
        <f>$K$434*$Y$434</f>
        <v>0</v>
      </c>
      <c r="AF434" s="6">
        <f ca="1">$M$434*$Z$434</f>
        <v>4656.9513515465305</v>
      </c>
      <c r="AG434" s="6">
        <f ca="1">$O$434*$AA$434</f>
        <v>5524.4522058562361</v>
      </c>
    </row>
    <row r="435" spans="1:33" ht="11.25" customHeight="1" x14ac:dyDescent="0.25">
      <c r="A435" s="4" t="s">
        <v>21</v>
      </c>
      <c r="B435" s="4" t="s">
        <v>22</v>
      </c>
      <c r="C435" s="4" t="s">
        <v>23</v>
      </c>
      <c r="D435" s="4" t="s">
        <v>24</v>
      </c>
      <c r="E435" s="4" t="s">
        <v>29</v>
      </c>
      <c r="F435" s="4" t="s">
        <v>25</v>
      </c>
      <c r="G435" s="4" t="s">
        <v>25</v>
      </c>
      <c r="H435" s="4" t="s">
        <v>25</v>
      </c>
      <c r="I435" s="5">
        <v>44409</v>
      </c>
      <c r="J435" s="6">
        <v>0</v>
      </c>
      <c r="K435" s="6">
        <v>0</v>
      </c>
      <c r="L435" s="6">
        <v>38.11</v>
      </c>
      <c r="M435" s="6">
        <v>38.11</v>
      </c>
      <c r="N435" s="6">
        <v>38.11</v>
      </c>
      <c r="O435" s="6">
        <v>38.11</v>
      </c>
      <c r="P435" s="6">
        <v>158</v>
      </c>
      <c r="Q435" s="4" t="s">
        <v>26</v>
      </c>
      <c r="R435" s="4">
        <v>0</v>
      </c>
      <c r="S435" s="6">
        <v>0</v>
      </c>
      <c r="T435" s="6">
        <v>6</v>
      </c>
      <c r="U435" s="6">
        <v>50</v>
      </c>
      <c r="V435" s="6">
        <f>IF(ISERROR(VLOOKUP($S$435,'TAR FIN'!$A$1:$O$86,15,0)),0,VLOOKUP($S$435,'TAR FIN'!$A$1:$O$86,15,0))</f>
        <v>0</v>
      </c>
      <c r="W435" s="6">
        <f>IF(ISERROR(VLOOKUP($T$435,'TAR FIN'!$A$1:$O$86,15,0)),0,VLOOKUP($T$435,'TAR FIN'!$A$1:$O$86,15,0))</f>
        <v>151.83000000000001</v>
      </c>
      <c r="X435" s="6">
        <f>IF(ISERROR(VLOOKUP($U$435,'TAR FIN'!$A$1:$O$86,15,0)),0,VLOOKUP($U$435,'TAR FIN'!$A$1:$O$86,15,0))</f>
        <v>188.71</v>
      </c>
      <c r="Y435" s="6"/>
      <c r="Z435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125.88736657060878</v>
      </c>
      <c r="AA435" s="6">
        <f ca="1">('TE BE'!$AB$14+'TE BF_350'!$AB$14+'TE CVA'!$AB$14)*(1-CUSTOS!$M$35)</f>
        <v>149.33777216922758</v>
      </c>
      <c r="AB435" s="6">
        <f>$K$435*$V$435</f>
        <v>0</v>
      </c>
      <c r="AC435" s="6">
        <f>$M$435*$W$435</f>
        <v>5786.2413000000006</v>
      </c>
      <c r="AD435" s="6">
        <f>$O$435*$X$435</f>
        <v>7191.7381000000005</v>
      </c>
      <c r="AE435" s="6">
        <f>$K$435*$Y$435</f>
        <v>0</v>
      </c>
      <c r="AF435" s="6">
        <f ca="1">$M$435*$Z$435</f>
        <v>4797.5675400059008</v>
      </c>
      <c r="AG435" s="6">
        <f ca="1">$O$435*$AA$435</f>
        <v>5691.2624973692627</v>
      </c>
    </row>
    <row r="436" spans="1:33" ht="11.25" customHeight="1" x14ac:dyDescent="0.25">
      <c r="A436" s="4" t="s">
        <v>21</v>
      </c>
      <c r="B436" s="4" t="s">
        <v>22</v>
      </c>
      <c r="C436" s="4" t="s">
        <v>23</v>
      </c>
      <c r="D436" s="4" t="s">
        <v>24</v>
      </c>
      <c r="E436" s="4" t="s">
        <v>29</v>
      </c>
      <c r="F436" s="4" t="s">
        <v>25</v>
      </c>
      <c r="G436" s="4" t="s">
        <v>25</v>
      </c>
      <c r="H436" s="4" t="s">
        <v>25</v>
      </c>
      <c r="I436" s="5">
        <v>44440</v>
      </c>
      <c r="J436" s="6">
        <v>0</v>
      </c>
      <c r="K436" s="6">
        <v>0</v>
      </c>
      <c r="L436" s="6">
        <v>39.01</v>
      </c>
      <c r="M436" s="6">
        <v>39.01</v>
      </c>
      <c r="N436" s="6">
        <v>39.01</v>
      </c>
      <c r="O436" s="6">
        <v>39.01</v>
      </c>
      <c r="P436" s="6">
        <v>159</v>
      </c>
      <c r="Q436" s="4" t="s">
        <v>26</v>
      </c>
      <c r="R436" s="4">
        <v>0</v>
      </c>
      <c r="S436" s="6">
        <v>0</v>
      </c>
      <c r="T436" s="6">
        <v>6</v>
      </c>
      <c r="U436" s="6">
        <v>50</v>
      </c>
      <c r="V436" s="6">
        <f>IF(ISERROR(VLOOKUP($S$436,'TAR FIN'!$A$1:$O$86,15,0)),0,VLOOKUP($S$436,'TAR FIN'!$A$1:$O$86,15,0))</f>
        <v>0</v>
      </c>
      <c r="W436" s="6">
        <f>IF(ISERROR(VLOOKUP($T$436,'TAR FIN'!$A$1:$O$86,15,0)),0,VLOOKUP($T$436,'TAR FIN'!$A$1:$O$86,15,0))</f>
        <v>151.83000000000001</v>
      </c>
      <c r="X436" s="6">
        <f>IF(ISERROR(VLOOKUP($U$436,'TAR FIN'!$A$1:$O$86,15,0)),0,VLOOKUP($U$436,'TAR FIN'!$A$1:$O$86,15,0))</f>
        <v>188.71</v>
      </c>
      <c r="Y436" s="6"/>
      <c r="Z436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125.88736657060878</v>
      </c>
      <c r="AA436" s="6">
        <f ca="1">('TE BE'!$AB$14+'TE BF_350'!$AB$14+'TE CVA'!$AB$14)*(1-CUSTOS!$M$35)</f>
        <v>149.33777216922758</v>
      </c>
      <c r="AB436" s="6">
        <f>$K$436*$V$436</f>
        <v>0</v>
      </c>
      <c r="AC436" s="6">
        <f>$M$436*$W$436</f>
        <v>5922.8883000000005</v>
      </c>
      <c r="AD436" s="6">
        <f>$O$436*$X$436</f>
        <v>7361.5770999999995</v>
      </c>
      <c r="AE436" s="6">
        <f>$K$436*$Y$436</f>
        <v>0</v>
      </c>
      <c r="AF436" s="6">
        <f ca="1">$M$436*$Z$436</f>
        <v>4910.8661699194481</v>
      </c>
      <c r="AG436" s="6">
        <f ca="1">$O$436*$AA$436</f>
        <v>5825.6664923215676</v>
      </c>
    </row>
    <row r="437" spans="1:33" ht="11.25" customHeight="1" x14ac:dyDescent="0.25">
      <c r="A437" s="4" t="s">
        <v>21</v>
      </c>
      <c r="B437" s="4" t="s">
        <v>22</v>
      </c>
      <c r="C437" s="4" t="s">
        <v>23</v>
      </c>
      <c r="D437" s="4" t="s">
        <v>24</v>
      </c>
      <c r="E437" s="4" t="s">
        <v>29</v>
      </c>
      <c r="F437" s="4" t="s">
        <v>25</v>
      </c>
      <c r="G437" s="4" t="s">
        <v>25</v>
      </c>
      <c r="H437" s="4" t="s">
        <v>25</v>
      </c>
      <c r="I437" s="5">
        <v>44470</v>
      </c>
      <c r="J437" s="6">
        <v>0</v>
      </c>
      <c r="K437" s="6">
        <v>0</v>
      </c>
      <c r="L437" s="6">
        <v>39.098999999999997</v>
      </c>
      <c r="M437" s="6">
        <v>39.098999999999997</v>
      </c>
      <c r="N437" s="6">
        <v>39.098999999999997</v>
      </c>
      <c r="O437" s="6">
        <v>39.098999999999997</v>
      </c>
      <c r="P437" s="6">
        <v>172</v>
      </c>
      <c r="Q437" s="4" t="s">
        <v>26</v>
      </c>
      <c r="R437" s="4">
        <v>0</v>
      </c>
      <c r="S437" s="6">
        <v>0</v>
      </c>
      <c r="T437" s="6">
        <v>6</v>
      </c>
      <c r="U437" s="6">
        <v>50</v>
      </c>
      <c r="V437" s="6">
        <f>IF(ISERROR(VLOOKUP($S$437,'TAR FIN'!$A$1:$O$86,15,0)),0,VLOOKUP($S$437,'TAR FIN'!$A$1:$O$86,15,0))</f>
        <v>0</v>
      </c>
      <c r="W437" s="6">
        <f>IF(ISERROR(VLOOKUP($T$437,'TAR FIN'!$A$1:$O$86,15,0)),0,VLOOKUP($T$437,'TAR FIN'!$A$1:$O$86,15,0))</f>
        <v>151.83000000000001</v>
      </c>
      <c r="X437" s="6">
        <f>IF(ISERROR(VLOOKUP($U$437,'TAR FIN'!$A$1:$O$86,15,0)),0,VLOOKUP($U$437,'TAR FIN'!$A$1:$O$86,15,0))</f>
        <v>188.71</v>
      </c>
      <c r="Y437" s="6"/>
      <c r="Z437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125.88736657060878</v>
      </c>
      <c r="AA437" s="6">
        <f ca="1">('TE BE'!$AB$14+'TE BF_350'!$AB$14+'TE CVA'!$AB$14)*(1-CUSTOS!$M$35)</f>
        <v>149.33777216922758</v>
      </c>
      <c r="AB437" s="6">
        <f>$K$437*$V$437</f>
        <v>0</v>
      </c>
      <c r="AC437" s="6">
        <f>$M$437*$W$437</f>
        <v>5936.4011700000001</v>
      </c>
      <c r="AD437" s="6">
        <f>$O$437*$X$437</f>
        <v>7378.3722899999993</v>
      </c>
      <c r="AE437" s="6">
        <f>$K$437*$Y$437</f>
        <v>0</v>
      </c>
      <c r="AF437" s="6">
        <f ca="1">$M$437*$Z$437</f>
        <v>4922.0701455442322</v>
      </c>
      <c r="AG437" s="6">
        <f ca="1">$O$437*$AA$437</f>
        <v>5838.9575540446285</v>
      </c>
    </row>
    <row r="438" spans="1:33" ht="11.25" customHeight="1" x14ac:dyDescent="0.25">
      <c r="A438" s="4" t="s">
        <v>21</v>
      </c>
      <c r="B438" s="4" t="s">
        <v>22</v>
      </c>
      <c r="C438" s="4" t="s">
        <v>23</v>
      </c>
      <c r="D438" s="4" t="s">
        <v>24</v>
      </c>
      <c r="E438" s="4" t="s">
        <v>29</v>
      </c>
      <c r="F438" s="4" t="s">
        <v>25</v>
      </c>
      <c r="G438" s="4" t="s">
        <v>25</v>
      </c>
      <c r="H438" s="4" t="s">
        <v>25</v>
      </c>
      <c r="I438" s="5">
        <v>44501</v>
      </c>
      <c r="J438" s="6">
        <v>0</v>
      </c>
      <c r="K438" s="6">
        <v>0</v>
      </c>
      <c r="L438" s="6">
        <v>40.432000000000002</v>
      </c>
      <c r="M438" s="6">
        <v>40.432000000000002</v>
      </c>
      <c r="N438" s="6">
        <v>40.432000000000002</v>
      </c>
      <c r="O438" s="6">
        <v>40.432000000000002</v>
      </c>
      <c r="P438" s="6">
        <v>130</v>
      </c>
      <c r="Q438" s="4" t="s">
        <v>26</v>
      </c>
      <c r="R438" s="4">
        <v>0</v>
      </c>
      <c r="S438" s="6">
        <v>0</v>
      </c>
      <c r="T438" s="6">
        <v>6</v>
      </c>
      <c r="U438" s="6">
        <v>50</v>
      </c>
      <c r="V438" s="6">
        <f>IF(ISERROR(VLOOKUP($S$438,'TAR FIN'!$A$1:$O$86,15,0)),0,VLOOKUP($S$438,'TAR FIN'!$A$1:$O$86,15,0))</f>
        <v>0</v>
      </c>
      <c r="W438" s="6">
        <f>IF(ISERROR(VLOOKUP($T$438,'TAR FIN'!$A$1:$O$86,15,0)),0,VLOOKUP($T$438,'TAR FIN'!$A$1:$O$86,15,0))</f>
        <v>151.83000000000001</v>
      </c>
      <c r="X438" s="6">
        <f>IF(ISERROR(VLOOKUP($U$438,'TAR FIN'!$A$1:$O$86,15,0)),0,VLOOKUP($U$438,'TAR FIN'!$A$1:$O$86,15,0))</f>
        <v>188.71</v>
      </c>
      <c r="Y438" s="6"/>
      <c r="Z438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125.88736657060878</v>
      </c>
      <c r="AA438" s="6">
        <f ca="1">('TE BE'!$AB$14+'TE BF_350'!$AB$14+'TE CVA'!$AB$14)*(1-CUSTOS!$M$35)</f>
        <v>149.33777216922758</v>
      </c>
      <c r="AB438" s="6">
        <f>$K$438*$V$438</f>
        <v>0</v>
      </c>
      <c r="AC438" s="6">
        <f>$M$438*$W$438</f>
        <v>6138.7905600000013</v>
      </c>
      <c r="AD438" s="6">
        <f>$O$438*$X$438</f>
        <v>7629.9227200000005</v>
      </c>
      <c r="AE438" s="6">
        <f>$K$438*$Y$438</f>
        <v>0</v>
      </c>
      <c r="AF438" s="6">
        <f ca="1">$M$438*$Z$438</f>
        <v>5089.8780051828544</v>
      </c>
      <c r="AG438" s="6">
        <f ca="1">$O$438*$AA$438</f>
        <v>6038.0248043462097</v>
      </c>
    </row>
    <row r="439" spans="1:33" ht="11.25" customHeight="1" x14ac:dyDescent="0.25">
      <c r="A439" s="4" t="s">
        <v>21</v>
      </c>
      <c r="B439" s="4" t="s">
        <v>22</v>
      </c>
      <c r="C439" s="4" t="s">
        <v>23</v>
      </c>
      <c r="D439" s="4" t="s">
        <v>24</v>
      </c>
      <c r="E439" s="4" t="s">
        <v>29</v>
      </c>
      <c r="F439" s="4" t="s">
        <v>25</v>
      </c>
      <c r="G439" s="4" t="s">
        <v>25</v>
      </c>
      <c r="H439" s="4" t="s">
        <v>25</v>
      </c>
      <c r="I439" s="5">
        <v>44531</v>
      </c>
      <c r="J439" s="6">
        <v>0</v>
      </c>
      <c r="K439" s="6">
        <v>0</v>
      </c>
      <c r="L439" s="6">
        <v>40.813000000000002</v>
      </c>
      <c r="M439" s="6">
        <v>40.813000000000002</v>
      </c>
      <c r="N439" s="6">
        <v>40.813000000000002</v>
      </c>
      <c r="O439" s="6">
        <v>40.813000000000002</v>
      </c>
      <c r="P439" s="6">
        <v>116</v>
      </c>
      <c r="Q439" s="4" t="s">
        <v>26</v>
      </c>
      <c r="R439" s="4">
        <v>0</v>
      </c>
      <c r="S439" s="6">
        <v>0</v>
      </c>
      <c r="T439" s="6">
        <v>6</v>
      </c>
      <c r="U439" s="6">
        <v>50</v>
      </c>
      <c r="V439" s="6">
        <f>IF(ISERROR(VLOOKUP($S$439,'TAR FIN'!$A$1:$O$86,15,0)),0,VLOOKUP($S$439,'TAR FIN'!$A$1:$O$86,15,0))</f>
        <v>0</v>
      </c>
      <c r="W439" s="6">
        <f>IF(ISERROR(VLOOKUP($T$439,'TAR FIN'!$A$1:$O$86,15,0)),0,VLOOKUP($T$439,'TAR FIN'!$A$1:$O$86,15,0))</f>
        <v>151.83000000000001</v>
      </c>
      <c r="X439" s="6">
        <f>IF(ISERROR(VLOOKUP($U$439,'TAR FIN'!$A$1:$O$86,15,0)),0,VLOOKUP($U$439,'TAR FIN'!$A$1:$O$86,15,0))</f>
        <v>188.71</v>
      </c>
      <c r="Y439" s="6"/>
      <c r="Z439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125.88736657060878</v>
      </c>
      <c r="AA439" s="6">
        <f ca="1">('TE BE'!$AB$14+'TE BF_350'!$AB$14+'TE CVA'!$AB$14)*(1-CUSTOS!$M$35)</f>
        <v>149.33777216922758</v>
      </c>
      <c r="AB439" s="6">
        <f>$K$439*$V$439</f>
        <v>0</v>
      </c>
      <c r="AC439" s="6">
        <f>$M$439*$W$439</f>
        <v>6196.6377900000007</v>
      </c>
      <c r="AD439" s="6">
        <f>$O$439*$X$439</f>
        <v>7701.8212300000005</v>
      </c>
      <c r="AE439" s="6">
        <f>$K$439*$Y$439</f>
        <v>0</v>
      </c>
      <c r="AF439" s="6">
        <f ca="1">$M$439*$Z$439</f>
        <v>5137.8410918462559</v>
      </c>
      <c r="AG439" s="6">
        <f ca="1">$O$439*$AA$439</f>
        <v>6094.9224955426853</v>
      </c>
    </row>
    <row r="440" spans="1:33" ht="11.25" customHeight="1" x14ac:dyDescent="0.25">
      <c r="A440" s="4" t="s">
        <v>41</v>
      </c>
      <c r="B440" s="4" t="s">
        <v>22</v>
      </c>
      <c r="C440" s="4" t="s">
        <v>23</v>
      </c>
      <c r="D440" s="4" t="s">
        <v>24</v>
      </c>
      <c r="E440" s="4" t="s">
        <v>29</v>
      </c>
      <c r="F440" s="4" t="s">
        <v>25</v>
      </c>
      <c r="G440" s="4" t="s">
        <v>25</v>
      </c>
      <c r="H440" s="4" t="s">
        <v>25</v>
      </c>
      <c r="I440" s="5">
        <v>44531</v>
      </c>
      <c r="J440" s="6">
        <v>0</v>
      </c>
      <c r="K440" s="6">
        <v>0</v>
      </c>
      <c r="L440" s="6">
        <v>7.0000000000000007E-2</v>
      </c>
      <c r="M440" s="6">
        <v>7.0000000000000007E-2</v>
      </c>
      <c r="N440" s="6">
        <v>7.0000000000000007E-2</v>
      </c>
      <c r="O440" s="6">
        <v>7.0000000000000007E-2</v>
      </c>
      <c r="P440" s="6">
        <v>0</v>
      </c>
      <c r="Q440" s="4" t="s">
        <v>26</v>
      </c>
      <c r="R440" s="4">
        <v>0</v>
      </c>
      <c r="S440" s="6">
        <v>0</v>
      </c>
      <c r="T440" s="6">
        <v>6</v>
      </c>
      <c r="U440" s="6">
        <v>50</v>
      </c>
      <c r="V440" s="6">
        <f>IF(ISERROR(VLOOKUP($S$440,'TAR FIN'!$A$1:$O$86,15,0)),0,VLOOKUP($S$440,'TAR FIN'!$A$1:$O$86,15,0))</f>
        <v>0</v>
      </c>
      <c r="W440" s="6">
        <f>IF(ISERROR(VLOOKUP($T$440,'TAR FIN'!$A$1:$O$86,15,0)),0,VLOOKUP($T$440,'TAR FIN'!$A$1:$O$86,15,0))</f>
        <v>151.83000000000001</v>
      </c>
      <c r="X440" s="6">
        <f>IF(ISERROR(VLOOKUP($U$440,'TAR FIN'!$A$1:$O$86,15,0)),0,VLOOKUP($U$440,'TAR FIN'!$A$1:$O$86,15,0))</f>
        <v>188.71</v>
      </c>
      <c r="Y440" s="6"/>
      <c r="Z440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125.88736657060878</v>
      </c>
      <c r="AA440" s="6">
        <f ca="1">('TE BE'!$AB$14+'TE BF_350'!$AB$14+'TE CVA'!$AB$14)*(1-CUSTOS!$M$35)</f>
        <v>149.33777216922758</v>
      </c>
      <c r="AB440" s="6">
        <f>$K$440*$V$440</f>
        <v>0</v>
      </c>
      <c r="AC440" s="6">
        <f>$M$440*$W$440</f>
        <v>10.628100000000002</v>
      </c>
      <c r="AD440" s="6">
        <f>$O$440*$X$440</f>
        <v>13.209700000000002</v>
      </c>
      <c r="AE440" s="6">
        <f>$K$440*$Y$440</f>
        <v>0</v>
      </c>
      <c r="AF440" s="6">
        <f ca="1">$M$440*$Z$440</f>
        <v>8.8121156599426147</v>
      </c>
      <c r="AG440" s="6">
        <f ca="1">$O$440*$AA$440</f>
        <v>10.453644051845931</v>
      </c>
    </row>
    <row r="441" spans="1:33" ht="11.25" customHeight="1" x14ac:dyDescent="0.25">
      <c r="A441" s="4" t="s">
        <v>21</v>
      </c>
      <c r="B441" s="4" t="s">
        <v>22</v>
      </c>
      <c r="C441" s="4" t="s">
        <v>23</v>
      </c>
      <c r="D441" s="4" t="s">
        <v>24</v>
      </c>
      <c r="E441" s="4" t="s">
        <v>29</v>
      </c>
      <c r="F441" s="4" t="s">
        <v>25</v>
      </c>
      <c r="G441" s="4" t="s">
        <v>25</v>
      </c>
      <c r="H441" s="4" t="s">
        <v>25</v>
      </c>
      <c r="I441" s="5">
        <v>44562</v>
      </c>
      <c r="J441" s="6">
        <v>0</v>
      </c>
      <c r="K441" s="6">
        <v>0</v>
      </c>
      <c r="L441" s="6">
        <v>51.213999999999999</v>
      </c>
      <c r="M441" s="6">
        <v>51.213999999999999</v>
      </c>
      <c r="N441" s="6">
        <v>51.213999999999999</v>
      </c>
      <c r="O441" s="6">
        <v>51.213999999999999</v>
      </c>
      <c r="P441" s="6">
        <v>112</v>
      </c>
      <c r="Q441" s="4" t="s">
        <v>26</v>
      </c>
      <c r="R441" s="4">
        <v>0</v>
      </c>
      <c r="S441" s="6">
        <v>0</v>
      </c>
      <c r="T441" s="6">
        <v>6</v>
      </c>
      <c r="U441" s="6">
        <v>50</v>
      </c>
      <c r="V441" s="6">
        <f>IF(ISERROR(VLOOKUP($S$441,'TAR FIN'!$A$1:$O$86,15,0)),0,VLOOKUP($S$441,'TAR FIN'!$A$1:$O$86,15,0))</f>
        <v>0</v>
      </c>
      <c r="W441" s="6">
        <f>IF(ISERROR(VLOOKUP($T$441,'TAR FIN'!$A$1:$O$86,15,0)),0,VLOOKUP($T$441,'TAR FIN'!$A$1:$O$86,15,0))</f>
        <v>151.83000000000001</v>
      </c>
      <c r="X441" s="6">
        <f>IF(ISERROR(VLOOKUP($U$441,'TAR FIN'!$A$1:$O$86,15,0)),0,VLOOKUP($U$441,'TAR FIN'!$A$1:$O$86,15,0))</f>
        <v>188.71</v>
      </c>
      <c r="Y441" s="6"/>
      <c r="Z441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125.88736657060878</v>
      </c>
      <c r="AA441" s="6">
        <f ca="1">('TE BE'!$AB$14+'TE BF_350'!$AB$14+'TE CVA'!$AB$14)*(1-CUSTOS!$M$35)</f>
        <v>149.33777216922758</v>
      </c>
      <c r="AB441" s="6">
        <f>$K$441*$V$441</f>
        <v>0</v>
      </c>
      <c r="AC441" s="6">
        <f>$M$441*$W$441</f>
        <v>7775.8216200000006</v>
      </c>
      <c r="AD441" s="6">
        <f>$O$441*$X$441</f>
        <v>9664.5939400000007</v>
      </c>
      <c r="AE441" s="6">
        <f>$K$441*$Y$441</f>
        <v>0</v>
      </c>
      <c r="AF441" s="6">
        <f ca="1">$M$441*$Z$441</f>
        <v>6447.1955915471581</v>
      </c>
      <c r="AG441" s="6">
        <f ca="1">$O$441*$AA$441</f>
        <v>7648.1846638748211</v>
      </c>
    </row>
    <row r="442" spans="1:33" ht="11.25" customHeight="1" x14ac:dyDescent="0.25">
      <c r="A442" s="4" t="s">
        <v>27</v>
      </c>
      <c r="B442" s="4" t="s">
        <v>22</v>
      </c>
      <c r="C442" s="4" t="s">
        <v>23</v>
      </c>
      <c r="D442" s="4" t="s">
        <v>24</v>
      </c>
      <c r="E442" s="4" t="s">
        <v>29</v>
      </c>
      <c r="F442" s="4" t="s">
        <v>25</v>
      </c>
      <c r="G442" s="4" t="s">
        <v>25</v>
      </c>
      <c r="H442" s="4" t="s">
        <v>25</v>
      </c>
      <c r="I442" s="5">
        <v>44562</v>
      </c>
      <c r="J442" s="6">
        <v>0</v>
      </c>
      <c r="K442" s="6">
        <v>0</v>
      </c>
      <c r="L442" s="6">
        <v>7.0000000000000007E-2</v>
      </c>
      <c r="M442" s="6">
        <v>7.0000000000000007E-2</v>
      </c>
      <c r="N442" s="6">
        <v>7.0000000000000007E-2</v>
      </c>
      <c r="O442" s="6">
        <v>7.0000000000000007E-2</v>
      </c>
      <c r="P442" s="6">
        <v>0</v>
      </c>
      <c r="Q442" s="4" t="s">
        <v>26</v>
      </c>
      <c r="R442" s="4">
        <v>0</v>
      </c>
      <c r="S442" s="6">
        <v>0</v>
      </c>
      <c r="T442" s="6">
        <v>6</v>
      </c>
      <c r="U442" s="6">
        <v>50</v>
      </c>
      <c r="V442" s="6">
        <f>IF(ISERROR(VLOOKUP($S$442,'TAR FIN'!$A$1:$O$86,15,0)),0,VLOOKUP($S$442,'TAR FIN'!$A$1:$O$86,15,0))</f>
        <v>0</v>
      </c>
      <c r="W442" s="6">
        <f>IF(ISERROR(VLOOKUP($T$442,'TAR FIN'!$A$1:$O$86,15,0)),0,VLOOKUP($T$442,'TAR FIN'!$A$1:$O$86,15,0))</f>
        <v>151.83000000000001</v>
      </c>
      <c r="X442" s="6">
        <f>IF(ISERROR(VLOOKUP($U$442,'TAR FIN'!$A$1:$O$86,15,0)),0,VLOOKUP($U$442,'TAR FIN'!$A$1:$O$86,15,0))</f>
        <v>188.71</v>
      </c>
      <c r="Y442" s="6"/>
      <c r="Z442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125.88736657060878</v>
      </c>
      <c r="AA442" s="6">
        <f ca="1">('TE BE'!$AB$14+'TE BF_350'!$AB$14+'TE CVA'!$AB$14)*(1-CUSTOS!$M$35)</f>
        <v>149.33777216922758</v>
      </c>
      <c r="AB442" s="6">
        <f>$K$442*$V$442</f>
        <v>0</v>
      </c>
      <c r="AC442" s="6">
        <f>$M$442*$W$442</f>
        <v>10.628100000000002</v>
      </c>
      <c r="AD442" s="6">
        <f>$O$442*$X$442</f>
        <v>13.209700000000002</v>
      </c>
      <c r="AE442" s="6">
        <f>$K$442*$Y$442</f>
        <v>0</v>
      </c>
      <c r="AF442" s="6">
        <f ca="1">$M$442*$Z$442</f>
        <v>8.8121156599426147</v>
      </c>
      <c r="AG442" s="6">
        <f ca="1">$O$442*$AA$442</f>
        <v>10.453644051845931</v>
      </c>
    </row>
    <row r="443" spans="1:33" ht="11.25" customHeight="1" x14ac:dyDescent="0.25">
      <c r="A443" s="4" t="s">
        <v>21</v>
      </c>
      <c r="B443" s="4" t="s">
        <v>22</v>
      </c>
      <c r="C443" s="4" t="s">
        <v>23</v>
      </c>
      <c r="D443" s="4" t="s">
        <v>24</v>
      </c>
      <c r="E443" s="4" t="s">
        <v>29</v>
      </c>
      <c r="F443" s="4" t="s">
        <v>25</v>
      </c>
      <c r="G443" s="4" t="s">
        <v>25</v>
      </c>
      <c r="H443" s="4" t="s">
        <v>25</v>
      </c>
      <c r="I443" s="5">
        <v>44593</v>
      </c>
      <c r="J443" s="6">
        <v>0</v>
      </c>
      <c r="K443" s="6">
        <v>0</v>
      </c>
      <c r="L443" s="6">
        <v>51.893999999999998</v>
      </c>
      <c r="M443" s="6">
        <v>51.893999999999998</v>
      </c>
      <c r="N443" s="6">
        <v>51.893999999999998</v>
      </c>
      <c r="O443" s="6">
        <v>51.893999999999998</v>
      </c>
      <c r="P443" s="6">
        <v>159</v>
      </c>
      <c r="Q443" s="4" t="s">
        <v>26</v>
      </c>
      <c r="R443" s="4">
        <v>0</v>
      </c>
      <c r="S443" s="6">
        <v>0</v>
      </c>
      <c r="T443" s="6">
        <v>6</v>
      </c>
      <c r="U443" s="6">
        <v>50</v>
      </c>
      <c r="V443" s="6">
        <f>IF(ISERROR(VLOOKUP($S$443,'TAR FIN'!$A$1:$O$86,15,0)),0,VLOOKUP($S$443,'TAR FIN'!$A$1:$O$86,15,0))</f>
        <v>0</v>
      </c>
      <c r="W443" s="6">
        <f>IF(ISERROR(VLOOKUP($T$443,'TAR FIN'!$A$1:$O$86,15,0)),0,VLOOKUP($T$443,'TAR FIN'!$A$1:$O$86,15,0))</f>
        <v>151.83000000000001</v>
      </c>
      <c r="X443" s="6">
        <f>IF(ISERROR(VLOOKUP($U$443,'TAR FIN'!$A$1:$O$86,15,0)),0,VLOOKUP($U$443,'TAR FIN'!$A$1:$O$86,15,0))</f>
        <v>188.71</v>
      </c>
      <c r="Y443" s="6"/>
      <c r="Z443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125.88736657060878</v>
      </c>
      <c r="AA443" s="6">
        <f ca="1">('TE BE'!$AB$14+'TE BF_350'!$AB$14+'TE CVA'!$AB$14)*(1-CUSTOS!$M$35)</f>
        <v>149.33777216922758</v>
      </c>
      <c r="AB443" s="6">
        <f>$K$443*$V$443</f>
        <v>0</v>
      </c>
      <c r="AC443" s="6">
        <f>$M$443*$W$443</f>
        <v>7879.0660200000002</v>
      </c>
      <c r="AD443" s="6">
        <f>$O$443*$X$443</f>
        <v>9792.9167400000006</v>
      </c>
      <c r="AE443" s="6">
        <f>$K$443*$Y$443</f>
        <v>0</v>
      </c>
      <c r="AF443" s="6">
        <f ca="1">$M$443*$Z$443</f>
        <v>6532.7990008151719</v>
      </c>
      <c r="AG443" s="6">
        <f ca="1">$O$443*$AA$443</f>
        <v>7749.7343489498953</v>
      </c>
    </row>
    <row r="444" spans="1:33" ht="11.25" customHeight="1" x14ac:dyDescent="0.25">
      <c r="A444" s="4" t="s">
        <v>21</v>
      </c>
      <c r="B444" s="4" t="s">
        <v>22</v>
      </c>
      <c r="C444" s="4" t="s">
        <v>23</v>
      </c>
      <c r="D444" s="4" t="s">
        <v>24</v>
      </c>
      <c r="E444" s="4" t="s">
        <v>29</v>
      </c>
      <c r="F444" s="4" t="s">
        <v>25</v>
      </c>
      <c r="G444" s="4" t="s">
        <v>25</v>
      </c>
      <c r="H444" s="4" t="s">
        <v>25</v>
      </c>
      <c r="I444" s="5">
        <v>44621</v>
      </c>
      <c r="J444" s="6">
        <v>0</v>
      </c>
      <c r="K444" s="6">
        <v>0</v>
      </c>
      <c r="L444" s="6">
        <v>55.418999999999997</v>
      </c>
      <c r="M444" s="6">
        <v>55.418999999999997</v>
      </c>
      <c r="N444" s="6">
        <v>55.418999999999997</v>
      </c>
      <c r="O444" s="6">
        <v>55.418999999999997</v>
      </c>
      <c r="P444" s="6">
        <v>147</v>
      </c>
      <c r="Q444" s="4" t="s">
        <v>26</v>
      </c>
      <c r="R444" s="4">
        <v>0</v>
      </c>
      <c r="S444" s="6">
        <v>0</v>
      </c>
      <c r="T444" s="6">
        <v>6</v>
      </c>
      <c r="U444" s="6">
        <v>50</v>
      </c>
      <c r="V444" s="6">
        <f>IF(ISERROR(VLOOKUP($S$444,'TAR FIN'!$A$1:$O$86,15,0)),0,VLOOKUP($S$444,'TAR FIN'!$A$1:$O$86,15,0))</f>
        <v>0</v>
      </c>
      <c r="W444" s="6">
        <f>IF(ISERROR(VLOOKUP($T$444,'TAR FIN'!$A$1:$O$86,15,0)),0,VLOOKUP($T$444,'TAR FIN'!$A$1:$O$86,15,0))</f>
        <v>151.83000000000001</v>
      </c>
      <c r="X444" s="6">
        <f>IF(ISERROR(VLOOKUP($U$444,'TAR FIN'!$A$1:$O$86,15,0)),0,VLOOKUP($U$444,'TAR FIN'!$A$1:$O$86,15,0))</f>
        <v>188.71</v>
      </c>
      <c r="Y444" s="6"/>
      <c r="Z444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125.88736657060878</v>
      </c>
      <c r="AA444" s="6">
        <f ca="1">('TE BE'!$AB$14+'TE BF_350'!$AB$14+'TE CVA'!$AB$14)*(1-CUSTOS!$M$35)</f>
        <v>149.33777216922758</v>
      </c>
      <c r="AB444" s="6">
        <f>$K$444*$V$444</f>
        <v>0</v>
      </c>
      <c r="AC444" s="6">
        <f>$M$444*$W$444</f>
        <v>8414.2667700000002</v>
      </c>
      <c r="AD444" s="6">
        <f>$O$444*$X$444</f>
        <v>10458.119489999999</v>
      </c>
      <c r="AE444" s="6">
        <f>$K$444*$Y$444</f>
        <v>0</v>
      </c>
      <c r="AF444" s="6">
        <f ca="1">$M$444*$Z$444</f>
        <v>6976.5519679765675</v>
      </c>
      <c r="AG444" s="6">
        <f ca="1">$O$444*$AA$444</f>
        <v>8276.1499958464228</v>
      </c>
    </row>
    <row r="445" spans="1:33" ht="11.25" customHeight="1" x14ac:dyDescent="0.25">
      <c r="A445" s="4" t="s">
        <v>21</v>
      </c>
      <c r="B445" s="4" t="s">
        <v>22</v>
      </c>
      <c r="C445" s="4" t="s">
        <v>23</v>
      </c>
      <c r="D445" s="4" t="s">
        <v>24</v>
      </c>
      <c r="E445" s="4" t="s">
        <v>29</v>
      </c>
      <c r="F445" s="4" t="s">
        <v>25</v>
      </c>
      <c r="G445" s="4" t="s">
        <v>25</v>
      </c>
      <c r="H445" s="4" t="s">
        <v>25</v>
      </c>
      <c r="I445" s="5">
        <v>44652</v>
      </c>
      <c r="J445" s="6">
        <v>0</v>
      </c>
      <c r="K445" s="6">
        <v>0</v>
      </c>
      <c r="L445" s="6">
        <v>53.268999999999998</v>
      </c>
      <c r="M445" s="6">
        <v>53.268999999999998</v>
      </c>
      <c r="N445" s="6">
        <v>53.268999999999998</v>
      </c>
      <c r="O445" s="6">
        <v>53.268999999999998</v>
      </c>
      <c r="P445" s="6">
        <v>244</v>
      </c>
      <c r="Q445" s="4" t="s">
        <v>26</v>
      </c>
      <c r="R445" s="4">
        <v>0</v>
      </c>
      <c r="S445" s="6">
        <v>0</v>
      </c>
      <c r="T445" s="6">
        <v>6</v>
      </c>
      <c r="U445" s="6">
        <v>50</v>
      </c>
      <c r="V445" s="6">
        <f>IF(ISERROR(VLOOKUP($S$445,'TAR FIN'!$A$1:$O$86,15,0)),0,VLOOKUP($S$445,'TAR FIN'!$A$1:$O$86,15,0))</f>
        <v>0</v>
      </c>
      <c r="W445" s="6">
        <f>IF(ISERROR(VLOOKUP($T$445,'TAR FIN'!$A$1:$O$86,15,0)),0,VLOOKUP($T$445,'TAR FIN'!$A$1:$O$86,15,0))</f>
        <v>151.83000000000001</v>
      </c>
      <c r="X445" s="6">
        <f>IF(ISERROR(VLOOKUP($U$445,'TAR FIN'!$A$1:$O$86,15,0)),0,VLOOKUP($U$445,'TAR FIN'!$A$1:$O$86,15,0))</f>
        <v>188.71</v>
      </c>
      <c r="Y445" s="6"/>
      <c r="Z445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125.88736657060878</v>
      </c>
      <c r="AA445" s="6">
        <f ca="1">('TE BE'!$AB$14+'TE BF_350'!$AB$14+'TE CVA'!$AB$14)*(1-CUSTOS!$M$35)</f>
        <v>149.33777216922758</v>
      </c>
      <c r="AB445" s="6">
        <f>$K$445*$V$445</f>
        <v>0</v>
      </c>
      <c r="AC445" s="6">
        <f>$M$445*$W$445</f>
        <v>8087.8322700000008</v>
      </c>
      <c r="AD445" s="6">
        <f>$O$445*$X$445</f>
        <v>10052.39299</v>
      </c>
      <c r="AE445" s="6">
        <f>$K$445*$Y$445</f>
        <v>0</v>
      </c>
      <c r="AF445" s="6">
        <f ca="1">$M$445*$Z$445</f>
        <v>6705.8941298497584</v>
      </c>
      <c r="AG445" s="6">
        <f ca="1">$O$445*$AA$445</f>
        <v>7955.0737856825835</v>
      </c>
    </row>
    <row r="446" spans="1:33" ht="11.25" customHeight="1" x14ac:dyDescent="0.25">
      <c r="A446" s="4" t="s">
        <v>21</v>
      </c>
      <c r="B446" s="4" t="s">
        <v>22</v>
      </c>
      <c r="C446" s="4" t="s">
        <v>23</v>
      </c>
      <c r="D446" s="4" t="s">
        <v>24</v>
      </c>
      <c r="E446" s="4" t="s">
        <v>29</v>
      </c>
      <c r="F446" s="4" t="s">
        <v>25</v>
      </c>
      <c r="G446" s="4" t="s">
        <v>25</v>
      </c>
      <c r="H446" s="4" t="s">
        <v>25</v>
      </c>
      <c r="I446" s="5">
        <v>44682</v>
      </c>
      <c r="J446" s="6">
        <v>0</v>
      </c>
      <c r="K446" s="6">
        <v>0</v>
      </c>
      <c r="L446" s="6">
        <v>50.225000000000001</v>
      </c>
      <c r="M446" s="6">
        <v>50.225000000000001</v>
      </c>
      <c r="N446" s="6">
        <v>50.225000000000001</v>
      </c>
      <c r="O446" s="6">
        <v>50.225000000000001</v>
      </c>
      <c r="P446" s="6">
        <v>211</v>
      </c>
      <c r="Q446" s="4" t="s">
        <v>26</v>
      </c>
      <c r="R446" s="4">
        <v>0</v>
      </c>
      <c r="S446" s="6">
        <v>0</v>
      </c>
      <c r="T446" s="6">
        <v>6</v>
      </c>
      <c r="U446" s="6">
        <v>50</v>
      </c>
      <c r="V446" s="6">
        <f>IF(ISERROR(VLOOKUP($S$446,'TAR FIN'!$A$1:$O$86,15,0)),0,VLOOKUP($S$446,'TAR FIN'!$A$1:$O$86,15,0))</f>
        <v>0</v>
      </c>
      <c r="W446" s="6">
        <f>IF(ISERROR(VLOOKUP($T$446,'TAR FIN'!$A$1:$O$86,15,0)),0,VLOOKUP($T$446,'TAR FIN'!$A$1:$O$86,15,0))</f>
        <v>151.83000000000001</v>
      </c>
      <c r="X446" s="6">
        <f>IF(ISERROR(VLOOKUP($U$446,'TAR FIN'!$A$1:$O$86,15,0)),0,VLOOKUP($U$446,'TAR FIN'!$A$1:$O$86,15,0))</f>
        <v>188.71</v>
      </c>
      <c r="Y446" s="6"/>
      <c r="Z446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125.88736657060878</v>
      </c>
      <c r="AA446" s="6">
        <f ca="1">('TE BE'!$AB$14+'TE BF_350'!$AB$14+'TE CVA'!$AB$14)*(1-CUSTOS!$M$35)</f>
        <v>149.33777216922758</v>
      </c>
      <c r="AB446" s="6">
        <f>$K$446*$V$446</f>
        <v>0</v>
      </c>
      <c r="AC446" s="6">
        <f>$M$446*$W$446</f>
        <v>7625.6617500000011</v>
      </c>
      <c r="AD446" s="6">
        <f>$O$446*$X$446</f>
        <v>9477.95975</v>
      </c>
      <c r="AE446" s="6">
        <f>$K$446*$Y$446</f>
        <v>0</v>
      </c>
      <c r="AF446" s="6">
        <f ca="1">$M$446*$Z$446</f>
        <v>6322.6929860088258</v>
      </c>
      <c r="AG446" s="6">
        <f ca="1">$O$446*$AA$446</f>
        <v>7500.4896071994553</v>
      </c>
    </row>
    <row r="447" spans="1:33" ht="11.25" customHeight="1" x14ac:dyDescent="0.25">
      <c r="A447" s="4" t="s">
        <v>27</v>
      </c>
      <c r="B447" s="4" t="s">
        <v>22</v>
      </c>
      <c r="C447" s="4" t="s">
        <v>23</v>
      </c>
      <c r="D447" s="4" t="s">
        <v>24</v>
      </c>
      <c r="E447" s="4" t="s">
        <v>29</v>
      </c>
      <c r="F447" s="4" t="s">
        <v>25</v>
      </c>
      <c r="G447" s="4" t="s">
        <v>25</v>
      </c>
      <c r="H447" s="4" t="s">
        <v>25</v>
      </c>
      <c r="I447" s="5">
        <v>44682</v>
      </c>
      <c r="J447" s="6">
        <v>0</v>
      </c>
      <c r="K447" s="6">
        <v>0</v>
      </c>
      <c r="L447" s="6">
        <v>7.0000000000000007E-2</v>
      </c>
      <c r="M447" s="6">
        <v>7.0000000000000007E-2</v>
      </c>
      <c r="N447" s="6">
        <v>7.0000000000000007E-2</v>
      </c>
      <c r="O447" s="6">
        <v>7.0000000000000007E-2</v>
      </c>
      <c r="P447" s="6">
        <v>0</v>
      </c>
      <c r="Q447" s="4" t="s">
        <v>26</v>
      </c>
      <c r="R447" s="4">
        <v>0</v>
      </c>
      <c r="S447" s="6">
        <v>0</v>
      </c>
      <c r="T447" s="6">
        <v>6</v>
      </c>
      <c r="U447" s="6">
        <v>50</v>
      </c>
      <c r="V447" s="6">
        <f>IF(ISERROR(VLOOKUP($S$447,'TAR FIN'!$A$1:$O$86,15,0)),0,VLOOKUP($S$447,'TAR FIN'!$A$1:$O$86,15,0))</f>
        <v>0</v>
      </c>
      <c r="W447" s="6">
        <f>IF(ISERROR(VLOOKUP($T$447,'TAR FIN'!$A$1:$O$86,15,0)),0,VLOOKUP($T$447,'TAR FIN'!$A$1:$O$86,15,0))</f>
        <v>151.83000000000001</v>
      </c>
      <c r="X447" s="6">
        <f>IF(ISERROR(VLOOKUP($U$447,'TAR FIN'!$A$1:$O$86,15,0)),0,VLOOKUP($U$447,'TAR FIN'!$A$1:$O$86,15,0))</f>
        <v>188.71</v>
      </c>
      <c r="Y447" s="6"/>
      <c r="Z447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125.88736657060878</v>
      </c>
      <c r="AA447" s="6">
        <f ca="1">('TE BE'!$AB$14+'TE BF_350'!$AB$14+'TE CVA'!$AB$14)*(1-CUSTOS!$M$35)</f>
        <v>149.33777216922758</v>
      </c>
      <c r="AB447" s="6">
        <f>$K$447*$V$447</f>
        <v>0</v>
      </c>
      <c r="AC447" s="6">
        <f>$M$447*$W$447</f>
        <v>10.628100000000002</v>
      </c>
      <c r="AD447" s="6">
        <f>$O$447*$X$447</f>
        <v>13.209700000000002</v>
      </c>
      <c r="AE447" s="6">
        <f>$K$447*$Y$447</f>
        <v>0</v>
      </c>
      <c r="AF447" s="6">
        <f ca="1">$M$447*$Z$447</f>
        <v>8.8121156599426147</v>
      </c>
      <c r="AG447" s="6">
        <f ca="1">$O$447*$AA$447</f>
        <v>10.453644051845931</v>
      </c>
    </row>
    <row r="448" spans="1:33" ht="11.25" customHeight="1" x14ac:dyDescent="0.25">
      <c r="A448" s="4" t="s">
        <v>55</v>
      </c>
      <c r="B448" s="4" t="s">
        <v>22</v>
      </c>
      <c r="C448" s="4" t="s">
        <v>23</v>
      </c>
      <c r="D448" s="4" t="s">
        <v>24</v>
      </c>
      <c r="E448" s="4" t="s">
        <v>29</v>
      </c>
      <c r="F448" s="4" t="s">
        <v>25</v>
      </c>
      <c r="G448" s="4" t="s">
        <v>25</v>
      </c>
      <c r="H448" s="4" t="s">
        <v>25</v>
      </c>
      <c r="I448" s="5">
        <v>44713</v>
      </c>
      <c r="J448" s="6">
        <v>0</v>
      </c>
      <c r="K448" s="6">
        <v>0</v>
      </c>
      <c r="L448" s="6">
        <v>50.225000000000001</v>
      </c>
      <c r="M448" s="6">
        <v>50.225000000000001</v>
      </c>
      <c r="N448" s="6">
        <v>50.225000000000001</v>
      </c>
      <c r="O448" s="6">
        <v>50.225000000000001</v>
      </c>
      <c r="P448" s="6">
        <v>211</v>
      </c>
      <c r="Q448" s="4" t="s">
        <v>26</v>
      </c>
      <c r="R448" s="4">
        <v>0</v>
      </c>
      <c r="S448" s="6">
        <v>0</v>
      </c>
      <c r="T448" s="6">
        <v>6</v>
      </c>
      <c r="U448" s="6">
        <v>50</v>
      </c>
      <c r="V448" s="6">
        <f>IF(ISERROR(VLOOKUP($S$448,'TAR FIN'!$A$1:$O$86,15,0)),0,VLOOKUP($S$448,'TAR FIN'!$A$1:$O$86,15,0))</f>
        <v>0</v>
      </c>
      <c r="W448" s="6">
        <f>IF(ISERROR(VLOOKUP($T$448,'TAR FIN'!$A$1:$O$86,15,0)),0,VLOOKUP($T$448,'TAR FIN'!$A$1:$O$86,15,0))</f>
        <v>151.83000000000001</v>
      </c>
      <c r="X448" s="6">
        <f>IF(ISERROR(VLOOKUP($U$448,'TAR FIN'!$A$1:$O$86,15,0)),0,VLOOKUP($U$448,'TAR FIN'!$A$1:$O$86,15,0))</f>
        <v>188.71</v>
      </c>
      <c r="Y448" s="6"/>
      <c r="Z448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125.88736657060878</v>
      </c>
      <c r="AA448" s="6">
        <f ca="1">('TE BE'!$AB$14+'TE BF_350'!$AB$14+'TE CVA'!$AB$14)*(1-CUSTOS!$M$35)</f>
        <v>149.33777216922758</v>
      </c>
      <c r="AB448" s="6">
        <f>$K$448*$V$448</f>
        <v>0</v>
      </c>
      <c r="AC448" s="6">
        <f>$M$448*$W$448</f>
        <v>7625.6617500000011</v>
      </c>
      <c r="AD448" s="6">
        <f>$O$448*$X$448</f>
        <v>9477.95975</v>
      </c>
      <c r="AE448" s="6">
        <f>$K$448*$Y$448</f>
        <v>0</v>
      </c>
      <c r="AF448" s="6">
        <f ca="1">$M$448*$Z$448</f>
        <v>6322.6929860088258</v>
      </c>
      <c r="AG448" s="6">
        <f ca="1">$O$448*$AA$448</f>
        <v>7500.4896071994553</v>
      </c>
    </row>
    <row r="449" spans="1:33" ht="11.25" customHeight="1" x14ac:dyDescent="0.25">
      <c r="A449" s="4" t="s">
        <v>55</v>
      </c>
      <c r="B449" s="4" t="s">
        <v>22</v>
      </c>
      <c r="C449" s="4" t="s">
        <v>23</v>
      </c>
      <c r="D449" s="4" t="s">
        <v>24</v>
      </c>
      <c r="E449" s="4" t="s">
        <v>29</v>
      </c>
      <c r="F449" s="4" t="s">
        <v>25</v>
      </c>
      <c r="G449" s="4" t="s">
        <v>25</v>
      </c>
      <c r="H449" s="4" t="s">
        <v>25</v>
      </c>
      <c r="I449" s="5">
        <v>44713</v>
      </c>
      <c r="J449" s="6">
        <v>0</v>
      </c>
      <c r="K449" s="6">
        <v>0</v>
      </c>
      <c r="L449" s="6">
        <v>7.0000000000000007E-2</v>
      </c>
      <c r="M449" s="6">
        <v>7.0000000000000007E-2</v>
      </c>
      <c r="N449" s="6">
        <v>7.0000000000000007E-2</v>
      </c>
      <c r="O449" s="6">
        <v>7.0000000000000007E-2</v>
      </c>
      <c r="P449" s="6">
        <v>0</v>
      </c>
      <c r="Q449" s="4" t="s">
        <v>26</v>
      </c>
      <c r="R449" s="4">
        <v>0</v>
      </c>
      <c r="S449" s="6">
        <v>0</v>
      </c>
      <c r="T449" s="6">
        <v>6</v>
      </c>
      <c r="U449" s="6">
        <v>50</v>
      </c>
      <c r="V449" s="6">
        <f>IF(ISERROR(VLOOKUP($S$449,'TAR FIN'!$A$1:$O$86,15,0)),0,VLOOKUP($S$449,'TAR FIN'!$A$1:$O$86,15,0))</f>
        <v>0</v>
      </c>
      <c r="W449" s="6">
        <f>IF(ISERROR(VLOOKUP($T$449,'TAR FIN'!$A$1:$O$86,15,0)),0,VLOOKUP($T$449,'TAR FIN'!$A$1:$O$86,15,0))</f>
        <v>151.83000000000001</v>
      </c>
      <c r="X449" s="6">
        <f>IF(ISERROR(VLOOKUP($U$449,'TAR FIN'!$A$1:$O$86,15,0)),0,VLOOKUP($U$449,'TAR FIN'!$A$1:$O$86,15,0))</f>
        <v>188.71</v>
      </c>
      <c r="Y449" s="6"/>
      <c r="Z449" s="6">
        <f ca="1">('TUSD BE'!$AM$22+'TUSD BF_350'!$AM$22+'TUSD CVA'!$AM$22-('TUSD BE'!$P$22+'TUSD BF_350'!$P$22+'TUSD CVA'!$P$22)-('TUSD BE'!$Q$22+'TUSD BF_350'!$Q$22+'TUSD CVA'!$Q$22)-('TUSD BE'!$R$22+'TUSD BF_350'!$R$22+'TUSD CVA'!$R$22))*(1-CUSTOS!$M$35)</f>
        <v>125.88736657060878</v>
      </c>
      <c r="AA449" s="6">
        <f ca="1">('TE BE'!$AB$14+'TE BF_350'!$AB$14+'TE CVA'!$AB$14)*(1-CUSTOS!$M$35)</f>
        <v>149.33777216922758</v>
      </c>
      <c r="AB449" s="6">
        <f>$K$449*$V$449</f>
        <v>0</v>
      </c>
      <c r="AC449" s="6">
        <f>$M$449*$W$449</f>
        <v>10.628100000000002</v>
      </c>
      <c r="AD449" s="6">
        <f>$O$449*$X$449</f>
        <v>13.209700000000002</v>
      </c>
      <c r="AE449" s="6">
        <f>$K$449*$Y$449</f>
        <v>0</v>
      </c>
      <c r="AF449" s="6">
        <f ca="1">$M$449*$Z$449</f>
        <v>8.8121156599426147</v>
      </c>
      <c r="AG449" s="6">
        <f ca="1">$O$449*$AA$449</f>
        <v>10.453644051845931</v>
      </c>
    </row>
    <row r="450" spans="1:33" ht="11.25" customHeight="1" x14ac:dyDescent="0.25">
      <c r="A450" s="4" t="s">
        <v>21</v>
      </c>
      <c r="B450" s="4" t="s">
        <v>22</v>
      </c>
      <c r="C450" s="4" t="s">
        <v>23</v>
      </c>
      <c r="D450" s="4" t="s">
        <v>24</v>
      </c>
      <c r="E450" s="4" t="s">
        <v>30</v>
      </c>
      <c r="F450" s="4" t="s">
        <v>25</v>
      </c>
      <c r="G450" s="4" t="s">
        <v>25</v>
      </c>
      <c r="H450" s="4" t="s">
        <v>25</v>
      </c>
      <c r="I450" s="5">
        <v>44378</v>
      </c>
      <c r="J450" s="6">
        <v>0</v>
      </c>
      <c r="K450" s="6">
        <v>0</v>
      </c>
      <c r="L450" s="6">
        <v>30.233000000000001</v>
      </c>
      <c r="M450" s="6">
        <v>30.233000000000001</v>
      </c>
      <c r="N450" s="6">
        <v>30.233000000000001</v>
      </c>
      <c r="O450" s="6">
        <v>30.233000000000001</v>
      </c>
      <c r="P450" s="6">
        <v>328</v>
      </c>
      <c r="Q450" s="4" t="s">
        <v>26</v>
      </c>
      <c r="R450" s="4">
        <v>0</v>
      </c>
      <c r="S450" s="6">
        <v>0</v>
      </c>
      <c r="T450" s="6">
        <v>10</v>
      </c>
      <c r="U450" s="6">
        <v>55</v>
      </c>
      <c r="V450" s="6">
        <f>IF(ISERROR(VLOOKUP($S$450,'TAR FIN'!$A$1:$O$86,15,0)),0,VLOOKUP($S$450,'TAR FIN'!$A$1:$O$86,15,0))</f>
        <v>0</v>
      </c>
      <c r="W450" s="6">
        <f>IF(ISERROR(VLOOKUP($T$450,'TAR FIN'!$A$1:$O$86,15,0)),0,VLOOKUP($T$450,'TAR FIN'!$A$1:$O$86,15,0))</f>
        <v>227.74</v>
      </c>
      <c r="X450" s="6">
        <f>IF(ISERROR(VLOOKUP($U$450,'TAR FIN'!$A$1:$O$86,15,0)),0,VLOOKUP($U$450,'TAR FIN'!$A$1:$O$86,15,0))</f>
        <v>283.07</v>
      </c>
      <c r="Y450" s="6"/>
      <c r="Z450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188.83104985591316</v>
      </c>
      <c r="AA450" s="6">
        <f ca="1">('TE BE'!$AB$15+'TE BF_350'!$AB$15+'TE CVA'!$AB$15)*(1-CUSTOS!$M$36)</f>
        <v>224.00665825384141</v>
      </c>
      <c r="AB450" s="6">
        <f>$K$450*$V$450</f>
        <v>0</v>
      </c>
      <c r="AC450" s="6">
        <f>$M$450*$W$450</f>
        <v>6885.2634200000002</v>
      </c>
      <c r="AD450" s="6">
        <f>$O$450*$X$450</f>
        <v>8558.0553099999997</v>
      </c>
      <c r="AE450" s="6">
        <f>$K$450*$Y$450</f>
        <v>0</v>
      </c>
      <c r="AF450" s="6">
        <f ca="1">$M$450*$Z$450</f>
        <v>5708.9291302938227</v>
      </c>
      <c r="AG450" s="6">
        <f ca="1">$O$450*$AA$450</f>
        <v>6772.393298988387</v>
      </c>
    </row>
    <row r="451" spans="1:33" ht="11.25" customHeight="1" x14ac:dyDescent="0.25">
      <c r="A451" s="4" t="s">
        <v>21</v>
      </c>
      <c r="B451" s="4" t="s">
        <v>22</v>
      </c>
      <c r="C451" s="4" t="s">
        <v>23</v>
      </c>
      <c r="D451" s="4" t="s">
        <v>24</v>
      </c>
      <c r="E451" s="4" t="s">
        <v>30</v>
      </c>
      <c r="F451" s="4" t="s">
        <v>25</v>
      </c>
      <c r="G451" s="4" t="s">
        <v>25</v>
      </c>
      <c r="H451" s="4" t="s">
        <v>25</v>
      </c>
      <c r="I451" s="5">
        <v>44409</v>
      </c>
      <c r="J451" s="6">
        <v>0</v>
      </c>
      <c r="K451" s="6">
        <v>0</v>
      </c>
      <c r="L451" s="6">
        <v>32.238</v>
      </c>
      <c r="M451" s="6">
        <v>32.238</v>
      </c>
      <c r="N451" s="6">
        <v>32.238</v>
      </c>
      <c r="O451" s="6">
        <v>32.238</v>
      </c>
      <c r="P451" s="6">
        <v>335</v>
      </c>
      <c r="Q451" s="4" t="s">
        <v>26</v>
      </c>
      <c r="R451" s="4">
        <v>0</v>
      </c>
      <c r="S451" s="6">
        <v>0</v>
      </c>
      <c r="T451" s="6">
        <v>10</v>
      </c>
      <c r="U451" s="6">
        <v>55</v>
      </c>
      <c r="V451" s="6">
        <f>IF(ISERROR(VLOOKUP($S$451,'TAR FIN'!$A$1:$O$86,15,0)),0,VLOOKUP($S$451,'TAR FIN'!$A$1:$O$86,15,0))</f>
        <v>0</v>
      </c>
      <c r="W451" s="6">
        <f>IF(ISERROR(VLOOKUP($T$451,'TAR FIN'!$A$1:$O$86,15,0)),0,VLOOKUP($T$451,'TAR FIN'!$A$1:$O$86,15,0))</f>
        <v>227.74</v>
      </c>
      <c r="X451" s="6">
        <f>IF(ISERROR(VLOOKUP($U$451,'TAR FIN'!$A$1:$O$86,15,0)),0,VLOOKUP($U$451,'TAR FIN'!$A$1:$O$86,15,0))</f>
        <v>283.07</v>
      </c>
      <c r="Y451" s="6"/>
      <c r="Z451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188.83104985591316</v>
      </c>
      <c r="AA451" s="6">
        <f ca="1">('TE BE'!$AB$15+'TE BF_350'!$AB$15+'TE CVA'!$AB$15)*(1-CUSTOS!$M$36)</f>
        <v>224.00665825384141</v>
      </c>
      <c r="AB451" s="6">
        <f>$K$451*$V$451</f>
        <v>0</v>
      </c>
      <c r="AC451" s="6">
        <f>$M$451*$W$451</f>
        <v>7341.8821200000002</v>
      </c>
      <c r="AD451" s="6">
        <f>$O$451*$X$451</f>
        <v>9125.6106600000003</v>
      </c>
      <c r="AE451" s="6">
        <f>$K$451*$Y$451</f>
        <v>0</v>
      </c>
      <c r="AF451" s="6">
        <f ca="1">$M$451*$Z$451</f>
        <v>6087.5353852549288</v>
      </c>
      <c r="AG451" s="6">
        <f ca="1">$O$451*$AA$451</f>
        <v>7221.5266487873396</v>
      </c>
    </row>
    <row r="452" spans="1:33" ht="11.25" customHeight="1" x14ac:dyDescent="0.25">
      <c r="A452" s="4" t="s">
        <v>21</v>
      </c>
      <c r="B452" s="4" t="s">
        <v>22</v>
      </c>
      <c r="C452" s="4" t="s">
        <v>23</v>
      </c>
      <c r="D452" s="4" t="s">
        <v>24</v>
      </c>
      <c r="E452" s="4" t="s">
        <v>30</v>
      </c>
      <c r="F452" s="4" t="s">
        <v>25</v>
      </c>
      <c r="G452" s="4" t="s">
        <v>25</v>
      </c>
      <c r="H452" s="4" t="s">
        <v>25</v>
      </c>
      <c r="I452" s="5">
        <v>44440</v>
      </c>
      <c r="J452" s="6">
        <v>0</v>
      </c>
      <c r="K452" s="6">
        <v>0</v>
      </c>
      <c r="L452" s="6">
        <v>31.712</v>
      </c>
      <c r="M452" s="6">
        <v>31.712</v>
      </c>
      <c r="N452" s="6">
        <v>31.712</v>
      </c>
      <c r="O452" s="6">
        <v>31.712</v>
      </c>
      <c r="P452" s="6">
        <v>351</v>
      </c>
      <c r="Q452" s="4" t="s">
        <v>26</v>
      </c>
      <c r="R452" s="4">
        <v>0</v>
      </c>
      <c r="S452" s="6">
        <v>0</v>
      </c>
      <c r="T452" s="6">
        <v>10</v>
      </c>
      <c r="U452" s="6">
        <v>55</v>
      </c>
      <c r="V452" s="6">
        <f>IF(ISERROR(VLOOKUP($S$452,'TAR FIN'!$A$1:$O$86,15,0)),0,VLOOKUP($S$452,'TAR FIN'!$A$1:$O$86,15,0))</f>
        <v>0</v>
      </c>
      <c r="W452" s="6">
        <f>IF(ISERROR(VLOOKUP($T$452,'TAR FIN'!$A$1:$O$86,15,0)),0,VLOOKUP($T$452,'TAR FIN'!$A$1:$O$86,15,0))</f>
        <v>227.74</v>
      </c>
      <c r="X452" s="6">
        <f>IF(ISERROR(VLOOKUP($U$452,'TAR FIN'!$A$1:$O$86,15,0)),0,VLOOKUP($U$452,'TAR FIN'!$A$1:$O$86,15,0))</f>
        <v>283.07</v>
      </c>
      <c r="Y452" s="6"/>
      <c r="Z452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188.83104985591316</v>
      </c>
      <c r="AA452" s="6">
        <f ca="1">('TE BE'!$AB$15+'TE BF_350'!$AB$15+'TE CVA'!$AB$15)*(1-CUSTOS!$M$36)</f>
        <v>224.00665825384141</v>
      </c>
      <c r="AB452" s="6">
        <f>$K$452*$V$452</f>
        <v>0</v>
      </c>
      <c r="AC452" s="6">
        <f>$M$452*$W$452</f>
        <v>7222.0908800000007</v>
      </c>
      <c r="AD452" s="6">
        <f>$O$452*$X$452</f>
        <v>8976.7158399999989</v>
      </c>
      <c r="AE452" s="6">
        <f>$K$452*$Y$452</f>
        <v>0</v>
      </c>
      <c r="AF452" s="6">
        <f ca="1">$M$452*$Z$452</f>
        <v>5988.2102530307184</v>
      </c>
      <c r="AG452" s="6">
        <f ca="1">$O$452*$AA$452</f>
        <v>7103.6991465458186</v>
      </c>
    </row>
    <row r="453" spans="1:33" ht="11.25" customHeight="1" x14ac:dyDescent="0.25">
      <c r="A453" s="4" t="s">
        <v>21</v>
      </c>
      <c r="B453" s="4" t="s">
        <v>22</v>
      </c>
      <c r="C453" s="4" t="s">
        <v>23</v>
      </c>
      <c r="D453" s="4" t="s">
        <v>24</v>
      </c>
      <c r="E453" s="4" t="s">
        <v>30</v>
      </c>
      <c r="F453" s="4" t="s">
        <v>25</v>
      </c>
      <c r="G453" s="4" t="s">
        <v>25</v>
      </c>
      <c r="H453" s="4" t="s">
        <v>25</v>
      </c>
      <c r="I453" s="5">
        <v>44470</v>
      </c>
      <c r="J453" s="6">
        <v>0</v>
      </c>
      <c r="K453" s="6">
        <v>0</v>
      </c>
      <c r="L453" s="6">
        <v>29.334</v>
      </c>
      <c r="M453" s="6">
        <v>29.334</v>
      </c>
      <c r="N453" s="6">
        <v>29.334</v>
      </c>
      <c r="O453" s="6">
        <v>29.334</v>
      </c>
      <c r="P453" s="6">
        <v>354</v>
      </c>
      <c r="Q453" s="4" t="s">
        <v>26</v>
      </c>
      <c r="R453" s="4">
        <v>0</v>
      </c>
      <c r="S453" s="6">
        <v>0</v>
      </c>
      <c r="T453" s="6">
        <v>10</v>
      </c>
      <c r="U453" s="6">
        <v>55</v>
      </c>
      <c r="V453" s="6">
        <f>IF(ISERROR(VLOOKUP($S$453,'TAR FIN'!$A$1:$O$86,15,0)),0,VLOOKUP($S$453,'TAR FIN'!$A$1:$O$86,15,0))</f>
        <v>0</v>
      </c>
      <c r="W453" s="6">
        <f>IF(ISERROR(VLOOKUP($T$453,'TAR FIN'!$A$1:$O$86,15,0)),0,VLOOKUP($T$453,'TAR FIN'!$A$1:$O$86,15,0))</f>
        <v>227.74</v>
      </c>
      <c r="X453" s="6">
        <f>IF(ISERROR(VLOOKUP($U$453,'TAR FIN'!$A$1:$O$86,15,0)),0,VLOOKUP($U$453,'TAR FIN'!$A$1:$O$86,15,0))</f>
        <v>283.07</v>
      </c>
      <c r="Y453" s="6"/>
      <c r="Z453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188.83104985591316</v>
      </c>
      <c r="AA453" s="6">
        <f ca="1">('TE BE'!$AB$15+'TE BF_350'!$AB$15+'TE CVA'!$AB$15)*(1-CUSTOS!$M$36)</f>
        <v>224.00665825384141</v>
      </c>
      <c r="AB453" s="6">
        <f>$K$453*$V$453</f>
        <v>0</v>
      </c>
      <c r="AC453" s="6">
        <f>$M$453*$W$453</f>
        <v>6680.5251600000001</v>
      </c>
      <c r="AD453" s="6">
        <f>$O$453*$X$453</f>
        <v>8303.5753800000002</v>
      </c>
      <c r="AE453" s="6">
        <f>$K$453*$Y$453</f>
        <v>0</v>
      </c>
      <c r="AF453" s="6">
        <f ca="1">$M$453*$Z$453</f>
        <v>5539.1700164733566</v>
      </c>
      <c r="AG453" s="6">
        <f ca="1">$O$453*$AA$453</f>
        <v>6571.0113132181841</v>
      </c>
    </row>
    <row r="454" spans="1:33" ht="11.25" customHeight="1" x14ac:dyDescent="0.25">
      <c r="A454" s="4" t="s">
        <v>21</v>
      </c>
      <c r="B454" s="4" t="s">
        <v>22</v>
      </c>
      <c r="C454" s="4" t="s">
        <v>23</v>
      </c>
      <c r="D454" s="4" t="s">
        <v>24</v>
      </c>
      <c r="E454" s="4" t="s">
        <v>30</v>
      </c>
      <c r="F454" s="4" t="s">
        <v>25</v>
      </c>
      <c r="G454" s="4" t="s">
        <v>25</v>
      </c>
      <c r="H454" s="4" t="s">
        <v>25</v>
      </c>
      <c r="I454" s="5">
        <v>44501</v>
      </c>
      <c r="J454" s="6">
        <v>0</v>
      </c>
      <c r="K454" s="6">
        <v>0</v>
      </c>
      <c r="L454" s="6">
        <v>36.238999999999997</v>
      </c>
      <c r="M454" s="6">
        <v>36.238999999999997</v>
      </c>
      <c r="N454" s="6">
        <v>36.238999999999997</v>
      </c>
      <c r="O454" s="6">
        <v>36.238999999999997</v>
      </c>
      <c r="P454" s="6">
        <v>366</v>
      </c>
      <c r="Q454" s="4" t="s">
        <v>26</v>
      </c>
      <c r="R454" s="4">
        <v>0</v>
      </c>
      <c r="S454" s="6">
        <v>0</v>
      </c>
      <c r="T454" s="6">
        <v>10</v>
      </c>
      <c r="U454" s="6">
        <v>55</v>
      </c>
      <c r="V454" s="6">
        <f>IF(ISERROR(VLOOKUP($S$454,'TAR FIN'!$A$1:$O$86,15,0)),0,VLOOKUP($S$454,'TAR FIN'!$A$1:$O$86,15,0))</f>
        <v>0</v>
      </c>
      <c r="W454" s="6">
        <f>IF(ISERROR(VLOOKUP($T$454,'TAR FIN'!$A$1:$O$86,15,0)),0,VLOOKUP($T$454,'TAR FIN'!$A$1:$O$86,15,0))</f>
        <v>227.74</v>
      </c>
      <c r="X454" s="6">
        <f>IF(ISERROR(VLOOKUP($U$454,'TAR FIN'!$A$1:$O$86,15,0)),0,VLOOKUP($U$454,'TAR FIN'!$A$1:$O$86,15,0))</f>
        <v>283.07</v>
      </c>
      <c r="Y454" s="6"/>
      <c r="Z454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188.83104985591316</v>
      </c>
      <c r="AA454" s="6">
        <f ca="1">('TE BE'!$AB$15+'TE BF_350'!$AB$15+'TE CVA'!$AB$15)*(1-CUSTOS!$M$36)</f>
        <v>224.00665825384141</v>
      </c>
      <c r="AB454" s="6">
        <f>$K$454*$V$454</f>
        <v>0</v>
      </c>
      <c r="AC454" s="6">
        <f>$M$454*$W$454</f>
        <v>8253.0698599999996</v>
      </c>
      <c r="AD454" s="6">
        <f>$O$454*$X$454</f>
        <v>10258.173729999999</v>
      </c>
      <c r="AE454" s="6">
        <f>$K$454*$Y$454</f>
        <v>0</v>
      </c>
      <c r="AF454" s="6">
        <f ca="1">$M$454*$Z$454</f>
        <v>6843.0484157284363</v>
      </c>
      <c r="AG454" s="6">
        <f ca="1">$O$454*$AA$454</f>
        <v>8117.7772884609585</v>
      </c>
    </row>
    <row r="455" spans="1:33" ht="11.25" customHeight="1" x14ac:dyDescent="0.25">
      <c r="A455" s="4" t="s">
        <v>21</v>
      </c>
      <c r="B455" s="4" t="s">
        <v>22</v>
      </c>
      <c r="C455" s="4" t="s">
        <v>23</v>
      </c>
      <c r="D455" s="4" t="s">
        <v>24</v>
      </c>
      <c r="E455" s="4" t="s">
        <v>30</v>
      </c>
      <c r="F455" s="4" t="s">
        <v>25</v>
      </c>
      <c r="G455" s="4" t="s">
        <v>25</v>
      </c>
      <c r="H455" s="4" t="s">
        <v>25</v>
      </c>
      <c r="I455" s="5">
        <v>44531</v>
      </c>
      <c r="J455" s="6">
        <v>0</v>
      </c>
      <c r="K455" s="6">
        <v>0</v>
      </c>
      <c r="L455" s="6">
        <v>38.335999999999999</v>
      </c>
      <c r="M455" s="6">
        <v>38.335999999999999</v>
      </c>
      <c r="N455" s="6">
        <v>38.335999999999999</v>
      </c>
      <c r="O455" s="6">
        <v>38.335999999999999</v>
      </c>
      <c r="P455" s="6">
        <v>358</v>
      </c>
      <c r="Q455" s="4" t="s">
        <v>26</v>
      </c>
      <c r="R455" s="4">
        <v>0</v>
      </c>
      <c r="S455" s="6">
        <v>0</v>
      </c>
      <c r="T455" s="6">
        <v>10</v>
      </c>
      <c r="U455" s="6">
        <v>55</v>
      </c>
      <c r="V455" s="6">
        <f>IF(ISERROR(VLOOKUP($S$455,'TAR FIN'!$A$1:$O$86,15,0)),0,VLOOKUP($S$455,'TAR FIN'!$A$1:$O$86,15,0))</f>
        <v>0</v>
      </c>
      <c r="W455" s="6">
        <f>IF(ISERROR(VLOOKUP($T$455,'TAR FIN'!$A$1:$O$86,15,0)),0,VLOOKUP($T$455,'TAR FIN'!$A$1:$O$86,15,0))</f>
        <v>227.74</v>
      </c>
      <c r="X455" s="6">
        <f>IF(ISERROR(VLOOKUP($U$455,'TAR FIN'!$A$1:$O$86,15,0)),0,VLOOKUP($U$455,'TAR FIN'!$A$1:$O$86,15,0))</f>
        <v>283.07</v>
      </c>
      <c r="Y455" s="6"/>
      <c r="Z455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188.83104985591316</v>
      </c>
      <c r="AA455" s="6">
        <f ca="1">('TE BE'!$AB$15+'TE BF_350'!$AB$15+'TE CVA'!$AB$15)*(1-CUSTOS!$M$36)</f>
        <v>224.00665825384141</v>
      </c>
      <c r="AB455" s="6">
        <f>$K$455*$V$455</f>
        <v>0</v>
      </c>
      <c r="AC455" s="6">
        <f>$M$455*$W$455</f>
        <v>8730.6406399999996</v>
      </c>
      <c r="AD455" s="6">
        <f>$O$455*$X$455</f>
        <v>10851.771519999998</v>
      </c>
      <c r="AE455" s="6">
        <f>$K$455*$Y$455</f>
        <v>0</v>
      </c>
      <c r="AF455" s="6">
        <f ca="1">$M$455*$Z$455</f>
        <v>7239.0271272762866</v>
      </c>
      <c r="AG455" s="6">
        <f ca="1">$O$455*$AA$455</f>
        <v>8587.5192508192631</v>
      </c>
    </row>
    <row r="456" spans="1:33" ht="11.25" customHeight="1" x14ac:dyDescent="0.25">
      <c r="A456" s="4" t="s">
        <v>41</v>
      </c>
      <c r="B456" s="4" t="s">
        <v>22</v>
      </c>
      <c r="C456" s="4" t="s">
        <v>23</v>
      </c>
      <c r="D456" s="4" t="s">
        <v>24</v>
      </c>
      <c r="E456" s="4" t="s">
        <v>30</v>
      </c>
      <c r="F456" s="4" t="s">
        <v>25</v>
      </c>
      <c r="G456" s="4" t="s">
        <v>25</v>
      </c>
      <c r="H456" s="4" t="s">
        <v>25</v>
      </c>
      <c r="I456" s="5">
        <v>44531</v>
      </c>
      <c r="J456" s="6">
        <v>0</v>
      </c>
      <c r="K456" s="6">
        <v>0</v>
      </c>
      <c r="L456" s="6">
        <v>0.08</v>
      </c>
      <c r="M456" s="6">
        <v>0.08</v>
      </c>
      <c r="N456" s="6">
        <v>0.08</v>
      </c>
      <c r="O456" s="6">
        <v>0.08</v>
      </c>
      <c r="P456" s="6">
        <v>0</v>
      </c>
      <c r="Q456" s="4" t="s">
        <v>26</v>
      </c>
      <c r="R456" s="4">
        <v>0</v>
      </c>
      <c r="S456" s="6">
        <v>0</v>
      </c>
      <c r="T456" s="6">
        <v>10</v>
      </c>
      <c r="U456" s="6">
        <v>55</v>
      </c>
      <c r="V456" s="6">
        <f>IF(ISERROR(VLOOKUP($S$456,'TAR FIN'!$A$1:$O$86,15,0)),0,VLOOKUP($S$456,'TAR FIN'!$A$1:$O$86,15,0))</f>
        <v>0</v>
      </c>
      <c r="W456" s="6">
        <f>IF(ISERROR(VLOOKUP($T$456,'TAR FIN'!$A$1:$O$86,15,0)),0,VLOOKUP($T$456,'TAR FIN'!$A$1:$O$86,15,0))</f>
        <v>227.74</v>
      </c>
      <c r="X456" s="6">
        <f>IF(ISERROR(VLOOKUP($U$456,'TAR FIN'!$A$1:$O$86,15,0)),0,VLOOKUP($U$456,'TAR FIN'!$A$1:$O$86,15,0))</f>
        <v>283.07</v>
      </c>
      <c r="Y456" s="6"/>
      <c r="Z456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188.83104985591316</v>
      </c>
      <c r="AA456" s="6">
        <f ca="1">('TE BE'!$AB$15+'TE BF_350'!$AB$15+'TE CVA'!$AB$15)*(1-CUSTOS!$M$36)</f>
        <v>224.00665825384141</v>
      </c>
      <c r="AB456" s="6">
        <f>$K$456*$V$456</f>
        <v>0</v>
      </c>
      <c r="AC456" s="6">
        <f>$M$456*$W$456</f>
        <v>18.219200000000001</v>
      </c>
      <c r="AD456" s="6">
        <f>$O$456*$X$456</f>
        <v>22.645599999999998</v>
      </c>
      <c r="AE456" s="6">
        <f>$K$456*$Y$456</f>
        <v>0</v>
      </c>
      <c r="AF456" s="6">
        <f ca="1">$M$456*$Z$456</f>
        <v>15.106483988473054</v>
      </c>
      <c r="AG456" s="6">
        <f ca="1">$O$456*$AA$456</f>
        <v>17.920532660307313</v>
      </c>
    </row>
    <row r="457" spans="1:33" ht="11.25" customHeight="1" x14ac:dyDescent="0.25">
      <c r="A457" s="4" t="s">
        <v>21</v>
      </c>
      <c r="B457" s="4" t="s">
        <v>22</v>
      </c>
      <c r="C457" s="4" t="s">
        <v>23</v>
      </c>
      <c r="D457" s="4" t="s">
        <v>24</v>
      </c>
      <c r="E457" s="4" t="s">
        <v>30</v>
      </c>
      <c r="F457" s="4" t="s">
        <v>25</v>
      </c>
      <c r="G457" s="4" t="s">
        <v>25</v>
      </c>
      <c r="H457" s="4" t="s">
        <v>25</v>
      </c>
      <c r="I457" s="5">
        <v>44562</v>
      </c>
      <c r="J457" s="6">
        <v>0</v>
      </c>
      <c r="K457" s="6">
        <v>0</v>
      </c>
      <c r="L457" s="6">
        <v>52.743000000000002</v>
      </c>
      <c r="M457" s="6">
        <v>52.743000000000002</v>
      </c>
      <c r="N457" s="6">
        <v>52.743000000000002</v>
      </c>
      <c r="O457" s="6">
        <v>52.743000000000002</v>
      </c>
      <c r="P457" s="6">
        <v>437</v>
      </c>
      <c r="Q457" s="4" t="s">
        <v>26</v>
      </c>
      <c r="R457" s="4">
        <v>0</v>
      </c>
      <c r="S457" s="6">
        <v>0</v>
      </c>
      <c r="T457" s="6">
        <v>10</v>
      </c>
      <c r="U457" s="6">
        <v>55</v>
      </c>
      <c r="V457" s="6">
        <f>IF(ISERROR(VLOOKUP($S$457,'TAR FIN'!$A$1:$O$86,15,0)),0,VLOOKUP($S$457,'TAR FIN'!$A$1:$O$86,15,0))</f>
        <v>0</v>
      </c>
      <c r="W457" s="6">
        <f>IF(ISERROR(VLOOKUP($T$457,'TAR FIN'!$A$1:$O$86,15,0)),0,VLOOKUP($T$457,'TAR FIN'!$A$1:$O$86,15,0))</f>
        <v>227.74</v>
      </c>
      <c r="X457" s="6">
        <f>IF(ISERROR(VLOOKUP($U$457,'TAR FIN'!$A$1:$O$86,15,0)),0,VLOOKUP($U$457,'TAR FIN'!$A$1:$O$86,15,0))</f>
        <v>283.07</v>
      </c>
      <c r="Y457" s="6"/>
      <c r="Z457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188.83104985591316</v>
      </c>
      <c r="AA457" s="6">
        <f ca="1">('TE BE'!$AB$15+'TE BF_350'!$AB$15+'TE CVA'!$AB$15)*(1-CUSTOS!$M$36)</f>
        <v>224.00665825384141</v>
      </c>
      <c r="AB457" s="6">
        <f>$K$457*$V$457</f>
        <v>0</v>
      </c>
      <c r="AC457" s="6">
        <f>$M$457*$W$457</f>
        <v>12011.690820000002</v>
      </c>
      <c r="AD457" s="6">
        <f>$O$457*$X$457</f>
        <v>14929.961010000001</v>
      </c>
      <c r="AE457" s="6">
        <f>$K$457*$Y$457</f>
        <v>0</v>
      </c>
      <c r="AF457" s="6">
        <f ca="1">$M$457*$Z$457</f>
        <v>9959.5160625504286</v>
      </c>
      <c r="AG457" s="6">
        <f ca="1">$O$457*$AA$457</f>
        <v>11814.783176282357</v>
      </c>
    </row>
    <row r="458" spans="1:33" ht="11.25" customHeight="1" x14ac:dyDescent="0.25">
      <c r="A458" s="4" t="s">
        <v>27</v>
      </c>
      <c r="B458" s="4" t="s">
        <v>22</v>
      </c>
      <c r="C458" s="4" t="s">
        <v>23</v>
      </c>
      <c r="D458" s="4" t="s">
        <v>24</v>
      </c>
      <c r="E458" s="4" t="s">
        <v>30</v>
      </c>
      <c r="F458" s="4" t="s">
        <v>25</v>
      </c>
      <c r="G458" s="4" t="s">
        <v>25</v>
      </c>
      <c r="H458" s="4" t="s">
        <v>25</v>
      </c>
      <c r="I458" s="5">
        <v>44562</v>
      </c>
      <c r="J458" s="6">
        <v>0</v>
      </c>
      <c r="K458" s="6">
        <v>0</v>
      </c>
      <c r="L458" s="6">
        <v>0.12</v>
      </c>
      <c r="M458" s="6">
        <v>0.12</v>
      </c>
      <c r="N458" s="6">
        <v>0.12</v>
      </c>
      <c r="O458" s="6">
        <v>0.12</v>
      </c>
      <c r="P458" s="6">
        <v>0</v>
      </c>
      <c r="Q458" s="4" t="s">
        <v>26</v>
      </c>
      <c r="R458" s="4">
        <v>0</v>
      </c>
      <c r="S458" s="6">
        <v>0</v>
      </c>
      <c r="T458" s="6">
        <v>10</v>
      </c>
      <c r="U458" s="6">
        <v>55</v>
      </c>
      <c r="V458" s="6">
        <f>IF(ISERROR(VLOOKUP($S$458,'TAR FIN'!$A$1:$O$86,15,0)),0,VLOOKUP($S$458,'TAR FIN'!$A$1:$O$86,15,0))</f>
        <v>0</v>
      </c>
      <c r="W458" s="6">
        <f>IF(ISERROR(VLOOKUP($T$458,'TAR FIN'!$A$1:$O$86,15,0)),0,VLOOKUP($T$458,'TAR FIN'!$A$1:$O$86,15,0))</f>
        <v>227.74</v>
      </c>
      <c r="X458" s="6">
        <f>IF(ISERROR(VLOOKUP($U$458,'TAR FIN'!$A$1:$O$86,15,0)),0,VLOOKUP($U$458,'TAR FIN'!$A$1:$O$86,15,0))</f>
        <v>283.07</v>
      </c>
      <c r="Y458" s="6"/>
      <c r="Z458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188.83104985591316</v>
      </c>
      <c r="AA458" s="6">
        <f ca="1">('TE BE'!$AB$15+'TE BF_350'!$AB$15+'TE CVA'!$AB$15)*(1-CUSTOS!$M$36)</f>
        <v>224.00665825384141</v>
      </c>
      <c r="AB458" s="6">
        <f>$K$458*$V$458</f>
        <v>0</v>
      </c>
      <c r="AC458" s="6">
        <f>$M$458*$W$458</f>
        <v>27.328800000000001</v>
      </c>
      <c r="AD458" s="6">
        <f>$O$458*$X$458</f>
        <v>33.968399999999995</v>
      </c>
      <c r="AE458" s="6">
        <f>$K$458*$Y$458</f>
        <v>0</v>
      </c>
      <c r="AF458" s="6">
        <f ca="1">$M$458*$Z$458</f>
        <v>22.659725982709578</v>
      </c>
      <c r="AG458" s="6">
        <f ca="1">$O$458*$AA$458</f>
        <v>26.880798990460967</v>
      </c>
    </row>
    <row r="459" spans="1:33" ht="11.25" customHeight="1" x14ac:dyDescent="0.25">
      <c r="A459" s="4" t="s">
        <v>21</v>
      </c>
      <c r="B459" s="4" t="s">
        <v>22</v>
      </c>
      <c r="C459" s="4" t="s">
        <v>23</v>
      </c>
      <c r="D459" s="4" t="s">
        <v>24</v>
      </c>
      <c r="E459" s="4" t="s">
        <v>30</v>
      </c>
      <c r="F459" s="4" t="s">
        <v>25</v>
      </c>
      <c r="G459" s="4" t="s">
        <v>25</v>
      </c>
      <c r="H459" s="4" t="s">
        <v>25</v>
      </c>
      <c r="I459" s="5">
        <v>44593</v>
      </c>
      <c r="J459" s="6">
        <v>0</v>
      </c>
      <c r="K459" s="6">
        <v>0</v>
      </c>
      <c r="L459" s="6">
        <v>46.892000000000003</v>
      </c>
      <c r="M459" s="6">
        <v>46.892000000000003</v>
      </c>
      <c r="N459" s="6">
        <v>46.892000000000003</v>
      </c>
      <c r="O459" s="6">
        <v>46.892000000000003</v>
      </c>
      <c r="P459" s="6">
        <v>460</v>
      </c>
      <c r="Q459" s="4" t="s">
        <v>26</v>
      </c>
      <c r="R459" s="4">
        <v>0</v>
      </c>
      <c r="S459" s="6">
        <v>0</v>
      </c>
      <c r="T459" s="6">
        <v>10</v>
      </c>
      <c r="U459" s="6">
        <v>55</v>
      </c>
      <c r="V459" s="6">
        <f>IF(ISERROR(VLOOKUP($S$459,'TAR FIN'!$A$1:$O$86,15,0)),0,VLOOKUP($S$459,'TAR FIN'!$A$1:$O$86,15,0))</f>
        <v>0</v>
      </c>
      <c r="W459" s="6">
        <f>IF(ISERROR(VLOOKUP($T$459,'TAR FIN'!$A$1:$O$86,15,0)),0,VLOOKUP($T$459,'TAR FIN'!$A$1:$O$86,15,0))</f>
        <v>227.74</v>
      </c>
      <c r="X459" s="6">
        <f>IF(ISERROR(VLOOKUP($U$459,'TAR FIN'!$A$1:$O$86,15,0)),0,VLOOKUP($U$459,'TAR FIN'!$A$1:$O$86,15,0))</f>
        <v>283.07</v>
      </c>
      <c r="Y459" s="6"/>
      <c r="Z459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188.83104985591316</v>
      </c>
      <c r="AA459" s="6">
        <f ca="1">('TE BE'!$AB$15+'TE BF_350'!$AB$15+'TE CVA'!$AB$15)*(1-CUSTOS!$M$36)</f>
        <v>224.00665825384141</v>
      </c>
      <c r="AB459" s="6">
        <f>$K$459*$V$459</f>
        <v>0</v>
      </c>
      <c r="AC459" s="6">
        <f>$M$459*$W$459</f>
        <v>10679.184080000001</v>
      </c>
      <c r="AD459" s="6">
        <f>$O$459*$X$459</f>
        <v>13273.718440000001</v>
      </c>
      <c r="AE459" s="6">
        <f>$K$459*$Y$459</f>
        <v>0</v>
      </c>
      <c r="AF459" s="6">
        <f ca="1">$M$459*$Z$459</f>
        <v>8854.6655898434801</v>
      </c>
      <c r="AG459" s="6">
        <f ca="1">$O$459*$AA$459</f>
        <v>10504.120218839133</v>
      </c>
    </row>
    <row r="460" spans="1:33" ht="11.25" customHeight="1" x14ac:dyDescent="0.25">
      <c r="A460" s="4" t="s">
        <v>21</v>
      </c>
      <c r="B460" s="4" t="s">
        <v>22</v>
      </c>
      <c r="C460" s="4" t="s">
        <v>23</v>
      </c>
      <c r="D460" s="4" t="s">
        <v>24</v>
      </c>
      <c r="E460" s="4" t="s">
        <v>30</v>
      </c>
      <c r="F460" s="4" t="s">
        <v>25</v>
      </c>
      <c r="G460" s="4" t="s">
        <v>25</v>
      </c>
      <c r="H460" s="4" t="s">
        <v>25</v>
      </c>
      <c r="I460" s="5">
        <v>44621</v>
      </c>
      <c r="J460" s="6">
        <v>0</v>
      </c>
      <c r="K460" s="6">
        <v>0</v>
      </c>
      <c r="L460" s="6">
        <v>57.16</v>
      </c>
      <c r="M460" s="6">
        <v>57.16</v>
      </c>
      <c r="N460" s="6">
        <v>57.16</v>
      </c>
      <c r="O460" s="6">
        <v>57.16</v>
      </c>
      <c r="P460" s="6">
        <v>441</v>
      </c>
      <c r="Q460" s="4" t="s">
        <v>26</v>
      </c>
      <c r="R460" s="4">
        <v>0</v>
      </c>
      <c r="S460" s="6">
        <v>0</v>
      </c>
      <c r="T460" s="6">
        <v>10</v>
      </c>
      <c r="U460" s="6">
        <v>55</v>
      </c>
      <c r="V460" s="6">
        <f>IF(ISERROR(VLOOKUP($S$460,'TAR FIN'!$A$1:$O$86,15,0)),0,VLOOKUP($S$460,'TAR FIN'!$A$1:$O$86,15,0))</f>
        <v>0</v>
      </c>
      <c r="W460" s="6">
        <f>IF(ISERROR(VLOOKUP($T$460,'TAR FIN'!$A$1:$O$86,15,0)),0,VLOOKUP($T$460,'TAR FIN'!$A$1:$O$86,15,0))</f>
        <v>227.74</v>
      </c>
      <c r="X460" s="6">
        <f>IF(ISERROR(VLOOKUP($U$460,'TAR FIN'!$A$1:$O$86,15,0)),0,VLOOKUP($U$460,'TAR FIN'!$A$1:$O$86,15,0))</f>
        <v>283.07</v>
      </c>
      <c r="Y460" s="6"/>
      <c r="Z460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188.83104985591316</v>
      </c>
      <c r="AA460" s="6">
        <f ca="1">('TE BE'!$AB$15+'TE BF_350'!$AB$15+'TE CVA'!$AB$15)*(1-CUSTOS!$M$36)</f>
        <v>224.00665825384141</v>
      </c>
      <c r="AB460" s="6">
        <f>$K$460*$V$460</f>
        <v>0</v>
      </c>
      <c r="AC460" s="6">
        <f>$M$460*$W$460</f>
        <v>13017.618399999999</v>
      </c>
      <c r="AD460" s="6">
        <f>$O$460*$X$460</f>
        <v>16180.281199999999</v>
      </c>
      <c r="AE460" s="6">
        <f>$K$460*$Y$460</f>
        <v>0</v>
      </c>
      <c r="AF460" s="6">
        <f ca="1">$M$460*$Z$460</f>
        <v>10793.582809763995</v>
      </c>
      <c r="AG460" s="6">
        <f ca="1">$O$460*$AA$460</f>
        <v>12804.220585789573</v>
      </c>
    </row>
    <row r="461" spans="1:33" ht="11.25" customHeight="1" x14ac:dyDescent="0.25">
      <c r="A461" s="4" t="s">
        <v>21</v>
      </c>
      <c r="B461" s="4" t="s">
        <v>22</v>
      </c>
      <c r="C461" s="4" t="s">
        <v>23</v>
      </c>
      <c r="D461" s="4" t="s">
        <v>24</v>
      </c>
      <c r="E461" s="4" t="s">
        <v>30</v>
      </c>
      <c r="F461" s="4" t="s">
        <v>25</v>
      </c>
      <c r="G461" s="4" t="s">
        <v>25</v>
      </c>
      <c r="H461" s="4" t="s">
        <v>25</v>
      </c>
      <c r="I461" s="5">
        <v>44652</v>
      </c>
      <c r="J461" s="6">
        <v>0</v>
      </c>
      <c r="K461" s="6">
        <v>0</v>
      </c>
      <c r="L461" s="6">
        <v>41.701999999999998</v>
      </c>
      <c r="M461" s="6">
        <v>41.701999999999998</v>
      </c>
      <c r="N461" s="6">
        <v>41.701999999999998</v>
      </c>
      <c r="O461" s="6">
        <v>41.701999999999998</v>
      </c>
      <c r="P461" s="6">
        <v>478</v>
      </c>
      <c r="Q461" s="4" t="s">
        <v>26</v>
      </c>
      <c r="R461" s="4">
        <v>0</v>
      </c>
      <c r="S461" s="6">
        <v>0</v>
      </c>
      <c r="T461" s="6">
        <v>10</v>
      </c>
      <c r="U461" s="6">
        <v>55</v>
      </c>
      <c r="V461" s="6">
        <f>IF(ISERROR(VLOOKUP($S$461,'TAR FIN'!$A$1:$O$86,15,0)),0,VLOOKUP($S$461,'TAR FIN'!$A$1:$O$86,15,0))</f>
        <v>0</v>
      </c>
      <c r="W461" s="6">
        <f>IF(ISERROR(VLOOKUP($T$461,'TAR FIN'!$A$1:$O$86,15,0)),0,VLOOKUP($T$461,'TAR FIN'!$A$1:$O$86,15,0))</f>
        <v>227.74</v>
      </c>
      <c r="X461" s="6">
        <f>IF(ISERROR(VLOOKUP($U$461,'TAR FIN'!$A$1:$O$86,15,0)),0,VLOOKUP($U$461,'TAR FIN'!$A$1:$O$86,15,0))</f>
        <v>283.07</v>
      </c>
      <c r="Y461" s="6"/>
      <c r="Z461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188.83104985591316</v>
      </c>
      <c r="AA461" s="6">
        <f ca="1">('TE BE'!$AB$15+'TE BF_350'!$AB$15+'TE CVA'!$AB$15)*(1-CUSTOS!$M$36)</f>
        <v>224.00665825384141</v>
      </c>
      <c r="AB461" s="6">
        <f>$K$461*$V$461</f>
        <v>0</v>
      </c>
      <c r="AC461" s="6">
        <f>$M$461*$W$461</f>
        <v>9497.2134800000003</v>
      </c>
      <c r="AD461" s="6">
        <f>$O$461*$X$461</f>
        <v>11804.585139999999</v>
      </c>
      <c r="AE461" s="6">
        <f>$K$461*$Y$461</f>
        <v>0</v>
      </c>
      <c r="AF461" s="6">
        <f ca="1">$M$461*$Z$461</f>
        <v>7874.6324410912903</v>
      </c>
      <c r="AG461" s="6">
        <f ca="1">$O$461*$AA$461</f>
        <v>9341.5256625016937</v>
      </c>
    </row>
    <row r="462" spans="1:33" ht="11.25" customHeight="1" x14ac:dyDescent="0.25">
      <c r="A462" s="4" t="s">
        <v>21</v>
      </c>
      <c r="B462" s="4" t="s">
        <v>22</v>
      </c>
      <c r="C462" s="4" t="s">
        <v>23</v>
      </c>
      <c r="D462" s="4" t="s">
        <v>24</v>
      </c>
      <c r="E462" s="4" t="s">
        <v>30</v>
      </c>
      <c r="F462" s="4" t="s">
        <v>25</v>
      </c>
      <c r="G462" s="4" t="s">
        <v>25</v>
      </c>
      <c r="H462" s="4" t="s">
        <v>25</v>
      </c>
      <c r="I462" s="5">
        <v>44682</v>
      </c>
      <c r="J462" s="6">
        <v>0</v>
      </c>
      <c r="K462" s="6">
        <v>0</v>
      </c>
      <c r="L462" s="6">
        <v>41.686999999999998</v>
      </c>
      <c r="M462" s="6">
        <v>41.686999999999998</v>
      </c>
      <c r="N462" s="6">
        <v>41.686999999999998</v>
      </c>
      <c r="O462" s="6">
        <v>41.686999999999998</v>
      </c>
      <c r="P462" s="6">
        <v>437</v>
      </c>
      <c r="Q462" s="4" t="s">
        <v>26</v>
      </c>
      <c r="R462" s="4">
        <v>0</v>
      </c>
      <c r="S462" s="6">
        <v>0</v>
      </c>
      <c r="T462" s="6">
        <v>10</v>
      </c>
      <c r="U462" s="6">
        <v>55</v>
      </c>
      <c r="V462" s="6">
        <f>IF(ISERROR(VLOOKUP($S$462,'TAR FIN'!$A$1:$O$86,15,0)),0,VLOOKUP($S$462,'TAR FIN'!$A$1:$O$86,15,0))</f>
        <v>0</v>
      </c>
      <c r="W462" s="6">
        <f>IF(ISERROR(VLOOKUP($T$462,'TAR FIN'!$A$1:$O$86,15,0)),0,VLOOKUP($T$462,'TAR FIN'!$A$1:$O$86,15,0))</f>
        <v>227.74</v>
      </c>
      <c r="X462" s="6">
        <f>IF(ISERROR(VLOOKUP($U$462,'TAR FIN'!$A$1:$O$86,15,0)),0,VLOOKUP($U$462,'TAR FIN'!$A$1:$O$86,15,0))</f>
        <v>283.07</v>
      </c>
      <c r="Y462" s="6"/>
      <c r="Z462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188.83104985591316</v>
      </c>
      <c r="AA462" s="6">
        <f ca="1">('TE BE'!$AB$15+'TE BF_350'!$AB$15+'TE CVA'!$AB$15)*(1-CUSTOS!$M$36)</f>
        <v>224.00665825384141</v>
      </c>
      <c r="AB462" s="6">
        <f>$K$462*$V$462</f>
        <v>0</v>
      </c>
      <c r="AC462" s="6">
        <f>$M$462*$W$462</f>
        <v>9493.79738</v>
      </c>
      <c r="AD462" s="6">
        <f>$O$462*$X$462</f>
        <v>11800.339089999999</v>
      </c>
      <c r="AE462" s="6">
        <f>$K$462*$Y$462</f>
        <v>0</v>
      </c>
      <c r="AF462" s="6">
        <f ca="1">$M$462*$Z$462</f>
        <v>7871.7999753434515</v>
      </c>
      <c r="AG462" s="6">
        <f ca="1">$O$462*$AA$462</f>
        <v>9338.1655626278862</v>
      </c>
    </row>
    <row r="463" spans="1:33" ht="11.25" customHeight="1" x14ac:dyDescent="0.25">
      <c r="A463" s="4" t="s">
        <v>27</v>
      </c>
      <c r="B463" s="4" t="s">
        <v>22</v>
      </c>
      <c r="C463" s="4" t="s">
        <v>23</v>
      </c>
      <c r="D463" s="4" t="s">
        <v>24</v>
      </c>
      <c r="E463" s="4" t="s">
        <v>30</v>
      </c>
      <c r="F463" s="4" t="s">
        <v>25</v>
      </c>
      <c r="G463" s="4" t="s">
        <v>25</v>
      </c>
      <c r="H463" s="4" t="s">
        <v>25</v>
      </c>
      <c r="I463" s="5">
        <v>44682</v>
      </c>
      <c r="J463" s="6">
        <v>0</v>
      </c>
      <c r="K463" s="6">
        <v>0</v>
      </c>
      <c r="L463" s="6">
        <v>0.01</v>
      </c>
      <c r="M463" s="6">
        <v>0.01</v>
      </c>
      <c r="N463" s="6">
        <v>0.01</v>
      </c>
      <c r="O463" s="6">
        <v>0.01</v>
      </c>
      <c r="P463" s="6">
        <v>1</v>
      </c>
      <c r="Q463" s="4" t="s">
        <v>26</v>
      </c>
      <c r="R463" s="4">
        <v>0</v>
      </c>
      <c r="S463" s="6">
        <v>0</v>
      </c>
      <c r="T463" s="6">
        <v>10</v>
      </c>
      <c r="U463" s="6">
        <v>55</v>
      </c>
      <c r="V463" s="6">
        <f>IF(ISERROR(VLOOKUP($S$463,'TAR FIN'!$A$1:$O$86,15,0)),0,VLOOKUP($S$463,'TAR FIN'!$A$1:$O$86,15,0))</f>
        <v>0</v>
      </c>
      <c r="W463" s="6">
        <f>IF(ISERROR(VLOOKUP($T$463,'TAR FIN'!$A$1:$O$86,15,0)),0,VLOOKUP($T$463,'TAR FIN'!$A$1:$O$86,15,0))</f>
        <v>227.74</v>
      </c>
      <c r="X463" s="6">
        <f>IF(ISERROR(VLOOKUP($U$463,'TAR FIN'!$A$1:$O$86,15,0)),0,VLOOKUP($U$463,'TAR FIN'!$A$1:$O$86,15,0))</f>
        <v>283.07</v>
      </c>
      <c r="Y463" s="6"/>
      <c r="Z463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188.83104985591316</v>
      </c>
      <c r="AA463" s="6">
        <f ca="1">('TE BE'!$AB$15+'TE BF_350'!$AB$15+'TE CVA'!$AB$15)*(1-CUSTOS!$M$36)</f>
        <v>224.00665825384141</v>
      </c>
      <c r="AB463" s="6">
        <f>$K$463*$V$463</f>
        <v>0</v>
      </c>
      <c r="AC463" s="6">
        <f>$M$463*$W$463</f>
        <v>2.2774000000000001</v>
      </c>
      <c r="AD463" s="6">
        <f>$O$463*$X$463</f>
        <v>2.8306999999999998</v>
      </c>
      <c r="AE463" s="6">
        <f>$K$463*$Y$463</f>
        <v>0</v>
      </c>
      <c r="AF463" s="6">
        <f ca="1">$M$463*$Z$463</f>
        <v>1.8883104985591317</v>
      </c>
      <c r="AG463" s="6">
        <f ca="1">$O$463*$AA$463</f>
        <v>2.2400665825384141</v>
      </c>
    </row>
    <row r="464" spans="1:33" ht="11.25" customHeight="1" x14ac:dyDescent="0.25">
      <c r="A464" s="4" t="s">
        <v>55</v>
      </c>
      <c r="B464" s="4" t="s">
        <v>22</v>
      </c>
      <c r="C464" s="4" t="s">
        <v>23</v>
      </c>
      <c r="D464" s="4" t="s">
        <v>24</v>
      </c>
      <c r="E464" s="4" t="s">
        <v>30</v>
      </c>
      <c r="F464" s="4" t="s">
        <v>25</v>
      </c>
      <c r="G464" s="4" t="s">
        <v>25</v>
      </c>
      <c r="H464" s="4" t="s">
        <v>25</v>
      </c>
      <c r="I464" s="5">
        <v>44713</v>
      </c>
      <c r="J464" s="6">
        <v>0</v>
      </c>
      <c r="K464" s="6">
        <v>0</v>
      </c>
      <c r="L464" s="6">
        <v>41.686999999999998</v>
      </c>
      <c r="M464" s="6">
        <v>41.686999999999998</v>
      </c>
      <c r="N464" s="6">
        <v>41.686999999999998</v>
      </c>
      <c r="O464" s="6">
        <v>41.686999999999998</v>
      </c>
      <c r="P464" s="6">
        <v>437</v>
      </c>
      <c r="Q464" s="4" t="s">
        <v>26</v>
      </c>
      <c r="R464" s="4">
        <v>0</v>
      </c>
      <c r="S464" s="6">
        <v>0</v>
      </c>
      <c r="T464" s="6">
        <v>10</v>
      </c>
      <c r="U464" s="6">
        <v>55</v>
      </c>
      <c r="V464" s="6">
        <f>IF(ISERROR(VLOOKUP($S$464,'TAR FIN'!$A$1:$O$86,15,0)),0,VLOOKUP($S$464,'TAR FIN'!$A$1:$O$86,15,0))</f>
        <v>0</v>
      </c>
      <c r="W464" s="6">
        <f>IF(ISERROR(VLOOKUP($T$464,'TAR FIN'!$A$1:$O$86,15,0)),0,VLOOKUP($T$464,'TAR FIN'!$A$1:$O$86,15,0))</f>
        <v>227.74</v>
      </c>
      <c r="X464" s="6">
        <f>IF(ISERROR(VLOOKUP($U$464,'TAR FIN'!$A$1:$O$86,15,0)),0,VLOOKUP($U$464,'TAR FIN'!$A$1:$O$86,15,0))</f>
        <v>283.07</v>
      </c>
      <c r="Y464" s="6"/>
      <c r="Z464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188.83104985591316</v>
      </c>
      <c r="AA464" s="6">
        <f ca="1">('TE BE'!$AB$15+'TE BF_350'!$AB$15+'TE CVA'!$AB$15)*(1-CUSTOS!$M$36)</f>
        <v>224.00665825384141</v>
      </c>
      <c r="AB464" s="6">
        <f>$K$464*$V$464</f>
        <v>0</v>
      </c>
      <c r="AC464" s="6">
        <f>$M$464*$W$464</f>
        <v>9493.79738</v>
      </c>
      <c r="AD464" s="6">
        <f>$O$464*$X$464</f>
        <v>11800.339089999999</v>
      </c>
      <c r="AE464" s="6">
        <f>$K$464*$Y$464</f>
        <v>0</v>
      </c>
      <c r="AF464" s="6">
        <f ca="1">$M$464*$Z$464</f>
        <v>7871.7999753434515</v>
      </c>
      <c r="AG464" s="6">
        <f ca="1">$O$464*$AA$464</f>
        <v>9338.1655626278862</v>
      </c>
    </row>
    <row r="465" spans="1:33" ht="11.25" customHeight="1" x14ac:dyDescent="0.25">
      <c r="A465" s="4" t="s">
        <v>55</v>
      </c>
      <c r="B465" s="4" t="s">
        <v>22</v>
      </c>
      <c r="C465" s="4" t="s">
        <v>23</v>
      </c>
      <c r="D465" s="4" t="s">
        <v>24</v>
      </c>
      <c r="E465" s="4" t="s">
        <v>30</v>
      </c>
      <c r="F465" s="4" t="s">
        <v>25</v>
      </c>
      <c r="G465" s="4" t="s">
        <v>25</v>
      </c>
      <c r="H465" s="4" t="s">
        <v>25</v>
      </c>
      <c r="I465" s="5">
        <v>44713</v>
      </c>
      <c r="J465" s="6">
        <v>0</v>
      </c>
      <c r="K465" s="6">
        <v>0</v>
      </c>
      <c r="L465" s="6">
        <v>0.01</v>
      </c>
      <c r="M465" s="6">
        <v>0.01</v>
      </c>
      <c r="N465" s="6">
        <v>0.01</v>
      </c>
      <c r="O465" s="6">
        <v>0.01</v>
      </c>
      <c r="P465" s="6">
        <v>1</v>
      </c>
      <c r="Q465" s="4" t="s">
        <v>26</v>
      </c>
      <c r="R465" s="4">
        <v>0</v>
      </c>
      <c r="S465" s="6">
        <v>0</v>
      </c>
      <c r="T465" s="6">
        <v>10</v>
      </c>
      <c r="U465" s="6">
        <v>55</v>
      </c>
      <c r="V465" s="6">
        <f>IF(ISERROR(VLOOKUP($S$465,'TAR FIN'!$A$1:$O$86,15,0)),0,VLOOKUP($S$465,'TAR FIN'!$A$1:$O$86,15,0))</f>
        <v>0</v>
      </c>
      <c r="W465" s="6">
        <f>IF(ISERROR(VLOOKUP($T$465,'TAR FIN'!$A$1:$O$86,15,0)),0,VLOOKUP($T$465,'TAR FIN'!$A$1:$O$86,15,0))</f>
        <v>227.74</v>
      </c>
      <c r="X465" s="6">
        <f>IF(ISERROR(VLOOKUP($U$465,'TAR FIN'!$A$1:$O$86,15,0)),0,VLOOKUP($U$465,'TAR FIN'!$A$1:$O$86,15,0))</f>
        <v>283.07</v>
      </c>
      <c r="Y465" s="6"/>
      <c r="Z465" s="6">
        <f ca="1">('TUSD BE'!$AM$23+'TUSD BF_350'!$AM$23+'TUSD CVA'!$AM$23-('TUSD BE'!$P$23+'TUSD BF_350'!$P$23+'TUSD CVA'!$P$23)-('TUSD BE'!$Q$23+'TUSD BF_350'!$Q$23+'TUSD CVA'!$Q$23)-('TUSD BE'!$R$23+'TUSD BF_350'!$R$23+'TUSD CVA'!$R$23))*(1-CUSTOS!$M$36)</f>
        <v>188.83104985591316</v>
      </c>
      <c r="AA465" s="6">
        <f ca="1">('TE BE'!$AB$15+'TE BF_350'!$AB$15+'TE CVA'!$AB$15)*(1-CUSTOS!$M$36)</f>
        <v>224.00665825384141</v>
      </c>
      <c r="AB465" s="6">
        <f>$K$465*$V$465</f>
        <v>0</v>
      </c>
      <c r="AC465" s="6">
        <f>$M$465*$W$465</f>
        <v>2.2774000000000001</v>
      </c>
      <c r="AD465" s="6">
        <f>$O$465*$X$465</f>
        <v>2.8306999999999998</v>
      </c>
      <c r="AE465" s="6">
        <f>$K$465*$Y$465</f>
        <v>0</v>
      </c>
      <c r="AF465" s="6">
        <f ca="1">$M$465*$Z$465</f>
        <v>1.8883104985591317</v>
      </c>
      <c r="AG465" s="6">
        <f ca="1">$O$465*$AA$465</f>
        <v>2.2400665825384141</v>
      </c>
    </row>
    <row r="466" spans="1:33" ht="11.25" customHeight="1" x14ac:dyDescent="0.25">
      <c r="A466" s="4" t="s">
        <v>21</v>
      </c>
      <c r="B466" s="4" t="s">
        <v>22</v>
      </c>
      <c r="C466" s="4" t="s">
        <v>23</v>
      </c>
      <c r="D466" s="4" t="s">
        <v>24</v>
      </c>
      <c r="E466" s="4" t="s">
        <v>31</v>
      </c>
      <c r="F466" s="4" t="s">
        <v>25</v>
      </c>
      <c r="G466" s="4" t="s">
        <v>25</v>
      </c>
      <c r="H466" s="4" t="s">
        <v>25</v>
      </c>
      <c r="I466" s="5">
        <v>44378</v>
      </c>
      <c r="J466" s="6">
        <v>0</v>
      </c>
      <c r="K466" s="6">
        <v>0</v>
      </c>
      <c r="L466" s="6">
        <v>7.76</v>
      </c>
      <c r="M466" s="6">
        <v>7.76</v>
      </c>
      <c r="N466" s="6">
        <v>7.76</v>
      </c>
      <c r="O466" s="6">
        <v>7.76</v>
      </c>
      <c r="P466" s="6">
        <v>106</v>
      </c>
      <c r="Q466" s="4" t="s">
        <v>26</v>
      </c>
      <c r="R466" s="4">
        <v>0</v>
      </c>
      <c r="S466" s="6">
        <v>0</v>
      </c>
      <c r="T466" s="6">
        <v>20</v>
      </c>
      <c r="U466" s="6">
        <v>39</v>
      </c>
      <c r="V466" s="6">
        <f>IF(ISERROR(VLOOKUP($S$466,'TAR FIN'!$A$1:$O$86,15,0)),0,VLOOKUP($S$466,'TAR FIN'!$A$1:$O$86,15,0))</f>
        <v>0</v>
      </c>
      <c r="W466" s="6">
        <f>IF(ISERROR(VLOOKUP($T$466,'TAR FIN'!$A$1:$O$86,15,0)),0,VLOOKUP($T$466,'TAR FIN'!$A$1:$O$86,15,0))</f>
        <v>253.04</v>
      </c>
      <c r="X466" s="6">
        <f>IF(ISERROR(VLOOKUP($U$466,'TAR FIN'!$A$1:$O$86,15,0)),0,VLOOKUP($U$466,'TAR FIN'!$A$1:$O$86,15,0))</f>
        <v>314.52</v>
      </c>
      <c r="Y466" s="6"/>
      <c r="Z466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209.8122776176813</v>
      </c>
      <c r="AA466" s="6">
        <f ca="1">('TE BE'!$AB$16+'TE BF_350'!$AB$16+'TE CVA'!$AB$16)*(1-CUSTOS!$M$37)</f>
        <v>248.89628694871266</v>
      </c>
      <c r="AB466" s="6">
        <f>$K$466*$V$466</f>
        <v>0</v>
      </c>
      <c r="AC466" s="6">
        <f>$M$466*$W$466</f>
        <v>1963.5903999999998</v>
      </c>
      <c r="AD466" s="6">
        <f>$O$466*$X$466</f>
        <v>2440.6751999999997</v>
      </c>
      <c r="AE466" s="6">
        <f>$K$466*$Y$466</f>
        <v>0</v>
      </c>
      <c r="AF466" s="6">
        <f ca="1">$M$466*$Z$466</f>
        <v>1628.1432743132068</v>
      </c>
      <c r="AG466" s="6">
        <f ca="1">$O$466*$AA$466</f>
        <v>1931.4351867220103</v>
      </c>
    </row>
    <row r="467" spans="1:33" ht="11.25" customHeight="1" x14ac:dyDescent="0.25">
      <c r="A467" s="4" t="s">
        <v>21</v>
      </c>
      <c r="B467" s="4" t="s">
        <v>22</v>
      </c>
      <c r="C467" s="4" t="s">
        <v>23</v>
      </c>
      <c r="D467" s="4" t="s">
        <v>24</v>
      </c>
      <c r="E467" s="4" t="s">
        <v>31</v>
      </c>
      <c r="F467" s="4" t="s">
        <v>25</v>
      </c>
      <c r="G467" s="4" t="s">
        <v>25</v>
      </c>
      <c r="H467" s="4" t="s">
        <v>25</v>
      </c>
      <c r="I467" s="5">
        <v>44409</v>
      </c>
      <c r="J467" s="6">
        <v>0</v>
      </c>
      <c r="K467" s="6">
        <v>0</v>
      </c>
      <c r="L467" s="6">
        <v>7.2859999999999996</v>
      </c>
      <c r="M467" s="6">
        <v>7.2859999999999996</v>
      </c>
      <c r="N467" s="6">
        <v>7.2859999999999996</v>
      </c>
      <c r="O467" s="6">
        <v>7.2859999999999996</v>
      </c>
      <c r="P467" s="6">
        <v>113</v>
      </c>
      <c r="Q467" s="4" t="s">
        <v>26</v>
      </c>
      <c r="R467" s="4">
        <v>0</v>
      </c>
      <c r="S467" s="6">
        <v>0</v>
      </c>
      <c r="T467" s="6">
        <v>20</v>
      </c>
      <c r="U467" s="6">
        <v>39</v>
      </c>
      <c r="V467" s="6">
        <f>IF(ISERROR(VLOOKUP($S$467,'TAR FIN'!$A$1:$O$86,15,0)),0,VLOOKUP($S$467,'TAR FIN'!$A$1:$O$86,15,0))</f>
        <v>0</v>
      </c>
      <c r="W467" s="6">
        <f>IF(ISERROR(VLOOKUP($T$467,'TAR FIN'!$A$1:$O$86,15,0)),0,VLOOKUP($T$467,'TAR FIN'!$A$1:$O$86,15,0))</f>
        <v>253.04</v>
      </c>
      <c r="X467" s="6">
        <f>IF(ISERROR(VLOOKUP($U$467,'TAR FIN'!$A$1:$O$86,15,0)),0,VLOOKUP($U$467,'TAR FIN'!$A$1:$O$86,15,0))</f>
        <v>314.52</v>
      </c>
      <c r="Y467" s="6"/>
      <c r="Z467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209.8122776176813</v>
      </c>
      <c r="AA467" s="6">
        <f ca="1">('TE BE'!$AB$16+'TE BF_350'!$AB$16+'TE CVA'!$AB$16)*(1-CUSTOS!$M$37)</f>
        <v>248.89628694871266</v>
      </c>
      <c r="AB467" s="6">
        <f>$K$467*$V$467</f>
        <v>0</v>
      </c>
      <c r="AC467" s="6">
        <f>$M$467*$W$467</f>
        <v>1843.6494399999999</v>
      </c>
      <c r="AD467" s="6">
        <f>$O$467*$X$467</f>
        <v>2291.5927199999996</v>
      </c>
      <c r="AE467" s="6">
        <f>$K$467*$Y$467</f>
        <v>0</v>
      </c>
      <c r="AF467" s="6">
        <f ca="1">$M$467*$Z$467</f>
        <v>1528.6922547224258</v>
      </c>
      <c r="AG467" s="6">
        <f ca="1">$O$467*$AA$467</f>
        <v>1813.4583467083203</v>
      </c>
    </row>
    <row r="468" spans="1:33" ht="11.25" customHeight="1" x14ac:dyDescent="0.25">
      <c r="A468" s="4" t="s">
        <v>21</v>
      </c>
      <c r="B468" s="4" t="s">
        <v>22</v>
      </c>
      <c r="C468" s="4" t="s">
        <v>23</v>
      </c>
      <c r="D468" s="4" t="s">
        <v>24</v>
      </c>
      <c r="E468" s="4" t="s">
        <v>31</v>
      </c>
      <c r="F468" s="4" t="s">
        <v>25</v>
      </c>
      <c r="G468" s="4" t="s">
        <v>25</v>
      </c>
      <c r="H468" s="4" t="s">
        <v>25</v>
      </c>
      <c r="I468" s="5">
        <v>44440</v>
      </c>
      <c r="J468" s="6">
        <v>0</v>
      </c>
      <c r="K468" s="6">
        <v>0</v>
      </c>
      <c r="L468" s="6">
        <v>6.76</v>
      </c>
      <c r="M468" s="6">
        <v>6.76</v>
      </c>
      <c r="N468" s="6">
        <v>6.76</v>
      </c>
      <c r="O468" s="6">
        <v>6.76</v>
      </c>
      <c r="P468" s="6">
        <v>105</v>
      </c>
      <c r="Q468" s="4" t="s">
        <v>26</v>
      </c>
      <c r="R468" s="4">
        <v>0</v>
      </c>
      <c r="S468" s="6">
        <v>0</v>
      </c>
      <c r="T468" s="6">
        <v>20</v>
      </c>
      <c r="U468" s="6">
        <v>39</v>
      </c>
      <c r="V468" s="6">
        <f>IF(ISERROR(VLOOKUP($S$468,'TAR FIN'!$A$1:$O$86,15,0)),0,VLOOKUP($S$468,'TAR FIN'!$A$1:$O$86,15,0))</f>
        <v>0</v>
      </c>
      <c r="W468" s="6">
        <f>IF(ISERROR(VLOOKUP($T$468,'TAR FIN'!$A$1:$O$86,15,0)),0,VLOOKUP($T$468,'TAR FIN'!$A$1:$O$86,15,0))</f>
        <v>253.04</v>
      </c>
      <c r="X468" s="6">
        <f>IF(ISERROR(VLOOKUP($U$468,'TAR FIN'!$A$1:$O$86,15,0)),0,VLOOKUP($U$468,'TAR FIN'!$A$1:$O$86,15,0))</f>
        <v>314.52</v>
      </c>
      <c r="Y468" s="6"/>
      <c r="Z468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209.8122776176813</v>
      </c>
      <c r="AA468" s="6">
        <f ca="1">('TE BE'!$AB$16+'TE BF_350'!$AB$16+'TE CVA'!$AB$16)*(1-CUSTOS!$M$37)</f>
        <v>248.89628694871266</v>
      </c>
      <c r="AB468" s="6">
        <f>$K$468*$V$468</f>
        <v>0</v>
      </c>
      <c r="AC468" s="6">
        <f>$M$468*$W$468</f>
        <v>1710.5503999999999</v>
      </c>
      <c r="AD468" s="6">
        <f>$O$468*$X$468</f>
        <v>2126.1551999999997</v>
      </c>
      <c r="AE468" s="6">
        <f>$K$468*$Y$468</f>
        <v>0</v>
      </c>
      <c r="AF468" s="6">
        <f ca="1">$M$468*$Z$468</f>
        <v>1418.3309966955255</v>
      </c>
      <c r="AG468" s="6">
        <f ca="1">$O$468*$AA$468</f>
        <v>1682.5388997732975</v>
      </c>
    </row>
    <row r="469" spans="1:33" ht="11.25" customHeight="1" x14ac:dyDescent="0.25">
      <c r="A469" s="4" t="s">
        <v>21</v>
      </c>
      <c r="B469" s="4" t="s">
        <v>22</v>
      </c>
      <c r="C469" s="4" t="s">
        <v>23</v>
      </c>
      <c r="D469" s="4" t="s">
        <v>24</v>
      </c>
      <c r="E469" s="4" t="s">
        <v>31</v>
      </c>
      <c r="F469" s="4" t="s">
        <v>25</v>
      </c>
      <c r="G469" s="4" t="s">
        <v>25</v>
      </c>
      <c r="H469" s="4" t="s">
        <v>25</v>
      </c>
      <c r="I469" s="5">
        <v>44470</v>
      </c>
      <c r="J469" s="6">
        <v>0</v>
      </c>
      <c r="K469" s="6">
        <v>0</v>
      </c>
      <c r="L469" s="6">
        <v>5.4669999999999996</v>
      </c>
      <c r="M469" s="6">
        <v>5.4669999999999996</v>
      </c>
      <c r="N469" s="6">
        <v>5.4669999999999996</v>
      </c>
      <c r="O469" s="6">
        <v>5.4669999999999996</v>
      </c>
      <c r="P469" s="6">
        <v>89</v>
      </c>
      <c r="Q469" s="4" t="s">
        <v>26</v>
      </c>
      <c r="R469" s="4">
        <v>0</v>
      </c>
      <c r="S469" s="6">
        <v>0</v>
      </c>
      <c r="T469" s="6">
        <v>20</v>
      </c>
      <c r="U469" s="6">
        <v>39</v>
      </c>
      <c r="V469" s="6">
        <f>IF(ISERROR(VLOOKUP($S$469,'TAR FIN'!$A$1:$O$86,15,0)),0,VLOOKUP($S$469,'TAR FIN'!$A$1:$O$86,15,0))</f>
        <v>0</v>
      </c>
      <c r="W469" s="6">
        <f>IF(ISERROR(VLOOKUP($T$469,'TAR FIN'!$A$1:$O$86,15,0)),0,VLOOKUP($T$469,'TAR FIN'!$A$1:$O$86,15,0))</f>
        <v>253.04</v>
      </c>
      <c r="X469" s="6">
        <f>IF(ISERROR(VLOOKUP($U$469,'TAR FIN'!$A$1:$O$86,15,0)),0,VLOOKUP($U$469,'TAR FIN'!$A$1:$O$86,15,0))</f>
        <v>314.52</v>
      </c>
      <c r="Y469" s="6"/>
      <c r="Z469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209.8122776176813</v>
      </c>
      <c r="AA469" s="6">
        <f ca="1">('TE BE'!$AB$16+'TE BF_350'!$AB$16+'TE CVA'!$AB$16)*(1-CUSTOS!$M$37)</f>
        <v>248.89628694871266</v>
      </c>
      <c r="AB469" s="6">
        <f>$K$469*$V$469</f>
        <v>0</v>
      </c>
      <c r="AC469" s="6">
        <f>$M$469*$W$469</f>
        <v>1383.3696799999998</v>
      </c>
      <c r="AD469" s="6">
        <f>$O$469*$X$469</f>
        <v>1719.4808399999997</v>
      </c>
      <c r="AE469" s="6">
        <f>$K$469*$Y$469</f>
        <v>0</v>
      </c>
      <c r="AF469" s="6">
        <f ca="1">$M$469*$Z$469</f>
        <v>1147.0437217358635</v>
      </c>
      <c r="AG469" s="6">
        <f ca="1">$O$469*$AA$469</f>
        <v>1360.716000748612</v>
      </c>
    </row>
    <row r="470" spans="1:33" ht="11.25" customHeight="1" x14ac:dyDescent="0.25">
      <c r="A470" s="4" t="s">
        <v>21</v>
      </c>
      <c r="B470" s="4" t="s">
        <v>22</v>
      </c>
      <c r="C470" s="4" t="s">
        <v>23</v>
      </c>
      <c r="D470" s="4" t="s">
        <v>24</v>
      </c>
      <c r="E470" s="4" t="s">
        <v>31</v>
      </c>
      <c r="F470" s="4" t="s">
        <v>25</v>
      </c>
      <c r="G470" s="4" t="s">
        <v>25</v>
      </c>
      <c r="H470" s="4" t="s">
        <v>25</v>
      </c>
      <c r="I470" s="5">
        <v>44501</v>
      </c>
      <c r="J470" s="6">
        <v>0</v>
      </c>
      <c r="K470" s="6">
        <v>0</v>
      </c>
      <c r="L470" s="6">
        <v>9.23</v>
      </c>
      <c r="M470" s="6">
        <v>9.23</v>
      </c>
      <c r="N470" s="6">
        <v>9.23</v>
      </c>
      <c r="O470" s="6">
        <v>9.23</v>
      </c>
      <c r="P470" s="6">
        <v>128</v>
      </c>
      <c r="Q470" s="4" t="s">
        <v>26</v>
      </c>
      <c r="R470" s="4">
        <v>0</v>
      </c>
      <c r="S470" s="6">
        <v>0</v>
      </c>
      <c r="T470" s="6">
        <v>20</v>
      </c>
      <c r="U470" s="6">
        <v>39</v>
      </c>
      <c r="V470" s="6">
        <f>IF(ISERROR(VLOOKUP($S$470,'TAR FIN'!$A$1:$O$86,15,0)),0,VLOOKUP($S$470,'TAR FIN'!$A$1:$O$86,15,0))</f>
        <v>0</v>
      </c>
      <c r="W470" s="6">
        <f>IF(ISERROR(VLOOKUP($T$470,'TAR FIN'!$A$1:$O$86,15,0)),0,VLOOKUP($T$470,'TAR FIN'!$A$1:$O$86,15,0))</f>
        <v>253.04</v>
      </c>
      <c r="X470" s="6">
        <f>IF(ISERROR(VLOOKUP($U$470,'TAR FIN'!$A$1:$O$86,15,0)),0,VLOOKUP($U$470,'TAR FIN'!$A$1:$O$86,15,0))</f>
        <v>314.52</v>
      </c>
      <c r="Y470" s="6"/>
      <c r="Z470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209.8122776176813</v>
      </c>
      <c r="AA470" s="6">
        <f ca="1">('TE BE'!$AB$16+'TE BF_350'!$AB$16+'TE CVA'!$AB$16)*(1-CUSTOS!$M$37)</f>
        <v>248.89628694871266</v>
      </c>
      <c r="AB470" s="6">
        <f>$K$470*$V$470</f>
        <v>0</v>
      </c>
      <c r="AC470" s="6">
        <f>$M$470*$W$470</f>
        <v>2335.5592000000001</v>
      </c>
      <c r="AD470" s="6">
        <f>$O$470*$X$470</f>
        <v>2903.0196000000001</v>
      </c>
      <c r="AE470" s="6">
        <f>$K$470*$Y$470</f>
        <v>0</v>
      </c>
      <c r="AF470" s="6">
        <f ca="1">$M$470*$Z$470</f>
        <v>1936.5673224111986</v>
      </c>
      <c r="AG470" s="6">
        <f ca="1">$O$470*$AA$470</f>
        <v>2297.3127285366181</v>
      </c>
    </row>
    <row r="471" spans="1:33" ht="11.25" customHeight="1" x14ac:dyDescent="0.25">
      <c r="A471" s="4" t="s">
        <v>21</v>
      </c>
      <c r="B471" s="4" t="s">
        <v>22</v>
      </c>
      <c r="C471" s="4" t="s">
        <v>23</v>
      </c>
      <c r="D471" s="4" t="s">
        <v>24</v>
      </c>
      <c r="E471" s="4" t="s">
        <v>31</v>
      </c>
      <c r="F471" s="4" t="s">
        <v>25</v>
      </c>
      <c r="G471" s="4" t="s">
        <v>25</v>
      </c>
      <c r="H471" s="4" t="s">
        <v>25</v>
      </c>
      <c r="I471" s="5">
        <v>44531</v>
      </c>
      <c r="J471" s="6">
        <v>0</v>
      </c>
      <c r="K471" s="6">
        <v>0</v>
      </c>
      <c r="L471" s="6">
        <v>12.256</v>
      </c>
      <c r="M471" s="6">
        <v>12.256</v>
      </c>
      <c r="N471" s="6">
        <v>12.256</v>
      </c>
      <c r="O471" s="6">
        <v>12.256</v>
      </c>
      <c r="P471" s="6">
        <v>154</v>
      </c>
      <c r="Q471" s="4" t="s">
        <v>26</v>
      </c>
      <c r="R471" s="4">
        <v>0</v>
      </c>
      <c r="S471" s="6">
        <v>0</v>
      </c>
      <c r="T471" s="6">
        <v>20</v>
      </c>
      <c r="U471" s="6">
        <v>39</v>
      </c>
      <c r="V471" s="6">
        <f>IF(ISERROR(VLOOKUP($S$471,'TAR FIN'!$A$1:$O$86,15,0)),0,VLOOKUP($S$471,'TAR FIN'!$A$1:$O$86,15,0))</f>
        <v>0</v>
      </c>
      <c r="W471" s="6">
        <f>IF(ISERROR(VLOOKUP($T$471,'TAR FIN'!$A$1:$O$86,15,0)),0,VLOOKUP($T$471,'TAR FIN'!$A$1:$O$86,15,0))</f>
        <v>253.04</v>
      </c>
      <c r="X471" s="6">
        <f>IF(ISERROR(VLOOKUP($U$471,'TAR FIN'!$A$1:$O$86,15,0)),0,VLOOKUP($U$471,'TAR FIN'!$A$1:$O$86,15,0))</f>
        <v>314.52</v>
      </c>
      <c r="Y471" s="6"/>
      <c r="Z471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209.8122776176813</v>
      </c>
      <c r="AA471" s="6">
        <f ca="1">('TE BE'!$AB$16+'TE BF_350'!$AB$16+'TE CVA'!$AB$16)*(1-CUSTOS!$M$37)</f>
        <v>248.89628694871266</v>
      </c>
      <c r="AB471" s="6">
        <f>$K$471*$V$471</f>
        <v>0</v>
      </c>
      <c r="AC471" s="6">
        <f>$M$471*$W$471</f>
        <v>3101.2582400000001</v>
      </c>
      <c r="AD471" s="6">
        <f>$O$471*$X$471</f>
        <v>3854.7571199999998</v>
      </c>
      <c r="AE471" s="6">
        <f>$K$471*$Y$471</f>
        <v>0</v>
      </c>
      <c r="AF471" s="6">
        <f ca="1">$M$471*$Z$471</f>
        <v>2571.4592744823021</v>
      </c>
      <c r="AG471" s="6">
        <f ca="1">$O$471*$AA$471</f>
        <v>3050.4728928434224</v>
      </c>
    </row>
    <row r="472" spans="1:33" ht="11.25" customHeight="1" x14ac:dyDescent="0.25">
      <c r="A472" s="4" t="s">
        <v>21</v>
      </c>
      <c r="B472" s="4" t="s">
        <v>22</v>
      </c>
      <c r="C472" s="4" t="s">
        <v>23</v>
      </c>
      <c r="D472" s="4" t="s">
        <v>24</v>
      </c>
      <c r="E472" s="4" t="s">
        <v>31</v>
      </c>
      <c r="F472" s="4" t="s">
        <v>25</v>
      </c>
      <c r="G472" s="4" t="s">
        <v>25</v>
      </c>
      <c r="H472" s="4" t="s">
        <v>25</v>
      </c>
      <c r="I472" s="5">
        <v>44562</v>
      </c>
      <c r="J472" s="6">
        <v>0</v>
      </c>
      <c r="K472" s="6">
        <v>0</v>
      </c>
      <c r="L472" s="6">
        <v>22.824999999999999</v>
      </c>
      <c r="M472" s="6">
        <v>22.824999999999999</v>
      </c>
      <c r="N472" s="6">
        <v>22.824999999999999</v>
      </c>
      <c r="O472" s="6">
        <v>22.824999999999999</v>
      </c>
      <c r="P472" s="6">
        <v>226</v>
      </c>
      <c r="Q472" s="4" t="s">
        <v>26</v>
      </c>
      <c r="R472" s="4">
        <v>0</v>
      </c>
      <c r="S472" s="6">
        <v>0</v>
      </c>
      <c r="T472" s="6">
        <v>20</v>
      </c>
      <c r="U472" s="6">
        <v>39</v>
      </c>
      <c r="V472" s="6">
        <f>IF(ISERROR(VLOOKUP($S$472,'TAR FIN'!$A$1:$O$86,15,0)),0,VLOOKUP($S$472,'TAR FIN'!$A$1:$O$86,15,0))</f>
        <v>0</v>
      </c>
      <c r="W472" s="6">
        <f>IF(ISERROR(VLOOKUP($T$472,'TAR FIN'!$A$1:$O$86,15,0)),0,VLOOKUP($T$472,'TAR FIN'!$A$1:$O$86,15,0))</f>
        <v>253.04</v>
      </c>
      <c r="X472" s="6">
        <f>IF(ISERROR(VLOOKUP($U$472,'TAR FIN'!$A$1:$O$86,15,0)),0,VLOOKUP($U$472,'TAR FIN'!$A$1:$O$86,15,0))</f>
        <v>314.52</v>
      </c>
      <c r="Y472" s="6"/>
      <c r="Z472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209.8122776176813</v>
      </c>
      <c r="AA472" s="6">
        <f ca="1">('TE BE'!$AB$16+'TE BF_350'!$AB$16+'TE CVA'!$AB$16)*(1-CUSTOS!$M$37)</f>
        <v>248.89628694871266</v>
      </c>
      <c r="AB472" s="6">
        <f>$K$472*$V$472</f>
        <v>0</v>
      </c>
      <c r="AC472" s="6">
        <f>$M$472*$W$472</f>
        <v>5775.6379999999999</v>
      </c>
      <c r="AD472" s="6">
        <f>$O$472*$X$472</f>
        <v>7178.918999999999</v>
      </c>
      <c r="AE472" s="6">
        <f>$K$472*$Y$472</f>
        <v>0</v>
      </c>
      <c r="AF472" s="6">
        <f ca="1">$M$472*$Z$472</f>
        <v>4788.9652366235759</v>
      </c>
      <c r="AG472" s="6">
        <f ca="1">$O$472*$AA$472</f>
        <v>5681.0577496043661</v>
      </c>
    </row>
    <row r="473" spans="1:33" ht="11.25" customHeight="1" x14ac:dyDescent="0.25">
      <c r="A473" s="4" t="s">
        <v>27</v>
      </c>
      <c r="B473" s="4" t="s">
        <v>22</v>
      </c>
      <c r="C473" s="4" t="s">
        <v>23</v>
      </c>
      <c r="D473" s="4" t="s">
        <v>24</v>
      </c>
      <c r="E473" s="4" t="s">
        <v>31</v>
      </c>
      <c r="F473" s="4" t="s">
        <v>25</v>
      </c>
      <c r="G473" s="4" t="s">
        <v>25</v>
      </c>
      <c r="H473" s="4" t="s">
        <v>25</v>
      </c>
      <c r="I473" s="5">
        <v>44562</v>
      </c>
      <c r="J473" s="6">
        <v>0</v>
      </c>
      <c r="K473" s="6">
        <v>0</v>
      </c>
      <c r="L473" s="6">
        <v>0.10299999999999999</v>
      </c>
      <c r="M473" s="6">
        <v>0.10299999999999999</v>
      </c>
      <c r="N473" s="6">
        <v>0.10299999999999999</v>
      </c>
      <c r="O473" s="6">
        <v>0.10299999999999999</v>
      </c>
      <c r="P473" s="6">
        <v>4</v>
      </c>
      <c r="Q473" s="4" t="s">
        <v>26</v>
      </c>
      <c r="R473" s="4">
        <v>0</v>
      </c>
      <c r="S473" s="6">
        <v>0</v>
      </c>
      <c r="T473" s="6">
        <v>20</v>
      </c>
      <c r="U473" s="6">
        <v>39</v>
      </c>
      <c r="V473" s="6">
        <f>IF(ISERROR(VLOOKUP($S$473,'TAR FIN'!$A$1:$O$86,15,0)),0,VLOOKUP($S$473,'TAR FIN'!$A$1:$O$86,15,0))</f>
        <v>0</v>
      </c>
      <c r="W473" s="6">
        <f>IF(ISERROR(VLOOKUP($T$473,'TAR FIN'!$A$1:$O$86,15,0)),0,VLOOKUP($T$473,'TAR FIN'!$A$1:$O$86,15,0))</f>
        <v>253.04</v>
      </c>
      <c r="X473" s="6">
        <f>IF(ISERROR(VLOOKUP($U$473,'TAR FIN'!$A$1:$O$86,15,0)),0,VLOOKUP($U$473,'TAR FIN'!$A$1:$O$86,15,0))</f>
        <v>314.52</v>
      </c>
      <c r="Y473" s="6"/>
      <c r="Z473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209.8122776176813</v>
      </c>
      <c r="AA473" s="6">
        <f ca="1">('TE BE'!$AB$16+'TE BF_350'!$AB$16+'TE CVA'!$AB$16)*(1-CUSTOS!$M$37)</f>
        <v>248.89628694871266</v>
      </c>
      <c r="AB473" s="6">
        <f>$K$473*$V$473</f>
        <v>0</v>
      </c>
      <c r="AC473" s="6">
        <f>$M$473*$W$473</f>
        <v>26.063119999999998</v>
      </c>
      <c r="AD473" s="6">
        <f>$O$473*$X$473</f>
        <v>32.395559999999996</v>
      </c>
      <c r="AE473" s="6">
        <f>$K$473*$Y$473</f>
        <v>0</v>
      </c>
      <c r="AF473" s="6">
        <f ca="1">$M$473*$Z$473</f>
        <v>21.610664594621174</v>
      </c>
      <c r="AG473" s="6">
        <f ca="1">$O$473*$AA$473</f>
        <v>25.636317555717401</v>
      </c>
    </row>
    <row r="474" spans="1:33" ht="11.25" customHeight="1" x14ac:dyDescent="0.25">
      <c r="A474" s="4" t="s">
        <v>21</v>
      </c>
      <c r="B474" s="4" t="s">
        <v>22</v>
      </c>
      <c r="C474" s="4" t="s">
        <v>23</v>
      </c>
      <c r="D474" s="4" t="s">
        <v>24</v>
      </c>
      <c r="E474" s="4" t="s">
        <v>31</v>
      </c>
      <c r="F474" s="4" t="s">
        <v>25</v>
      </c>
      <c r="G474" s="4" t="s">
        <v>25</v>
      </c>
      <c r="H474" s="4" t="s">
        <v>25</v>
      </c>
      <c r="I474" s="5">
        <v>44593</v>
      </c>
      <c r="J474" s="6">
        <v>0</v>
      </c>
      <c r="K474" s="6">
        <v>0</v>
      </c>
      <c r="L474" s="6">
        <v>16.157</v>
      </c>
      <c r="M474" s="6">
        <v>16.157</v>
      </c>
      <c r="N474" s="6">
        <v>16.157</v>
      </c>
      <c r="O474" s="6">
        <v>16.157</v>
      </c>
      <c r="P474" s="6">
        <v>184</v>
      </c>
      <c r="Q474" s="4" t="s">
        <v>26</v>
      </c>
      <c r="R474" s="4">
        <v>0</v>
      </c>
      <c r="S474" s="6">
        <v>0</v>
      </c>
      <c r="T474" s="6">
        <v>20</v>
      </c>
      <c r="U474" s="6">
        <v>39</v>
      </c>
      <c r="V474" s="6">
        <f>IF(ISERROR(VLOOKUP($S$474,'TAR FIN'!$A$1:$O$86,15,0)),0,VLOOKUP($S$474,'TAR FIN'!$A$1:$O$86,15,0))</f>
        <v>0</v>
      </c>
      <c r="W474" s="6">
        <f>IF(ISERROR(VLOOKUP($T$474,'TAR FIN'!$A$1:$O$86,15,0)),0,VLOOKUP($T$474,'TAR FIN'!$A$1:$O$86,15,0))</f>
        <v>253.04</v>
      </c>
      <c r="X474" s="6">
        <f>IF(ISERROR(VLOOKUP($U$474,'TAR FIN'!$A$1:$O$86,15,0)),0,VLOOKUP($U$474,'TAR FIN'!$A$1:$O$86,15,0))</f>
        <v>314.52</v>
      </c>
      <c r="Y474" s="6"/>
      <c r="Z474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209.8122776176813</v>
      </c>
      <c r="AA474" s="6">
        <f ca="1">('TE BE'!$AB$16+'TE BF_350'!$AB$16+'TE CVA'!$AB$16)*(1-CUSTOS!$M$37)</f>
        <v>248.89628694871266</v>
      </c>
      <c r="AB474" s="6">
        <f>$K$474*$V$474</f>
        <v>0</v>
      </c>
      <c r="AC474" s="6">
        <f>$M$474*$W$474</f>
        <v>4088.3672799999999</v>
      </c>
      <c r="AD474" s="6">
        <f>$O$474*$X$474</f>
        <v>5081.6996399999998</v>
      </c>
      <c r="AE474" s="6">
        <f>$K$474*$Y$474</f>
        <v>0</v>
      </c>
      <c r="AF474" s="6">
        <f ca="1">$M$474*$Z$474</f>
        <v>3389.9369694688767</v>
      </c>
      <c r="AG474" s="6">
        <f ca="1">$O$474*$AA$474</f>
        <v>4021.4173082303505</v>
      </c>
    </row>
    <row r="475" spans="1:33" ht="11.25" customHeight="1" x14ac:dyDescent="0.25">
      <c r="A475" s="4" t="s">
        <v>21</v>
      </c>
      <c r="B475" s="4" t="s">
        <v>22</v>
      </c>
      <c r="C475" s="4" t="s">
        <v>23</v>
      </c>
      <c r="D475" s="4" t="s">
        <v>24</v>
      </c>
      <c r="E475" s="4" t="s">
        <v>31</v>
      </c>
      <c r="F475" s="4" t="s">
        <v>25</v>
      </c>
      <c r="G475" s="4" t="s">
        <v>25</v>
      </c>
      <c r="H475" s="4" t="s">
        <v>25</v>
      </c>
      <c r="I475" s="5">
        <v>44621</v>
      </c>
      <c r="J475" s="6">
        <v>0</v>
      </c>
      <c r="K475" s="6">
        <v>0</v>
      </c>
      <c r="L475" s="6">
        <v>24.401</v>
      </c>
      <c r="M475" s="6">
        <v>24.401</v>
      </c>
      <c r="N475" s="6">
        <v>24.401</v>
      </c>
      <c r="O475" s="6">
        <v>24.401</v>
      </c>
      <c r="P475" s="6">
        <v>255</v>
      </c>
      <c r="Q475" s="4" t="s">
        <v>26</v>
      </c>
      <c r="R475" s="4">
        <v>0</v>
      </c>
      <c r="S475" s="6">
        <v>0</v>
      </c>
      <c r="T475" s="6">
        <v>20</v>
      </c>
      <c r="U475" s="6">
        <v>39</v>
      </c>
      <c r="V475" s="6">
        <f>IF(ISERROR(VLOOKUP($S$475,'TAR FIN'!$A$1:$O$86,15,0)),0,VLOOKUP($S$475,'TAR FIN'!$A$1:$O$86,15,0))</f>
        <v>0</v>
      </c>
      <c r="W475" s="6">
        <f>IF(ISERROR(VLOOKUP($T$475,'TAR FIN'!$A$1:$O$86,15,0)),0,VLOOKUP($T$475,'TAR FIN'!$A$1:$O$86,15,0))</f>
        <v>253.04</v>
      </c>
      <c r="X475" s="6">
        <f>IF(ISERROR(VLOOKUP($U$475,'TAR FIN'!$A$1:$O$86,15,0)),0,VLOOKUP($U$475,'TAR FIN'!$A$1:$O$86,15,0))</f>
        <v>314.52</v>
      </c>
      <c r="Y475" s="6"/>
      <c r="Z475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209.8122776176813</v>
      </c>
      <c r="AA475" s="6">
        <f ca="1">('TE BE'!$AB$16+'TE BF_350'!$AB$16+'TE CVA'!$AB$16)*(1-CUSTOS!$M$37)</f>
        <v>248.89628694871266</v>
      </c>
      <c r="AB475" s="6">
        <f>$K$475*$V$475</f>
        <v>0</v>
      </c>
      <c r="AC475" s="6">
        <f>$M$475*$W$475</f>
        <v>6174.42904</v>
      </c>
      <c r="AD475" s="6">
        <f>$O$475*$X$475</f>
        <v>7674.6025199999995</v>
      </c>
      <c r="AE475" s="6">
        <f>$K$475*$Y$475</f>
        <v>0</v>
      </c>
      <c r="AF475" s="6">
        <f ca="1">$M$475*$Z$475</f>
        <v>5119.6293861490412</v>
      </c>
      <c r="AG475" s="6">
        <f ca="1">$O$475*$AA$475</f>
        <v>6073.3182978355371</v>
      </c>
    </row>
    <row r="476" spans="1:33" ht="11.25" customHeight="1" x14ac:dyDescent="0.25">
      <c r="A476" s="4" t="s">
        <v>21</v>
      </c>
      <c r="B476" s="4" t="s">
        <v>22</v>
      </c>
      <c r="C476" s="4" t="s">
        <v>23</v>
      </c>
      <c r="D476" s="4" t="s">
        <v>24</v>
      </c>
      <c r="E476" s="4" t="s">
        <v>31</v>
      </c>
      <c r="F476" s="4" t="s">
        <v>25</v>
      </c>
      <c r="G476" s="4" t="s">
        <v>25</v>
      </c>
      <c r="H476" s="4" t="s">
        <v>25</v>
      </c>
      <c r="I476" s="5">
        <v>44652</v>
      </c>
      <c r="J476" s="6">
        <v>0</v>
      </c>
      <c r="K476" s="6">
        <v>0</v>
      </c>
      <c r="L476" s="6">
        <v>10.157999999999999</v>
      </c>
      <c r="M476" s="6">
        <v>10.157999999999999</v>
      </c>
      <c r="N476" s="6">
        <v>10.157999999999999</v>
      </c>
      <c r="O476" s="6">
        <v>10.157999999999999</v>
      </c>
      <c r="P476" s="6">
        <v>132</v>
      </c>
      <c r="Q476" s="4" t="s">
        <v>26</v>
      </c>
      <c r="R476" s="4">
        <v>0</v>
      </c>
      <c r="S476" s="6">
        <v>0</v>
      </c>
      <c r="T476" s="6">
        <v>20</v>
      </c>
      <c r="U476" s="6">
        <v>39</v>
      </c>
      <c r="V476" s="6">
        <f>IF(ISERROR(VLOOKUP($S$476,'TAR FIN'!$A$1:$O$86,15,0)),0,VLOOKUP($S$476,'TAR FIN'!$A$1:$O$86,15,0))</f>
        <v>0</v>
      </c>
      <c r="W476" s="6">
        <f>IF(ISERROR(VLOOKUP($T$476,'TAR FIN'!$A$1:$O$86,15,0)),0,VLOOKUP($T$476,'TAR FIN'!$A$1:$O$86,15,0))</f>
        <v>253.04</v>
      </c>
      <c r="X476" s="6">
        <f>IF(ISERROR(VLOOKUP($U$476,'TAR FIN'!$A$1:$O$86,15,0)),0,VLOOKUP($U$476,'TAR FIN'!$A$1:$O$86,15,0))</f>
        <v>314.52</v>
      </c>
      <c r="Y476" s="6"/>
      <c r="Z476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209.8122776176813</v>
      </c>
      <c r="AA476" s="6">
        <f ca="1">('TE BE'!$AB$16+'TE BF_350'!$AB$16+'TE CVA'!$AB$16)*(1-CUSTOS!$M$37)</f>
        <v>248.89628694871266</v>
      </c>
      <c r="AB476" s="6">
        <f>$K$476*$V$476</f>
        <v>0</v>
      </c>
      <c r="AC476" s="6">
        <f>$M$476*$W$476</f>
        <v>2570.3803199999998</v>
      </c>
      <c r="AD476" s="6">
        <f>$O$476*$X$476</f>
        <v>3194.8941599999998</v>
      </c>
      <c r="AE476" s="6">
        <f>$K$476*$Y$476</f>
        <v>0</v>
      </c>
      <c r="AF476" s="6">
        <f ca="1">$M$476*$Z$476</f>
        <v>2131.2731160404064</v>
      </c>
      <c r="AG476" s="6">
        <f ca="1">$O$476*$AA$476</f>
        <v>2528.288482825023</v>
      </c>
    </row>
    <row r="477" spans="1:33" ht="11.25" customHeight="1" x14ac:dyDescent="0.25">
      <c r="A477" s="4" t="s">
        <v>21</v>
      </c>
      <c r="B477" s="4" t="s">
        <v>22</v>
      </c>
      <c r="C477" s="4" t="s">
        <v>23</v>
      </c>
      <c r="D477" s="4" t="s">
        <v>24</v>
      </c>
      <c r="E477" s="4" t="s">
        <v>31</v>
      </c>
      <c r="F477" s="4" t="s">
        <v>25</v>
      </c>
      <c r="G477" s="4" t="s">
        <v>25</v>
      </c>
      <c r="H477" s="4" t="s">
        <v>25</v>
      </c>
      <c r="I477" s="5">
        <v>44682</v>
      </c>
      <c r="J477" s="6">
        <v>0</v>
      </c>
      <c r="K477" s="6">
        <v>0</v>
      </c>
      <c r="L477" s="6">
        <v>11.754</v>
      </c>
      <c r="M477" s="6">
        <v>11.754</v>
      </c>
      <c r="N477" s="6">
        <v>11.754</v>
      </c>
      <c r="O477" s="6">
        <v>11.754</v>
      </c>
      <c r="P477" s="6">
        <v>152</v>
      </c>
      <c r="Q477" s="4" t="s">
        <v>26</v>
      </c>
      <c r="R477" s="4">
        <v>0</v>
      </c>
      <c r="S477" s="6">
        <v>0</v>
      </c>
      <c r="T477" s="6">
        <v>20</v>
      </c>
      <c r="U477" s="6">
        <v>39</v>
      </c>
      <c r="V477" s="6">
        <f>IF(ISERROR(VLOOKUP($S$477,'TAR FIN'!$A$1:$O$86,15,0)),0,VLOOKUP($S$477,'TAR FIN'!$A$1:$O$86,15,0))</f>
        <v>0</v>
      </c>
      <c r="W477" s="6">
        <f>IF(ISERROR(VLOOKUP($T$477,'TAR FIN'!$A$1:$O$86,15,0)),0,VLOOKUP($T$477,'TAR FIN'!$A$1:$O$86,15,0))</f>
        <v>253.04</v>
      </c>
      <c r="X477" s="6">
        <f>IF(ISERROR(VLOOKUP($U$477,'TAR FIN'!$A$1:$O$86,15,0)),0,VLOOKUP($U$477,'TAR FIN'!$A$1:$O$86,15,0))</f>
        <v>314.52</v>
      </c>
      <c r="Y477" s="6"/>
      <c r="Z477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209.8122776176813</v>
      </c>
      <c r="AA477" s="6">
        <f ca="1">('TE BE'!$AB$16+'TE BF_350'!$AB$16+'TE CVA'!$AB$16)*(1-CUSTOS!$M$37)</f>
        <v>248.89628694871266</v>
      </c>
      <c r="AB477" s="6">
        <f>$K$477*$V$477</f>
        <v>0</v>
      </c>
      <c r="AC477" s="6">
        <f>$M$477*$W$477</f>
        <v>2974.23216</v>
      </c>
      <c r="AD477" s="6">
        <f>$O$477*$X$477</f>
        <v>3696.8680799999997</v>
      </c>
      <c r="AE477" s="6">
        <f>$K$477*$Y$477</f>
        <v>0</v>
      </c>
      <c r="AF477" s="6">
        <f ca="1">$M$477*$Z$477</f>
        <v>2466.1335111182261</v>
      </c>
      <c r="AG477" s="6">
        <f ca="1">$O$477*$AA$477</f>
        <v>2925.5269567951686</v>
      </c>
    </row>
    <row r="478" spans="1:33" ht="11.25" customHeight="1" x14ac:dyDescent="0.25">
      <c r="A478" s="4" t="s">
        <v>55</v>
      </c>
      <c r="B478" s="4" t="s">
        <v>22</v>
      </c>
      <c r="C478" s="4" t="s">
        <v>23</v>
      </c>
      <c r="D478" s="4" t="s">
        <v>24</v>
      </c>
      <c r="E478" s="4" t="s">
        <v>31</v>
      </c>
      <c r="F478" s="4" t="s">
        <v>25</v>
      </c>
      <c r="G478" s="4" t="s">
        <v>25</v>
      </c>
      <c r="H478" s="4" t="s">
        <v>25</v>
      </c>
      <c r="I478" s="5">
        <v>44713</v>
      </c>
      <c r="J478" s="6">
        <v>0</v>
      </c>
      <c r="K478" s="6">
        <v>0</v>
      </c>
      <c r="L478" s="6">
        <v>11.754</v>
      </c>
      <c r="M478" s="6">
        <v>11.754</v>
      </c>
      <c r="N478" s="6">
        <v>11.754</v>
      </c>
      <c r="O478" s="6">
        <v>11.754</v>
      </c>
      <c r="P478" s="6">
        <v>152</v>
      </c>
      <c r="Q478" s="4" t="s">
        <v>26</v>
      </c>
      <c r="R478" s="4">
        <v>0</v>
      </c>
      <c r="S478" s="6">
        <v>0</v>
      </c>
      <c r="T478" s="6">
        <v>20</v>
      </c>
      <c r="U478" s="6">
        <v>39</v>
      </c>
      <c r="V478" s="6">
        <f>IF(ISERROR(VLOOKUP($S$478,'TAR FIN'!$A$1:$O$86,15,0)),0,VLOOKUP($S$478,'TAR FIN'!$A$1:$O$86,15,0))</f>
        <v>0</v>
      </c>
      <c r="W478" s="6">
        <f>IF(ISERROR(VLOOKUP($T$478,'TAR FIN'!$A$1:$O$86,15,0)),0,VLOOKUP($T$478,'TAR FIN'!$A$1:$O$86,15,0))</f>
        <v>253.04</v>
      </c>
      <c r="X478" s="6">
        <f>IF(ISERROR(VLOOKUP($U$478,'TAR FIN'!$A$1:$O$86,15,0)),0,VLOOKUP($U$478,'TAR FIN'!$A$1:$O$86,15,0))</f>
        <v>314.52</v>
      </c>
      <c r="Y478" s="6"/>
      <c r="Z478" s="6">
        <f ca="1">('TUSD BE'!$AM$24+'TUSD BF_350'!$AM$24+'TUSD CVA'!$AM$24-('TUSD BE'!$P$24+'TUSD BF_350'!$P$24+'TUSD CVA'!$P$24)-('TUSD BE'!$Q$24+'TUSD BF_350'!$Q$24+'TUSD CVA'!$Q$24)-('TUSD BE'!$R$24+'TUSD BF_350'!$R$24+'TUSD CVA'!$R$24))*(1-CUSTOS!$M$37)</f>
        <v>209.8122776176813</v>
      </c>
      <c r="AA478" s="6">
        <f ca="1">('TE BE'!$AB$16+'TE BF_350'!$AB$16+'TE CVA'!$AB$16)*(1-CUSTOS!$M$37)</f>
        <v>248.89628694871266</v>
      </c>
      <c r="AB478" s="6">
        <f>$K$478*$V$478</f>
        <v>0</v>
      </c>
      <c r="AC478" s="6">
        <f>$M$478*$W$478</f>
        <v>2974.23216</v>
      </c>
      <c r="AD478" s="6">
        <f>$O$478*$X$478</f>
        <v>3696.8680799999997</v>
      </c>
      <c r="AE478" s="6">
        <f>$K$478*$Y$478</f>
        <v>0</v>
      </c>
      <c r="AF478" s="6">
        <f ca="1">$M$478*$Z$478</f>
        <v>2466.1335111182261</v>
      </c>
      <c r="AG478" s="6">
        <f ca="1">$O$478*$AA$478</f>
        <v>2925.5269567951686</v>
      </c>
    </row>
    <row r="479" spans="1:33" ht="11.25" customHeight="1" x14ac:dyDescent="0.25">
      <c r="A479" s="4" t="s">
        <v>21</v>
      </c>
      <c r="B479" s="4" t="s">
        <v>42</v>
      </c>
      <c r="C479" s="4" t="s">
        <v>23</v>
      </c>
      <c r="D479" s="4" t="s">
        <v>43</v>
      </c>
      <c r="E479" s="4" t="s">
        <v>52</v>
      </c>
      <c r="F479" s="4" t="s">
        <v>53</v>
      </c>
      <c r="G479" s="4" t="s">
        <v>25</v>
      </c>
      <c r="H479" s="4" t="s">
        <v>25</v>
      </c>
      <c r="I479" s="5">
        <v>44378</v>
      </c>
      <c r="J479" s="6">
        <v>0</v>
      </c>
      <c r="K479" s="6">
        <v>0</v>
      </c>
      <c r="L479" s="6">
        <v>0.1</v>
      </c>
      <c r="M479" s="6">
        <v>0.1</v>
      </c>
      <c r="N479" s="6">
        <v>0.1</v>
      </c>
      <c r="O479" s="6">
        <v>0.1</v>
      </c>
      <c r="P479" s="6">
        <v>0</v>
      </c>
      <c r="Q479" s="4" t="s">
        <v>26</v>
      </c>
      <c r="R479" s="4">
        <v>0</v>
      </c>
      <c r="S479" s="6">
        <v>0</v>
      </c>
      <c r="T479" s="6">
        <v>32</v>
      </c>
      <c r="U479" s="6">
        <v>56</v>
      </c>
      <c r="V479" s="6">
        <f>IF(ISERROR(VLOOKUP($S$479,'TAR FIN'!$A$1:$O$86,15,0)),0,VLOOKUP($S$479,'TAR FIN'!$A$1:$O$86,15,0))</f>
        <v>0</v>
      </c>
      <c r="W479" s="6">
        <f>IF(ISERROR(VLOOKUP($T$479,'TAR FIN'!$A$1:$O$86,15,0)),0,VLOOKUP($T$479,'TAR FIN'!$A$1:$O$86,15,0))</f>
        <v>287.75</v>
      </c>
      <c r="X479" s="6">
        <f>IF(ISERROR(VLOOKUP($U$479,'TAR FIN'!$A$1:$O$86,15,0)),0,VLOOKUP($U$479,'TAR FIN'!$A$1:$O$86,15,0))</f>
        <v>276.77999999999997</v>
      </c>
      <c r="Y479" s="6"/>
      <c r="Z479" s="6">
        <f ca="1">('TUSD BE'!$AM$33+'TUSD BF_350'!$AM$33+'TUSD CVA'!$AM$33)*(1-CUSTOS!$M$38)</f>
        <v>295.07903341788727</v>
      </c>
      <c r="AA479" s="6">
        <f ca="1">('TE BE'!$AB$25+'TE BF_350'!$AB$25+'TE CVA'!$AB$25)*(1-CUSTOS!$M$38)</f>
        <v>233.96250973178988</v>
      </c>
      <c r="AB479" s="6">
        <f>$K$479*$V$479</f>
        <v>0</v>
      </c>
      <c r="AC479" s="6">
        <f>$M$479*$W$479</f>
        <v>28.775000000000002</v>
      </c>
      <c r="AD479" s="6">
        <f>$O$479*$X$479</f>
        <v>27.677999999999997</v>
      </c>
      <c r="AE479" s="6">
        <f>$K$479*$Y$479</f>
        <v>0</v>
      </c>
      <c r="AF479" s="6">
        <f ca="1">$M$479*$Z$479</f>
        <v>29.50790334178873</v>
      </c>
      <c r="AG479" s="6">
        <f ca="1">$O$479*$AA$479</f>
        <v>23.39625097317899</v>
      </c>
    </row>
    <row r="480" spans="1:33" ht="11.25" customHeight="1" x14ac:dyDescent="0.25">
      <c r="A480" s="4" t="s">
        <v>21</v>
      </c>
      <c r="B480" s="4" t="s">
        <v>42</v>
      </c>
      <c r="C480" s="4" t="s">
        <v>23</v>
      </c>
      <c r="D480" s="4" t="s">
        <v>43</v>
      </c>
      <c r="E480" s="4" t="s">
        <v>52</v>
      </c>
      <c r="F480" s="4" t="s">
        <v>53</v>
      </c>
      <c r="G480" s="4" t="s">
        <v>25</v>
      </c>
      <c r="H480" s="4" t="s">
        <v>25</v>
      </c>
      <c r="I480" s="5">
        <v>44409</v>
      </c>
      <c r="J480" s="6">
        <v>0</v>
      </c>
      <c r="K480" s="6">
        <v>0</v>
      </c>
      <c r="L480" s="6">
        <v>0.1</v>
      </c>
      <c r="M480" s="6">
        <v>0.1</v>
      </c>
      <c r="N480" s="6">
        <v>0.1</v>
      </c>
      <c r="O480" s="6">
        <v>0.1</v>
      </c>
      <c r="P480" s="6">
        <v>0</v>
      </c>
      <c r="Q480" s="4" t="s">
        <v>26</v>
      </c>
      <c r="R480" s="4">
        <v>0</v>
      </c>
      <c r="S480" s="6">
        <v>0</v>
      </c>
      <c r="T480" s="6">
        <v>32</v>
      </c>
      <c r="U480" s="6">
        <v>56</v>
      </c>
      <c r="V480" s="6">
        <f>IF(ISERROR(VLOOKUP($S$480,'TAR FIN'!$A$1:$O$86,15,0)),0,VLOOKUP($S$480,'TAR FIN'!$A$1:$O$86,15,0))</f>
        <v>0</v>
      </c>
      <c r="W480" s="6">
        <f>IF(ISERROR(VLOOKUP($T$480,'TAR FIN'!$A$1:$O$86,15,0)),0,VLOOKUP($T$480,'TAR FIN'!$A$1:$O$86,15,0))</f>
        <v>287.75</v>
      </c>
      <c r="X480" s="6">
        <f>IF(ISERROR(VLOOKUP($U$480,'TAR FIN'!$A$1:$O$86,15,0)),0,VLOOKUP($U$480,'TAR FIN'!$A$1:$O$86,15,0))</f>
        <v>276.77999999999997</v>
      </c>
      <c r="Y480" s="6"/>
      <c r="Z480" s="6">
        <f ca="1">('TUSD BE'!$AM$33+'TUSD BF_350'!$AM$33+'TUSD CVA'!$AM$33)*(1-CUSTOS!$M$38)</f>
        <v>295.07903341788727</v>
      </c>
      <c r="AA480" s="6">
        <f ca="1">('TE BE'!$AB$25+'TE BF_350'!$AB$25+'TE CVA'!$AB$25)*(1-CUSTOS!$M$38)</f>
        <v>233.96250973178988</v>
      </c>
      <c r="AB480" s="6">
        <f>$K$480*$V$480</f>
        <v>0</v>
      </c>
      <c r="AC480" s="6">
        <f>$M$480*$W$480</f>
        <v>28.775000000000002</v>
      </c>
      <c r="AD480" s="6">
        <f>$O$480*$X$480</f>
        <v>27.677999999999997</v>
      </c>
      <c r="AE480" s="6">
        <f>$K$480*$Y$480</f>
        <v>0</v>
      </c>
      <c r="AF480" s="6">
        <f ca="1">$M$480*$Z$480</f>
        <v>29.50790334178873</v>
      </c>
      <c r="AG480" s="6">
        <f ca="1">$O$480*$AA$480</f>
        <v>23.39625097317899</v>
      </c>
    </row>
    <row r="481" spans="1:33" ht="11.25" customHeight="1" x14ac:dyDescent="0.25">
      <c r="A481" s="4" t="s">
        <v>21</v>
      </c>
      <c r="B481" s="4" t="s">
        <v>42</v>
      </c>
      <c r="C481" s="4" t="s">
        <v>23</v>
      </c>
      <c r="D481" s="4" t="s">
        <v>43</v>
      </c>
      <c r="E481" s="4" t="s">
        <v>52</v>
      </c>
      <c r="F481" s="4" t="s">
        <v>53</v>
      </c>
      <c r="G481" s="4" t="s">
        <v>25</v>
      </c>
      <c r="H481" s="4" t="s">
        <v>25</v>
      </c>
      <c r="I481" s="5">
        <v>44440</v>
      </c>
      <c r="J481" s="6">
        <v>0</v>
      </c>
      <c r="K481" s="6">
        <v>0</v>
      </c>
      <c r="L481" s="6">
        <v>5.8999999999999997E-2</v>
      </c>
      <c r="M481" s="6">
        <v>5.8999999999999997E-2</v>
      </c>
      <c r="N481" s="6">
        <v>5.8999999999999997E-2</v>
      </c>
      <c r="O481" s="6">
        <v>5.8999999999999997E-2</v>
      </c>
      <c r="P481" s="6">
        <v>0</v>
      </c>
      <c r="Q481" s="4" t="s">
        <v>26</v>
      </c>
      <c r="R481" s="4">
        <v>0</v>
      </c>
      <c r="S481" s="6">
        <v>0</v>
      </c>
      <c r="T481" s="6">
        <v>32</v>
      </c>
      <c r="U481" s="6">
        <v>56</v>
      </c>
      <c r="V481" s="6">
        <f>IF(ISERROR(VLOOKUP($S$481,'TAR FIN'!$A$1:$O$86,15,0)),0,VLOOKUP($S$481,'TAR FIN'!$A$1:$O$86,15,0))</f>
        <v>0</v>
      </c>
      <c r="W481" s="6">
        <f>IF(ISERROR(VLOOKUP($T$481,'TAR FIN'!$A$1:$O$86,15,0)),0,VLOOKUP($T$481,'TAR FIN'!$A$1:$O$86,15,0))</f>
        <v>287.75</v>
      </c>
      <c r="X481" s="6">
        <f>IF(ISERROR(VLOOKUP($U$481,'TAR FIN'!$A$1:$O$86,15,0)),0,VLOOKUP($U$481,'TAR FIN'!$A$1:$O$86,15,0))</f>
        <v>276.77999999999997</v>
      </c>
      <c r="Y481" s="6"/>
      <c r="Z481" s="6">
        <f ca="1">('TUSD BE'!$AM$33+'TUSD BF_350'!$AM$33+'TUSD CVA'!$AM$33)*(1-CUSTOS!$M$38)</f>
        <v>295.07903341788727</v>
      </c>
      <c r="AA481" s="6">
        <f ca="1">('TE BE'!$AB$25+'TE BF_350'!$AB$25+'TE CVA'!$AB$25)*(1-CUSTOS!$M$38)</f>
        <v>233.96250973178988</v>
      </c>
      <c r="AB481" s="6">
        <f>$K$481*$V$481</f>
        <v>0</v>
      </c>
      <c r="AC481" s="6">
        <f>$M$481*$W$481</f>
        <v>16.977249999999998</v>
      </c>
      <c r="AD481" s="6">
        <f>$O$481*$X$481</f>
        <v>16.330019999999998</v>
      </c>
      <c r="AE481" s="6">
        <f>$K$481*$Y$481</f>
        <v>0</v>
      </c>
      <c r="AF481" s="6">
        <f ca="1">$M$481*$Z$481</f>
        <v>17.409662971655347</v>
      </c>
      <c r="AG481" s="6">
        <f ca="1">$O$481*$AA$481</f>
        <v>13.803788074175602</v>
      </c>
    </row>
    <row r="482" spans="1:33" ht="11.25" customHeight="1" x14ac:dyDescent="0.25">
      <c r="A482" s="4" t="s">
        <v>21</v>
      </c>
      <c r="B482" s="4" t="s">
        <v>42</v>
      </c>
      <c r="C482" s="4" t="s">
        <v>23</v>
      </c>
      <c r="D482" s="4" t="s">
        <v>43</v>
      </c>
      <c r="E482" s="4" t="s">
        <v>52</v>
      </c>
      <c r="F482" s="4" t="s">
        <v>53</v>
      </c>
      <c r="G482" s="4" t="s">
        <v>25</v>
      </c>
      <c r="H482" s="4" t="s">
        <v>25</v>
      </c>
      <c r="I482" s="5">
        <v>44470</v>
      </c>
      <c r="J482" s="6">
        <v>0</v>
      </c>
      <c r="K482" s="6">
        <v>0</v>
      </c>
      <c r="L482" s="6">
        <v>5.8999999999999997E-2</v>
      </c>
      <c r="M482" s="6">
        <v>5.8999999999999997E-2</v>
      </c>
      <c r="N482" s="6">
        <v>5.8999999999999997E-2</v>
      </c>
      <c r="O482" s="6">
        <v>5.8999999999999997E-2</v>
      </c>
      <c r="P482" s="6">
        <v>0</v>
      </c>
      <c r="Q482" s="4" t="s">
        <v>26</v>
      </c>
      <c r="R482" s="4">
        <v>0</v>
      </c>
      <c r="S482" s="6">
        <v>0</v>
      </c>
      <c r="T482" s="6">
        <v>32</v>
      </c>
      <c r="U482" s="6">
        <v>56</v>
      </c>
      <c r="V482" s="6">
        <f>IF(ISERROR(VLOOKUP($S$482,'TAR FIN'!$A$1:$O$86,15,0)),0,VLOOKUP($S$482,'TAR FIN'!$A$1:$O$86,15,0))</f>
        <v>0</v>
      </c>
      <c r="W482" s="6">
        <f>IF(ISERROR(VLOOKUP($T$482,'TAR FIN'!$A$1:$O$86,15,0)),0,VLOOKUP($T$482,'TAR FIN'!$A$1:$O$86,15,0))</f>
        <v>287.75</v>
      </c>
      <c r="X482" s="6">
        <f>IF(ISERROR(VLOOKUP($U$482,'TAR FIN'!$A$1:$O$86,15,0)),0,VLOOKUP($U$482,'TAR FIN'!$A$1:$O$86,15,0))</f>
        <v>276.77999999999997</v>
      </c>
      <c r="Y482" s="6"/>
      <c r="Z482" s="6">
        <f ca="1">('TUSD BE'!$AM$33+'TUSD BF_350'!$AM$33+'TUSD CVA'!$AM$33)*(1-CUSTOS!$M$38)</f>
        <v>295.07903341788727</v>
      </c>
      <c r="AA482" s="6">
        <f ca="1">('TE BE'!$AB$25+'TE BF_350'!$AB$25+'TE CVA'!$AB$25)*(1-CUSTOS!$M$38)</f>
        <v>233.96250973178988</v>
      </c>
      <c r="AB482" s="6">
        <f>$K$482*$V$482</f>
        <v>0</v>
      </c>
      <c r="AC482" s="6">
        <f>$M$482*$W$482</f>
        <v>16.977249999999998</v>
      </c>
      <c r="AD482" s="6">
        <f>$O$482*$X$482</f>
        <v>16.330019999999998</v>
      </c>
      <c r="AE482" s="6">
        <f>$K$482*$Y$482</f>
        <v>0</v>
      </c>
      <c r="AF482" s="6">
        <f ca="1">$M$482*$Z$482</f>
        <v>17.409662971655347</v>
      </c>
      <c r="AG482" s="6">
        <f ca="1">$O$482*$AA$482</f>
        <v>13.803788074175602</v>
      </c>
    </row>
    <row r="483" spans="1:33" ht="11.25" customHeight="1" x14ac:dyDescent="0.25">
      <c r="A483" s="4" t="s">
        <v>21</v>
      </c>
      <c r="B483" s="4" t="s">
        <v>42</v>
      </c>
      <c r="C483" s="4" t="s">
        <v>23</v>
      </c>
      <c r="D483" s="4" t="s">
        <v>43</v>
      </c>
      <c r="E483" s="4" t="s">
        <v>52</v>
      </c>
      <c r="F483" s="4" t="s">
        <v>53</v>
      </c>
      <c r="G483" s="4" t="s">
        <v>25</v>
      </c>
      <c r="H483" s="4" t="s">
        <v>25</v>
      </c>
      <c r="I483" s="5">
        <v>44501</v>
      </c>
      <c r="J483" s="6">
        <v>0</v>
      </c>
      <c r="K483" s="6">
        <v>0</v>
      </c>
      <c r="L483" s="6">
        <v>1.649</v>
      </c>
      <c r="M483" s="6">
        <v>1.649</v>
      </c>
      <c r="N483" s="6">
        <v>1.649</v>
      </c>
      <c r="O483" s="6">
        <v>1.649</v>
      </c>
      <c r="P483" s="6">
        <v>0</v>
      </c>
      <c r="Q483" s="4" t="s">
        <v>26</v>
      </c>
      <c r="R483" s="4">
        <v>0</v>
      </c>
      <c r="S483" s="6">
        <v>0</v>
      </c>
      <c r="T483" s="6">
        <v>32</v>
      </c>
      <c r="U483" s="6">
        <v>56</v>
      </c>
      <c r="V483" s="6">
        <f>IF(ISERROR(VLOOKUP($S$483,'TAR FIN'!$A$1:$O$86,15,0)),0,VLOOKUP($S$483,'TAR FIN'!$A$1:$O$86,15,0))</f>
        <v>0</v>
      </c>
      <c r="W483" s="6">
        <f>IF(ISERROR(VLOOKUP($T$483,'TAR FIN'!$A$1:$O$86,15,0)),0,VLOOKUP($T$483,'TAR FIN'!$A$1:$O$86,15,0))</f>
        <v>287.75</v>
      </c>
      <c r="X483" s="6">
        <f>IF(ISERROR(VLOOKUP($U$483,'TAR FIN'!$A$1:$O$86,15,0)),0,VLOOKUP($U$483,'TAR FIN'!$A$1:$O$86,15,0))</f>
        <v>276.77999999999997</v>
      </c>
      <c r="Y483" s="6"/>
      <c r="Z483" s="6">
        <f ca="1">('TUSD BE'!$AM$33+'TUSD BF_350'!$AM$33+'TUSD CVA'!$AM$33)*(1-CUSTOS!$M$38)</f>
        <v>295.07903341788727</v>
      </c>
      <c r="AA483" s="6">
        <f ca="1">('TE BE'!$AB$25+'TE BF_350'!$AB$25+'TE CVA'!$AB$25)*(1-CUSTOS!$M$38)</f>
        <v>233.96250973178988</v>
      </c>
      <c r="AB483" s="6">
        <f>$K$483*$V$483</f>
        <v>0</v>
      </c>
      <c r="AC483" s="6">
        <f>$M$483*$W$483</f>
        <v>474.49975000000001</v>
      </c>
      <c r="AD483" s="6">
        <f>$O$483*$X$483</f>
        <v>456.41021999999998</v>
      </c>
      <c r="AE483" s="6">
        <f>$K$483*$Y$483</f>
        <v>0</v>
      </c>
      <c r="AF483" s="6">
        <f ca="1">$M$483*$Z$483</f>
        <v>486.58532610609615</v>
      </c>
      <c r="AG483" s="6">
        <f ca="1">$O$483*$AA$483</f>
        <v>385.80417854772151</v>
      </c>
    </row>
    <row r="484" spans="1:33" ht="11.25" customHeight="1" x14ac:dyDescent="0.25">
      <c r="A484" s="4" t="s">
        <v>21</v>
      </c>
      <c r="B484" s="4" t="s">
        <v>42</v>
      </c>
      <c r="C484" s="4" t="s">
        <v>23</v>
      </c>
      <c r="D484" s="4" t="s">
        <v>43</v>
      </c>
      <c r="E484" s="4" t="s">
        <v>52</v>
      </c>
      <c r="F484" s="4" t="s">
        <v>53</v>
      </c>
      <c r="G484" s="4" t="s">
        <v>25</v>
      </c>
      <c r="H484" s="4" t="s">
        <v>25</v>
      </c>
      <c r="I484" s="5">
        <v>44531</v>
      </c>
      <c r="J484" s="6">
        <v>0</v>
      </c>
      <c r="K484" s="6">
        <v>0</v>
      </c>
      <c r="L484" s="6">
        <v>1.54</v>
      </c>
      <c r="M484" s="6">
        <v>1.54</v>
      </c>
      <c r="N484" s="6">
        <v>1.54</v>
      </c>
      <c r="O484" s="6">
        <v>1.54</v>
      </c>
      <c r="P484" s="6">
        <v>0</v>
      </c>
      <c r="Q484" s="4" t="s">
        <v>26</v>
      </c>
      <c r="R484" s="4">
        <v>0</v>
      </c>
      <c r="S484" s="6">
        <v>0</v>
      </c>
      <c r="T484" s="6">
        <v>32</v>
      </c>
      <c r="U484" s="6">
        <v>56</v>
      </c>
      <c r="V484" s="6">
        <f>IF(ISERROR(VLOOKUP($S$484,'TAR FIN'!$A$1:$O$86,15,0)),0,VLOOKUP($S$484,'TAR FIN'!$A$1:$O$86,15,0))</f>
        <v>0</v>
      </c>
      <c r="W484" s="6">
        <f>IF(ISERROR(VLOOKUP($T$484,'TAR FIN'!$A$1:$O$86,15,0)),0,VLOOKUP($T$484,'TAR FIN'!$A$1:$O$86,15,0))</f>
        <v>287.75</v>
      </c>
      <c r="X484" s="6">
        <f>IF(ISERROR(VLOOKUP($U$484,'TAR FIN'!$A$1:$O$86,15,0)),0,VLOOKUP($U$484,'TAR FIN'!$A$1:$O$86,15,0))</f>
        <v>276.77999999999997</v>
      </c>
      <c r="Y484" s="6"/>
      <c r="Z484" s="6">
        <f ca="1">('TUSD BE'!$AM$33+'TUSD BF_350'!$AM$33+'TUSD CVA'!$AM$33)*(1-CUSTOS!$M$38)</f>
        <v>295.07903341788727</v>
      </c>
      <c r="AA484" s="6">
        <f ca="1">('TE BE'!$AB$25+'TE BF_350'!$AB$25+'TE CVA'!$AB$25)*(1-CUSTOS!$M$38)</f>
        <v>233.96250973178988</v>
      </c>
      <c r="AB484" s="6">
        <f>$K$484*$V$484</f>
        <v>0</v>
      </c>
      <c r="AC484" s="6">
        <f>$M$484*$W$484</f>
        <v>443.13499999999999</v>
      </c>
      <c r="AD484" s="6">
        <f>$O$484*$X$484</f>
        <v>426.24119999999999</v>
      </c>
      <c r="AE484" s="6">
        <f>$K$484*$Y$484</f>
        <v>0</v>
      </c>
      <c r="AF484" s="6">
        <f ca="1">$M$484*$Z$484</f>
        <v>454.42171146354639</v>
      </c>
      <c r="AG484" s="6">
        <f ca="1">$O$484*$AA$484</f>
        <v>360.3022649869564</v>
      </c>
    </row>
    <row r="485" spans="1:33" ht="11.25" customHeight="1" x14ac:dyDescent="0.25">
      <c r="A485" s="4" t="s">
        <v>21</v>
      </c>
      <c r="B485" s="4" t="s">
        <v>42</v>
      </c>
      <c r="C485" s="4" t="s">
        <v>23</v>
      </c>
      <c r="D485" s="4" t="s">
        <v>43</v>
      </c>
      <c r="E485" s="4" t="s">
        <v>52</v>
      </c>
      <c r="F485" s="4" t="s">
        <v>53</v>
      </c>
      <c r="G485" s="4" t="s">
        <v>25</v>
      </c>
      <c r="H485" s="4" t="s">
        <v>25</v>
      </c>
      <c r="I485" s="5">
        <v>44562</v>
      </c>
      <c r="J485" s="6">
        <v>0</v>
      </c>
      <c r="K485" s="6">
        <v>0</v>
      </c>
      <c r="L485" s="6">
        <v>2.0259999999999998</v>
      </c>
      <c r="M485" s="6">
        <v>2.0259999999999998</v>
      </c>
      <c r="N485" s="6">
        <v>2.0259999999999998</v>
      </c>
      <c r="O485" s="6">
        <v>2.0259999999999998</v>
      </c>
      <c r="P485" s="6">
        <v>0</v>
      </c>
      <c r="Q485" s="4" t="s">
        <v>26</v>
      </c>
      <c r="R485" s="4">
        <v>0</v>
      </c>
      <c r="S485" s="6">
        <v>0</v>
      </c>
      <c r="T485" s="6">
        <v>32</v>
      </c>
      <c r="U485" s="6">
        <v>56</v>
      </c>
      <c r="V485" s="6">
        <f>IF(ISERROR(VLOOKUP($S$485,'TAR FIN'!$A$1:$O$86,15,0)),0,VLOOKUP($S$485,'TAR FIN'!$A$1:$O$86,15,0))</f>
        <v>0</v>
      </c>
      <c r="W485" s="6">
        <f>IF(ISERROR(VLOOKUP($T$485,'TAR FIN'!$A$1:$O$86,15,0)),0,VLOOKUP($T$485,'TAR FIN'!$A$1:$O$86,15,0))</f>
        <v>287.75</v>
      </c>
      <c r="X485" s="6">
        <f>IF(ISERROR(VLOOKUP($U$485,'TAR FIN'!$A$1:$O$86,15,0)),0,VLOOKUP($U$485,'TAR FIN'!$A$1:$O$86,15,0))</f>
        <v>276.77999999999997</v>
      </c>
      <c r="Y485" s="6"/>
      <c r="Z485" s="6">
        <f ca="1">('TUSD BE'!$AM$33+'TUSD BF_350'!$AM$33+'TUSD CVA'!$AM$33)*(1-CUSTOS!$M$38)</f>
        <v>295.07903341788727</v>
      </c>
      <c r="AA485" s="6">
        <f ca="1">('TE BE'!$AB$25+'TE BF_350'!$AB$25+'TE CVA'!$AB$25)*(1-CUSTOS!$M$38)</f>
        <v>233.96250973178988</v>
      </c>
      <c r="AB485" s="6">
        <f>$K$485*$V$485</f>
        <v>0</v>
      </c>
      <c r="AC485" s="6">
        <f>$M$485*$W$485</f>
        <v>582.98149999999998</v>
      </c>
      <c r="AD485" s="6">
        <f>$O$485*$X$485</f>
        <v>560.75627999999983</v>
      </c>
      <c r="AE485" s="6">
        <f>$K$485*$Y$485</f>
        <v>0</v>
      </c>
      <c r="AF485" s="6">
        <f ca="1">$M$485*$Z$485</f>
        <v>597.83012170463951</v>
      </c>
      <c r="AG485" s="6">
        <f ca="1">$O$485*$AA$485</f>
        <v>474.00804471660626</v>
      </c>
    </row>
    <row r="486" spans="1:33" ht="11.25" customHeight="1" x14ac:dyDescent="0.25">
      <c r="A486" s="4" t="s">
        <v>21</v>
      </c>
      <c r="B486" s="4" t="s">
        <v>42</v>
      </c>
      <c r="C486" s="4" t="s">
        <v>23</v>
      </c>
      <c r="D486" s="4" t="s">
        <v>43</v>
      </c>
      <c r="E486" s="4" t="s">
        <v>52</v>
      </c>
      <c r="F486" s="4" t="s">
        <v>53</v>
      </c>
      <c r="G486" s="4" t="s">
        <v>25</v>
      </c>
      <c r="H486" s="4" t="s">
        <v>25</v>
      </c>
      <c r="I486" s="5">
        <v>44593</v>
      </c>
      <c r="J486" s="6">
        <v>0</v>
      </c>
      <c r="K486" s="6">
        <v>0</v>
      </c>
      <c r="L486" s="6">
        <v>0.251</v>
      </c>
      <c r="M486" s="6">
        <v>0.251</v>
      </c>
      <c r="N486" s="6">
        <v>0.251</v>
      </c>
      <c r="O486" s="6">
        <v>0.251</v>
      </c>
      <c r="P486" s="6">
        <v>0</v>
      </c>
      <c r="Q486" s="4" t="s">
        <v>26</v>
      </c>
      <c r="R486" s="4">
        <v>0</v>
      </c>
      <c r="S486" s="6">
        <v>0</v>
      </c>
      <c r="T486" s="6">
        <v>32</v>
      </c>
      <c r="U486" s="6">
        <v>56</v>
      </c>
      <c r="V486" s="6">
        <f>IF(ISERROR(VLOOKUP($S$486,'TAR FIN'!$A$1:$O$86,15,0)),0,VLOOKUP($S$486,'TAR FIN'!$A$1:$O$86,15,0))</f>
        <v>0</v>
      </c>
      <c r="W486" s="6">
        <f>IF(ISERROR(VLOOKUP($T$486,'TAR FIN'!$A$1:$O$86,15,0)),0,VLOOKUP($T$486,'TAR FIN'!$A$1:$O$86,15,0))</f>
        <v>287.75</v>
      </c>
      <c r="X486" s="6">
        <f>IF(ISERROR(VLOOKUP($U$486,'TAR FIN'!$A$1:$O$86,15,0)),0,VLOOKUP($U$486,'TAR FIN'!$A$1:$O$86,15,0))</f>
        <v>276.77999999999997</v>
      </c>
      <c r="Y486" s="6"/>
      <c r="Z486" s="6">
        <f ca="1">('TUSD BE'!$AM$33+'TUSD BF_350'!$AM$33+'TUSD CVA'!$AM$33)*(1-CUSTOS!$M$38)</f>
        <v>295.07903341788727</v>
      </c>
      <c r="AA486" s="6">
        <f ca="1">('TE BE'!$AB$25+'TE BF_350'!$AB$25+'TE CVA'!$AB$25)*(1-CUSTOS!$M$38)</f>
        <v>233.96250973178988</v>
      </c>
      <c r="AB486" s="6">
        <f>$K$486*$V$486</f>
        <v>0</v>
      </c>
      <c r="AC486" s="6">
        <f>$M$486*$W$486</f>
        <v>72.225250000000003</v>
      </c>
      <c r="AD486" s="6">
        <f>$O$486*$X$486</f>
        <v>69.471779999999995</v>
      </c>
      <c r="AE486" s="6">
        <f>$K$486*$Y$486</f>
        <v>0</v>
      </c>
      <c r="AF486" s="6">
        <f ca="1">$M$486*$Z$486</f>
        <v>74.06483738788971</v>
      </c>
      <c r="AG486" s="6">
        <f ca="1">$O$486*$AA$486</f>
        <v>58.724589942679259</v>
      </c>
    </row>
    <row r="487" spans="1:33" ht="11.25" customHeight="1" x14ac:dyDescent="0.25">
      <c r="A487" s="4" t="s">
        <v>21</v>
      </c>
      <c r="B487" s="4" t="s">
        <v>42</v>
      </c>
      <c r="C487" s="4" t="s">
        <v>23</v>
      </c>
      <c r="D487" s="4" t="s">
        <v>43</v>
      </c>
      <c r="E487" s="4" t="s">
        <v>52</v>
      </c>
      <c r="F487" s="4" t="s">
        <v>53</v>
      </c>
      <c r="G487" s="4" t="s">
        <v>25</v>
      </c>
      <c r="H487" s="4" t="s">
        <v>25</v>
      </c>
      <c r="I487" s="5">
        <v>44621</v>
      </c>
      <c r="J487" s="6">
        <v>0</v>
      </c>
      <c r="K487" s="6">
        <v>0</v>
      </c>
      <c r="L487" s="6">
        <v>0.1</v>
      </c>
      <c r="M487" s="6">
        <v>0.1</v>
      </c>
      <c r="N487" s="6">
        <v>0.1</v>
      </c>
      <c r="O487" s="6">
        <v>0.1</v>
      </c>
      <c r="P487" s="6">
        <v>0</v>
      </c>
      <c r="Q487" s="4" t="s">
        <v>26</v>
      </c>
      <c r="R487" s="4">
        <v>0</v>
      </c>
      <c r="S487" s="6">
        <v>0</v>
      </c>
      <c r="T487" s="6">
        <v>32</v>
      </c>
      <c r="U487" s="6">
        <v>56</v>
      </c>
      <c r="V487" s="6">
        <f>IF(ISERROR(VLOOKUP($S$487,'TAR FIN'!$A$1:$O$86,15,0)),0,VLOOKUP($S$487,'TAR FIN'!$A$1:$O$86,15,0))</f>
        <v>0</v>
      </c>
      <c r="W487" s="6">
        <f>IF(ISERROR(VLOOKUP($T$487,'TAR FIN'!$A$1:$O$86,15,0)),0,VLOOKUP($T$487,'TAR FIN'!$A$1:$O$86,15,0))</f>
        <v>287.75</v>
      </c>
      <c r="X487" s="6">
        <f>IF(ISERROR(VLOOKUP($U$487,'TAR FIN'!$A$1:$O$86,15,0)),0,VLOOKUP($U$487,'TAR FIN'!$A$1:$O$86,15,0))</f>
        <v>276.77999999999997</v>
      </c>
      <c r="Y487" s="6"/>
      <c r="Z487" s="6">
        <f ca="1">('TUSD BE'!$AM$33+'TUSD BF_350'!$AM$33+'TUSD CVA'!$AM$33)*(1-CUSTOS!$M$38)</f>
        <v>295.07903341788727</v>
      </c>
      <c r="AA487" s="6">
        <f ca="1">('TE BE'!$AB$25+'TE BF_350'!$AB$25+'TE CVA'!$AB$25)*(1-CUSTOS!$M$38)</f>
        <v>233.96250973178988</v>
      </c>
      <c r="AB487" s="6">
        <f>$K$487*$V$487</f>
        <v>0</v>
      </c>
      <c r="AC487" s="6">
        <f>$M$487*$W$487</f>
        <v>28.775000000000002</v>
      </c>
      <c r="AD487" s="6">
        <f>$O$487*$X$487</f>
        <v>27.677999999999997</v>
      </c>
      <c r="AE487" s="6">
        <f>$K$487*$Y$487</f>
        <v>0</v>
      </c>
      <c r="AF487" s="6">
        <f ca="1">$M$487*$Z$487</f>
        <v>29.50790334178873</v>
      </c>
      <c r="AG487" s="6">
        <f ca="1">$O$487*$AA$487</f>
        <v>23.39625097317899</v>
      </c>
    </row>
    <row r="488" spans="1:33" ht="11.25" customHeight="1" x14ac:dyDescent="0.25">
      <c r="A488" s="4" t="s">
        <v>21</v>
      </c>
      <c r="B488" s="4" t="s">
        <v>42</v>
      </c>
      <c r="C488" s="4" t="s">
        <v>23</v>
      </c>
      <c r="D488" s="4" t="s">
        <v>43</v>
      </c>
      <c r="E488" s="4" t="s">
        <v>52</v>
      </c>
      <c r="F488" s="4" t="s">
        <v>53</v>
      </c>
      <c r="G488" s="4" t="s">
        <v>25</v>
      </c>
      <c r="H488" s="4" t="s">
        <v>25</v>
      </c>
      <c r="I488" s="5">
        <v>44652</v>
      </c>
      <c r="J488" s="6">
        <v>0</v>
      </c>
      <c r="K488" s="6">
        <v>0</v>
      </c>
      <c r="L488" s="6">
        <v>0.1</v>
      </c>
      <c r="M488" s="6">
        <v>0.1</v>
      </c>
      <c r="N488" s="6">
        <v>0.1</v>
      </c>
      <c r="O488" s="6">
        <v>0.1</v>
      </c>
      <c r="P488" s="6">
        <v>0</v>
      </c>
      <c r="Q488" s="4" t="s">
        <v>26</v>
      </c>
      <c r="R488" s="4">
        <v>0</v>
      </c>
      <c r="S488" s="6">
        <v>0</v>
      </c>
      <c r="T488" s="6">
        <v>32</v>
      </c>
      <c r="U488" s="6">
        <v>56</v>
      </c>
      <c r="V488" s="6">
        <f>IF(ISERROR(VLOOKUP($S$488,'TAR FIN'!$A$1:$O$86,15,0)),0,VLOOKUP($S$488,'TAR FIN'!$A$1:$O$86,15,0))</f>
        <v>0</v>
      </c>
      <c r="W488" s="6">
        <f>IF(ISERROR(VLOOKUP($T$488,'TAR FIN'!$A$1:$O$86,15,0)),0,VLOOKUP($T$488,'TAR FIN'!$A$1:$O$86,15,0))</f>
        <v>287.75</v>
      </c>
      <c r="X488" s="6">
        <f>IF(ISERROR(VLOOKUP($U$488,'TAR FIN'!$A$1:$O$86,15,0)),0,VLOOKUP($U$488,'TAR FIN'!$A$1:$O$86,15,0))</f>
        <v>276.77999999999997</v>
      </c>
      <c r="Y488" s="6"/>
      <c r="Z488" s="6">
        <f ca="1">('TUSD BE'!$AM$33+'TUSD BF_350'!$AM$33+'TUSD CVA'!$AM$33)*(1-CUSTOS!$M$38)</f>
        <v>295.07903341788727</v>
      </c>
      <c r="AA488" s="6">
        <f ca="1">('TE BE'!$AB$25+'TE BF_350'!$AB$25+'TE CVA'!$AB$25)*(1-CUSTOS!$M$38)</f>
        <v>233.96250973178988</v>
      </c>
      <c r="AB488" s="6">
        <f>$K$488*$V$488</f>
        <v>0</v>
      </c>
      <c r="AC488" s="6">
        <f>$M$488*$W$488</f>
        <v>28.775000000000002</v>
      </c>
      <c r="AD488" s="6">
        <f>$O$488*$X$488</f>
        <v>27.677999999999997</v>
      </c>
      <c r="AE488" s="6">
        <f>$K$488*$Y$488</f>
        <v>0</v>
      </c>
      <c r="AF488" s="6">
        <f ca="1">$M$488*$Z$488</f>
        <v>29.50790334178873</v>
      </c>
      <c r="AG488" s="6">
        <f ca="1">$O$488*$AA$488</f>
        <v>23.39625097317899</v>
      </c>
    </row>
    <row r="489" spans="1:33" ht="11.25" customHeight="1" x14ac:dyDescent="0.25">
      <c r="A489" s="4" t="s">
        <v>21</v>
      </c>
      <c r="B489" s="4" t="s">
        <v>42</v>
      </c>
      <c r="C489" s="4" t="s">
        <v>23</v>
      </c>
      <c r="D489" s="4" t="s">
        <v>43</v>
      </c>
      <c r="E489" s="4" t="s">
        <v>52</v>
      </c>
      <c r="F489" s="4" t="s">
        <v>53</v>
      </c>
      <c r="G489" s="4" t="s">
        <v>25</v>
      </c>
      <c r="H489" s="4" t="s">
        <v>25</v>
      </c>
      <c r="I489" s="5">
        <v>44682</v>
      </c>
      <c r="J489" s="6">
        <v>0</v>
      </c>
      <c r="K489" s="6">
        <v>0</v>
      </c>
      <c r="L489" s="6">
        <v>5.8999999999999997E-2</v>
      </c>
      <c r="M489" s="6">
        <v>5.8999999999999997E-2</v>
      </c>
      <c r="N489" s="6">
        <v>5.8999999999999997E-2</v>
      </c>
      <c r="O489" s="6">
        <v>5.8999999999999997E-2</v>
      </c>
      <c r="P489" s="6">
        <v>0</v>
      </c>
      <c r="Q489" s="4" t="s">
        <v>26</v>
      </c>
      <c r="R489" s="4">
        <v>0</v>
      </c>
      <c r="S489" s="6">
        <v>0</v>
      </c>
      <c r="T489" s="6">
        <v>32</v>
      </c>
      <c r="U489" s="6">
        <v>56</v>
      </c>
      <c r="V489" s="6">
        <f>IF(ISERROR(VLOOKUP($S$489,'TAR FIN'!$A$1:$O$86,15,0)),0,VLOOKUP($S$489,'TAR FIN'!$A$1:$O$86,15,0))</f>
        <v>0</v>
      </c>
      <c r="W489" s="6">
        <f>IF(ISERROR(VLOOKUP($T$489,'TAR FIN'!$A$1:$O$86,15,0)),0,VLOOKUP($T$489,'TAR FIN'!$A$1:$O$86,15,0))</f>
        <v>287.75</v>
      </c>
      <c r="X489" s="6">
        <f>IF(ISERROR(VLOOKUP($U$489,'TAR FIN'!$A$1:$O$86,15,0)),0,VLOOKUP($U$489,'TAR FIN'!$A$1:$O$86,15,0))</f>
        <v>276.77999999999997</v>
      </c>
      <c r="Y489" s="6"/>
      <c r="Z489" s="6">
        <f ca="1">('TUSD BE'!$AM$33+'TUSD BF_350'!$AM$33+'TUSD CVA'!$AM$33)*(1-CUSTOS!$M$38)</f>
        <v>295.07903341788727</v>
      </c>
      <c r="AA489" s="6">
        <f ca="1">('TE BE'!$AB$25+'TE BF_350'!$AB$25+'TE CVA'!$AB$25)*(1-CUSTOS!$M$38)</f>
        <v>233.96250973178988</v>
      </c>
      <c r="AB489" s="6">
        <f>$K$489*$V$489</f>
        <v>0</v>
      </c>
      <c r="AC489" s="6">
        <f>$M$489*$W$489</f>
        <v>16.977249999999998</v>
      </c>
      <c r="AD489" s="6">
        <f>$O$489*$X$489</f>
        <v>16.330019999999998</v>
      </c>
      <c r="AE489" s="6">
        <f>$K$489*$Y$489</f>
        <v>0</v>
      </c>
      <c r="AF489" s="6">
        <f ca="1">$M$489*$Z$489</f>
        <v>17.409662971655347</v>
      </c>
      <c r="AG489" s="6">
        <f ca="1">$O$489*$AA$489</f>
        <v>13.803788074175602</v>
      </c>
    </row>
    <row r="490" spans="1:33" ht="11.25" customHeight="1" x14ac:dyDescent="0.25">
      <c r="A490" s="4" t="s">
        <v>55</v>
      </c>
      <c r="B490" s="4" t="s">
        <v>42</v>
      </c>
      <c r="C490" s="4" t="s">
        <v>23</v>
      </c>
      <c r="D490" s="4" t="s">
        <v>43</v>
      </c>
      <c r="E490" s="4" t="s">
        <v>52</v>
      </c>
      <c r="F490" s="4" t="s">
        <v>53</v>
      </c>
      <c r="G490" s="4" t="s">
        <v>25</v>
      </c>
      <c r="H490" s="4" t="s">
        <v>25</v>
      </c>
      <c r="I490" s="5">
        <v>44713</v>
      </c>
      <c r="J490" s="6">
        <v>0</v>
      </c>
      <c r="K490" s="6">
        <v>0</v>
      </c>
      <c r="L490" s="6">
        <v>5.8999999999999997E-2</v>
      </c>
      <c r="M490" s="6">
        <v>5.8999999999999997E-2</v>
      </c>
      <c r="N490" s="6">
        <v>5.8999999999999997E-2</v>
      </c>
      <c r="O490" s="6">
        <v>5.8999999999999997E-2</v>
      </c>
      <c r="P490" s="6">
        <v>0</v>
      </c>
      <c r="Q490" s="4" t="s">
        <v>26</v>
      </c>
      <c r="R490" s="4">
        <v>0</v>
      </c>
      <c r="S490" s="6">
        <v>0</v>
      </c>
      <c r="T490" s="6">
        <v>32</v>
      </c>
      <c r="U490" s="6">
        <v>56</v>
      </c>
      <c r="V490" s="6">
        <f>IF(ISERROR(VLOOKUP($S$490,'TAR FIN'!$A$1:$O$86,15,0)),0,VLOOKUP($S$490,'TAR FIN'!$A$1:$O$86,15,0))</f>
        <v>0</v>
      </c>
      <c r="W490" s="6">
        <f>IF(ISERROR(VLOOKUP($T$490,'TAR FIN'!$A$1:$O$86,15,0)),0,VLOOKUP($T$490,'TAR FIN'!$A$1:$O$86,15,0))</f>
        <v>287.75</v>
      </c>
      <c r="X490" s="6">
        <f>IF(ISERROR(VLOOKUP($U$490,'TAR FIN'!$A$1:$O$86,15,0)),0,VLOOKUP($U$490,'TAR FIN'!$A$1:$O$86,15,0))</f>
        <v>276.77999999999997</v>
      </c>
      <c r="Y490" s="6"/>
      <c r="Z490" s="6">
        <f ca="1">('TUSD BE'!$AM$33+'TUSD BF_350'!$AM$33+'TUSD CVA'!$AM$33)*(1-CUSTOS!$M$38)</f>
        <v>295.07903341788727</v>
      </c>
      <c r="AA490" s="6">
        <f ca="1">('TE BE'!$AB$25+'TE BF_350'!$AB$25+'TE CVA'!$AB$25)*(1-CUSTOS!$M$38)</f>
        <v>233.96250973178988</v>
      </c>
      <c r="AB490" s="6">
        <f>$K$490*$V$490</f>
        <v>0</v>
      </c>
      <c r="AC490" s="6">
        <f>$M$490*$W$490</f>
        <v>16.977249999999998</v>
      </c>
      <c r="AD490" s="6">
        <f>$O$490*$X$490</f>
        <v>16.330019999999998</v>
      </c>
      <c r="AE490" s="6">
        <f>$K$490*$Y$490</f>
        <v>0</v>
      </c>
      <c r="AF490" s="6">
        <f ca="1">$M$490*$Z$490</f>
        <v>17.409662971655347</v>
      </c>
      <c r="AG490" s="6">
        <f ca="1">$O$490*$AA$490</f>
        <v>13.803788074175602</v>
      </c>
    </row>
    <row r="491" spans="1:33" ht="11.25" customHeight="1" x14ac:dyDescent="0.25">
      <c r="A491" s="4" t="s">
        <v>21</v>
      </c>
      <c r="B491" s="4" t="s">
        <v>42</v>
      </c>
      <c r="C491" s="4" t="s">
        <v>23</v>
      </c>
      <c r="D491" s="4" t="s">
        <v>43</v>
      </c>
      <c r="E491" s="4" t="s">
        <v>52</v>
      </c>
      <c r="F491" s="4" t="s">
        <v>54</v>
      </c>
      <c r="G491" s="4" t="s">
        <v>25</v>
      </c>
      <c r="H491" s="4" t="s">
        <v>25</v>
      </c>
      <c r="I491" s="5">
        <v>44440</v>
      </c>
      <c r="J491" s="6">
        <v>0</v>
      </c>
      <c r="K491" s="6">
        <v>0</v>
      </c>
      <c r="L491" s="6">
        <v>4.1000000000000002E-2</v>
      </c>
      <c r="M491" s="6">
        <v>1.6400000000000001E-2</v>
      </c>
      <c r="N491" s="6">
        <v>4.1000000000000002E-2</v>
      </c>
      <c r="O491" s="6">
        <v>1.6400000000000001E-2</v>
      </c>
      <c r="P491" s="6">
        <v>0</v>
      </c>
      <c r="Q491" s="4" t="s">
        <v>26</v>
      </c>
      <c r="R491" s="4">
        <v>0</v>
      </c>
      <c r="S491" s="6">
        <v>0</v>
      </c>
      <c r="T491" s="6">
        <v>32</v>
      </c>
      <c r="U491" s="6">
        <v>56</v>
      </c>
      <c r="V491" s="6">
        <f>IF(ISERROR(VLOOKUP($S$491,'TAR FIN'!$A$1:$O$86,15,0)),0,VLOOKUP($S$491,'TAR FIN'!$A$1:$O$86,15,0))</f>
        <v>0</v>
      </c>
      <c r="W491" s="6">
        <f>IF(ISERROR(VLOOKUP($T$491,'TAR FIN'!$A$1:$O$86,15,0)),0,VLOOKUP($T$491,'TAR FIN'!$A$1:$O$86,15,0))</f>
        <v>287.75</v>
      </c>
      <c r="X491" s="6">
        <f>IF(ISERROR(VLOOKUP($U$491,'TAR FIN'!$A$1:$O$86,15,0)),0,VLOOKUP($U$491,'TAR FIN'!$A$1:$O$86,15,0))</f>
        <v>276.77999999999997</v>
      </c>
      <c r="Y491" s="6"/>
      <c r="Z491" s="6">
        <f ca="1">('TUSD BE'!$AM$33+'TUSD BF_350'!$AM$33+'TUSD CVA'!$AM$33)*(1-CUSTOS!$M$38)</f>
        <v>295.07903341788727</v>
      </c>
      <c r="AA491" s="6">
        <f ca="1">('TE BE'!$AB$25+'TE BF_350'!$AB$25+'TE CVA'!$AB$25)*(1-CUSTOS!$M$38)</f>
        <v>233.96250973178988</v>
      </c>
      <c r="AB491" s="6">
        <f>$K$491*$V$491</f>
        <v>0</v>
      </c>
      <c r="AC491" s="6">
        <f>$M$491*$W$491</f>
        <v>4.7191000000000001</v>
      </c>
      <c r="AD491" s="6">
        <f>$O$491*$X$491</f>
        <v>4.5391919999999999</v>
      </c>
      <c r="AE491" s="6">
        <f>$K$491*$Y$491</f>
        <v>0</v>
      </c>
      <c r="AF491" s="6">
        <f ca="1">$M$491*$Z$491</f>
        <v>4.8392961480533518</v>
      </c>
      <c r="AG491" s="6">
        <f ca="1">$O$491*$AA$491</f>
        <v>3.8369851596013542</v>
      </c>
    </row>
    <row r="492" spans="1:33" ht="11.25" customHeight="1" x14ac:dyDescent="0.25">
      <c r="A492" s="4" t="s">
        <v>21</v>
      </c>
      <c r="B492" s="4" t="s">
        <v>42</v>
      </c>
      <c r="C492" s="4" t="s">
        <v>23</v>
      </c>
      <c r="D492" s="4" t="s">
        <v>43</v>
      </c>
      <c r="E492" s="4" t="s">
        <v>52</v>
      </c>
      <c r="F492" s="4" t="s">
        <v>54</v>
      </c>
      <c r="G492" s="4" t="s">
        <v>25</v>
      </c>
      <c r="H492" s="4" t="s">
        <v>25</v>
      </c>
      <c r="I492" s="5">
        <v>44470</v>
      </c>
      <c r="J492" s="6">
        <v>0</v>
      </c>
      <c r="K492" s="6">
        <v>0</v>
      </c>
      <c r="L492" s="6">
        <v>4.1000000000000002E-2</v>
      </c>
      <c r="M492" s="6">
        <v>1.6400000000000001E-2</v>
      </c>
      <c r="N492" s="6">
        <v>4.1000000000000002E-2</v>
      </c>
      <c r="O492" s="6">
        <v>1.6400000000000001E-2</v>
      </c>
      <c r="P492" s="6">
        <v>0</v>
      </c>
      <c r="Q492" s="4" t="s">
        <v>26</v>
      </c>
      <c r="R492" s="4">
        <v>0</v>
      </c>
      <c r="S492" s="6">
        <v>0</v>
      </c>
      <c r="T492" s="6">
        <v>32</v>
      </c>
      <c r="U492" s="6">
        <v>56</v>
      </c>
      <c r="V492" s="6">
        <f>IF(ISERROR(VLOOKUP($S$492,'TAR FIN'!$A$1:$O$86,15,0)),0,VLOOKUP($S$492,'TAR FIN'!$A$1:$O$86,15,0))</f>
        <v>0</v>
      </c>
      <c r="W492" s="6">
        <f>IF(ISERROR(VLOOKUP($T$492,'TAR FIN'!$A$1:$O$86,15,0)),0,VLOOKUP($T$492,'TAR FIN'!$A$1:$O$86,15,0))</f>
        <v>287.75</v>
      </c>
      <c r="X492" s="6">
        <f>IF(ISERROR(VLOOKUP($U$492,'TAR FIN'!$A$1:$O$86,15,0)),0,VLOOKUP($U$492,'TAR FIN'!$A$1:$O$86,15,0))</f>
        <v>276.77999999999997</v>
      </c>
      <c r="Y492" s="6"/>
      <c r="Z492" s="6">
        <f ca="1">('TUSD BE'!$AM$33+'TUSD BF_350'!$AM$33+'TUSD CVA'!$AM$33)*(1-CUSTOS!$M$38)</f>
        <v>295.07903341788727</v>
      </c>
      <c r="AA492" s="6">
        <f ca="1">('TE BE'!$AB$25+'TE BF_350'!$AB$25+'TE CVA'!$AB$25)*(1-CUSTOS!$M$38)</f>
        <v>233.96250973178988</v>
      </c>
      <c r="AB492" s="6">
        <f>$K$492*$V$492</f>
        <v>0</v>
      </c>
      <c r="AC492" s="6">
        <f>$M$492*$W$492</f>
        <v>4.7191000000000001</v>
      </c>
      <c r="AD492" s="6">
        <f>$O$492*$X$492</f>
        <v>4.5391919999999999</v>
      </c>
      <c r="AE492" s="6">
        <f>$K$492*$Y$492</f>
        <v>0</v>
      </c>
      <c r="AF492" s="6">
        <f ca="1">$M$492*$Z$492</f>
        <v>4.8392961480533518</v>
      </c>
      <c r="AG492" s="6">
        <f ca="1">$O$492*$AA$492</f>
        <v>3.8369851596013542</v>
      </c>
    </row>
    <row r="493" spans="1:33" ht="11.25" customHeight="1" x14ac:dyDescent="0.25">
      <c r="A493" s="4" t="s">
        <v>21</v>
      </c>
      <c r="B493" s="4" t="s">
        <v>42</v>
      </c>
      <c r="C493" s="4" t="s">
        <v>23</v>
      </c>
      <c r="D493" s="4" t="s">
        <v>43</v>
      </c>
      <c r="E493" s="4" t="s">
        <v>52</v>
      </c>
      <c r="F493" s="4" t="s">
        <v>54</v>
      </c>
      <c r="G493" s="4" t="s">
        <v>25</v>
      </c>
      <c r="H493" s="4" t="s">
        <v>25</v>
      </c>
      <c r="I493" s="5">
        <v>44501</v>
      </c>
      <c r="J493" s="6">
        <v>0</v>
      </c>
      <c r="K493" s="6">
        <v>0</v>
      </c>
      <c r="L493" s="6">
        <v>1.1890000000000001</v>
      </c>
      <c r="M493" s="6">
        <v>0.47560000000000002</v>
      </c>
      <c r="N493" s="6">
        <v>1.1890000000000001</v>
      </c>
      <c r="O493" s="6">
        <v>0.47560000000000002</v>
      </c>
      <c r="P493" s="6">
        <v>0</v>
      </c>
      <c r="Q493" s="4" t="s">
        <v>26</v>
      </c>
      <c r="R493" s="4">
        <v>0</v>
      </c>
      <c r="S493" s="6">
        <v>0</v>
      </c>
      <c r="T493" s="6">
        <v>32</v>
      </c>
      <c r="U493" s="6">
        <v>56</v>
      </c>
      <c r="V493" s="6">
        <f>IF(ISERROR(VLOOKUP($S$493,'TAR FIN'!$A$1:$O$86,15,0)),0,VLOOKUP($S$493,'TAR FIN'!$A$1:$O$86,15,0))</f>
        <v>0</v>
      </c>
      <c r="W493" s="6">
        <f>IF(ISERROR(VLOOKUP($T$493,'TAR FIN'!$A$1:$O$86,15,0)),0,VLOOKUP($T$493,'TAR FIN'!$A$1:$O$86,15,0))</f>
        <v>287.75</v>
      </c>
      <c r="X493" s="6">
        <f>IF(ISERROR(VLOOKUP($U$493,'TAR FIN'!$A$1:$O$86,15,0)),0,VLOOKUP($U$493,'TAR FIN'!$A$1:$O$86,15,0))</f>
        <v>276.77999999999997</v>
      </c>
      <c r="Y493" s="6"/>
      <c r="Z493" s="6">
        <f ca="1">('TUSD BE'!$AM$33+'TUSD BF_350'!$AM$33+'TUSD CVA'!$AM$33)*(1-CUSTOS!$M$38)</f>
        <v>295.07903341788727</v>
      </c>
      <c r="AA493" s="6">
        <f ca="1">('TE BE'!$AB$25+'TE BF_350'!$AB$25+'TE CVA'!$AB$25)*(1-CUSTOS!$M$38)</f>
        <v>233.96250973178988</v>
      </c>
      <c r="AB493" s="6">
        <f>$K$493*$V$493</f>
        <v>0</v>
      </c>
      <c r="AC493" s="6">
        <f>$M$493*$W$493</f>
        <v>136.85390000000001</v>
      </c>
      <c r="AD493" s="6">
        <f>$O$493*$X$493</f>
        <v>131.63656799999998</v>
      </c>
      <c r="AE493" s="6">
        <f>$K$493*$Y$493</f>
        <v>0</v>
      </c>
      <c r="AF493" s="6">
        <f ca="1">$M$493*$Z$493</f>
        <v>140.33958829354719</v>
      </c>
      <c r="AG493" s="6">
        <f ca="1">$O$493*$AA$493</f>
        <v>111.27256962843927</v>
      </c>
    </row>
    <row r="494" spans="1:33" ht="11.25" customHeight="1" x14ac:dyDescent="0.25">
      <c r="A494" s="4" t="s">
        <v>21</v>
      </c>
      <c r="B494" s="4" t="s">
        <v>42</v>
      </c>
      <c r="C494" s="4" t="s">
        <v>23</v>
      </c>
      <c r="D494" s="4" t="s">
        <v>43</v>
      </c>
      <c r="E494" s="4" t="s">
        <v>52</v>
      </c>
      <c r="F494" s="4" t="s">
        <v>54</v>
      </c>
      <c r="G494" s="4" t="s">
        <v>25</v>
      </c>
      <c r="H494" s="4" t="s">
        <v>25</v>
      </c>
      <c r="I494" s="5">
        <v>44531</v>
      </c>
      <c r="J494" s="6">
        <v>0</v>
      </c>
      <c r="K494" s="6">
        <v>0</v>
      </c>
      <c r="L494" s="6">
        <v>1.8859999999999999</v>
      </c>
      <c r="M494" s="6">
        <v>0.75439999999999996</v>
      </c>
      <c r="N494" s="6">
        <v>1.8859999999999999</v>
      </c>
      <c r="O494" s="6">
        <v>0.75439999999999996</v>
      </c>
      <c r="P494" s="6">
        <v>0</v>
      </c>
      <c r="Q494" s="4" t="s">
        <v>26</v>
      </c>
      <c r="R494" s="4">
        <v>0</v>
      </c>
      <c r="S494" s="6">
        <v>0</v>
      </c>
      <c r="T494" s="6">
        <v>32</v>
      </c>
      <c r="U494" s="6">
        <v>56</v>
      </c>
      <c r="V494" s="6">
        <f>IF(ISERROR(VLOOKUP($S$494,'TAR FIN'!$A$1:$O$86,15,0)),0,VLOOKUP($S$494,'TAR FIN'!$A$1:$O$86,15,0))</f>
        <v>0</v>
      </c>
      <c r="W494" s="6">
        <f>IF(ISERROR(VLOOKUP($T$494,'TAR FIN'!$A$1:$O$86,15,0)),0,VLOOKUP($T$494,'TAR FIN'!$A$1:$O$86,15,0))</f>
        <v>287.75</v>
      </c>
      <c r="X494" s="6">
        <f>IF(ISERROR(VLOOKUP($U$494,'TAR FIN'!$A$1:$O$86,15,0)),0,VLOOKUP($U$494,'TAR FIN'!$A$1:$O$86,15,0))</f>
        <v>276.77999999999997</v>
      </c>
      <c r="Y494" s="6"/>
      <c r="Z494" s="6">
        <f ca="1">('TUSD BE'!$AM$33+'TUSD BF_350'!$AM$33+'TUSD CVA'!$AM$33)*(1-CUSTOS!$M$38)</f>
        <v>295.07903341788727</v>
      </c>
      <c r="AA494" s="6">
        <f ca="1">('TE BE'!$AB$25+'TE BF_350'!$AB$25+'TE CVA'!$AB$25)*(1-CUSTOS!$M$38)</f>
        <v>233.96250973178988</v>
      </c>
      <c r="AB494" s="6">
        <f>$K$494*$V$494</f>
        <v>0</v>
      </c>
      <c r="AC494" s="6">
        <f>$M$494*$W$494</f>
        <v>217.07859999999999</v>
      </c>
      <c r="AD494" s="6">
        <f>$O$494*$X$494</f>
        <v>208.80283199999997</v>
      </c>
      <c r="AE494" s="6">
        <f>$K$494*$Y$494</f>
        <v>0</v>
      </c>
      <c r="AF494" s="6">
        <f ca="1">$M$494*$Z$494</f>
        <v>222.60762281045416</v>
      </c>
      <c r="AG494" s="6">
        <f ca="1">$O$494*$AA$494</f>
        <v>176.50131734166229</v>
      </c>
    </row>
    <row r="495" spans="1:33" ht="11.25" customHeight="1" x14ac:dyDescent="0.25">
      <c r="A495" s="4" t="s">
        <v>21</v>
      </c>
      <c r="B495" s="4" t="s">
        <v>42</v>
      </c>
      <c r="C495" s="4" t="s">
        <v>23</v>
      </c>
      <c r="D495" s="4" t="s">
        <v>43</v>
      </c>
      <c r="E495" s="4" t="s">
        <v>52</v>
      </c>
      <c r="F495" s="4" t="s">
        <v>54</v>
      </c>
      <c r="G495" s="4" t="s">
        <v>25</v>
      </c>
      <c r="H495" s="4" t="s">
        <v>25</v>
      </c>
      <c r="I495" s="5">
        <v>44562</v>
      </c>
      <c r="J495" s="6">
        <v>0</v>
      </c>
      <c r="K495" s="6">
        <v>0</v>
      </c>
      <c r="L495" s="6">
        <v>1.927</v>
      </c>
      <c r="M495" s="6">
        <v>0.77080000000000004</v>
      </c>
      <c r="N495" s="6">
        <v>1.927</v>
      </c>
      <c r="O495" s="6">
        <v>0.77080000000000004</v>
      </c>
      <c r="P495" s="6">
        <v>0</v>
      </c>
      <c r="Q495" s="4" t="s">
        <v>26</v>
      </c>
      <c r="R495" s="4">
        <v>0</v>
      </c>
      <c r="S495" s="6">
        <v>0</v>
      </c>
      <c r="T495" s="6">
        <v>32</v>
      </c>
      <c r="U495" s="6">
        <v>56</v>
      </c>
      <c r="V495" s="6">
        <f>IF(ISERROR(VLOOKUP($S$495,'TAR FIN'!$A$1:$O$86,15,0)),0,VLOOKUP($S$495,'TAR FIN'!$A$1:$O$86,15,0))</f>
        <v>0</v>
      </c>
      <c r="W495" s="6">
        <f>IF(ISERROR(VLOOKUP($T$495,'TAR FIN'!$A$1:$O$86,15,0)),0,VLOOKUP($T$495,'TAR FIN'!$A$1:$O$86,15,0))</f>
        <v>287.75</v>
      </c>
      <c r="X495" s="6">
        <f>IF(ISERROR(VLOOKUP($U$495,'TAR FIN'!$A$1:$O$86,15,0)),0,VLOOKUP($U$495,'TAR FIN'!$A$1:$O$86,15,0))</f>
        <v>276.77999999999997</v>
      </c>
      <c r="Y495" s="6"/>
      <c r="Z495" s="6">
        <f ca="1">('TUSD BE'!$AM$33+'TUSD BF_350'!$AM$33+'TUSD CVA'!$AM$33)*(1-CUSTOS!$M$38)</f>
        <v>295.07903341788727</v>
      </c>
      <c r="AA495" s="6">
        <f ca="1">('TE BE'!$AB$25+'TE BF_350'!$AB$25+'TE CVA'!$AB$25)*(1-CUSTOS!$M$38)</f>
        <v>233.96250973178988</v>
      </c>
      <c r="AB495" s="6">
        <f>$K$495*$V$495</f>
        <v>0</v>
      </c>
      <c r="AC495" s="6">
        <f>$M$495*$W$495</f>
        <v>221.79770000000002</v>
      </c>
      <c r="AD495" s="6">
        <f>$O$495*$X$495</f>
        <v>213.34202399999998</v>
      </c>
      <c r="AE495" s="6">
        <f>$K$495*$Y$495</f>
        <v>0</v>
      </c>
      <c r="AF495" s="6">
        <f ca="1">$M$495*$Z$495</f>
        <v>227.44691895850752</v>
      </c>
      <c r="AG495" s="6">
        <f ca="1">$O$495*$AA$495</f>
        <v>180.33830250126366</v>
      </c>
    </row>
    <row r="496" spans="1:33" ht="11.25" customHeight="1" x14ac:dyDescent="0.25">
      <c r="A496" s="4" t="s">
        <v>21</v>
      </c>
      <c r="B496" s="4" t="s">
        <v>42</v>
      </c>
      <c r="C496" s="4" t="s">
        <v>23</v>
      </c>
      <c r="D496" s="4" t="s">
        <v>43</v>
      </c>
      <c r="E496" s="4" t="s">
        <v>52</v>
      </c>
      <c r="F496" s="4" t="s">
        <v>54</v>
      </c>
      <c r="G496" s="4" t="s">
        <v>25</v>
      </c>
      <c r="H496" s="4" t="s">
        <v>25</v>
      </c>
      <c r="I496" s="5">
        <v>44682</v>
      </c>
      <c r="J496" s="6">
        <v>0</v>
      </c>
      <c r="K496" s="6">
        <v>0</v>
      </c>
      <c r="L496" s="6">
        <v>4.1000000000000002E-2</v>
      </c>
      <c r="M496" s="6">
        <v>1.6400000000000001E-2</v>
      </c>
      <c r="N496" s="6">
        <v>4.1000000000000002E-2</v>
      </c>
      <c r="O496" s="6">
        <v>1.6400000000000001E-2</v>
      </c>
      <c r="P496" s="6">
        <v>0</v>
      </c>
      <c r="Q496" s="4" t="s">
        <v>26</v>
      </c>
      <c r="R496" s="4">
        <v>0</v>
      </c>
      <c r="S496" s="6">
        <v>0</v>
      </c>
      <c r="T496" s="6">
        <v>32</v>
      </c>
      <c r="U496" s="6">
        <v>56</v>
      </c>
      <c r="V496" s="6">
        <f>IF(ISERROR(VLOOKUP($S$496,'TAR FIN'!$A$1:$O$86,15,0)),0,VLOOKUP($S$496,'TAR FIN'!$A$1:$O$86,15,0))</f>
        <v>0</v>
      </c>
      <c r="W496" s="6">
        <f>IF(ISERROR(VLOOKUP($T$496,'TAR FIN'!$A$1:$O$86,15,0)),0,VLOOKUP($T$496,'TAR FIN'!$A$1:$O$86,15,0))</f>
        <v>287.75</v>
      </c>
      <c r="X496" s="6">
        <f>IF(ISERROR(VLOOKUP($U$496,'TAR FIN'!$A$1:$O$86,15,0)),0,VLOOKUP($U$496,'TAR FIN'!$A$1:$O$86,15,0))</f>
        <v>276.77999999999997</v>
      </c>
      <c r="Y496" s="6"/>
      <c r="Z496" s="6">
        <f ca="1">('TUSD BE'!$AM$33+'TUSD BF_350'!$AM$33+'TUSD CVA'!$AM$33)*(1-CUSTOS!$M$38)</f>
        <v>295.07903341788727</v>
      </c>
      <c r="AA496" s="6">
        <f ca="1">('TE BE'!$AB$25+'TE BF_350'!$AB$25+'TE CVA'!$AB$25)*(1-CUSTOS!$M$38)</f>
        <v>233.96250973178988</v>
      </c>
      <c r="AB496" s="6">
        <f>$K$496*$V$496</f>
        <v>0</v>
      </c>
      <c r="AC496" s="6">
        <f>$M$496*$W$496</f>
        <v>4.7191000000000001</v>
      </c>
      <c r="AD496" s="6">
        <f>$O$496*$X$496</f>
        <v>4.5391919999999999</v>
      </c>
      <c r="AE496" s="6">
        <f>$K$496*$Y$496</f>
        <v>0</v>
      </c>
      <c r="AF496" s="6">
        <f ca="1">$M$496*$Z$496</f>
        <v>4.8392961480533518</v>
      </c>
      <c r="AG496" s="6">
        <f ca="1">$O$496*$AA$496</f>
        <v>3.8369851596013542</v>
      </c>
    </row>
    <row r="497" spans="1:33" ht="11.25" customHeight="1" x14ac:dyDescent="0.25">
      <c r="A497" s="4" t="s">
        <v>55</v>
      </c>
      <c r="B497" s="4" t="s">
        <v>42</v>
      </c>
      <c r="C497" s="4" t="s">
        <v>23</v>
      </c>
      <c r="D497" s="4" t="s">
        <v>43</v>
      </c>
      <c r="E497" s="4" t="s">
        <v>52</v>
      </c>
      <c r="F497" s="4" t="s">
        <v>54</v>
      </c>
      <c r="G497" s="4" t="s">
        <v>25</v>
      </c>
      <c r="H497" s="4" t="s">
        <v>25</v>
      </c>
      <c r="I497" s="5">
        <v>44713</v>
      </c>
      <c r="J497" s="6">
        <v>0</v>
      </c>
      <c r="K497" s="6">
        <v>0</v>
      </c>
      <c r="L497" s="6">
        <v>4.1000000000000002E-2</v>
      </c>
      <c r="M497" s="6">
        <v>1.6400000000000001E-2</v>
      </c>
      <c r="N497" s="6">
        <v>4.1000000000000002E-2</v>
      </c>
      <c r="O497" s="6">
        <v>1.6400000000000001E-2</v>
      </c>
      <c r="P497" s="6">
        <v>0</v>
      </c>
      <c r="Q497" s="4" t="s">
        <v>26</v>
      </c>
      <c r="R497" s="4">
        <v>0</v>
      </c>
      <c r="S497" s="6">
        <v>0</v>
      </c>
      <c r="T497" s="6">
        <v>32</v>
      </c>
      <c r="U497" s="6">
        <v>56</v>
      </c>
      <c r="V497" s="6">
        <f>IF(ISERROR(VLOOKUP($S$497,'TAR FIN'!$A$1:$O$86,15,0)),0,VLOOKUP($S$497,'TAR FIN'!$A$1:$O$86,15,0))</f>
        <v>0</v>
      </c>
      <c r="W497" s="6">
        <f>IF(ISERROR(VLOOKUP($T$497,'TAR FIN'!$A$1:$O$86,15,0)),0,VLOOKUP($T$497,'TAR FIN'!$A$1:$O$86,15,0))</f>
        <v>287.75</v>
      </c>
      <c r="X497" s="6">
        <f>IF(ISERROR(VLOOKUP($U$497,'TAR FIN'!$A$1:$O$86,15,0)),0,VLOOKUP($U$497,'TAR FIN'!$A$1:$O$86,15,0))</f>
        <v>276.77999999999997</v>
      </c>
      <c r="Y497" s="6"/>
      <c r="Z497" s="6">
        <f ca="1">('TUSD BE'!$AM$33+'TUSD BF_350'!$AM$33+'TUSD CVA'!$AM$33)*(1-CUSTOS!$M$38)</f>
        <v>295.07903341788727</v>
      </c>
      <c r="AA497" s="6">
        <f ca="1">('TE BE'!$AB$25+'TE BF_350'!$AB$25+'TE CVA'!$AB$25)*(1-CUSTOS!$M$38)</f>
        <v>233.96250973178988</v>
      </c>
      <c r="AB497" s="6">
        <f>$K$497*$V$497</f>
        <v>0</v>
      </c>
      <c r="AC497" s="6">
        <f>$M$497*$W$497</f>
        <v>4.7191000000000001</v>
      </c>
      <c r="AD497" s="6">
        <f>$O$497*$X$497</f>
        <v>4.5391919999999999</v>
      </c>
      <c r="AE497" s="6">
        <f>$K$497*$Y$497</f>
        <v>0</v>
      </c>
      <c r="AF497" s="6">
        <f ca="1">$M$497*$Z$497</f>
        <v>4.8392961480533518</v>
      </c>
      <c r="AG497" s="6">
        <f ca="1">$O$497*$AA$497</f>
        <v>3.8369851596013542</v>
      </c>
    </row>
    <row r="498" spans="1:33" ht="11.25" customHeight="1" x14ac:dyDescent="0.25">
      <c r="A498" s="4" t="s">
        <v>21</v>
      </c>
      <c r="B498" s="4" t="s">
        <v>42</v>
      </c>
      <c r="C498" s="4" t="s">
        <v>23</v>
      </c>
      <c r="D498" s="4" t="s">
        <v>43</v>
      </c>
      <c r="E498" s="4" t="s">
        <v>25</v>
      </c>
      <c r="F498" s="4" t="s">
        <v>25</v>
      </c>
      <c r="G498" s="4" t="s">
        <v>25</v>
      </c>
      <c r="H498" s="4" t="s">
        <v>25</v>
      </c>
      <c r="I498" s="5">
        <v>44378</v>
      </c>
      <c r="J498" s="6">
        <v>0</v>
      </c>
      <c r="K498" s="6">
        <v>0</v>
      </c>
      <c r="L498" s="6">
        <v>131.71799999999999</v>
      </c>
      <c r="M498" s="6">
        <v>131.71799999999999</v>
      </c>
      <c r="N498" s="6">
        <v>131.71799999999999</v>
      </c>
      <c r="O498" s="6">
        <v>131.71799999999999</v>
      </c>
      <c r="P498" s="6">
        <v>208</v>
      </c>
      <c r="Q498" s="4" t="s">
        <v>26</v>
      </c>
      <c r="R498" s="4">
        <v>0</v>
      </c>
      <c r="S498" s="6">
        <v>0</v>
      </c>
      <c r="T498" s="6">
        <v>32</v>
      </c>
      <c r="U498" s="6">
        <v>56</v>
      </c>
      <c r="V498" s="6">
        <f>IF(ISERROR(VLOOKUP($S$498,'TAR FIN'!$A$1:$O$86,15,0)),0,VLOOKUP($S$498,'TAR FIN'!$A$1:$O$86,15,0))</f>
        <v>0</v>
      </c>
      <c r="W498" s="6">
        <f>IF(ISERROR(VLOOKUP($T$498,'TAR FIN'!$A$1:$O$86,15,0)),0,VLOOKUP($T$498,'TAR FIN'!$A$1:$O$86,15,0))</f>
        <v>287.75</v>
      </c>
      <c r="X498" s="6">
        <f>IF(ISERROR(VLOOKUP($U$498,'TAR FIN'!$A$1:$O$86,15,0)),0,VLOOKUP($U$498,'TAR FIN'!$A$1:$O$86,15,0))</f>
        <v>276.77999999999997</v>
      </c>
      <c r="Y498" s="6"/>
      <c r="Z498" s="6">
        <f ca="1">('TUSD BE'!$AM$33+'TUSD BF_350'!$AM$33+'TUSD CVA'!$AM$33)*(1-CUSTOS!$M$38)</f>
        <v>295.07903341788727</v>
      </c>
      <c r="AA498" s="6">
        <f ca="1">('TE BE'!$AB$25+'TE BF_350'!$AB$25+'TE CVA'!$AB$25)*(1-CUSTOS!$M$38)</f>
        <v>233.96250973178988</v>
      </c>
      <c r="AB498" s="6">
        <f>$K$498*$V$498</f>
        <v>0</v>
      </c>
      <c r="AC498" s="6">
        <f>$M$498*$W$498</f>
        <v>37901.854499999994</v>
      </c>
      <c r="AD498" s="6">
        <f>$O$498*$X$498</f>
        <v>36456.908039999995</v>
      </c>
      <c r="AE498" s="6">
        <f>$K$498*$Y$498</f>
        <v>0</v>
      </c>
      <c r="AF498" s="6">
        <f ca="1">$M$498*$Z$498</f>
        <v>38867.220123737272</v>
      </c>
      <c r="AG498" s="6">
        <f ca="1">$O$498*$AA$498</f>
        <v>30817.073856851897</v>
      </c>
    </row>
    <row r="499" spans="1:33" ht="11.25" customHeight="1" x14ac:dyDescent="0.25">
      <c r="A499" s="4" t="s">
        <v>21</v>
      </c>
      <c r="B499" s="4" t="s">
        <v>42</v>
      </c>
      <c r="C499" s="4" t="s">
        <v>23</v>
      </c>
      <c r="D499" s="4" t="s">
        <v>43</v>
      </c>
      <c r="E499" s="4" t="s">
        <v>25</v>
      </c>
      <c r="F499" s="4" t="s">
        <v>25</v>
      </c>
      <c r="G499" s="4" t="s">
        <v>25</v>
      </c>
      <c r="H499" s="4" t="s">
        <v>25</v>
      </c>
      <c r="I499" s="5">
        <v>44409</v>
      </c>
      <c r="J499" s="6">
        <v>0</v>
      </c>
      <c r="K499" s="6">
        <v>0</v>
      </c>
      <c r="L499" s="6">
        <v>123.667</v>
      </c>
      <c r="M499" s="6">
        <v>123.667</v>
      </c>
      <c r="N499" s="6">
        <v>123.667</v>
      </c>
      <c r="O499" s="6">
        <v>123.667</v>
      </c>
      <c r="P499" s="6">
        <v>207</v>
      </c>
      <c r="Q499" s="4" t="s">
        <v>26</v>
      </c>
      <c r="R499" s="4">
        <v>0</v>
      </c>
      <c r="S499" s="6">
        <v>0</v>
      </c>
      <c r="T499" s="6">
        <v>32</v>
      </c>
      <c r="U499" s="6">
        <v>56</v>
      </c>
      <c r="V499" s="6">
        <f>IF(ISERROR(VLOOKUP($S$499,'TAR FIN'!$A$1:$O$86,15,0)),0,VLOOKUP($S$499,'TAR FIN'!$A$1:$O$86,15,0))</f>
        <v>0</v>
      </c>
      <c r="W499" s="6">
        <f>IF(ISERROR(VLOOKUP($T$499,'TAR FIN'!$A$1:$O$86,15,0)),0,VLOOKUP($T$499,'TAR FIN'!$A$1:$O$86,15,0))</f>
        <v>287.75</v>
      </c>
      <c r="X499" s="6">
        <f>IF(ISERROR(VLOOKUP($U$499,'TAR FIN'!$A$1:$O$86,15,0)),0,VLOOKUP($U$499,'TAR FIN'!$A$1:$O$86,15,0))</f>
        <v>276.77999999999997</v>
      </c>
      <c r="Y499" s="6"/>
      <c r="Z499" s="6">
        <f ca="1">('TUSD BE'!$AM$33+'TUSD BF_350'!$AM$33+'TUSD CVA'!$AM$33)*(1-CUSTOS!$M$38)</f>
        <v>295.07903341788727</v>
      </c>
      <c r="AA499" s="6">
        <f ca="1">('TE BE'!$AB$25+'TE BF_350'!$AB$25+'TE CVA'!$AB$25)*(1-CUSTOS!$M$38)</f>
        <v>233.96250973178988</v>
      </c>
      <c r="AB499" s="6">
        <f>$K$499*$V$499</f>
        <v>0</v>
      </c>
      <c r="AC499" s="6">
        <f>$M$499*$W$499</f>
        <v>35585.179250000001</v>
      </c>
      <c r="AD499" s="6">
        <f>$O$499*$X$499</f>
        <v>34228.552259999997</v>
      </c>
      <c r="AE499" s="6">
        <f>$K$499*$Y$499</f>
        <v>0</v>
      </c>
      <c r="AF499" s="6">
        <f ca="1">$M$499*$Z$499</f>
        <v>36491.538825689866</v>
      </c>
      <c r="AG499" s="6">
        <f ca="1">$O$499*$AA$499</f>
        <v>28933.441691001259</v>
      </c>
    </row>
    <row r="500" spans="1:33" ht="11.25" customHeight="1" x14ac:dyDescent="0.25">
      <c r="A500" s="4" t="s">
        <v>21</v>
      </c>
      <c r="B500" s="4" t="s">
        <v>42</v>
      </c>
      <c r="C500" s="4" t="s">
        <v>23</v>
      </c>
      <c r="D500" s="4" t="s">
        <v>43</v>
      </c>
      <c r="E500" s="4" t="s">
        <v>25</v>
      </c>
      <c r="F500" s="4" t="s">
        <v>25</v>
      </c>
      <c r="G500" s="4" t="s">
        <v>25</v>
      </c>
      <c r="H500" s="4" t="s">
        <v>25</v>
      </c>
      <c r="I500" s="5">
        <v>44440</v>
      </c>
      <c r="J500" s="6">
        <v>0</v>
      </c>
      <c r="K500" s="6">
        <v>0</v>
      </c>
      <c r="L500" s="6">
        <v>134.45599999999999</v>
      </c>
      <c r="M500" s="6">
        <v>134.45599999999999</v>
      </c>
      <c r="N500" s="6">
        <v>134.45599999999999</v>
      </c>
      <c r="O500" s="6">
        <v>134.45599999999999</v>
      </c>
      <c r="P500" s="6">
        <v>207</v>
      </c>
      <c r="Q500" s="4" t="s">
        <v>26</v>
      </c>
      <c r="R500" s="4">
        <v>0</v>
      </c>
      <c r="S500" s="6">
        <v>0</v>
      </c>
      <c r="T500" s="6">
        <v>32</v>
      </c>
      <c r="U500" s="6">
        <v>56</v>
      </c>
      <c r="V500" s="6">
        <f>IF(ISERROR(VLOOKUP($S$500,'TAR FIN'!$A$1:$O$86,15,0)),0,VLOOKUP($S$500,'TAR FIN'!$A$1:$O$86,15,0))</f>
        <v>0</v>
      </c>
      <c r="W500" s="6">
        <f>IF(ISERROR(VLOOKUP($T$500,'TAR FIN'!$A$1:$O$86,15,0)),0,VLOOKUP($T$500,'TAR FIN'!$A$1:$O$86,15,0))</f>
        <v>287.75</v>
      </c>
      <c r="X500" s="6">
        <f>IF(ISERROR(VLOOKUP($U$500,'TAR FIN'!$A$1:$O$86,15,0)),0,VLOOKUP($U$500,'TAR FIN'!$A$1:$O$86,15,0))</f>
        <v>276.77999999999997</v>
      </c>
      <c r="Y500" s="6"/>
      <c r="Z500" s="6">
        <f ca="1">('TUSD BE'!$AM$33+'TUSD BF_350'!$AM$33+'TUSD CVA'!$AM$33)*(1-CUSTOS!$M$38)</f>
        <v>295.07903341788727</v>
      </c>
      <c r="AA500" s="6">
        <f ca="1">('TE BE'!$AB$25+'TE BF_350'!$AB$25+'TE CVA'!$AB$25)*(1-CUSTOS!$M$38)</f>
        <v>233.96250973178988</v>
      </c>
      <c r="AB500" s="6">
        <f>$K$500*$V$500</f>
        <v>0</v>
      </c>
      <c r="AC500" s="6">
        <f>$M$500*$W$500</f>
        <v>38689.714</v>
      </c>
      <c r="AD500" s="6">
        <f>$O$500*$X$500</f>
        <v>37214.73167999999</v>
      </c>
      <c r="AE500" s="6">
        <f>$K$500*$Y$500</f>
        <v>0</v>
      </c>
      <c r="AF500" s="6">
        <f ca="1">$M$500*$Z$500</f>
        <v>39675.146517235451</v>
      </c>
      <c r="AG500" s="6">
        <f ca="1">$O$500*$AA$500</f>
        <v>31457.663208497539</v>
      </c>
    </row>
    <row r="501" spans="1:33" ht="11.25" customHeight="1" x14ac:dyDescent="0.25">
      <c r="A501" s="4" t="s">
        <v>21</v>
      </c>
      <c r="B501" s="4" t="s">
        <v>42</v>
      </c>
      <c r="C501" s="4" t="s">
        <v>23</v>
      </c>
      <c r="D501" s="4" t="s">
        <v>43</v>
      </c>
      <c r="E501" s="4" t="s">
        <v>25</v>
      </c>
      <c r="F501" s="4" t="s">
        <v>25</v>
      </c>
      <c r="G501" s="4" t="s">
        <v>25</v>
      </c>
      <c r="H501" s="4" t="s">
        <v>25</v>
      </c>
      <c r="I501" s="5">
        <v>44470</v>
      </c>
      <c r="J501" s="6">
        <v>0</v>
      </c>
      <c r="K501" s="6">
        <v>0</v>
      </c>
      <c r="L501" s="6">
        <v>126.17400000000001</v>
      </c>
      <c r="M501" s="6">
        <v>126.17400000000001</v>
      </c>
      <c r="N501" s="6">
        <v>126.17400000000001</v>
      </c>
      <c r="O501" s="6">
        <v>126.17400000000001</v>
      </c>
      <c r="P501" s="6">
        <v>207</v>
      </c>
      <c r="Q501" s="4" t="s">
        <v>26</v>
      </c>
      <c r="R501" s="4">
        <v>0</v>
      </c>
      <c r="S501" s="6">
        <v>0</v>
      </c>
      <c r="T501" s="6">
        <v>32</v>
      </c>
      <c r="U501" s="6">
        <v>56</v>
      </c>
      <c r="V501" s="6">
        <f>IF(ISERROR(VLOOKUP($S$501,'TAR FIN'!$A$1:$O$86,15,0)),0,VLOOKUP($S$501,'TAR FIN'!$A$1:$O$86,15,0))</f>
        <v>0</v>
      </c>
      <c r="W501" s="6">
        <f>IF(ISERROR(VLOOKUP($T$501,'TAR FIN'!$A$1:$O$86,15,0)),0,VLOOKUP($T$501,'TAR FIN'!$A$1:$O$86,15,0))</f>
        <v>287.75</v>
      </c>
      <c r="X501" s="6">
        <f>IF(ISERROR(VLOOKUP($U$501,'TAR FIN'!$A$1:$O$86,15,0)),0,VLOOKUP($U$501,'TAR FIN'!$A$1:$O$86,15,0))</f>
        <v>276.77999999999997</v>
      </c>
      <c r="Y501" s="6"/>
      <c r="Z501" s="6">
        <f ca="1">('TUSD BE'!$AM$33+'TUSD BF_350'!$AM$33+'TUSD CVA'!$AM$33)*(1-CUSTOS!$M$38)</f>
        <v>295.07903341788727</v>
      </c>
      <c r="AA501" s="6">
        <f ca="1">('TE BE'!$AB$25+'TE BF_350'!$AB$25+'TE CVA'!$AB$25)*(1-CUSTOS!$M$38)</f>
        <v>233.96250973178988</v>
      </c>
      <c r="AB501" s="6">
        <f>$K$501*$V$501</f>
        <v>0</v>
      </c>
      <c r="AC501" s="6">
        <f>$M$501*$W$501</f>
        <v>36306.568500000001</v>
      </c>
      <c r="AD501" s="6">
        <f>$O$501*$X$501</f>
        <v>34922.439719999995</v>
      </c>
      <c r="AE501" s="6">
        <f>$K$501*$Y$501</f>
        <v>0</v>
      </c>
      <c r="AF501" s="6">
        <f ca="1">$M$501*$Z$501</f>
        <v>37231.301962468511</v>
      </c>
      <c r="AG501" s="6">
        <f ca="1">$O$501*$AA$501</f>
        <v>29519.985702898859</v>
      </c>
    </row>
    <row r="502" spans="1:33" ht="11.25" customHeight="1" x14ac:dyDescent="0.25">
      <c r="A502" s="4" t="s">
        <v>27</v>
      </c>
      <c r="B502" s="4" t="s">
        <v>42</v>
      </c>
      <c r="C502" s="4" t="s">
        <v>23</v>
      </c>
      <c r="D502" s="4" t="s">
        <v>43</v>
      </c>
      <c r="E502" s="4" t="s">
        <v>25</v>
      </c>
      <c r="F502" s="4" t="s">
        <v>25</v>
      </c>
      <c r="G502" s="4" t="s">
        <v>25</v>
      </c>
      <c r="H502" s="4" t="s">
        <v>25</v>
      </c>
      <c r="I502" s="5">
        <v>44470</v>
      </c>
      <c r="J502" s="6">
        <v>0</v>
      </c>
      <c r="K502" s="6">
        <v>0</v>
      </c>
      <c r="L502" s="6">
        <v>0.05</v>
      </c>
      <c r="M502" s="6">
        <v>0.05</v>
      </c>
      <c r="N502" s="6">
        <v>0.05</v>
      </c>
      <c r="O502" s="6">
        <v>0.05</v>
      </c>
      <c r="P502" s="6">
        <v>1</v>
      </c>
      <c r="Q502" s="4" t="s">
        <v>26</v>
      </c>
      <c r="R502" s="4">
        <v>0</v>
      </c>
      <c r="S502" s="6">
        <v>0</v>
      </c>
      <c r="T502" s="6">
        <v>32</v>
      </c>
      <c r="U502" s="6">
        <v>56</v>
      </c>
      <c r="V502" s="6">
        <f>IF(ISERROR(VLOOKUP($S$502,'TAR FIN'!$A$1:$O$86,15,0)),0,VLOOKUP($S$502,'TAR FIN'!$A$1:$O$86,15,0))</f>
        <v>0</v>
      </c>
      <c r="W502" s="6">
        <f>IF(ISERROR(VLOOKUP($T$502,'TAR FIN'!$A$1:$O$86,15,0)),0,VLOOKUP($T$502,'TAR FIN'!$A$1:$O$86,15,0))</f>
        <v>287.75</v>
      </c>
      <c r="X502" s="6">
        <f>IF(ISERROR(VLOOKUP($U$502,'TAR FIN'!$A$1:$O$86,15,0)),0,VLOOKUP($U$502,'TAR FIN'!$A$1:$O$86,15,0))</f>
        <v>276.77999999999997</v>
      </c>
      <c r="Y502" s="6"/>
      <c r="Z502" s="6">
        <f ca="1">('TUSD BE'!$AM$33+'TUSD BF_350'!$AM$33+'TUSD CVA'!$AM$33)*(1-CUSTOS!$M$38)</f>
        <v>295.07903341788727</v>
      </c>
      <c r="AA502" s="6">
        <f ca="1">('TE BE'!$AB$25+'TE BF_350'!$AB$25+'TE CVA'!$AB$25)*(1-CUSTOS!$M$38)</f>
        <v>233.96250973178988</v>
      </c>
      <c r="AB502" s="6">
        <f>$K$502*$V$502</f>
        <v>0</v>
      </c>
      <c r="AC502" s="6">
        <f>$M$502*$W$502</f>
        <v>14.387500000000001</v>
      </c>
      <c r="AD502" s="6">
        <f>$O$502*$X$502</f>
        <v>13.838999999999999</v>
      </c>
      <c r="AE502" s="6">
        <f>$K$502*$Y$502</f>
        <v>0</v>
      </c>
      <c r="AF502" s="6">
        <f ca="1">$M$502*$Z$502</f>
        <v>14.753951670894365</v>
      </c>
      <c r="AG502" s="6">
        <f ca="1">$O$502*$AA$502</f>
        <v>11.698125486589495</v>
      </c>
    </row>
    <row r="503" spans="1:33" ht="11.25" customHeight="1" x14ac:dyDescent="0.25">
      <c r="A503" s="4" t="s">
        <v>21</v>
      </c>
      <c r="B503" s="4" t="s">
        <v>42</v>
      </c>
      <c r="C503" s="4" t="s">
        <v>23</v>
      </c>
      <c r="D503" s="4" t="s">
        <v>43</v>
      </c>
      <c r="E503" s="4" t="s">
        <v>25</v>
      </c>
      <c r="F503" s="4" t="s">
        <v>25</v>
      </c>
      <c r="G503" s="4" t="s">
        <v>25</v>
      </c>
      <c r="H503" s="4" t="s">
        <v>25</v>
      </c>
      <c r="I503" s="5">
        <v>44501</v>
      </c>
      <c r="J503" s="6">
        <v>0</v>
      </c>
      <c r="K503" s="6">
        <v>0</v>
      </c>
      <c r="L503" s="6">
        <v>154.369</v>
      </c>
      <c r="M503" s="6">
        <v>154.369</v>
      </c>
      <c r="N503" s="6">
        <v>154.369</v>
      </c>
      <c r="O503" s="6">
        <v>154.369</v>
      </c>
      <c r="P503" s="6">
        <v>205</v>
      </c>
      <c r="Q503" s="4" t="s">
        <v>26</v>
      </c>
      <c r="R503" s="4">
        <v>0</v>
      </c>
      <c r="S503" s="6">
        <v>0</v>
      </c>
      <c r="T503" s="6">
        <v>32</v>
      </c>
      <c r="U503" s="6">
        <v>56</v>
      </c>
      <c r="V503" s="6">
        <f>IF(ISERROR(VLOOKUP($S$503,'TAR FIN'!$A$1:$O$86,15,0)),0,VLOOKUP($S$503,'TAR FIN'!$A$1:$O$86,15,0))</f>
        <v>0</v>
      </c>
      <c r="W503" s="6">
        <f>IF(ISERROR(VLOOKUP($T$503,'TAR FIN'!$A$1:$O$86,15,0)),0,VLOOKUP($T$503,'TAR FIN'!$A$1:$O$86,15,0))</f>
        <v>287.75</v>
      </c>
      <c r="X503" s="6">
        <f>IF(ISERROR(VLOOKUP($U$503,'TAR FIN'!$A$1:$O$86,15,0)),0,VLOOKUP($U$503,'TAR FIN'!$A$1:$O$86,15,0))</f>
        <v>276.77999999999997</v>
      </c>
      <c r="Y503" s="6"/>
      <c r="Z503" s="6">
        <f ca="1">('TUSD BE'!$AM$33+'TUSD BF_350'!$AM$33+'TUSD CVA'!$AM$33)*(1-CUSTOS!$M$38)</f>
        <v>295.07903341788727</v>
      </c>
      <c r="AA503" s="6">
        <f ca="1">('TE BE'!$AB$25+'TE BF_350'!$AB$25+'TE CVA'!$AB$25)*(1-CUSTOS!$M$38)</f>
        <v>233.96250973178988</v>
      </c>
      <c r="AB503" s="6">
        <f>$K$503*$V$503</f>
        <v>0</v>
      </c>
      <c r="AC503" s="6">
        <f>$M$503*$W$503</f>
        <v>44419.679750000003</v>
      </c>
      <c r="AD503" s="6">
        <f>$O$503*$X$503</f>
        <v>42726.251819999998</v>
      </c>
      <c r="AE503" s="6">
        <f>$K$503*$Y$503</f>
        <v>0</v>
      </c>
      <c r="AF503" s="6">
        <f ca="1">$M$503*$Z$503</f>
        <v>45551.055309685842</v>
      </c>
      <c r="AG503" s="6">
        <f ca="1">$O$503*$AA$503</f>
        <v>36116.558664786673</v>
      </c>
    </row>
    <row r="504" spans="1:33" ht="11.25" customHeight="1" x14ac:dyDescent="0.25">
      <c r="A504" s="4" t="s">
        <v>27</v>
      </c>
      <c r="B504" s="4" t="s">
        <v>42</v>
      </c>
      <c r="C504" s="4" t="s">
        <v>23</v>
      </c>
      <c r="D504" s="4" t="s">
        <v>43</v>
      </c>
      <c r="E504" s="4" t="s">
        <v>25</v>
      </c>
      <c r="F504" s="4" t="s">
        <v>25</v>
      </c>
      <c r="G504" s="4" t="s">
        <v>25</v>
      </c>
      <c r="H504" s="4" t="s">
        <v>25</v>
      </c>
      <c r="I504" s="5">
        <v>44501</v>
      </c>
      <c r="J504" s="6">
        <v>0</v>
      </c>
      <c r="K504" s="6">
        <v>0</v>
      </c>
      <c r="L504" s="6">
        <v>0.21</v>
      </c>
      <c r="M504" s="6">
        <v>0.21</v>
      </c>
      <c r="N504" s="6">
        <v>0.21</v>
      </c>
      <c r="O504" s="6">
        <v>0.21</v>
      </c>
      <c r="P504" s="6">
        <v>2</v>
      </c>
      <c r="Q504" s="4" t="s">
        <v>26</v>
      </c>
      <c r="R504" s="4">
        <v>0</v>
      </c>
      <c r="S504" s="6">
        <v>0</v>
      </c>
      <c r="T504" s="6">
        <v>32</v>
      </c>
      <c r="U504" s="6">
        <v>56</v>
      </c>
      <c r="V504" s="6">
        <f>IF(ISERROR(VLOOKUP($S$504,'TAR FIN'!$A$1:$O$86,15,0)),0,VLOOKUP($S$504,'TAR FIN'!$A$1:$O$86,15,0))</f>
        <v>0</v>
      </c>
      <c r="W504" s="6">
        <f>IF(ISERROR(VLOOKUP($T$504,'TAR FIN'!$A$1:$O$86,15,0)),0,VLOOKUP($T$504,'TAR FIN'!$A$1:$O$86,15,0))</f>
        <v>287.75</v>
      </c>
      <c r="X504" s="6">
        <f>IF(ISERROR(VLOOKUP($U$504,'TAR FIN'!$A$1:$O$86,15,0)),0,VLOOKUP($U$504,'TAR FIN'!$A$1:$O$86,15,0))</f>
        <v>276.77999999999997</v>
      </c>
      <c r="Y504" s="6"/>
      <c r="Z504" s="6">
        <f ca="1">('TUSD BE'!$AM$33+'TUSD BF_350'!$AM$33+'TUSD CVA'!$AM$33)*(1-CUSTOS!$M$38)</f>
        <v>295.07903341788727</v>
      </c>
      <c r="AA504" s="6">
        <f ca="1">('TE BE'!$AB$25+'TE BF_350'!$AB$25+'TE CVA'!$AB$25)*(1-CUSTOS!$M$38)</f>
        <v>233.96250973178988</v>
      </c>
      <c r="AB504" s="6">
        <f>$K$504*$V$504</f>
        <v>0</v>
      </c>
      <c r="AC504" s="6">
        <f>$M$504*$W$504</f>
        <v>60.427499999999995</v>
      </c>
      <c r="AD504" s="6">
        <f>$O$504*$X$504</f>
        <v>58.123799999999989</v>
      </c>
      <c r="AE504" s="6">
        <f>$K$504*$Y$504</f>
        <v>0</v>
      </c>
      <c r="AF504" s="6">
        <f ca="1">$M$504*$Z$504</f>
        <v>61.966597017756328</v>
      </c>
      <c r="AG504" s="6">
        <f ca="1">$O$504*$AA$504</f>
        <v>49.132127043675872</v>
      </c>
    </row>
    <row r="505" spans="1:33" ht="11.25" customHeight="1" x14ac:dyDescent="0.25">
      <c r="A505" s="4" t="s">
        <v>21</v>
      </c>
      <c r="B505" s="4" t="s">
        <v>42</v>
      </c>
      <c r="C505" s="4" t="s">
        <v>23</v>
      </c>
      <c r="D505" s="4" t="s">
        <v>43</v>
      </c>
      <c r="E505" s="4" t="s">
        <v>25</v>
      </c>
      <c r="F505" s="4" t="s">
        <v>25</v>
      </c>
      <c r="G505" s="4" t="s">
        <v>25</v>
      </c>
      <c r="H505" s="4" t="s">
        <v>25</v>
      </c>
      <c r="I505" s="5">
        <v>44531</v>
      </c>
      <c r="J505" s="6">
        <v>0</v>
      </c>
      <c r="K505" s="6">
        <v>0</v>
      </c>
      <c r="L505" s="6">
        <v>143.977</v>
      </c>
      <c r="M505" s="6">
        <v>143.977</v>
      </c>
      <c r="N505" s="6">
        <v>143.977</v>
      </c>
      <c r="O505" s="6">
        <v>143.977</v>
      </c>
      <c r="P505" s="6">
        <v>203</v>
      </c>
      <c r="Q505" s="4" t="s">
        <v>26</v>
      </c>
      <c r="R505" s="4">
        <v>0</v>
      </c>
      <c r="S505" s="6">
        <v>0</v>
      </c>
      <c r="T505" s="6">
        <v>32</v>
      </c>
      <c r="U505" s="6">
        <v>56</v>
      </c>
      <c r="V505" s="6">
        <f>IF(ISERROR(VLOOKUP($S$505,'TAR FIN'!$A$1:$O$86,15,0)),0,VLOOKUP($S$505,'TAR FIN'!$A$1:$O$86,15,0))</f>
        <v>0</v>
      </c>
      <c r="W505" s="6">
        <f>IF(ISERROR(VLOOKUP($T$505,'TAR FIN'!$A$1:$O$86,15,0)),0,VLOOKUP($T$505,'TAR FIN'!$A$1:$O$86,15,0))</f>
        <v>287.75</v>
      </c>
      <c r="X505" s="6">
        <f>IF(ISERROR(VLOOKUP($U$505,'TAR FIN'!$A$1:$O$86,15,0)),0,VLOOKUP($U$505,'TAR FIN'!$A$1:$O$86,15,0))</f>
        <v>276.77999999999997</v>
      </c>
      <c r="Y505" s="6"/>
      <c r="Z505" s="6">
        <f ca="1">('TUSD BE'!$AM$33+'TUSD BF_350'!$AM$33+'TUSD CVA'!$AM$33)*(1-CUSTOS!$M$38)</f>
        <v>295.07903341788727</v>
      </c>
      <c r="AA505" s="6">
        <f ca="1">('TE BE'!$AB$25+'TE BF_350'!$AB$25+'TE CVA'!$AB$25)*(1-CUSTOS!$M$38)</f>
        <v>233.96250973178988</v>
      </c>
      <c r="AB505" s="6">
        <f>$K$505*$V$505</f>
        <v>0</v>
      </c>
      <c r="AC505" s="6">
        <f>$M$505*$W$505</f>
        <v>41429.38175</v>
      </c>
      <c r="AD505" s="6">
        <f>$O$505*$X$505</f>
        <v>39849.954059999996</v>
      </c>
      <c r="AE505" s="6">
        <f>$K$505*$Y$505</f>
        <v>0</v>
      </c>
      <c r="AF505" s="6">
        <f ca="1">$M$505*$Z$505</f>
        <v>42484.593994407158</v>
      </c>
      <c r="AG505" s="6">
        <f ca="1">$O$505*$AA$505</f>
        <v>33685.220263653915</v>
      </c>
    </row>
    <row r="506" spans="1:33" ht="11.25" customHeight="1" x14ac:dyDescent="0.25">
      <c r="A506" s="4" t="s">
        <v>41</v>
      </c>
      <c r="B506" s="4" t="s">
        <v>42</v>
      </c>
      <c r="C506" s="4" t="s">
        <v>23</v>
      </c>
      <c r="D506" s="4" t="s">
        <v>43</v>
      </c>
      <c r="E506" s="4" t="s">
        <v>25</v>
      </c>
      <c r="F506" s="4" t="s">
        <v>25</v>
      </c>
      <c r="G506" s="4" t="s">
        <v>25</v>
      </c>
      <c r="H506" s="4" t="s">
        <v>25</v>
      </c>
      <c r="I506" s="5">
        <v>44531</v>
      </c>
      <c r="J506" s="6">
        <v>0</v>
      </c>
      <c r="K506" s="6">
        <v>0</v>
      </c>
      <c r="L506" s="6">
        <v>-1.627</v>
      </c>
      <c r="M506" s="6">
        <v>-1.627</v>
      </c>
      <c r="N506" s="6">
        <v>-1.627</v>
      </c>
      <c r="O506" s="6">
        <v>-1.627</v>
      </c>
      <c r="P506" s="6">
        <v>0</v>
      </c>
      <c r="Q506" s="4" t="s">
        <v>26</v>
      </c>
      <c r="R506" s="4">
        <v>0</v>
      </c>
      <c r="S506" s="6">
        <v>0</v>
      </c>
      <c r="T506" s="6">
        <v>32</v>
      </c>
      <c r="U506" s="6">
        <v>56</v>
      </c>
      <c r="V506" s="6">
        <f>IF(ISERROR(VLOOKUP($S$506,'TAR FIN'!$A$1:$O$86,15,0)),0,VLOOKUP($S$506,'TAR FIN'!$A$1:$O$86,15,0))</f>
        <v>0</v>
      </c>
      <c r="W506" s="6">
        <f>IF(ISERROR(VLOOKUP($T$506,'TAR FIN'!$A$1:$O$86,15,0)),0,VLOOKUP($T$506,'TAR FIN'!$A$1:$O$86,15,0))</f>
        <v>287.75</v>
      </c>
      <c r="X506" s="6">
        <f>IF(ISERROR(VLOOKUP($U$506,'TAR FIN'!$A$1:$O$86,15,0)),0,VLOOKUP($U$506,'TAR FIN'!$A$1:$O$86,15,0))</f>
        <v>276.77999999999997</v>
      </c>
      <c r="Y506" s="6"/>
      <c r="Z506" s="6">
        <f ca="1">('TUSD BE'!$AM$33+'TUSD BF_350'!$AM$33+'TUSD CVA'!$AM$33)*(1-CUSTOS!$M$38)</f>
        <v>295.07903341788727</v>
      </c>
      <c r="AA506" s="6">
        <f ca="1">('TE BE'!$AB$25+'TE BF_350'!$AB$25+'TE CVA'!$AB$25)*(1-CUSTOS!$M$38)</f>
        <v>233.96250973178988</v>
      </c>
      <c r="AB506" s="6">
        <f>$K$506*$V$506</f>
        <v>0</v>
      </c>
      <c r="AC506" s="6">
        <f>$M$506*$W$506</f>
        <v>-468.16924999999998</v>
      </c>
      <c r="AD506" s="6">
        <f>$O$506*$X$506</f>
        <v>-450.32105999999993</v>
      </c>
      <c r="AE506" s="6">
        <f>$K$506*$Y$506</f>
        <v>0</v>
      </c>
      <c r="AF506" s="6">
        <f ca="1">$M$506*$Z$506</f>
        <v>-480.09358737090258</v>
      </c>
      <c r="AG506" s="6">
        <f ca="1">$O$506*$AA$506</f>
        <v>-380.65700333362213</v>
      </c>
    </row>
    <row r="507" spans="1:33" ht="11.25" customHeight="1" x14ac:dyDescent="0.25">
      <c r="A507" s="4" t="s">
        <v>27</v>
      </c>
      <c r="B507" s="4" t="s">
        <v>42</v>
      </c>
      <c r="C507" s="4" t="s">
        <v>23</v>
      </c>
      <c r="D507" s="4" t="s">
        <v>43</v>
      </c>
      <c r="E507" s="4" t="s">
        <v>25</v>
      </c>
      <c r="F507" s="4" t="s">
        <v>25</v>
      </c>
      <c r="G507" s="4" t="s">
        <v>25</v>
      </c>
      <c r="H507" s="4" t="s">
        <v>25</v>
      </c>
      <c r="I507" s="5">
        <v>44531</v>
      </c>
      <c r="J507" s="6">
        <v>0</v>
      </c>
      <c r="K507" s="6">
        <v>0</v>
      </c>
      <c r="L507" s="6">
        <v>0.41699999999999998</v>
      </c>
      <c r="M507" s="6">
        <v>0.41699999999999998</v>
      </c>
      <c r="N507" s="6">
        <v>0.41699999999999998</v>
      </c>
      <c r="O507" s="6">
        <v>0.41699999999999998</v>
      </c>
      <c r="P507" s="6">
        <v>4</v>
      </c>
      <c r="Q507" s="4" t="s">
        <v>26</v>
      </c>
      <c r="R507" s="4">
        <v>0</v>
      </c>
      <c r="S507" s="6">
        <v>0</v>
      </c>
      <c r="T507" s="6">
        <v>32</v>
      </c>
      <c r="U507" s="6">
        <v>56</v>
      </c>
      <c r="V507" s="6">
        <f>IF(ISERROR(VLOOKUP($S$507,'TAR FIN'!$A$1:$O$86,15,0)),0,VLOOKUP($S$507,'TAR FIN'!$A$1:$O$86,15,0))</f>
        <v>0</v>
      </c>
      <c r="W507" s="6">
        <f>IF(ISERROR(VLOOKUP($T$507,'TAR FIN'!$A$1:$O$86,15,0)),0,VLOOKUP($T$507,'TAR FIN'!$A$1:$O$86,15,0))</f>
        <v>287.75</v>
      </c>
      <c r="X507" s="6">
        <f>IF(ISERROR(VLOOKUP($U$507,'TAR FIN'!$A$1:$O$86,15,0)),0,VLOOKUP($U$507,'TAR FIN'!$A$1:$O$86,15,0))</f>
        <v>276.77999999999997</v>
      </c>
      <c r="Y507" s="6"/>
      <c r="Z507" s="6">
        <f ca="1">('TUSD BE'!$AM$33+'TUSD BF_350'!$AM$33+'TUSD CVA'!$AM$33)*(1-CUSTOS!$M$38)</f>
        <v>295.07903341788727</v>
      </c>
      <c r="AA507" s="6">
        <f ca="1">('TE BE'!$AB$25+'TE BF_350'!$AB$25+'TE CVA'!$AB$25)*(1-CUSTOS!$M$38)</f>
        <v>233.96250973178988</v>
      </c>
      <c r="AB507" s="6">
        <f>$K$507*$V$507</f>
        <v>0</v>
      </c>
      <c r="AC507" s="6">
        <f>$M$507*$W$507</f>
        <v>119.99175</v>
      </c>
      <c r="AD507" s="6">
        <f>$O$507*$X$507</f>
        <v>115.41725999999998</v>
      </c>
      <c r="AE507" s="6">
        <f>$K$507*$Y$507</f>
        <v>0</v>
      </c>
      <c r="AF507" s="6">
        <f ca="1">$M$507*$Z$507</f>
        <v>123.04795693525899</v>
      </c>
      <c r="AG507" s="6">
        <f ca="1">$O$507*$AA$507</f>
        <v>97.56236655815637</v>
      </c>
    </row>
    <row r="508" spans="1:33" ht="11.25" customHeight="1" x14ac:dyDescent="0.25">
      <c r="A508" s="4" t="s">
        <v>21</v>
      </c>
      <c r="B508" s="4" t="s">
        <v>42</v>
      </c>
      <c r="C508" s="4" t="s">
        <v>23</v>
      </c>
      <c r="D508" s="4" t="s">
        <v>43</v>
      </c>
      <c r="E508" s="4" t="s">
        <v>25</v>
      </c>
      <c r="F508" s="4" t="s">
        <v>25</v>
      </c>
      <c r="G508" s="4" t="s">
        <v>25</v>
      </c>
      <c r="H508" s="4" t="s">
        <v>25</v>
      </c>
      <c r="I508" s="5">
        <v>44562</v>
      </c>
      <c r="J508" s="6">
        <v>0</v>
      </c>
      <c r="K508" s="6">
        <v>0</v>
      </c>
      <c r="L508" s="6">
        <v>155.065</v>
      </c>
      <c r="M508" s="6">
        <v>155.065</v>
      </c>
      <c r="N508" s="6">
        <v>155.065</v>
      </c>
      <c r="O508" s="6">
        <v>155.065</v>
      </c>
      <c r="P508" s="6">
        <v>202</v>
      </c>
      <c r="Q508" s="4" t="s">
        <v>26</v>
      </c>
      <c r="R508" s="4">
        <v>0</v>
      </c>
      <c r="S508" s="6">
        <v>0</v>
      </c>
      <c r="T508" s="6">
        <v>32</v>
      </c>
      <c r="U508" s="6">
        <v>56</v>
      </c>
      <c r="V508" s="6">
        <f>IF(ISERROR(VLOOKUP($S$508,'TAR FIN'!$A$1:$O$86,15,0)),0,VLOOKUP($S$508,'TAR FIN'!$A$1:$O$86,15,0))</f>
        <v>0</v>
      </c>
      <c r="W508" s="6">
        <f>IF(ISERROR(VLOOKUP($T$508,'TAR FIN'!$A$1:$O$86,15,0)),0,VLOOKUP($T$508,'TAR FIN'!$A$1:$O$86,15,0))</f>
        <v>287.75</v>
      </c>
      <c r="X508" s="6">
        <f>IF(ISERROR(VLOOKUP($U$508,'TAR FIN'!$A$1:$O$86,15,0)),0,VLOOKUP($U$508,'TAR FIN'!$A$1:$O$86,15,0))</f>
        <v>276.77999999999997</v>
      </c>
      <c r="Y508" s="6"/>
      <c r="Z508" s="6">
        <f ca="1">('TUSD BE'!$AM$33+'TUSD BF_350'!$AM$33+'TUSD CVA'!$AM$33)*(1-CUSTOS!$M$38)</f>
        <v>295.07903341788727</v>
      </c>
      <c r="AA508" s="6">
        <f ca="1">('TE BE'!$AB$25+'TE BF_350'!$AB$25+'TE CVA'!$AB$25)*(1-CUSTOS!$M$38)</f>
        <v>233.96250973178988</v>
      </c>
      <c r="AB508" s="6">
        <f>$K$508*$V$508</f>
        <v>0</v>
      </c>
      <c r="AC508" s="6">
        <f>$M$508*$W$508</f>
        <v>44619.953750000001</v>
      </c>
      <c r="AD508" s="6">
        <f>$O$508*$X$508</f>
        <v>42918.890699999996</v>
      </c>
      <c r="AE508" s="6">
        <f>$K$508*$Y$508</f>
        <v>0</v>
      </c>
      <c r="AF508" s="6">
        <f ca="1">$M$508*$Z$508</f>
        <v>45756.430316944687</v>
      </c>
      <c r="AG508" s="6">
        <f ca="1">$O$508*$AA$508</f>
        <v>36279.396571559999</v>
      </c>
    </row>
    <row r="509" spans="1:33" ht="11.25" customHeight="1" x14ac:dyDescent="0.25">
      <c r="A509" s="4" t="s">
        <v>27</v>
      </c>
      <c r="B509" s="4" t="s">
        <v>42</v>
      </c>
      <c r="C509" s="4" t="s">
        <v>23</v>
      </c>
      <c r="D509" s="4" t="s">
        <v>43</v>
      </c>
      <c r="E509" s="4" t="s">
        <v>25</v>
      </c>
      <c r="F509" s="4" t="s">
        <v>25</v>
      </c>
      <c r="G509" s="4" t="s">
        <v>25</v>
      </c>
      <c r="H509" s="4" t="s">
        <v>25</v>
      </c>
      <c r="I509" s="5">
        <v>44562</v>
      </c>
      <c r="J509" s="6">
        <v>0</v>
      </c>
      <c r="K509" s="6">
        <v>0</v>
      </c>
      <c r="L509" s="6">
        <v>0.52400000000000002</v>
      </c>
      <c r="M509" s="6">
        <v>0.52400000000000002</v>
      </c>
      <c r="N509" s="6">
        <v>0.52400000000000002</v>
      </c>
      <c r="O509" s="6">
        <v>0.52400000000000002</v>
      </c>
      <c r="P509" s="6">
        <v>5</v>
      </c>
      <c r="Q509" s="4" t="s">
        <v>26</v>
      </c>
      <c r="R509" s="4">
        <v>0</v>
      </c>
      <c r="S509" s="6">
        <v>0</v>
      </c>
      <c r="T509" s="6">
        <v>32</v>
      </c>
      <c r="U509" s="6">
        <v>56</v>
      </c>
      <c r="V509" s="6">
        <f>IF(ISERROR(VLOOKUP($S$509,'TAR FIN'!$A$1:$O$86,15,0)),0,VLOOKUP($S$509,'TAR FIN'!$A$1:$O$86,15,0))</f>
        <v>0</v>
      </c>
      <c r="W509" s="6">
        <f>IF(ISERROR(VLOOKUP($T$509,'TAR FIN'!$A$1:$O$86,15,0)),0,VLOOKUP($T$509,'TAR FIN'!$A$1:$O$86,15,0))</f>
        <v>287.75</v>
      </c>
      <c r="X509" s="6">
        <f>IF(ISERROR(VLOOKUP($U$509,'TAR FIN'!$A$1:$O$86,15,0)),0,VLOOKUP($U$509,'TAR FIN'!$A$1:$O$86,15,0))</f>
        <v>276.77999999999997</v>
      </c>
      <c r="Y509" s="6"/>
      <c r="Z509" s="6">
        <f ca="1">('TUSD BE'!$AM$33+'TUSD BF_350'!$AM$33+'TUSD CVA'!$AM$33)*(1-CUSTOS!$M$38)</f>
        <v>295.07903341788727</v>
      </c>
      <c r="AA509" s="6">
        <f ca="1">('TE BE'!$AB$25+'TE BF_350'!$AB$25+'TE CVA'!$AB$25)*(1-CUSTOS!$M$38)</f>
        <v>233.96250973178988</v>
      </c>
      <c r="AB509" s="6">
        <f>$K$509*$V$509</f>
        <v>0</v>
      </c>
      <c r="AC509" s="6">
        <f>$M$509*$W$509</f>
        <v>150.78100000000001</v>
      </c>
      <c r="AD509" s="6">
        <f>$O$509*$X$509</f>
        <v>145.03271999999998</v>
      </c>
      <c r="AE509" s="6">
        <f>$K$509*$Y$509</f>
        <v>0</v>
      </c>
      <c r="AF509" s="6">
        <f ca="1">$M$509*$Z$509</f>
        <v>154.62141351097293</v>
      </c>
      <c r="AG509" s="6">
        <f ca="1">$O$509*$AA$509</f>
        <v>122.5963550994579</v>
      </c>
    </row>
    <row r="510" spans="1:33" ht="11.25" customHeight="1" x14ac:dyDescent="0.25">
      <c r="A510" s="4" t="s">
        <v>21</v>
      </c>
      <c r="B510" s="4" t="s">
        <v>42</v>
      </c>
      <c r="C510" s="4" t="s">
        <v>23</v>
      </c>
      <c r="D510" s="4" t="s">
        <v>43</v>
      </c>
      <c r="E510" s="4" t="s">
        <v>25</v>
      </c>
      <c r="F510" s="4" t="s">
        <v>25</v>
      </c>
      <c r="G510" s="4" t="s">
        <v>25</v>
      </c>
      <c r="H510" s="4" t="s">
        <v>25</v>
      </c>
      <c r="I510" s="5">
        <v>44593</v>
      </c>
      <c r="J510" s="6">
        <v>0</v>
      </c>
      <c r="K510" s="6">
        <v>0</v>
      </c>
      <c r="L510" s="6">
        <v>154.22800000000001</v>
      </c>
      <c r="M510" s="6">
        <v>154.22800000000001</v>
      </c>
      <c r="N510" s="6">
        <v>154.22800000000001</v>
      </c>
      <c r="O510" s="6">
        <v>154.22800000000001</v>
      </c>
      <c r="P510" s="6">
        <v>203</v>
      </c>
      <c r="Q510" s="4" t="s">
        <v>26</v>
      </c>
      <c r="R510" s="4">
        <v>0</v>
      </c>
      <c r="S510" s="6">
        <v>0</v>
      </c>
      <c r="T510" s="6">
        <v>32</v>
      </c>
      <c r="U510" s="6">
        <v>56</v>
      </c>
      <c r="V510" s="6">
        <f>IF(ISERROR(VLOOKUP($S$510,'TAR FIN'!$A$1:$O$86,15,0)),0,VLOOKUP($S$510,'TAR FIN'!$A$1:$O$86,15,0))</f>
        <v>0</v>
      </c>
      <c r="W510" s="6">
        <f>IF(ISERROR(VLOOKUP($T$510,'TAR FIN'!$A$1:$O$86,15,0)),0,VLOOKUP($T$510,'TAR FIN'!$A$1:$O$86,15,0))</f>
        <v>287.75</v>
      </c>
      <c r="X510" s="6">
        <f>IF(ISERROR(VLOOKUP($U$510,'TAR FIN'!$A$1:$O$86,15,0)),0,VLOOKUP($U$510,'TAR FIN'!$A$1:$O$86,15,0))</f>
        <v>276.77999999999997</v>
      </c>
      <c r="Y510" s="6"/>
      <c r="Z510" s="6">
        <f ca="1">('TUSD BE'!$AM$33+'TUSD BF_350'!$AM$33+'TUSD CVA'!$AM$33)*(1-CUSTOS!$M$38)</f>
        <v>295.07903341788727</v>
      </c>
      <c r="AA510" s="6">
        <f ca="1">('TE BE'!$AB$25+'TE BF_350'!$AB$25+'TE CVA'!$AB$25)*(1-CUSTOS!$M$38)</f>
        <v>233.96250973178988</v>
      </c>
      <c r="AB510" s="6">
        <f>$K$510*$V$510</f>
        <v>0</v>
      </c>
      <c r="AC510" s="6">
        <f>$M$510*$W$510</f>
        <v>44379.107000000004</v>
      </c>
      <c r="AD510" s="6">
        <f>$O$510*$X$510</f>
        <v>42687.225839999999</v>
      </c>
      <c r="AE510" s="6">
        <f>$K$510*$Y$510</f>
        <v>0</v>
      </c>
      <c r="AF510" s="6">
        <f ca="1">$M$510*$Z$510</f>
        <v>45509.449165973921</v>
      </c>
      <c r="AG510" s="6">
        <f ca="1">$O$510*$AA$510</f>
        <v>36083.569950914491</v>
      </c>
    </row>
    <row r="511" spans="1:33" ht="11.25" customHeight="1" x14ac:dyDescent="0.25">
      <c r="A511" s="4" t="s">
        <v>27</v>
      </c>
      <c r="B511" s="4" t="s">
        <v>42</v>
      </c>
      <c r="C511" s="4" t="s">
        <v>23</v>
      </c>
      <c r="D511" s="4" t="s">
        <v>43</v>
      </c>
      <c r="E511" s="4" t="s">
        <v>25</v>
      </c>
      <c r="F511" s="4" t="s">
        <v>25</v>
      </c>
      <c r="G511" s="4" t="s">
        <v>25</v>
      </c>
      <c r="H511" s="4" t="s">
        <v>25</v>
      </c>
      <c r="I511" s="5">
        <v>44593</v>
      </c>
      <c r="J511" s="6">
        <v>0</v>
      </c>
      <c r="K511" s="6">
        <v>0</v>
      </c>
      <c r="L511" s="6">
        <v>0.70199999999999996</v>
      </c>
      <c r="M511" s="6">
        <v>0.70199999999999996</v>
      </c>
      <c r="N511" s="6">
        <v>0.70199999999999996</v>
      </c>
      <c r="O511" s="6">
        <v>0.70199999999999996</v>
      </c>
      <c r="P511" s="6">
        <v>5</v>
      </c>
      <c r="Q511" s="4" t="s">
        <v>26</v>
      </c>
      <c r="R511" s="4">
        <v>0</v>
      </c>
      <c r="S511" s="6">
        <v>0</v>
      </c>
      <c r="T511" s="6">
        <v>32</v>
      </c>
      <c r="U511" s="6">
        <v>56</v>
      </c>
      <c r="V511" s="6">
        <f>IF(ISERROR(VLOOKUP($S$511,'TAR FIN'!$A$1:$O$86,15,0)),0,VLOOKUP($S$511,'TAR FIN'!$A$1:$O$86,15,0))</f>
        <v>0</v>
      </c>
      <c r="W511" s="6">
        <f>IF(ISERROR(VLOOKUP($T$511,'TAR FIN'!$A$1:$O$86,15,0)),0,VLOOKUP($T$511,'TAR FIN'!$A$1:$O$86,15,0))</f>
        <v>287.75</v>
      </c>
      <c r="X511" s="6">
        <f>IF(ISERROR(VLOOKUP($U$511,'TAR FIN'!$A$1:$O$86,15,0)),0,VLOOKUP($U$511,'TAR FIN'!$A$1:$O$86,15,0))</f>
        <v>276.77999999999997</v>
      </c>
      <c r="Y511" s="6"/>
      <c r="Z511" s="6">
        <f ca="1">('TUSD BE'!$AM$33+'TUSD BF_350'!$AM$33+'TUSD CVA'!$AM$33)*(1-CUSTOS!$M$38)</f>
        <v>295.07903341788727</v>
      </c>
      <c r="AA511" s="6">
        <f ca="1">('TE BE'!$AB$25+'TE BF_350'!$AB$25+'TE CVA'!$AB$25)*(1-CUSTOS!$M$38)</f>
        <v>233.96250973178988</v>
      </c>
      <c r="AB511" s="6">
        <f>$K$511*$V$511</f>
        <v>0</v>
      </c>
      <c r="AC511" s="6">
        <f>$M$511*$W$511</f>
        <v>202.00049999999999</v>
      </c>
      <c r="AD511" s="6">
        <f>$O$511*$X$511</f>
        <v>194.29955999999996</v>
      </c>
      <c r="AE511" s="6">
        <f>$K$511*$Y$511</f>
        <v>0</v>
      </c>
      <c r="AF511" s="6">
        <f ca="1">$M$511*$Z$511</f>
        <v>207.14548145935686</v>
      </c>
      <c r="AG511" s="6">
        <f ca="1">$O$511*$AA$511</f>
        <v>164.24168183171648</v>
      </c>
    </row>
    <row r="512" spans="1:33" ht="11.25" customHeight="1" x14ac:dyDescent="0.25">
      <c r="A512" s="4" t="s">
        <v>21</v>
      </c>
      <c r="B512" s="4" t="s">
        <v>42</v>
      </c>
      <c r="C512" s="4" t="s">
        <v>23</v>
      </c>
      <c r="D512" s="4" t="s">
        <v>43</v>
      </c>
      <c r="E512" s="4" t="s">
        <v>25</v>
      </c>
      <c r="F512" s="4" t="s">
        <v>25</v>
      </c>
      <c r="G512" s="4" t="s">
        <v>25</v>
      </c>
      <c r="H512" s="4" t="s">
        <v>25</v>
      </c>
      <c r="I512" s="5">
        <v>44621</v>
      </c>
      <c r="J512" s="6">
        <v>0</v>
      </c>
      <c r="K512" s="6">
        <v>0</v>
      </c>
      <c r="L512" s="6">
        <v>136.06200000000001</v>
      </c>
      <c r="M512" s="6">
        <v>136.06200000000001</v>
      </c>
      <c r="N512" s="6">
        <v>136.06200000000001</v>
      </c>
      <c r="O512" s="6">
        <v>136.06200000000001</v>
      </c>
      <c r="P512" s="6">
        <v>203</v>
      </c>
      <c r="Q512" s="4" t="s">
        <v>26</v>
      </c>
      <c r="R512" s="4">
        <v>0</v>
      </c>
      <c r="S512" s="6">
        <v>0</v>
      </c>
      <c r="T512" s="6">
        <v>32</v>
      </c>
      <c r="U512" s="6">
        <v>56</v>
      </c>
      <c r="V512" s="6">
        <f>IF(ISERROR(VLOOKUP($S$512,'TAR FIN'!$A$1:$O$86,15,0)),0,VLOOKUP($S$512,'TAR FIN'!$A$1:$O$86,15,0))</f>
        <v>0</v>
      </c>
      <c r="W512" s="6">
        <f>IF(ISERROR(VLOOKUP($T$512,'TAR FIN'!$A$1:$O$86,15,0)),0,VLOOKUP($T$512,'TAR FIN'!$A$1:$O$86,15,0))</f>
        <v>287.75</v>
      </c>
      <c r="X512" s="6">
        <f>IF(ISERROR(VLOOKUP($U$512,'TAR FIN'!$A$1:$O$86,15,0)),0,VLOOKUP($U$512,'TAR FIN'!$A$1:$O$86,15,0))</f>
        <v>276.77999999999997</v>
      </c>
      <c r="Y512" s="6"/>
      <c r="Z512" s="6">
        <f ca="1">('TUSD BE'!$AM$33+'TUSD BF_350'!$AM$33+'TUSD CVA'!$AM$33)*(1-CUSTOS!$M$38)</f>
        <v>295.07903341788727</v>
      </c>
      <c r="AA512" s="6">
        <f ca="1">('TE BE'!$AB$25+'TE BF_350'!$AB$25+'TE CVA'!$AB$25)*(1-CUSTOS!$M$38)</f>
        <v>233.96250973178988</v>
      </c>
      <c r="AB512" s="6">
        <f>$K$512*$V$512</f>
        <v>0</v>
      </c>
      <c r="AC512" s="6">
        <f>$M$512*$W$512</f>
        <v>39151.840500000006</v>
      </c>
      <c r="AD512" s="6">
        <f>$O$512*$X$512</f>
        <v>37659.240359999996</v>
      </c>
      <c r="AE512" s="6">
        <f>$K$512*$Y$512</f>
        <v>0</v>
      </c>
      <c r="AF512" s="6">
        <f ca="1">$M$512*$Z$512</f>
        <v>40149.043444904579</v>
      </c>
      <c r="AG512" s="6">
        <f ca="1">$O$512*$AA$512</f>
        <v>31833.406999126797</v>
      </c>
    </row>
    <row r="513" spans="1:33" ht="11.25" customHeight="1" x14ac:dyDescent="0.25">
      <c r="A513" s="4" t="s">
        <v>41</v>
      </c>
      <c r="B513" s="4" t="s">
        <v>42</v>
      </c>
      <c r="C513" s="4" t="s">
        <v>23</v>
      </c>
      <c r="D513" s="4" t="s">
        <v>43</v>
      </c>
      <c r="E513" s="4" t="s">
        <v>25</v>
      </c>
      <c r="F513" s="4" t="s">
        <v>25</v>
      </c>
      <c r="G513" s="4" t="s">
        <v>25</v>
      </c>
      <c r="H513" s="4" t="s">
        <v>25</v>
      </c>
      <c r="I513" s="5">
        <v>44621</v>
      </c>
      <c r="J513" s="6">
        <v>0</v>
      </c>
      <c r="K513" s="6">
        <v>0</v>
      </c>
      <c r="L513" s="6">
        <v>0.16</v>
      </c>
      <c r="M513" s="6">
        <v>0.16</v>
      </c>
      <c r="N513" s="6">
        <v>0.16</v>
      </c>
      <c r="O513" s="6">
        <v>0.16</v>
      </c>
      <c r="P513" s="6">
        <v>0</v>
      </c>
      <c r="Q513" s="4" t="s">
        <v>26</v>
      </c>
      <c r="R513" s="4">
        <v>0</v>
      </c>
      <c r="S513" s="6">
        <v>0</v>
      </c>
      <c r="T513" s="6">
        <v>32</v>
      </c>
      <c r="U513" s="6">
        <v>56</v>
      </c>
      <c r="V513" s="6">
        <f>IF(ISERROR(VLOOKUP($S$513,'TAR FIN'!$A$1:$O$86,15,0)),0,VLOOKUP($S$513,'TAR FIN'!$A$1:$O$86,15,0))</f>
        <v>0</v>
      </c>
      <c r="W513" s="6">
        <f>IF(ISERROR(VLOOKUP($T$513,'TAR FIN'!$A$1:$O$86,15,0)),0,VLOOKUP($T$513,'TAR FIN'!$A$1:$O$86,15,0))</f>
        <v>287.75</v>
      </c>
      <c r="X513" s="6">
        <f>IF(ISERROR(VLOOKUP($U$513,'TAR FIN'!$A$1:$O$86,15,0)),0,VLOOKUP($U$513,'TAR FIN'!$A$1:$O$86,15,0))</f>
        <v>276.77999999999997</v>
      </c>
      <c r="Y513" s="6"/>
      <c r="Z513" s="6">
        <f ca="1">('TUSD BE'!$AM$33+'TUSD BF_350'!$AM$33+'TUSD CVA'!$AM$33)*(1-CUSTOS!$M$38)</f>
        <v>295.07903341788727</v>
      </c>
      <c r="AA513" s="6">
        <f ca="1">('TE BE'!$AB$25+'TE BF_350'!$AB$25+'TE CVA'!$AB$25)*(1-CUSTOS!$M$38)</f>
        <v>233.96250973178988</v>
      </c>
      <c r="AB513" s="6">
        <f>$K$513*$V$513</f>
        <v>0</v>
      </c>
      <c r="AC513" s="6">
        <f>$M$513*$W$513</f>
        <v>46.04</v>
      </c>
      <c r="AD513" s="6">
        <f>$O$513*$X$513</f>
        <v>44.284799999999997</v>
      </c>
      <c r="AE513" s="6">
        <f>$K$513*$Y$513</f>
        <v>0</v>
      </c>
      <c r="AF513" s="6">
        <f ca="1">$M$513*$Z$513</f>
        <v>47.212645346861962</v>
      </c>
      <c r="AG513" s="6">
        <f ca="1">$O$513*$AA$513</f>
        <v>37.434001557086383</v>
      </c>
    </row>
    <row r="514" spans="1:33" ht="11.25" customHeight="1" x14ac:dyDescent="0.25">
      <c r="A514" s="4" t="s">
        <v>27</v>
      </c>
      <c r="B514" s="4" t="s">
        <v>42</v>
      </c>
      <c r="C514" s="4" t="s">
        <v>23</v>
      </c>
      <c r="D514" s="4" t="s">
        <v>43</v>
      </c>
      <c r="E514" s="4" t="s">
        <v>25</v>
      </c>
      <c r="F514" s="4" t="s">
        <v>25</v>
      </c>
      <c r="G514" s="4" t="s">
        <v>25</v>
      </c>
      <c r="H514" s="4" t="s">
        <v>25</v>
      </c>
      <c r="I514" s="5">
        <v>44621</v>
      </c>
      <c r="J514" s="6">
        <v>0</v>
      </c>
      <c r="K514" s="6">
        <v>0</v>
      </c>
      <c r="L514" s="6">
        <v>0.46899999999999997</v>
      </c>
      <c r="M514" s="6">
        <v>0.46899999999999997</v>
      </c>
      <c r="N514" s="6">
        <v>0.46899999999999997</v>
      </c>
      <c r="O514" s="6">
        <v>0.46899999999999997</v>
      </c>
      <c r="P514" s="6">
        <v>5</v>
      </c>
      <c r="Q514" s="4" t="s">
        <v>26</v>
      </c>
      <c r="R514" s="4">
        <v>0</v>
      </c>
      <c r="S514" s="6">
        <v>0</v>
      </c>
      <c r="T514" s="6">
        <v>32</v>
      </c>
      <c r="U514" s="6">
        <v>56</v>
      </c>
      <c r="V514" s="6">
        <f>IF(ISERROR(VLOOKUP($S$514,'TAR FIN'!$A$1:$O$86,15,0)),0,VLOOKUP($S$514,'TAR FIN'!$A$1:$O$86,15,0))</f>
        <v>0</v>
      </c>
      <c r="W514" s="6">
        <f>IF(ISERROR(VLOOKUP($T$514,'TAR FIN'!$A$1:$O$86,15,0)),0,VLOOKUP($T$514,'TAR FIN'!$A$1:$O$86,15,0))</f>
        <v>287.75</v>
      </c>
      <c r="X514" s="6">
        <f>IF(ISERROR(VLOOKUP($U$514,'TAR FIN'!$A$1:$O$86,15,0)),0,VLOOKUP($U$514,'TAR FIN'!$A$1:$O$86,15,0))</f>
        <v>276.77999999999997</v>
      </c>
      <c r="Y514" s="6"/>
      <c r="Z514" s="6">
        <f ca="1">('TUSD BE'!$AM$33+'TUSD BF_350'!$AM$33+'TUSD CVA'!$AM$33)*(1-CUSTOS!$M$38)</f>
        <v>295.07903341788727</v>
      </c>
      <c r="AA514" s="6">
        <f ca="1">('TE BE'!$AB$25+'TE BF_350'!$AB$25+'TE CVA'!$AB$25)*(1-CUSTOS!$M$38)</f>
        <v>233.96250973178988</v>
      </c>
      <c r="AB514" s="6">
        <f>$K$514*$V$514</f>
        <v>0</v>
      </c>
      <c r="AC514" s="6">
        <f>$M$514*$W$514</f>
        <v>134.95474999999999</v>
      </c>
      <c r="AD514" s="6">
        <f>$O$514*$X$514</f>
        <v>129.80981999999997</v>
      </c>
      <c r="AE514" s="6">
        <f>$K$514*$Y$514</f>
        <v>0</v>
      </c>
      <c r="AF514" s="6">
        <f ca="1">$M$514*$Z$514</f>
        <v>138.39206667298913</v>
      </c>
      <c r="AG514" s="6">
        <f ca="1">$O$514*$AA$514</f>
        <v>109.72841706420945</v>
      </c>
    </row>
    <row r="515" spans="1:33" ht="11.25" customHeight="1" x14ac:dyDescent="0.25">
      <c r="A515" s="4" t="s">
        <v>21</v>
      </c>
      <c r="B515" s="4" t="s">
        <v>42</v>
      </c>
      <c r="C515" s="4" t="s">
        <v>23</v>
      </c>
      <c r="D515" s="4" t="s">
        <v>43</v>
      </c>
      <c r="E515" s="4" t="s">
        <v>25</v>
      </c>
      <c r="F515" s="4" t="s">
        <v>25</v>
      </c>
      <c r="G515" s="4" t="s">
        <v>25</v>
      </c>
      <c r="H515" s="4" t="s">
        <v>25</v>
      </c>
      <c r="I515" s="5">
        <v>44652</v>
      </c>
      <c r="J515" s="6">
        <v>0</v>
      </c>
      <c r="K515" s="6">
        <v>0</v>
      </c>
      <c r="L515" s="6">
        <v>149.77799999999999</v>
      </c>
      <c r="M515" s="6">
        <v>149.77799999999999</v>
      </c>
      <c r="N515" s="6">
        <v>149.77799999999999</v>
      </c>
      <c r="O515" s="6">
        <v>149.77799999999999</v>
      </c>
      <c r="P515" s="6">
        <v>203</v>
      </c>
      <c r="Q515" s="4" t="s">
        <v>26</v>
      </c>
      <c r="R515" s="4">
        <v>0</v>
      </c>
      <c r="S515" s="6">
        <v>0</v>
      </c>
      <c r="T515" s="6">
        <v>32</v>
      </c>
      <c r="U515" s="6">
        <v>56</v>
      </c>
      <c r="V515" s="6">
        <f>IF(ISERROR(VLOOKUP($S$515,'TAR FIN'!$A$1:$O$86,15,0)),0,VLOOKUP($S$515,'TAR FIN'!$A$1:$O$86,15,0))</f>
        <v>0</v>
      </c>
      <c r="W515" s="6">
        <f>IF(ISERROR(VLOOKUP($T$515,'TAR FIN'!$A$1:$O$86,15,0)),0,VLOOKUP($T$515,'TAR FIN'!$A$1:$O$86,15,0))</f>
        <v>287.75</v>
      </c>
      <c r="X515" s="6">
        <f>IF(ISERROR(VLOOKUP($U$515,'TAR FIN'!$A$1:$O$86,15,0)),0,VLOOKUP($U$515,'TAR FIN'!$A$1:$O$86,15,0))</f>
        <v>276.77999999999997</v>
      </c>
      <c r="Y515" s="6"/>
      <c r="Z515" s="6">
        <f ca="1">('TUSD BE'!$AM$33+'TUSD BF_350'!$AM$33+'TUSD CVA'!$AM$33)*(1-CUSTOS!$M$38)</f>
        <v>295.07903341788727</v>
      </c>
      <c r="AA515" s="6">
        <f ca="1">('TE BE'!$AB$25+'TE BF_350'!$AB$25+'TE CVA'!$AB$25)*(1-CUSTOS!$M$38)</f>
        <v>233.96250973178988</v>
      </c>
      <c r="AB515" s="6">
        <f>$K$515*$V$515</f>
        <v>0</v>
      </c>
      <c r="AC515" s="6">
        <f>$M$515*$W$515</f>
        <v>43098.619500000001</v>
      </c>
      <c r="AD515" s="6">
        <f>$O$515*$X$515</f>
        <v>41455.554839999997</v>
      </c>
      <c r="AE515" s="6">
        <f>$K$515*$Y$515</f>
        <v>0</v>
      </c>
      <c r="AF515" s="6">
        <f ca="1">$M$515*$Z$515</f>
        <v>44196.347467264321</v>
      </c>
      <c r="AG515" s="6">
        <f ca="1">$O$515*$AA$515</f>
        <v>35042.43678260802</v>
      </c>
    </row>
    <row r="516" spans="1:33" ht="11.25" customHeight="1" x14ac:dyDescent="0.25">
      <c r="A516" s="4" t="s">
        <v>27</v>
      </c>
      <c r="B516" s="4" t="s">
        <v>42</v>
      </c>
      <c r="C516" s="4" t="s">
        <v>23</v>
      </c>
      <c r="D516" s="4" t="s">
        <v>43</v>
      </c>
      <c r="E516" s="4" t="s">
        <v>25</v>
      </c>
      <c r="F516" s="4" t="s">
        <v>25</v>
      </c>
      <c r="G516" s="4" t="s">
        <v>25</v>
      </c>
      <c r="H516" s="4" t="s">
        <v>25</v>
      </c>
      <c r="I516" s="5">
        <v>44652</v>
      </c>
      <c r="J516" s="6">
        <v>0</v>
      </c>
      <c r="K516" s="6">
        <v>0</v>
      </c>
      <c r="L516" s="6">
        <v>1.0640000000000001</v>
      </c>
      <c r="M516" s="6">
        <v>1.0640000000000001</v>
      </c>
      <c r="N516" s="6">
        <v>1.0640000000000001</v>
      </c>
      <c r="O516" s="6">
        <v>1.0640000000000001</v>
      </c>
      <c r="P516" s="6">
        <v>5</v>
      </c>
      <c r="Q516" s="4" t="s">
        <v>26</v>
      </c>
      <c r="R516" s="4">
        <v>0</v>
      </c>
      <c r="S516" s="6">
        <v>0</v>
      </c>
      <c r="T516" s="6">
        <v>32</v>
      </c>
      <c r="U516" s="6">
        <v>56</v>
      </c>
      <c r="V516" s="6">
        <f>IF(ISERROR(VLOOKUP($S$516,'TAR FIN'!$A$1:$O$86,15,0)),0,VLOOKUP($S$516,'TAR FIN'!$A$1:$O$86,15,0))</f>
        <v>0</v>
      </c>
      <c r="W516" s="6">
        <f>IF(ISERROR(VLOOKUP($T$516,'TAR FIN'!$A$1:$O$86,15,0)),0,VLOOKUP($T$516,'TAR FIN'!$A$1:$O$86,15,0))</f>
        <v>287.75</v>
      </c>
      <c r="X516" s="6">
        <f>IF(ISERROR(VLOOKUP($U$516,'TAR FIN'!$A$1:$O$86,15,0)),0,VLOOKUP($U$516,'TAR FIN'!$A$1:$O$86,15,0))</f>
        <v>276.77999999999997</v>
      </c>
      <c r="Y516" s="6"/>
      <c r="Z516" s="6">
        <f ca="1">('TUSD BE'!$AM$33+'TUSD BF_350'!$AM$33+'TUSD CVA'!$AM$33)*(1-CUSTOS!$M$38)</f>
        <v>295.07903341788727</v>
      </c>
      <c r="AA516" s="6">
        <f ca="1">('TE BE'!$AB$25+'TE BF_350'!$AB$25+'TE CVA'!$AB$25)*(1-CUSTOS!$M$38)</f>
        <v>233.96250973178988</v>
      </c>
      <c r="AB516" s="6">
        <f>$K$516*$V$516</f>
        <v>0</v>
      </c>
      <c r="AC516" s="6">
        <f>$M$516*$W$516</f>
        <v>306.166</v>
      </c>
      <c r="AD516" s="6">
        <f>$O$516*$X$516</f>
        <v>294.49392</v>
      </c>
      <c r="AE516" s="6">
        <f>$K$516*$Y$516</f>
        <v>0</v>
      </c>
      <c r="AF516" s="6">
        <f ca="1">$M$516*$Z$516</f>
        <v>313.96409155663207</v>
      </c>
      <c r="AG516" s="6">
        <f ca="1">$O$516*$AA$516</f>
        <v>248.93611035462445</v>
      </c>
    </row>
    <row r="517" spans="1:33" ht="11.25" customHeight="1" x14ac:dyDescent="0.25">
      <c r="A517" s="4" t="s">
        <v>21</v>
      </c>
      <c r="B517" s="4" t="s">
        <v>42</v>
      </c>
      <c r="C517" s="4" t="s">
        <v>23</v>
      </c>
      <c r="D517" s="4" t="s">
        <v>43</v>
      </c>
      <c r="E517" s="4" t="s">
        <v>25</v>
      </c>
      <c r="F517" s="4" t="s">
        <v>25</v>
      </c>
      <c r="G517" s="4" t="s">
        <v>25</v>
      </c>
      <c r="H517" s="4" t="s">
        <v>25</v>
      </c>
      <c r="I517" s="5">
        <v>44682</v>
      </c>
      <c r="J517" s="6">
        <v>0</v>
      </c>
      <c r="K517" s="6">
        <v>0</v>
      </c>
      <c r="L517" s="6">
        <v>129.52199999999999</v>
      </c>
      <c r="M517" s="6">
        <v>129.52199999999999</v>
      </c>
      <c r="N517" s="6">
        <v>129.52199999999999</v>
      </c>
      <c r="O517" s="6">
        <v>129.52199999999999</v>
      </c>
      <c r="P517" s="6">
        <v>202</v>
      </c>
      <c r="Q517" s="4" t="s">
        <v>26</v>
      </c>
      <c r="R517" s="4">
        <v>0</v>
      </c>
      <c r="S517" s="6">
        <v>0</v>
      </c>
      <c r="T517" s="6">
        <v>32</v>
      </c>
      <c r="U517" s="6">
        <v>56</v>
      </c>
      <c r="V517" s="6">
        <f>IF(ISERROR(VLOOKUP($S$517,'TAR FIN'!$A$1:$O$86,15,0)),0,VLOOKUP($S$517,'TAR FIN'!$A$1:$O$86,15,0))</f>
        <v>0</v>
      </c>
      <c r="W517" s="6">
        <f>IF(ISERROR(VLOOKUP($T$517,'TAR FIN'!$A$1:$O$86,15,0)),0,VLOOKUP($T$517,'TAR FIN'!$A$1:$O$86,15,0))</f>
        <v>287.75</v>
      </c>
      <c r="X517" s="6">
        <f>IF(ISERROR(VLOOKUP($U$517,'TAR FIN'!$A$1:$O$86,15,0)),0,VLOOKUP($U$517,'TAR FIN'!$A$1:$O$86,15,0))</f>
        <v>276.77999999999997</v>
      </c>
      <c r="Y517" s="6"/>
      <c r="Z517" s="6">
        <f ca="1">('TUSD BE'!$AM$33+'TUSD BF_350'!$AM$33+'TUSD CVA'!$AM$33)*(1-CUSTOS!$M$38)</f>
        <v>295.07903341788727</v>
      </c>
      <c r="AA517" s="6">
        <f ca="1">('TE BE'!$AB$25+'TE BF_350'!$AB$25+'TE CVA'!$AB$25)*(1-CUSTOS!$M$38)</f>
        <v>233.96250973178988</v>
      </c>
      <c r="AB517" s="6">
        <f>$K$517*$V$517</f>
        <v>0</v>
      </c>
      <c r="AC517" s="6">
        <f>$M$517*$W$517</f>
        <v>37269.955499999996</v>
      </c>
      <c r="AD517" s="6">
        <f>$O$517*$X$517</f>
        <v>35849.099159999991</v>
      </c>
      <c r="AE517" s="6">
        <f>$K$517*$Y$517</f>
        <v>0</v>
      </c>
      <c r="AF517" s="6">
        <f ca="1">$M$517*$Z$517</f>
        <v>38219.226566351594</v>
      </c>
      <c r="AG517" s="6">
        <f ca="1">$O$517*$AA$517</f>
        <v>30303.292185480888</v>
      </c>
    </row>
    <row r="518" spans="1:33" ht="11.25" customHeight="1" x14ac:dyDescent="0.25">
      <c r="A518" s="4" t="s">
        <v>27</v>
      </c>
      <c r="B518" s="4" t="s">
        <v>42</v>
      </c>
      <c r="C518" s="4" t="s">
        <v>23</v>
      </c>
      <c r="D518" s="4" t="s">
        <v>43</v>
      </c>
      <c r="E518" s="4" t="s">
        <v>25</v>
      </c>
      <c r="F518" s="4" t="s">
        <v>25</v>
      </c>
      <c r="G518" s="4" t="s">
        <v>25</v>
      </c>
      <c r="H518" s="4" t="s">
        <v>25</v>
      </c>
      <c r="I518" s="5">
        <v>44682</v>
      </c>
      <c r="J518" s="6">
        <v>0</v>
      </c>
      <c r="K518" s="6">
        <v>0</v>
      </c>
      <c r="L518" s="6">
        <v>6.4989999999999997</v>
      </c>
      <c r="M518" s="6">
        <v>6.4989999999999997</v>
      </c>
      <c r="N518" s="6">
        <v>6.4989999999999997</v>
      </c>
      <c r="O518" s="6">
        <v>6.4989999999999997</v>
      </c>
      <c r="P518" s="6">
        <v>6</v>
      </c>
      <c r="Q518" s="4" t="s">
        <v>26</v>
      </c>
      <c r="R518" s="4">
        <v>0</v>
      </c>
      <c r="S518" s="6">
        <v>0</v>
      </c>
      <c r="T518" s="6">
        <v>32</v>
      </c>
      <c r="U518" s="6">
        <v>56</v>
      </c>
      <c r="V518" s="6">
        <f>IF(ISERROR(VLOOKUP($S$518,'TAR FIN'!$A$1:$O$86,15,0)),0,VLOOKUP($S$518,'TAR FIN'!$A$1:$O$86,15,0))</f>
        <v>0</v>
      </c>
      <c r="W518" s="6">
        <f>IF(ISERROR(VLOOKUP($T$518,'TAR FIN'!$A$1:$O$86,15,0)),0,VLOOKUP($T$518,'TAR FIN'!$A$1:$O$86,15,0))</f>
        <v>287.75</v>
      </c>
      <c r="X518" s="6">
        <f>IF(ISERROR(VLOOKUP($U$518,'TAR FIN'!$A$1:$O$86,15,0)),0,VLOOKUP($U$518,'TAR FIN'!$A$1:$O$86,15,0))</f>
        <v>276.77999999999997</v>
      </c>
      <c r="Y518" s="6"/>
      <c r="Z518" s="6">
        <f ca="1">('TUSD BE'!$AM$33+'TUSD BF_350'!$AM$33+'TUSD CVA'!$AM$33)*(1-CUSTOS!$M$38)</f>
        <v>295.07903341788727</v>
      </c>
      <c r="AA518" s="6">
        <f ca="1">('TE BE'!$AB$25+'TE BF_350'!$AB$25+'TE CVA'!$AB$25)*(1-CUSTOS!$M$38)</f>
        <v>233.96250973178988</v>
      </c>
      <c r="AB518" s="6">
        <f>$K$518*$V$518</f>
        <v>0</v>
      </c>
      <c r="AC518" s="6">
        <f>$M$518*$W$518</f>
        <v>1870.0872499999998</v>
      </c>
      <c r="AD518" s="6">
        <f>$O$518*$X$518</f>
        <v>1798.7932199999998</v>
      </c>
      <c r="AE518" s="6">
        <f>$K$518*$Y$518</f>
        <v>0</v>
      </c>
      <c r="AF518" s="6">
        <f ca="1">$M$518*$Z$518</f>
        <v>1917.7186381828492</v>
      </c>
      <c r="AG518" s="6">
        <f ca="1">$O$518*$AA$518</f>
        <v>1520.5223507469022</v>
      </c>
    </row>
    <row r="519" spans="1:33" ht="11.25" customHeight="1" x14ac:dyDescent="0.25">
      <c r="A519" s="4" t="s">
        <v>55</v>
      </c>
      <c r="B519" s="4" t="s">
        <v>42</v>
      </c>
      <c r="C519" s="4" t="s">
        <v>23</v>
      </c>
      <c r="D519" s="4" t="s">
        <v>43</v>
      </c>
      <c r="E519" s="4" t="s">
        <v>25</v>
      </c>
      <c r="F519" s="4" t="s">
        <v>25</v>
      </c>
      <c r="G519" s="4" t="s">
        <v>25</v>
      </c>
      <c r="H519" s="4" t="s">
        <v>25</v>
      </c>
      <c r="I519" s="5">
        <v>44713</v>
      </c>
      <c r="J519" s="6">
        <v>0</v>
      </c>
      <c r="K519" s="6">
        <v>0</v>
      </c>
      <c r="L519" s="6">
        <v>129.52199999999999</v>
      </c>
      <c r="M519" s="6">
        <v>129.52199999999999</v>
      </c>
      <c r="N519" s="6">
        <v>129.52199999999999</v>
      </c>
      <c r="O519" s="6">
        <v>129.52199999999999</v>
      </c>
      <c r="P519" s="6">
        <v>202</v>
      </c>
      <c r="Q519" s="4" t="s">
        <v>26</v>
      </c>
      <c r="R519" s="4">
        <v>0</v>
      </c>
      <c r="S519" s="6">
        <v>0</v>
      </c>
      <c r="T519" s="6">
        <v>32</v>
      </c>
      <c r="U519" s="6">
        <v>56</v>
      </c>
      <c r="V519" s="6">
        <f>IF(ISERROR(VLOOKUP($S$519,'TAR FIN'!$A$1:$O$86,15,0)),0,VLOOKUP($S$519,'TAR FIN'!$A$1:$O$86,15,0))</f>
        <v>0</v>
      </c>
      <c r="W519" s="6">
        <f>IF(ISERROR(VLOOKUP($T$519,'TAR FIN'!$A$1:$O$86,15,0)),0,VLOOKUP($T$519,'TAR FIN'!$A$1:$O$86,15,0))</f>
        <v>287.75</v>
      </c>
      <c r="X519" s="6">
        <f>IF(ISERROR(VLOOKUP($U$519,'TAR FIN'!$A$1:$O$86,15,0)),0,VLOOKUP($U$519,'TAR FIN'!$A$1:$O$86,15,0))</f>
        <v>276.77999999999997</v>
      </c>
      <c r="Y519" s="6"/>
      <c r="Z519" s="6">
        <f ca="1">('TUSD BE'!$AM$33+'TUSD BF_350'!$AM$33+'TUSD CVA'!$AM$33)*(1-CUSTOS!$M$38)</f>
        <v>295.07903341788727</v>
      </c>
      <c r="AA519" s="6">
        <f ca="1">('TE BE'!$AB$25+'TE BF_350'!$AB$25+'TE CVA'!$AB$25)*(1-CUSTOS!$M$38)</f>
        <v>233.96250973178988</v>
      </c>
      <c r="AB519" s="6">
        <f>$K$519*$V$519</f>
        <v>0</v>
      </c>
      <c r="AC519" s="6">
        <f>$M$519*$W$519</f>
        <v>37269.955499999996</v>
      </c>
      <c r="AD519" s="6">
        <f>$O$519*$X$519</f>
        <v>35849.099159999991</v>
      </c>
      <c r="AE519" s="6">
        <f>$K$519*$Y$519</f>
        <v>0</v>
      </c>
      <c r="AF519" s="6">
        <f ca="1">$M$519*$Z$519</f>
        <v>38219.226566351594</v>
      </c>
      <c r="AG519" s="6">
        <f ca="1">$O$519*$AA$519</f>
        <v>30303.292185480888</v>
      </c>
    </row>
    <row r="520" spans="1:33" ht="11.25" customHeight="1" x14ac:dyDescent="0.25">
      <c r="A520" s="4" t="s">
        <v>55</v>
      </c>
      <c r="B520" s="4" t="s">
        <v>42</v>
      </c>
      <c r="C520" s="4" t="s">
        <v>23</v>
      </c>
      <c r="D520" s="4" t="s">
        <v>43</v>
      </c>
      <c r="E520" s="4" t="s">
        <v>25</v>
      </c>
      <c r="F520" s="4" t="s">
        <v>25</v>
      </c>
      <c r="G520" s="4" t="s">
        <v>25</v>
      </c>
      <c r="H520" s="4" t="s">
        <v>25</v>
      </c>
      <c r="I520" s="5">
        <v>44713</v>
      </c>
      <c r="J520" s="6">
        <v>0</v>
      </c>
      <c r="K520" s="6">
        <v>0</v>
      </c>
      <c r="L520" s="6">
        <v>6.4989999999999997</v>
      </c>
      <c r="M520" s="6">
        <v>6.4989999999999997</v>
      </c>
      <c r="N520" s="6">
        <v>6.4989999999999997</v>
      </c>
      <c r="O520" s="6">
        <v>6.4989999999999997</v>
      </c>
      <c r="P520" s="6">
        <v>6</v>
      </c>
      <c r="Q520" s="4" t="s">
        <v>26</v>
      </c>
      <c r="R520" s="4">
        <v>0</v>
      </c>
      <c r="S520" s="6">
        <v>0</v>
      </c>
      <c r="T520" s="6">
        <v>32</v>
      </c>
      <c r="U520" s="6">
        <v>56</v>
      </c>
      <c r="V520" s="6">
        <f>IF(ISERROR(VLOOKUP($S$520,'TAR FIN'!$A$1:$O$86,15,0)),0,VLOOKUP($S$520,'TAR FIN'!$A$1:$O$86,15,0))</f>
        <v>0</v>
      </c>
      <c r="W520" s="6">
        <f>IF(ISERROR(VLOOKUP($T$520,'TAR FIN'!$A$1:$O$86,15,0)),0,VLOOKUP($T$520,'TAR FIN'!$A$1:$O$86,15,0))</f>
        <v>287.75</v>
      </c>
      <c r="X520" s="6">
        <f>IF(ISERROR(VLOOKUP($U$520,'TAR FIN'!$A$1:$O$86,15,0)),0,VLOOKUP($U$520,'TAR FIN'!$A$1:$O$86,15,0))</f>
        <v>276.77999999999997</v>
      </c>
      <c r="Y520" s="6"/>
      <c r="Z520" s="6">
        <f ca="1">('TUSD BE'!$AM$33+'TUSD BF_350'!$AM$33+'TUSD CVA'!$AM$33)*(1-CUSTOS!$M$38)</f>
        <v>295.07903341788727</v>
      </c>
      <c r="AA520" s="6">
        <f ca="1">('TE BE'!$AB$25+'TE BF_350'!$AB$25+'TE CVA'!$AB$25)*(1-CUSTOS!$M$38)</f>
        <v>233.96250973178988</v>
      </c>
      <c r="AB520" s="6">
        <f>$K$520*$V$520</f>
        <v>0</v>
      </c>
      <c r="AC520" s="6">
        <f>$M$520*$W$520</f>
        <v>1870.0872499999998</v>
      </c>
      <c r="AD520" s="6">
        <f>$O$520*$X$520</f>
        <v>1798.7932199999998</v>
      </c>
      <c r="AE520" s="6">
        <f>$K$520*$Y$520</f>
        <v>0</v>
      </c>
      <c r="AF520" s="6">
        <f ca="1">$M$520*$Z$520</f>
        <v>1917.7186381828492</v>
      </c>
      <c r="AG520" s="6">
        <f ca="1">$O$520*$AA$520</f>
        <v>1520.5223507469022</v>
      </c>
    </row>
    <row r="521" spans="1:33" ht="11.25" customHeight="1" x14ac:dyDescent="0.25">
      <c r="A521" s="4" t="s">
        <v>21</v>
      </c>
      <c r="B521" s="4" t="s">
        <v>36</v>
      </c>
      <c r="C521" s="4" t="s">
        <v>32</v>
      </c>
      <c r="D521" s="4" t="s">
        <v>44</v>
      </c>
      <c r="E521" s="4" t="s">
        <v>25</v>
      </c>
      <c r="F521" s="4" t="s">
        <v>25</v>
      </c>
      <c r="G521" s="4" t="s">
        <v>25</v>
      </c>
      <c r="H521" s="4" t="s">
        <v>34</v>
      </c>
      <c r="I521" s="5">
        <v>44652</v>
      </c>
      <c r="J521" s="6">
        <v>0</v>
      </c>
      <c r="K521" s="6">
        <v>0</v>
      </c>
      <c r="L521" s="6">
        <v>1.9950000000000001</v>
      </c>
      <c r="M521" s="6">
        <v>1.9950000000000001</v>
      </c>
      <c r="N521" s="6">
        <v>1.9950000000000001</v>
      </c>
      <c r="O521" s="6">
        <v>1.9950000000000001</v>
      </c>
      <c r="P521" s="6">
        <v>0</v>
      </c>
      <c r="Q521" s="4" t="s">
        <v>26</v>
      </c>
      <c r="R521" s="4">
        <v>0</v>
      </c>
      <c r="S521" s="6">
        <v>0</v>
      </c>
      <c r="T521" s="6">
        <v>27</v>
      </c>
      <c r="U521" s="6">
        <v>75</v>
      </c>
      <c r="V521" s="6">
        <f>IF(ISERROR(VLOOKUP($S$521,'TAR FIN'!$A$1:$O$86,15,0)),0,VLOOKUP($S$521,'TAR FIN'!$A$1:$O$86,15,0))</f>
        <v>0</v>
      </c>
      <c r="W521" s="6">
        <f>IF(ISERROR(VLOOKUP($T$521,'TAR FIN'!$A$1:$O$86,15,0)),0,VLOOKUP($T$521,'TAR FIN'!$A$1:$O$86,15,0))</f>
        <v>289.85000000000002</v>
      </c>
      <c r="X521" s="6">
        <f>IF(ISERROR(VLOOKUP($U$521,'TAR FIN'!$A$1:$O$86,15,0)),0,VLOOKUP($U$521,'TAR FIN'!$A$1:$O$86,15,0))</f>
        <v>297.31</v>
      </c>
      <c r="Y521" s="6"/>
      <c r="Z521" s="6">
        <f ca="1">('TUSD BE'!$AM$47+'TUSD BF_350'!$AM$47+'TUSD CVA'!$AM$47)*1</f>
        <v>264.42854767967623</v>
      </c>
      <c r="AA521" s="6">
        <f ca="1">('TE BE'!$AB$39+'TE BF_350'!$AB$39+'TE CVA'!$AB$39)*1</f>
        <v>235.33989117487977</v>
      </c>
      <c r="AB521" s="6">
        <f>$K$521*$V$521</f>
        <v>0</v>
      </c>
      <c r="AC521" s="6">
        <f>$M$521*$W$521</f>
        <v>578.25075000000004</v>
      </c>
      <c r="AD521" s="6">
        <f>$O$521*$X$521</f>
        <v>593.13345000000004</v>
      </c>
      <c r="AE521" s="6">
        <f>$K$521*$Y$521</f>
        <v>0</v>
      </c>
      <c r="AF521" s="6">
        <f ca="1">$M$521*$Z$521</f>
        <v>527.53495262095407</v>
      </c>
      <c r="AG521" s="6">
        <f ca="1">$O$521*$AA$521</f>
        <v>469.50308289388516</v>
      </c>
    </row>
    <row r="522" spans="1:33" ht="11.25" customHeight="1" x14ac:dyDescent="0.25">
      <c r="A522" s="4" t="s">
        <v>21</v>
      </c>
      <c r="B522" s="4" t="s">
        <v>36</v>
      </c>
      <c r="C522" s="4" t="s">
        <v>32</v>
      </c>
      <c r="D522" s="4" t="s">
        <v>44</v>
      </c>
      <c r="E522" s="4" t="s">
        <v>25</v>
      </c>
      <c r="F522" s="4" t="s">
        <v>25</v>
      </c>
      <c r="G522" s="4" t="s">
        <v>25</v>
      </c>
      <c r="H522" s="4" t="s">
        <v>34</v>
      </c>
      <c r="I522" s="5">
        <v>44682</v>
      </c>
      <c r="J522" s="6">
        <v>0</v>
      </c>
      <c r="K522" s="6">
        <v>0</v>
      </c>
      <c r="L522" s="6">
        <v>2.1360000000000001</v>
      </c>
      <c r="M522" s="6">
        <v>2.1360000000000001</v>
      </c>
      <c r="N522" s="6">
        <v>2.1360000000000001</v>
      </c>
      <c r="O522" s="6">
        <v>2.1360000000000001</v>
      </c>
      <c r="P522" s="6">
        <v>0</v>
      </c>
      <c r="Q522" s="4" t="s">
        <v>26</v>
      </c>
      <c r="R522" s="4">
        <v>0</v>
      </c>
      <c r="S522" s="6">
        <v>0</v>
      </c>
      <c r="T522" s="6">
        <v>27</v>
      </c>
      <c r="U522" s="6">
        <v>75</v>
      </c>
      <c r="V522" s="6">
        <f>IF(ISERROR(VLOOKUP($S$522,'TAR FIN'!$A$1:$O$86,15,0)),0,VLOOKUP($S$522,'TAR FIN'!$A$1:$O$86,15,0))</f>
        <v>0</v>
      </c>
      <c r="W522" s="6">
        <f>IF(ISERROR(VLOOKUP($T$522,'TAR FIN'!$A$1:$O$86,15,0)),0,VLOOKUP($T$522,'TAR FIN'!$A$1:$O$86,15,0))</f>
        <v>289.85000000000002</v>
      </c>
      <c r="X522" s="6">
        <f>IF(ISERROR(VLOOKUP($U$522,'TAR FIN'!$A$1:$O$86,15,0)),0,VLOOKUP($U$522,'TAR FIN'!$A$1:$O$86,15,0))</f>
        <v>297.31</v>
      </c>
      <c r="Y522" s="6"/>
      <c r="Z522" s="6">
        <f ca="1">('TUSD BE'!$AM$47+'TUSD BF_350'!$AM$47+'TUSD CVA'!$AM$47)*1</f>
        <v>264.42854767967623</v>
      </c>
      <c r="AA522" s="6">
        <f ca="1">('TE BE'!$AB$39+'TE BF_350'!$AB$39+'TE CVA'!$AB$39)*1</f>
        <v>235.33989117487977</v>
      </c>
      <c r="AB522" s="6">
        <f>$K$522*$V$522</f>
        <v>0</v>
      </c>
      <c r="AC522" s="6">
        <f>$M$522*$W$522</f>
        <v>619.1196000000001</v>
      </c>
      <c r="AD522" s="6">
        <f>$O$522*$X$522</f>
        <v>635.05416000000002</v>
      </c>
      <c r="AE522" s="6">
        <f>$K$522*$Y$522</f>
        <v>0</v>
      </c>
      <c r="AF522" s="6">
        <f ca="1">$M$522*$Z$522</f>
        <v>564.8193778437884</v>
      </c>
      <c r="AG522" s="6">
        <f ca="1">$O$522*$AA$522</f>
        <v>502.68600754954321</v>
      </c>
    </row>
    <row r="523" spans="1:33" ht="11.25" customHeight="1" x14ac:dyDescent="0.25">
      <c r="A523" s="4" t="s">
        <v>55</v>
      </c>
      <c r="B523" s="4" t="s">
        <v>36</v>
      </c>
      <c r="C523" s="4" t="s">
        <v>32</v>
      </c>
      <c r="D523" s="4" t="s">
        <v>44</v>
      </c>
      <c r="E523" s="4" t="s">
        <v>25</v>
      </c>
      <c r="F523" s="4" t="s">
        <v>25</v>
      </c>
      <c r="G523" s="4" t="s">
        <v>25</v>
      </c>
      <c r="H523" s="4" t="s">
        <v>34</v>
      </c>
      <c r="I523" s="5">
        <v>44713</v>
      </c>
      <c r="J523" s="6">
        <v>0</v>
      </c>
      <c r="K523" s="6">
        <v>0</v>
      </c>
      <c r="L523" s="6">
        <v>2.1360000000000001</v>
      </c>
      <c r="M523" s="6">
        <v>2.1360000000000001</v>
      </c>
      <c r="N523" s="6">
        <v>2.1360000000000001</v>
      </c>
      <c r="O523" s="6">
        <v>2.1360000000000001</v>
      </c>
      <c r="P523" s="6">
        <v>0</v>
      </c>
      <c r="Q523" s="4" t="s">
        <v>26</v>
      </c>
      <c r="R523" s="4">
        <v>0</v>
      </c>
      <c r="S523" s="6">
        <v>0</v>
      </c>
      <c r="T523" s="6">
        <v>27</v>
      </c>
      <c r="U523" s="6">
        <v>75</v>
      </c>
      <c r="V523" s="6">
        <f>IF(ISERROR(VLOOKUP($S$523,'TAR FIN'!$A$1:$O$86,15,0)),0,VLOOKUP($S$523,'TAR FIN'!$A$1:$O$86,15,0))</f>
        <v>0</v>
      </c>
      <c r="W523" s="6">
        <f>IF(ISERROR(VLOOKUP($T$523,'TAR FIN'!$A$1:$O$86,15,0)),0,VLOOKUP($T$523,'TAR FIN'!$A$1:$O$86,15,0))</f>
        <v>289.85000000000002</v>
      </c>
      <c r="X523" s="6">
        <f>IF(ISERROR(VLOOKUP($U$523,'TAR FIN'!$A$1:$O$86,15,0)),0,VLOOKUP($U$523,'TAR FIN'!$A$1:$O$86,15,0))</f>
        <v>297.31</v>
      </c>
      <c r="Y523" s="6"/>
      <c r="Z523" s="6">
        <f ca="1">('TUSD BE'!$AM$47+'TUSD BF_350'!$AM$47+'TUSD CVA'!$AM$47)*1</f>
        <v>264.42854767967623</v>
      </c>
      <c r="AA523" s="6">
        <f ca="1">('TE BE'!$AB$39+'TE BF_350'!$AB$39+'TE CVA'!$AB$39)*1</f>
        <v>235.33989117487977</v>
      </c>
      <c r="AB523" s="6">
        <f>$K$523*$V$523</f>
        <v>0</v>
      </c>
      <c r="AC523" s="6">
        <f>$M$523*$W$523</f>
        <v>619.1196000000001</v>
      </c>
      <c r="AD523" s="6">
        <f>$O$523*$X$523</f>
        <v>635.05416000000002</v>
      </c>
      <c r="AE523" s="6">
        <f>$K$523*$Y$523</f>
        <v>0</v>
      </c>
      <c r="AF523" s="6">
        <f ca="1">$M$523*$Z$523</f>
        <v>564.8193778437884</v>
      </c>
      <c r="AG523" s="6">
        <f ca="1">$O$523*$AA$523</f>
        <v>502.68600754954321</v>
      </c>
    </row>
    <row r="524" spans="1:33" ht="11.25" customHeight="1" x14ac:dyDescent="0.25">
      <c r="A524" s="4" t="s">
        <v>21</v>
      </c>
      <c r="B524" s="4" t="s">
        <v>36</v>
      </c>
      <c r="C524" s="4" t="s">
        <v>32</v>
      </c>
      <c r="D524" s="4" t="s">
        <v>44</v>
      </c>
      <c r="E524" s="4" t="s">
        <v>25</v>
      </c>
      <c r="F524" s="4" t="s">
        <v>25</v>
      </c>
      <c r="G524" s="4" t="s">
        <v>25</v>
      </c>
      <c r="H524" s="4" t="s">
        <v>35</v>
      </c>
      <c r="I524" s="5">
        <v>44652</v>
      </c>
      <c r="J524" s="6">
        <v>0</v>
      </c>
      <c r="K524" s="6">
        <v>0</v>
      </c>
      <c r="L524" s="6">
        <v>0.155</v>
      </c>
      <c r="M524" s="6">
        <v>0.155</v>
      </c>
      <c r="N524" s="6">
        <v>0.155</v>
      </c>
      <c r="O524" s="6">
        <v>0.155</v>
      </c>
      <c r="P524" s="6">
        <v>0</v>
      </c>
      <c r="Q524" s="4" t="s">
        <v>26</v>
      </c>
      <c r="R524" s="4">
        <v>0</v>
      </c>
      <c r="S524" s="6">
        <v>0</v>
      </c>
      <c r="T524" s="6">
        <v>33</v>
      </c>
      <c r="U524" s="6">
        <v>79</v>
      </c>
      <c r="V524" s="6">
        <f>IF(ISERROR(VLOOKUP($S$524,'TAR FIN'!$A$1:$O$86,15,0)),0,VLOOKUP($S$524,'TAR FIN'!$A$1:$O$86,15,0))</f>
        <v>0</v>
      </c>
      <c r="W524" s="6">
        <f>IF(ISERROR(VLOOKUP($T$524,'TAR FIN'!$A$1:$O$86,15,0)),0,VLOOKUP($T$524,'TAR FIN'!$A$1:$O$86,15,0))</f>
        <v>484.8</v>
      </c>
      <c r="X524" s="6">
        <f>IF(ISERROR(VLOOKUP($U$524,'TAR FIN'!$A$1:$O$86,15,0)),0,VLOOKUP($U$524,'TAR FIN'!$A$1:$O$86,15,0))</f>
        <v>297.31</v>
      </c>
      <c r="Y524" s="6"/>
      <c r="Z524" s="6">
        <f ca="1">('TUSD BE'!$AM$46+'TUSD BF_350'!$AM$46+'TUSD CVA'!$AM$46)*1</f>
        <v>264.42854767967623</v>
      </c>
      <c r="AA524" s="6">
        <f ca="1">('TE BE'!$AB$38+'TE BF_350'!$AB$38+'TE CVA'!$AB$38)*1</f>
        <v>235.33989117487977</v>
      </c>
      <c r="AB524" s="6">
        <f>$K$524*$V$524</f>
        <v>0</v>
      </c>
      <c r="AC524" s="6">
        <f>$M$524*$W$524</f>
        <v>75.144000000000005</v>
      </c>
      <c r="AD524" s="6">
        <f>$O$524*$X$524</f>
        <v>46.08305</v>
      </c>
      <c r="AE524" s="6">
        <f>$K$524*$Y$524</f>
        <v>0</v>
      </c>
      <c r="AF524" s="6">
        <f ca="1">$M$524*$Z$524</f>
        <v>40.986424890349817</v>
      </c>
      <c r="AG524" s="6">
        <f ca="1">$O$524*$AA$524</f>
        <v>36.477683132106364</v>
      </c>
    </row>
    <row r="525" spans="1:33" ht="11.25" customHeight="1" x14ac:dyDescent="0.25">
      <c r="A525" s="4" t="s">
        <v>21</v>
      </c>
      <c r="B525" s="4" t="s">
        <v>36</v>
      </c>
      <c r="C525" s="4" t="s">
        <v>32</v>
      </c>
      <c r="D525" s="4" t="s">
        <v>44</v>
      </c>
      <c r="E525" s="4" t="s">
        <v>25</v>
      </c>
      <c r="F525" s="4" t="s">
        <v>25</v>
      </c>
      <c r="G525" s="4" t="s">
        <v>25</v>
      </c>
      <c r="H525" s="4" t="s">
        <v>35</v>
      </c>
      <c r="I525" s="5">
        <v>44682</v>
      </c>
      <c r="J525" s="6">
        <v>0</v>
      </c>
      <c r="K525" s="6">
        <v>0</v>
      </c>
      <c r="L525" s="6">
        <v>0.16500000000000001</v>
      </c>
      <c r="M525" s="6">
        <v>0.16500000000000001</v>
      </c>
      <c r="N525" s="6">
        <v>0.16500000000000001</v>
      </c>
      <c r="O525" s="6">
        <v>0.16500000000000001</v>
      </c>
      <c r="P525" s="6">
        <v>0</v>
      </c>
      <c r="Q525" s="4" t="s">
        <v>26</v>
      </c>
      <c r="R525" s="4">
        <v>0</v>
      </c>
      <c r="S525" s="6">
        <v>0</v>
      </c>
      <c r="T525" s="6">
        <v>33</v>
      </c>
      <c r="U525" s="6">
        <v>79</v>
      </c>
      <c r="V525" s="6">
        <f>IF(ISERROR(VLOOKUP($S$525,'TAR FIN'!$A$1:$O$86,15,0)),0,VLOOKUP($S$525,'TAR FIN'!$A$1:$O$86,15,0))</f>
        <v>0</v>
      </c>
      <c r="W525" s="6">
        <f>IF(ISERROR(VLOOKUP($T$525,'TAR FIN'!$A$1:$O$86,15,0)),0,VLOOKUP($T$525,'TAR FIN'!$A$1:$O$86,15,0))</f>
        <v>484.8</v>
      </c>
      <c r="X525" s="6">
        <f>IF(ISERROR(VLOOKUP($U$525,'TAR FIN'!$A$1:$O$86,15,0)),0,VLOOKUP($U$525,'TAR FIN'!$A$1:$O$86,15,0))</f>
        <v>297.31</v>
      </c>
      <c r="Y525" s="6"/>
      <c r="Z525" s="6">
        <f ca="1">('TUSD BE'!$AM$46+'TUSD BF_350'!$AM$46+'TUSD CVA'!$AM$46)*1</f>
        <v>264.42854767967623</v>
      </c>
      <c r="AA525" s="6">
        <f ca="1">('TE BE'!$AB$38+'TE BF_350'!$AB$38+'TE CVA'!$AB$38)*1</f>
        <v>235.33989117487977</v>
      </c>
      <c r="AB525" s="6">
        <f>$K$525*$V$525</f>
        <v>0</v>
      </c>
      <c r="AC525" s="6">
        <f>$M$525*$W$525</f>
        <v>79.992000000000004</v>
      </c>
      <c r="AD525" s="6">
        <f>$O$525*$X$525</f>
        <v>49.056150000000002</v>
      </c>
      <c r="AE525" s="6">
        <f>$K$525*$Y$525</f>
        <v>0</v>
      </c>
      <c r="AF525" s="6">
        <f ca="1">$M$525*$Z$525</f>
        <v>43.630710367146577</v>
      </c>
      <c r="AG525" s="6">
        <f ca="1">$O$525*$AA$525</f>
        <v>38.831082043855162</v>
      </c>
    </row>
    <row r="526" spans="1:33" ht="11.25" customHeight="1" x14ac:dyDescent="0.25">
      <c r="A526" s="4" t="s">
        <v>55</v>
      </c>
      <c r="B526" s="4" t="s">
        <v>36</v>
      </c>
      <c r="C526" s="4" t="s">
        <v>32</v>
      </c>
      <c r="D526" s="4" t="s">
        <v>44</v>
      </c>
      <c r="E526" s="4" t="s">
        <v>25</v>
      </c>
      <c r="F526" s="4" t="s">
        <v>25</v>
      </c>
      <c r="G526" s="4" t="s">
        <v>25</v>
      </c>
      <c r="H526" s="4" t="s">
        <v>35</v>
      </c>
      <c r="I526" s="5">
        <v>44713</v>
      </c>
      <c r="J526" s="6">
        <v>0</v>
      </c>
      <c r="K526" s="6">
        <v>0</v>
      </c>
      <c r="L526" s="6">
        <v>0.16500000000000001</v>
      </c>
      <c r="M526" s="6">
        <v>0.16500000000000001</v>
      </c>
      <c r="N526" s="6">
        <v>0.16500000000000001</v>
      </c>
      <c r="O526" s="6">
        <v>0.16500000000000001</v>
      </c>
      <c r="P526" s="6">
        <v>0</v>
      </c>
      <c r="Q526" s="4" t="s">
        <v>26</v>
      </c>
      <c r="R526" s="4">
        <v>0</v>
      </c>
      <c r="S526" s="6">
        <v>0</v>
      </c>
      <c r="T526" s="6">
        <v>33</v>
      </c>
      <c r="U526" s="6">
        <v>79</v>
      </c>
      <c r="V526" s="6">
        <f>IF(ISERROR(VLOOKUP($S$526,'TAR FIN'!$A$1:$O$86,15,0)),0,VLOOKUP($S$526,'TAR FIN'!$A$1:$O$86,15,0))</f>
        <v>0</v>
      </c>
      <c r="W526" s="6">
        <f>IF(ISERROR(VLOOKUP($T$526,'TAR FIN'!$A$1:$O$86,15,0)),0,VLOOKUP($T$526,'TAR FIN'!$A$1:$O$86,15,0))</f>
        <v>484.8</v>
      </c>
      <c r="X526" s="6">
        <f>IF(ISERROR(VLOOKUP($U$526,'TAR FIN'!$A$1:$O$86,15,0)),0,VLOOKUP($U$526,'TAR FIN'!$A$1:$O$86,15,0))</f>
        <v>297.31</v>
      </c>
      <c r="Y526" s="6"/>
      <c r="Z526" s="6">
        <f ca="1">('TUSD BE'!$AM$46+'TUSD BF_350'!$AM$46+'TUSD CVA'!$AM$46)*1</f>
        <v>264.42854767967623</v>
      </c>
      <c r="AA526" s="6">
        <f ca="1">('TE BE'!$AB$38+'TE BF_350'!$AB$38+'TE CVA'!$AB$38)*1</f>
        <v>235.33989117487977</v>
      </c>
      <c r="AB526" s="6">
        <f>$K$526*$V$526</f>
        <v>0</v>
      </c>
      <c r="AC526" s="6">
        <f>$M$526*$W$526</f>
        <v>79.992000000000004</v>
      </c>
      <c r="AD526" s="6">
        <f>$O$526*$X$526</f>
        <v>49.056150000000002</v>
      </c>
      <c r="AE526" s="6">
        <f>$K$526*$Y$526</f>
        <v>0</v>
      </c>
      <c r="AF526" s="6">
        <f ca="1">$M$526*$Z$526</f>
        <v>43.630710367146577</v>
      </c>
      <c r="AG526" s="6">
        <f ca="1">$O$526*$AA$526</f>
        <v>38.831082043855162</v>
      </c>
    </row>
    <row r="527" spans="1:33" ht="11.25" customHeight="1" x14ac:dyDescent="0.25">
      <c r="A527" s="4" t="s">
        <v>21</v>
      </c>
      <c r="B527" s="4" t="s">
        <v>36</v>
      </c>
      <c r="C527" s="4" t="s">
        <v>32</v>
      </c>
      <c r="D527" s="4" t="s">
        <v>44</v>
      </c>
      <c r="E527" s="4" t="s">
        <v>25</v>
      </c>
      <c r="F527" s="4" t="s">
        <v>25</v>
      </c>
      <c r="G527" s="4" t="s">
        <v>25</v>
      </c>
      <c r="H527" s="4" t="s">
        <v>33</v>
      </c>
      <c r="I527" s="5">
        <v>44652</v>
      </c>
      <c r="J527" s="6">
        <v>0</v>
      </c>
      <c r="K527" s="6">
        <v>0</v>
      </c>
      <c r="L527" s="6">
        <v>0.89200000000000002</v>
      </c>
      <c r="M527" s="6">
        <v>0.89200000000000002</v>
      </c>
      <c r="N527" s="6">
        <v>0.89200000000000002</v>
      </c>
      <c r="O527" s="6">
        <v>0.89200000000000002</v>
      </c>
      <c r="P527" s="6">
        <v>0</v>
      </c>
      <c r="Q527" s="4" t="s">
        <v>26</v>
      </c>
      <c r="R527" s="4">
        <v>0</v>
      </c>
      <c r="S527" s="6">
        <v>0</v>
      </c>
      <c r="T527" s="6">
        <v>29</v>
      </c>
      <c r="U527" s="6">
        <v>67</v>
      </c>
      <c r="V527" s="6">
        <f>IF(ISERROR(VLOOKUP($S$527,'TAR FIN'!$A$1:$O$86,15,0)),0,VLOOKUP($S$527,'TAR FIN'!$A$1:$O$86,15,0))</f>
        <v>0</v>
      </c>
      <c r="W527" s="6">
        <f>IF(ISERROR(VLOOKUP($T$527,'TAR FIN'!$A$1:$O$86,15,0)),0,VLOOKUP($T$527,'TAR FIN'!$A$1:$O$86,15,0))</f>
        <v>543.29</v>
      </c>
      <c r="X527" s="6">
        <f>IF(ISERROR(VLOOKUP($U$527,'TAR FIN'!$A$1:$O$86,15,0)),0,VLOOKUP($U$527,'TAR FIN'!$A$1:$O$86,15,0))</f>
        <v>503.82</v>
      </c>
      <c r="Y527" s="6"/>
      <c r="Z527" s="6">
        <f ca="1">('TUSD BE'!$AM$45+'TUSD BF_350'!$AM$45+'TUSD CVA'!$AM$45)*1</f>
        <v>827.79811478243016</v>
      </c>
      <c r="AA527" s="6">
        <f ca="1">('TE BE'!$AB$37+'TE BF_350'!$AB$37+'TE CVA'!$AB$37)*1</f>
        <v>398.01664046087393</v>
      </c>
      <c r="AB527" s="6">
        <f>$K$527*$V$527</f>
        <v>0</v>
      </c>
      <c r="AC527" s="6">
        <f>$M$527*$W$527</f>
        <v>484.61467999999996</v>
      </c>
      <c r="AD527" s="6">
        <f>$O$527*$X$527</f>
        <v>449.40744000000001</v>
      </c>
      <c r="AE527" s="6">
        <f>$K$527*$Y$527</f>
        <v>0</v>
      </c>
      <c r="AF527" s="6">
        <f ca="1">$M$527*$Z$527</f>
        <v>738.39591838592776</v>
      </c>
      <c r="AG527" s="6">
        <f ca="1">$O$527*$AA$527</f>
        <v>355.03084329109953</v>
      </c>
    </row>
    <row r="528" spans="1:33" ht="11.25" customHeight="1" x14ac:dyDescent="0.25">
      <c r="A528" s="4" t="s">
        <v>21</v>
      </c>
      <c r="B528" s="4" t="s">
        <v>36</v>
      </c>
      <c r="C528" s="4" t="s">
        <v>32</v>
      </c>
      <c r="D528" s="4" t="s">
        <v>44</v>
      </c>
      <c r="E528" s="4" t="s">
        <v>25</v>
      </c>
      <c r="F528" s="4" t="s">
        <v>25</v>
      </c>
      <c r="G528" s="4" t="s">
        <v>25</v>
      </c>
      <c r="H528" s="4" t="s">
        <v>33</v>
      </c>
      <c r="I528" s="5">
        <v>44682</v>
      </c>
      <c r="J528" s="6">
        <v>0</v>
      </c>
      <c r="K528" s="6">
        <v>0</v>
      </c>
      <c r="L528" s="6">
        <v>0.111</v>
      </c>
      <c r="M528" s="6">
        <v>0.111</v>
      </c>
      <c r="N528" s="6">
        <v>0.111</v>
      </c>
      <c r="O528" s="6">
        <v>0.111</v>
      </c>
      <c r="P528" s="6">
        <v>0</v>
      </c>
      <c r="Q528" s="4" t="s">
        <v>26</v>
      </c>
      <c r="R528" s="4">
        <v>0</v>
      </c>
      <c r="S528" s="6">
        <v>0</v>
      </c>
      <c r="T528" s="6">
        <v>29</v>
      </c>
      <c r="U528" s="6">
        <v>67</v>
      </c>
      <c r="V528" s="6">
        <f>IF(ISERROR(VLOOKUP($S$528,'TAR FIN'!$A$1:$O$86,15,0)),0,VLOOKUP($S$528,'TAR FIN'!$A$1:$O$86,15,0))</f>
        <v>0</v>
      </c>
      <c r="W528" s="6">
        <f>IF(ISERROR(VLOOKUP($T$528,'TAR FIN'!$A$1:$O$86,15,0)),0,VLOOKUP($T$528,'TAR FIN'!$A$1:$O$86,15,0))</f>
        <v>543.29</v>
      </c>
      <c r="X528" s="6">
        <f>IF(ISERROR(VLOOKUP($U$528,'TAR FIN'!$A$1:$O$86,15,0)),0,VLOOKUP($U$528,'TAR FIN'!$A$1:$O$86,15,0))</f>
        <v>503.82</v>
      </c>
      <c r="Y528" s="6"/>
      <c r="Z528" s="6">
        <f ca="1">('TUSD BE'!$AM$45+'TUSD BF_350'!$AM$45+'TUSD CVA'!$AM$45)*1</f>
        <v>827.79811478243016</v>
      </c>
      <c r="AA528" s="6">
        <f ca="1">('TE BE'!$AB$37+'TE BF_350'!$AB$37+'TE CVA'!$AB$37)*1</f>
        <v>398.01664046087393</v>
      </c>
      <c r="AB528" s="6">
        <f>$K$528*$V$528</f>
        <v>0</v>
      </c>
      <c r="AC528" s="6">
        <f>$M$528*$W$528</f>
        <v>60.305189999999996</v>
      </c>
      <c r="AD528" s="6">
        <f>$O$528*$X$528</f>
        <v>55.924019999999999</v>
      </c>
      <c r="AE528" s="6">
        <f>$K$528*$Y$528</f>
        <v>0</v>
      </c>
      <c r="AF528" s="6">
        <f ca="1">$M$528*$Z$528</f>
        <v>91.88559074084975</v>
      </c>
      <c r="AG528" s="6">
        <f ca="1">$O$528*$AA$528</f>
        <v>44.179847091157008</v>
      </c>
    </row>
    <row r="529" spans="1:33" ht="11.25" customHeight="1" x14ac:dyDescent="0.25">
      <c r="A529" s="4" t="s">
        <v>55</v>
      </c>
      <c r="B529" s="4" t="s">
        <v>36</v>
      </c>
      <c r="C529" s="4" t="s">
        <v>32</v>
      </c>
      <c r="D529" s="4" t="s">
        <v>44</v>
      </c>
      <c r="E529" s="4" t="s">
        <v>25</v>
      </c>
      <c r="F529" s="4" t="s">
        <v>25</v>
      </c>
      <c r="G529" s="4" t="s">
        <v>25</v>
      </c>
      <c r="H529" s="4" t="s">
        <v>33</v>
      </c>
      <c r="I529" s="5">
        <v>44713</v>
      </c>
      <c r="J529" s="6">
        <v>0</v>
      </c>
      <c r="K529" s="6">
        <v>0</v>
      </c>
      <c r="L529" s="6">
        <v>0.111</v>
      </c>
      <c r="M529" s="6">
        <v>0.111</v>
      </c>
      <c r="N529" s="6">
        <v>0.111</v>
      </c>
      <c r="O529" s="6">
        <v>0.111</v>
      </c>
      <c r="P529" s="6">
        <v>0</v>
      </c>
      <c r="Q529" s="4" t="s">
        <v>26</v>
      </c>
      <c r="R529" s="4">
        <v>0</v>
      </c>
      <c r="S529" s="6">
        <v>0</v>
      </c>
      <c r="T529" s="6">
        <v>29</v>
      </c>
      <c r="U529" s="6">
        <v>67</v>
      </c>
      <c r="V529" s="6">
        <f>IF(ISERROR(VLOOKUP($S$529,'TAR FIN'!$A$1:$O$86,15,0)),0,VLOOKUP($S$529,'TAR FIN'!$A$1:$O$86,15,0))</f>
        <v>0</v>
      </c>
      <c r="W529" s="6">
        <f>IF(ISERROR(VLOOKUP($T$529,'TAR FIN'!$A$1:$O$86,15,0)),0,VLOOKUP($T$529,'TAR FIN'!$A$1:$O$86,15,0))</f>
        <v>543.29</v>
      </c>
      <c r="X529" s="6">
        <f>IF(ISERROR(VLOOKUP($U$529,'TAR FIN'!$A$1:$O$86,15,0)),0,VLOOKUP($U$529,'TAR FIN'!$A$1:$O$86,15,0))</f>
        <v>503.82</v>
      </c>
      <c r="Y529" s="6"/>
      <c r="Z529" s="6">
        <f ca="1">('TUSD BE'!$AM$45+'TUSD BF_350'!$AM$45+'TUSD CVA'!$AM$45)*1</f>
        <v>827.79811478243016</v>
      </c>
      <c r="AA529" s="6">
        <f ca="1">('TE BE'!$AB$37+'TE BF_350'!$AB$37+'TE CVA'!$AB$37)*1</f>
        <v>398.01664046087393</v>
      </c>
      <c r="AB529" s="6">
        <f>$K$529*$V$529</f>
        <v>0</v>
      </c>
      <c r="AC529" s="6">
        <f>$M$529*$W$529</f>
        <v>60.305189999999996</v>
      </c>
      <c r="AD529" s="6">
        <f>$O$529*$X$529</f>
        <v>55.924019999999999</v>
      </c>
      <c r="AE529" s="6">
        <f>$K$529*$Y$529</f>
        <v>0</v>
      </c>
      <c r="AF529" s="6">
        <f ca="1">$M$529*$Z$529</f>
        <v>91.88559074084975</v>
      </c>
      <c r="AG529" s="6">
        <f ca="1">$O$529*$AA$529</f>
        <v>44.179847091157008</v>
      </c>
    </row>
    <row r="530" spans="1:33" ht="11.25" customHeight="1" x14ac:dyDescent="0.25">
      <c r="A530" s="4" t="s">
        <v>21</v>
      </c>
      <c r="B530" s="4" t="s">
        <v>36</v>
      </c>
      <c r="C530" s="4" t="s">
        <v>23</v>
      </c>
      <c r="D530" s="4" t="s">
        <v>40</v>
      </c>
      <c r="E530" s="4" t="s">
        <v>25</v>
      </c>
      <c r="F530" s="4" t="s">
        <v>25</v>
      </c>
      <c r="G530" s="4" t="s">
        <v>25</v>
      </c>
      <c r="H530" s="4" t="s">
        <v>25</v>
      </c>
      <c r="I530" s="5">
        <v>44378</v>
      </c>
      <c r="J530" s="6">
        <v>0</v>
      </c>
      <c r="K530" s="6">
        <v>0</v>
      </c>
      <c r="L530" s="6">
        <v>529.94399999999996</v>
      </c>
      <c r="M530" s="6">
        <v>529.94399999999996</v>
      </c>
      <c r="N530" s="6">
        <v>529.94399999999996</v>
      </c>
      <c r="O530" s="6">
        <v>529.94399999999996</v>
      </c>
      <c r="P530" s="6">
        <v>1187</v>
      </c>
      <c r="Q530" s="4" t="s">
        <v>26</v>
      </c>
      <c r="R530" s="4">
        <v>0</v>
      </c>
      <c r="S530" s="6">
        <v>0</v>
      </c>
      <c r="T530" s="6">
        <v>68</v>
      </c>
      <c r="U530" s="6">
        <v>76</v>
      </c>
      <c r="V530" s="6">
        <f>IF(ISERROR(VLOOKUP($S$530,'TAR FIN'!$A$1:$O$86,15,0)),0,VLOOKUP($S$530,'TAR FIN'!$A$1:$O$86,15,0))</f>
        <v>0</v>
      </c>
      <c r="W530" s="6">
        <f>IF(ISERROR(VLOOKUP($T$530,'TAR FIN'!$A$1:$O$86,15,0)),0,VLOOKUP($T$530,'TAR FIN'!$A$1:$O$86,15,0))</f>
        <v>326.98</v>
      </c>
      <c r="X530" s="6">
        <f>IF(ISERROR(VLOOKUP($U$530,'TAR FIN'!$A$1:$O$86,15,0)),0,VLOOKUP($U$530,'TAR FIN'!$A$1:$O$86,15,0))</f>
        <v>314.52</v>
      </c>
      <c r="Y530" s="6"/>
      <c r="Z530" s="6">
        <f ca="1">('TUSD BE'!$AM$48+'TUSD BF_350'!$AM$48+'TUSD CVA'!$AM$48)*1</f>
        <v>313.91386533817797</v>
      </c>
      <c r="AA530" s="6">
        <f ca="1">('TE BE'!$AB$40+'TE BF_350'!$AB$40+'TE CVA'!$AB$40)*1</f>
        <v>248.89628694871266</v>
      </c>
      <c r="AB530" s="6">
        <f>$K$530*$V$530</f>
        <v>0</v>
      </c>
      <c r="AC530" s="6">
        <f>$M$530*$W$530</f>
        <v>173281.08911999999</v>
      </c>
      <c r="AD530" s="6">
        <f>$O$530*$X$530</f>
        <v>166677.98687999998</v>
      </c>
      <c r="AE530" s="6">
        <f>$K$530*$Y$530</f>
        <v>0</v>
      </c>
      <c r="AF530" s="6">
        <f ca="1">$M$530*$Z$530</f>
        <v>166356.76945277536</v>
      </c>
      <c r="AG530" s="6">
        <f ca="1">$O$530*$AA$530</f>
        <v>131901.09389074857</v>
      </c>
    </row>
    <row r="531" spans="1:33" ht="11.25" customHeight="1" x14ac:dyDescent="0.25">
      <c r="A531" s="4" t="s">
        <v>41</v>
      </c>
      <c r="B531" s="4" t="s">
        <v>36</v>
      </c>
      <c r="C531" s="4" t="s">
        <v>23</v>
      </c>
      <c r="D531" s="4" t="s">
        <v>40</v>
      </c>
      <c r="E531" s="4" t="s">
        <v>25</v>
      </c>
      <c r="F531" s="4" t="s">
        <v>25</v>
      </c>
      <c r="G531" s="4" t="s">
        <v>25</v>
      </c>
      <c r="H531" s="4" t="s">
        <v>25</v>
      </c>
      <c r="I531" s="5">
        <v>44378</v>
      </c>
      <c r="J531" s="6">
        <v>0</v>
      </c>
      <c r="K531" s="6">
        <v>0</v>
      </c>
      <c r="L531" s="6">
        <v>0.16800000000000001</v>
      </c>
      <c r="M531" s="6">
        <v>0.16800000000000001</v>
      </c>
      <c r="N531" s="6">
        <v>0.16800000000000001</v>
      </c>
      <c r="O531" s="6">
        <v>0.16800000000000001</v>
      </c>
      <c r="P531" s="6">
        <v>0</v>
      </c>
      <c r="Q531" s="4" t="s">
        <v>26</v>
      </c>
      <c r="R531" s="4">
        <v>0</v>
      </c>
      <c r="S531" s="6">
        <v>0</v>
      </c>
      <c r="T531" s="6">
        <v>68</v>
      </c>
      <c r="U531" s="6">
        <v>76</v>
      </c>
      <c r="V531" s="6">
        <f>IF(ISERROR(VLOOKUP($S$531,'TAR FIN'!$A$1:$O$86,15,0)),0,VLOOKUP($S$531,'TAR FIN'!$A$1:$O$86,15,0))</f>
        <v>0</v>
      </c>
      <c r="W531" s="6">
        <f>IF(ISERROR(VLOOKUP($T$531,'TAR FIN'!$A$1:$O$86,15,0)),0,VLOOKUP($T$531,'TAR FIN'!$A$1:$O$86,15,0))</f>
        <v>326.98</v>
      </c>
      <c r="X531" s="6">
        <f>IF(ISERROR(VLOOKUP($U$531,'TAR FIN'!$A$1:$O$86,15,0)),0,VLOOKUP($U$531,'TAR FIN'!$A$1:$O$86,15,0))</f>
        <v>314.52</v>
      </c>
      <c r="Y531" s="6"/>
      <c r="Z531" s="6">
        <f ca="1">('TUSD BE'!$AM$48+'TUSD BF_350'!$AM$48+'TUSD CVA'!$AM$48)*1</f>
        <v>313.91386533817797</v>
      </c>
      <c r="AA531" s="6">
        <f ca="1">('TE BE'!$AB$40+'TE BF_350'!$AB$40+'TE CVA'!$AB$40)*1</f>
        <v>248.89628694871266</v>
      </c>
      <c r="AB531" s="6">
        <f>$K$531*$V$531</f>
        <v>0</v>
      </c>
      <c r="AC531" s="6">
        <f>$M$531*$W$531</f>
        <v>54.932640000000006</v>
      </c>
      <c r="AD531" s="6">
        <f>$O$531*$X$531</f>
        <v>52.839359999999999</v>
      </c>
      <c r="AE531" s="6">
        <f>$K$531*$Y$531</f>
        <v>0</v>
      </c>
      <c r="AF531" s="6">
        <f ca="1">$M$531*$Z$531</f>
        <v>52.737529376813903</v>
      </c>
      <c r="AG531" s="6">
        <f ca="1">$O$531*$AA$531</f>
        <v>41.81457620738373</v>
      </c>
    </row>
    <row r="532" spans="1:33" ht="11.25" customHeight="1" x14ac:dyDescent="0.25">
      <c r="A532" s="4" t="s">
        <v>27</v>
      </c>
      <c r="B532" s="4" t="s">
        <v>36</v>
      </c>
      <c r="C532" s="4" t="s">
        <v>23</v>
      </c>
      <c r="D532" s="4" t="s">
        <v>40</v>
      </c>
      <c r="E532" s="4" t="s">
        <v>25</v>
      </c>
      <c r="F532" s="4" t="s">
        <v>25</v>
      </c>
      <c r="G532" s="4" t="s">
        <v>25</v>
      </c>
      <c r="H532" s="4" t="s">
        <v>25</v>
      </c>
      <c r="I532" s="5">
        <v>44378</v>
      </c>
      <c r="J532" s="6">
        <v>0</v>
      </c>
      <c r="K532" s="6">
        <v>0</v>
      </c>
      <c r="L532" s="6">
        <v>51.959000000000003</v>
      </c>
      <c r="M532" s="6">
        <v>51.959000000000003</v>
      </c>
      <c r="N532" s="6">
        <v>51.959000000000003</v>
      </c>
      <c r="O532" s="6">
        <v>51.959000000000003</v>
      </c>
      <c r="P532" s="6">
        <v>76</v>
      </c>
      <c r="Q532" s="4" t="s">
        <v>26</v>
      </c>
      <c r="R532" s="4">
        <v>0</v>
      </c>
      <c r="S532" s="6">
        <v>0</v>
      </c>
      <c r="T532" s="6">
        <v>68</v>
      </c>
      <c r="U532" s="6">
        <v>76</v>
      </c>
      <c r="V532" s="6">
        <f>IF(ISERROR(VLOOKUP($S$532,'TAR FIN'!$A$1:$O$86,15,0)),0,VLOOKUP($S$532,'TAR FIN'!$A$1:$O$86,15,0))</f>
        <v>0</v>
      </c>
      <c r="W532" s="6">
        <f>IF(ISERROR(VLOOKUP($T$532,'TAR FIN'!$A$1:$O$86,15,0)),0,VLOOKUP($T$532,'TAR FIN'!$A$1:$O$86,15,0))</f>
        <v>326.98</v>
      </c>
      <c r="X532" s="6">
        <f>IF(ISERROR(VLOOKUP($U$532,'TAR FIN'!$A$1:$O$86,15,0)),0,VLOOKUP($U$532,'TAR FIN'!$A$1:$O$86,15,0))</f>
        <v>314.52</v>
      </c>
      <c r="Y532" s="6"/>
      <c r="Z532" s="6">
        <f ca="1">('TUSD BE'!$AM$48+'TUSD BF_350'!$AM$48+'TUSD CVA'!$AM$48)*1</f>
        <v>313.91386533817797</v>
      </c>
      <c r="AA532" s="6">
        <f ca="1">('TE BE'!$AB$40+'TE BF_350'!$AB$40+'TE CVA'!$AB$40)*1</f>
        <v>248.89628694871266</v>
      </c>
      <c r="AB532" s="6">
        <f>$K$532*$V$532</f>
        <v>0</v>
      </c>
      <c r="AC532" s="6">
        <f>$M$532*$W$532</f>
        <v>16989.553820000001</v>
      </c>
      <c r="AD532" s="6">
        <f>$O$532*$X$532</f>
        <v>16342.144679999999</v>
      </c>
      <c r="AE532" s="6">
        <f>$K$532*$Y$532</f>
        <v>0</v>
      </c>
      <c r="AF532" s="6">
        <f ca="1">$M$532*$Z$532</f>
        <v>16310.65052910639</v>
      </c>
      <c r="AG532" s="6">
        <f ca="1">$O$532*$AA$532</f>
        <v>12932.402173568162</v>
      </c>
    </row>
    <row r="533" spans="1:33" ht="11.25" customHeight="1" x14ac:dyDescent="0.25">
      <c r="A533" s="4" t="s">
        <v>21</v>
      </c>
      <c r="B533" s="4" t="s">
        <v>36</v>
      </c>
      <c r="C533" s="4" t="s">
        <v>23</v>
      </c>
      <c r="D533" s="4" t="s">
        <v>40</v>
      </c>
      <c r="E533" s="4" t="s">
        <v>25</v>
      </c>
      <c r="F533" s="4" t="s">
        <v>25</v>
      </c>
      <c r="G533" s="4" t="s">
        <v>25</v>
      </c>
      <c r="H533" s="4" t="s">
        <v>25</v>
      </c>
      <c r="I533" s="5">
        <v>44409</v>
      </c>
      <c r="J533" s="6">
        <v>0</v>
      </c>
      <c r="K533" s="6">
        <v>0</v>
      </c>
      <c r="L533" s="6">
        <v>559.39099999999996</v>
      </c>
      <c r="M533" s="6">
        <v>559.39099999999996</v>
      </c>
      <c r="N533" s="6">
        <v>559.39099999999996</v>
      </c>
      <c r="O533" s="6">
        <v>559.39099999999996</v>
      </c>
      <c r="P533" s="6">
        <v>1187</v>
      </c>
      <c r="Q533" s="4" t="s">
        <v>26</v>
      </c>
      <c r="R533" s="4">
        <v>0</v>
      </c>
      <c r="S533" s="6">
        <v>0</v>
      </c>
      <c r="T533" s="6">
        <v>68</v>
      </c>
      <c r="U533" s="6">
        <v>76</v>
      </c>
      <c r="V533" s="6">
        <f>IF(ISERROR(VLOOKUP($S$533,'TAR FIN'!$A$1:$O$86,15,0)),0,VLOOKUP($S$533,'TAR FIN'!$A$1:$O$86,15,0))</f>
        <v>0</v>
      </c>
      <c r="W533" s="6">
        <f>IF(ISERROR(VLOOKUP($T$533,'TAR FIN'!$A$1:$O$86,15,0)),0,VLOOKUP($T$533,'TAR FIN'!$A$1:$O$86,15,0))</f>
        <v>326.98</v>
      </c>
      <c r="X533" s="6">
        <f>IF(ISERROR(VLOOKUP($U$533,'TAR FIN'!$A$1:$O$86,15,0)),0,VLOOKUP($U$533,'TAR FIN'!$A$1:$O$86,15,0))</f>
        <v>314.52</v>
      </c>
      <c r="Y533" s="6"/>
      <c r="Z533" s="6">
        <f ca="1">('TUSD BE'!$AM$48+'TUSD BF_350'!$AM$48+'TUSD CVA'!$AM$48)*1</f>
        <v>313.91386533817797</v>
      </c>
      <c r="AA533" s="6">
        <f ca="1">('TE BE'!$AB$40+'TE BF_350'!$AB$40+'TE CVA'!$AB$40)*1</f>
        <v>248.89628694871266</v>
      </c>
      <c r="AB533" s="6">
        <f>$K$533*$V$533</f>
        <v>0</v>
      </c>
      <c r="AC533" s="6">
        <f>$M$533*$W$533</f>
        <v>182909.66918</v>
      </c>
      <c r="AD533" s="6">
        <f>$O$533*$X$533</f>
        <v>175939.65731999997</v>
      </c>
      <c r="AE533" s="6">
        <f>$K$533*$Y$533</f>
        <v>0</v>
      </c>
      <c r="AF533" s="6">
        <f ca="1">$M$533*$Z$533</f>
        <v>175600.59104538869</v>
      </c>
      <c r="AG533" s="6">
        <f ca="1">$O$533*$AA$533</f>
        <v>139230.3428525273</v>
      </c>
    </row>
    <row r="534" spans="1:33" ht="11.25" customHeight="1" x14ac:dyDescent="0.25">
      <c r="A534" s="4" t="s">
        <v>27</v>
      </c>
      <c r="B534" s="4" t="s">
        <v>36</v>
      </c>
      <c r="C534" s="4" t="s">
        <v>23</v>
      </c>
      <c r="D534" s="4" t="s">
        <v>40</v>
      </c>
      <c r="E534" s="4" t="s">
        <v>25</v>
      </c>
      <c r="F534" s="4" t="s">
        <v>25</v>
      </c>
      <c r="G534" s="4" t="s">
        <v>25</v>
      </c>
      <c r="H534" s="4" t="s">
        <v>25</v>
      </c>
      <c r="I534" s="5">
        <v>44409</v>
      </c>
      <c r="J534" s="6">
        <v>0</v>
      </c>
      <c r="K534" s="6">
        <v>0</v>
      </c>
      <c r="L534" s="6">
        <v>47.07</v>
      </c>
      <c r="M534" s="6">
        <v>47.07</v>
      </c>
      <c r="N534" s="6">
        <v>47.07</v>
      </c>
      <c r="O534" s="6">
        <v>47.07</v>
      </c>
      <c r="P534" s="6">
        <v>77</v>
      </c>
      <c r="Q534" s="4" t="s">
        <v>26</v>
      </c>
      <c r="R534" s="4">
        <v>0</v>
      </c>
      <c r="S534" s="6">
        <v>0</v>
      </c>
      <c r="T534" s="6">
        <v>68</v>
      </c>
      <c r="U534" s="6">
        <v>76</v>
      </c>
      <c r="V534" s="6">
        <f>IF(ISERROR(VLOOKUP($S$534,'TAR FIN'!$A$1:$O$86,15,0)),0,VLOOKUP($S$534,'TAR FIN'!$A$1:$O$86,15,0))</f>
        <v>0</v>
      </c>
      <c r="W534" s="6">
        <f>IF(ISERROR(VLOOKUP($T$534,'TAR FIN'!$A$1:$O$86,15,0)),0,VLOOKUP($T$534,'TAR FIN'!$A$1:$O$86,15,0))</f>
        <v>326.98</v>
      </c>
      <c r="X534" s="6">
        <f>IF(ISERROR(VLOOKUP($U$534,'TAR FIN'!$A$1:$O$86,15,0)),0,VLOOKUP($U$534,'TAR FIN'!$A$1:$O$86,15,0))</f>
        <v>314.52</v>
      </c>
      <c r="Y534" s="6"/>
      <c r="Z534" s="6">
        <f ca="1">('TUSD BE'!$AM$48+'TUSD BF_350'!$AM$48+'TUSD CVA'!$AM$48)*1</f>
        <v>313.91386533817797</v>
      </c>
      <c r="AA534" s="6">
        <f ca="1">('TE BE'!$AB$40+'TE BF_350'!$AB$40+'TE CVA'!$AB$40)*1</f>
        <v>248.89628694871266</v>
      </c>
      <c r="AB534" s="6">
        <f>$K$534*$V$534</f>
        <v>0</v>
      </c>
      <c r="AC534" s="6">
        <f>$M$534*$W$534</f>
        <v>15390.948600000002</v>
      </c>
      <c r="AD534" s="6">
        <f>$O$534*$X$534</f>
        <v>14804.456399999999</v>
      </c>
      <c r="AE534" s="6">
        <f>$K$534*$Y$534</f>
        <v>0</v>
      </c>
      <c r="AF534" s="6">
        <f ca="1">$M$534*$Z$534</f>
        <v>14775.925641468037</v>
      </c>
      <c r="AG534" s="6">
        <f ca="1">$O$534*$AA$534</f>
        <v>11715.548226675905</v>
      </c>
    </row>
    <row r="535" spans="1:33" ht="11.25" customHeight="1" x14ac:dyDescent="0.25">
      <c r="A535" s="4" t="s">
        <v>21</v>
      </c>
      <c r="B535" s="4" t="s">
        <v>36</v>
      </c>
      <c r="C535" s="4" t="s">
        <v>23</v>
      </c>
      <c r="D535" s="4" t="s">
        <v>40</v>
      </c>
      <c r="E535" s="4" t="s">
        <v>25</v>
      </c>
      <c r="F535" s="4" t="s">
        <v>25</v>
      </c>
      <c r="G535" s="4" t="s">
        <v>25</v>
      </c>
      <c r="H535" s="4" t="s">
        <v>25</v>
      </c>
      <c r="I535" s="5">
        <v>44440</v>
      </c>
      <c r="J535" s="6">
        <v>0</v>
      </c>
      <c r="K535" s="6">
        <v>0</v>
      </c>
      <c r="L535" s="6">
        <v>524.26499999999999</v>
      </c>
      <c r="M535" s="6">
        <v>524.26499999999999</v>
      </c>
      <c r="N535" s="6">
        <v>524.26499999999999</v>
      </c>
      <c r="O535" s="6">
        <v>524.26499999999999</v>
      </c>
      <c r="P535" s="6">
        <v>1192</v>
      </c>
      <c r="Q535" s="4" t="s">
        <v>26</v>
      </c>
      <c r="R535" s="4">
        <v>0</v>
      </c>
      <c r="S535" s="6">
        <v>0</v>
      </c>
      <c r="T535" s="6">
        <v>68</v>
      </c>
      <c r="U535" s="6">
        <v>76</v>
      </c>
      <c r="V535" s="6">
        <f>IF(ISERROR(VLOOKUP($S$535,'TAR FIN'!$A$1:$O$86,15,0)),0,VLOOKUP($S$535,'TAR FIN'!$A$1:$O$86,15,0))</f>
        <v>0</v>
      </c>
      <c r="W535" s="6">
        <f>IF(ISERROR(VLOOKUP($T$535,'TAR FIN'!$A$1:$O$86,15,0)),0,VLOOKUP($T$535,'TAR FIN'!$A$1:$O$86,15,0))</f>
        <v>326.98</v>
      </c>
      <c r="X535" s="6">
        <f>IF(ISERROR(VLOOKUP($U$535,'TAR FIN'!$A$1:$O$86,15,0)),0,VLOOKUP($U$535,'TAR FIN'!$A$1:$O$86,15,0))</f>
        <v>314.52</v>
      </c>
      <c r="Y535" s="6"/>
      <c r="Z535" s="6">
        <f ca="1">('TUSD BE'!$AM$48+'TUSD BF_350'!$AM$48+'TUSD CVA'!$AM$48)*1</f>
        <v>313.91386533817797</v>
      </c>
      <c r="AA535" s="6">
        <f ca="1">('TE BE'!$AB$40+'TE BF_350'!$AB$40+'TE CVA'!$AB$40)*1</f>
        <v>248.89628694871266</v>
      </c>
      <c r="AB535" s="6">
        <f>$K$535*$V$535</f>
        <v>0</v>
      </c>
      <c r="AC535" s="6">
        <f>$M$535*$W$535</f>
        <v>171424.1697</v>
      </c>
      <c r="AD535" s="6">
        <f>$O$535*$X$535</f>
        <v>164891.8278</v>
      </c>
      <c r="AE535" s="6">
        <f>$K$535*$Y$535</f>
        <v>0</v>
      </c>
      <c r="AF535" s="6">
        <f ca="1">$M$535*$Z$535</f>
        <v>164574.05261151987</v>
      </c>
      <c r="AG535" s="6">
        <f ca="1">$O$535*$AA$535</f>
        <v>130487.61187716684</v>
      </c>
    </row>
    <row r="536" spans="1:33" ht="11.25" customHeight="1" x14ac:dyDescent="0.25">
      <c r="A536" s="4" t="s">
        <v>27</v>
      </c>
      <c r="B536" s="4" t="s">
        <v>36</v>
      </c>
      <c r="C536" s="4" t="s">
        <v>23</v>
      </c>
      <c r="D536" s="4" t="s">
        <v>40</v>
      </c>
      <c r="E536" s="4" t="s">
        <v>25</v>
      </c>
      <c r="F536" s="4" t="s">
        <v>25</v>
      </c>
      <c r="G536" s="4" t="s">
        <v>25</v>
      </c>
      <c r="H536" s="4" t="s">
        <v>25</v>
      </c>
      <c r="I536" s="5">
        <v>44440</v>
      </c>
      <c r="J536" s="6">
        <v>0</v>
      </c>
      <c r="K536" s="6">
        <v>0</v>
      </c>
      <c r="L536" s="6">
        <v>43.085999999999999</v>
      </c>
      <c r="M536" s="6">
        <v>43.085999999999999</v>
      </c>
      <c r="N536" s="6">
        <v>43.085999999999999</v>
      </c>
      <c r="O536" s="6">
        <v>43.085999999999999</v>
      </c>
      <c r="P536" s="6">
        <v>79</v>
      </c>
      <c r="Q536" s="4" t="s">
        <v>26</v>
      </c>
      <c r="R536" s="4">
        <v>0</v>
      </c>
      <c r="S536" s="6">
        <v>0</v>
      </c>
      <c r="T536" s="6">
        <v>68</v>
      </c>
      <c r="U536" s="6">
        <v>76</v>
      </c>
      <c r="V536" s="6">
        <f>IF(ISERROR(VLOOKUP($S$536,'TAR FIN'!$A$1:$O$86,15,0)),0,VLOOKUP($S$536,'TAR FIN'!$A$1:$O$86,15,0))</f>
        <v>0</v>
      </c>
      <c r="W536" s="6">
        <f>IF(ISERROR(VLOOKUP($T$536,'TAR FIN'!$A$1:$O$86,15,0)),0,VLOOKUP($T$536,'TAR FIN'!$A$1:$O$86,15,0))</f>
        <v>326.98</v>
      </c>
      <c r="X536" s="6">
        <f>IF(ISERROR(VLOOKUP($U$536,'TAR FIN'!$A$1:$O$86,15,0)),0,VLOOKUP($U$536,'TAR FIN'!$A$1:$O$86,15,0))</f>
        <v>314.52</v>
      </c>
      <c r="Y536" s="6"/>
      <c r="Z536" s="6">
        <f ca="1">('TUSD BE'!$AM$48+'TUSD BF_350'!$AM$48+'TUSD CVA'!$AM$48)*1</f>
        <v>313.91386533817797</v>
      </c>
      <c r="AA536" s="6">
        <f ca="1">('TE BE'!$AB$40+'TE BF_350'!$AB$40+'TE CVA'!$AB$40)*1</f>
        <v>248.89628694871266</v>
      </c>
      <c r="AB536" s="6">
        <f>$K$536*$V$536</f>
        <v>0</v>
      </c>
      <c r="AC536" s="6">
        <f>$M$536*$W$536</f>
        <v>14088.26028</v>
      </c>
      <c r="AD536" s="6">
        <f>$O$536*$X$536</f>
        <v>13551.408719999999</v>
      </c>
      <c r="AE536" s="6">
        <f>$K$536*$Y$536</f>
        <v>0</v>
      </c>
      <c r="AF536" s="6">
        <f ca="1">$M$536*$Z$536</f>
        <v>13525.292801960735</v>
      </c>
      <c r="AG536" s="6">
        <f ca="1">$O$536*$AA$536</f>
        <v>10723.945419472233</v>
      </c>
    </row>
    <row r="537" spans="1:33" ht="11.25" customHeight="1" x14ac:dyDescent="0.25">
      <c r="A537" s="4" t="s">
        <v>27</v>
      </c>
      <c r="B537" s="4" t="s">
        <v>36</v>
      </c>
      <c r="C537" s="4" t="s">
        <v>23</v>
      </c>
      <c r="D537" s="4" t="s">
        <v>40</v>
      </c>
      <c r="E537" s="4" t="s">
        <v>25</v>
      </c>
      <c r="F537" s="4" t="s">
        <v>25</v>
      </c>
      <c r="G537" s="4" t="s">
        <v>25</v>
      </c>
      <c r="H537" s="4" t="s">
        <v>25</v>
      </c>
      <c r="I537" s="5">
        <v>44440</v>
      </c>
      <c r="J537" s="6">
        <v>0</v>
      </c>
      <c r="K537" s="6">
        <v>0</v>
      </c>
      <c r="L537" s="6">
        <v>0.54800000000000004</v>
      </c>
      <c r="M537" s="6">
        <v>0.54800000000000004</v>
      </c>
      <c r="N537" s="6">
        <v>0.54800000000000004</v>
      </c>
      <c r="O537" s="6">
        <v>0.54800000000000004</v>
      </c>
      <c r="P537" s="6">
        <v>2</v>
      </c>
      <c r="Q537" s="4" t="s">
        <v>26</v>
      </c>
      <c r="R537" s="4">
        <v>0</v>
      </c>
      <c r="S537" s="6">
        <v>0</v>
      </c>
      <c r="T537" s="6">
        <v>68</v>
      </c>
      <c r="U537" s="6">
        <v>76</v>
      </c>
      <c r="V537" s="6">
        <f>IF(ISERROR(VLOOKUP($S$537,'TAR FIN'!$A$1:$O$86,15,0)),0,VLOOKUP($S$537,'TAR FIN'!$A$1:$O$86,15,0))</f>
        <v>0</v>
      </c>
      <c r="W537" s="6">
        <f>IF(ISERROR(VLOOKUP($T$537,'TAR FIN'!$A$1:$O$86,15,0)),0,VLOOKUP($T$537,'TAR FIN'!$A$1:$O$86,15,0))</f>
        <v>326.98</v>
      </c>
      <c r="X537" s="6">
        <f>IF(ISERROR(VLOOKUP($U$537,'TAR FIN'!$A$1:$O$86,15,0)),0,VLOOKUP($U$537,'TAR FIN'!$A$1:$O$86,15,0))</f>
        <v>314.52</v>
      </c>
      <c r="Y537" s="6"/>
      <c r="Z537" s="6">
        <f ca="1">('TUSD BE'!$AM$48+'TUSD BF_350'!$AM$48+'TUSD CVA'!$AM$48)*1</f>
        <v>313.91386533817797</v>
      </c>
      <c r="AA537" s="6">
        <f ca="1">('TE BE'!$AB$40+'TE BF_350'!$AB$40+'TE CVA'!$AB$40)*1</f>
        <v>248.89628694871266</v>
      </c>
      <c r="AB537" s="6">
        <f>$K$537*$V$537</f>
        <v>0</v>
      </c>
      <c r="AC537" s="6">
        <f>$M$537*$W$537</f>
        <v>179.18504000000001</v>
      </c>
      <c r="AD537" s="6">
        <f>$O$537*$X$537</f>
        <v>172.35696000000002</v>
      </c>
      <c r="AE537" s="6">
        <f>$K$537*$Y$537</f>
        <v>0</v>
      </c>
      <c r="AF537" s="6">
        <f ca="1">$M$537*$Z$537</f>
        <v>172.02479820532153</v>
      </c>
      <c r="AG537" s="6">
        <f ca="1">$O$537*$AA$537</f>
        <v>136.39516524789454</v>
      </c>
    </row>
    <row r="538" spans="1:33" ht="11.25" customHeight="1" x14ac:dyDescent="0.25">
      <c r="A538" s="4" t="s">
        <v>21</v>
      </c>
      <c r="B538" s="4" t="s">
        <v>36</v>
      </c>
      <c r="C538" s="4" t="s">
        <v>23</v>
      </c>
      <c r="D538" s="4" t="s">
        <v>40</v>
      </c>
      <c r="E538" s="4" t="s">
        <v>25</v>
      </c>
      <c r="F538" s="4" t="s">
        <v>25</v>
      </c>
      <c r="G538" s="4" t="s">
        <v>25</v>
      </c>
      <c r="H538" s="4" t="s">
        <v>25</v>
      </c>
      <c r="I538" s="5">
        <v>44470</v>
      </c>
      <c r="J538" s="6">
        <v>0</v>
      </c>
      <c r="K538" s="6">
        <v>0</v>
      </c>
      <c r="L538" s="6">
        <v>532.71600000000001</v>
      </c>
      <c r="M538" s="6">
        <v>532.71600000000001</v>
      </c>
      <c r="N538" s="6">
        <v>532.71600000000001</v>
      </c>
      <c r="O538" s="6">
        <v>532.71600000000001</v>
      </c>
      <c r="P538" s="6">
        <v>1194</v>
      </c>
      <c r="Q538" s="4" t="s">
        <v>26</v>
      </c>
      <c r="R538" s="4">
        <v>0</v>
      </c>
      <c r="S538" s="6">
        <v>0</v>
      </c>
      <c r="T538" s="6">
        <v>68</v>
      </c>
      <c r="U538" s="6">
        <v>76</v>
      </c>
      <c r="V538" s="6">
        <f>IF(ISERROR(VLOOKUP($S$538,'TAR FIN'!$A$1:$O$86,15,0)),0,VLOOKUP($S$538,'TAR FIN'!$A$1:$O$86,15,0))</f>
        <v>0</v>
      </c>
      <c r="W538" s="6">
        <f>IF(ISERROR(VLOOKUP($T$538,'TAR FIN'!$A$1:$O$86,15,0)),0,VLOOKUP($T$538,'TAR FIN'!$A$1:$O$86,15,0))</f>
        <v>326.98</v>
      </c>
      <c r="X538" s="6">
        <f>IF(ISERROR(VLOOKUP($U$538,'TAR FIN'!$A$1:$O$86,15,0)),0,VLOOKUP($U$538,'TAR FIN'!$A$1:$O$86,15,0))</f>
        <v>314.52</v>
      </c>
      <c r="Y538" s="6"/>
      <c r="Z538" s="6">
        <f ca="1">('TUSD BE'!$AM$48+'TUSD BF_350'!$AM$48+'TUSD CVA'!$AM$48)*1</f>
        <v>313.91386533817797</v>
      </c>
      <c r="AA538" s="6">
        <f ca="1">('TE BE'!$AB$40+'TE BF_350'!$AB$40+'TE CVA'!$AB$40)*1</f>
        <v>248.89628694871266</v>
      </c>
      <c r="AB538" s="6">
        <f>$K$538*$V$538</f>
        <v>0</v>
      </c>
      <c r="AC538" s="6">
        <f>$M$538*$W$538</f>
        <v>174187.47768000001</v>
      </c>
      <c r="AD538" s="6">
        <f>$O$538*$X$538</f>
        <v>167549.83632</v>
      </c>
      <c r="AE538" s="6">
        <f>$K$538*$Y$538</f>
        <v>0</v>
      </c>
      <c r="AF538" s="6">
        <f ca="1">$M$538*$Z$538</f>
        <v>167226.93868749283</v>
      </c>
      <c r="AG538" s="6">
        <f ca="1">$O$538*$AA$538</f>
        <v>132591.03439817042</v>
      </c>
    </row>
    <row r="539" spans="1:33" ht="11.25" customHeight="1" x14ac:dyDescent="0.25">
      <c r="A539" s="4" t="s">
        <v>27</v>
      </c>
      <c r="B539" s="4" t="s">
        <v>36</v>
      </c>
      <c r="C539" s="4" t="s">
        <v>23</v>
      </c>
      <c r="D539" s="4" t="s">
        <v>40</v>
      </c>
      <c r="E539" s="4" t="s">
        <v>25</v>
      </c>
      <c r="F539" s="4" t="s">
        <v>25</v>
      </c>
      <c r="G539" s="4" t="s">
        <v>25</v>
      </c>
      <c r="H539" s="4" t="s">
        <v>25</v>
      </c>
      <c r="I539" s="5">
        <v>44470</v>
      </c>
      <c r="J539" s="6">
        <v>0</v>
      </c>
      <c r="K539" s="6">
        <v>0</v>
      </c>
      <c r="L539" s="6">
        <v>34.887999999999998</v>
      </c>
      <c r="M539" s="6">
        <v>34.887999999999998</v>
      </c>
      <c r="N539" s="6">
        <v>34.887999999999998</v>
      </c>
      <c r="O539" s="6">
        <v>34.887999999999998</v>
      </c>
      <c r="P539" s="6">
        <v>82</v>
      </c>
      <c r="Q539" s="4" t="s">
        <v>26</v>
      </c>
      <c r="R539" s="4">
        <v>0</v>
      </c>
      <c r="S539" s="6">
        <v>0</v>
      </c>
      <c r="T539" s="6">
        <v>68</v>
      </c>
      <c r="U539" s="6">
        <v>76</v>
      </c>
      <c r="V539" s="6">
        <f>IF(ISERROR(VLOOKUP($S$539,'TAR FIN'!$A$1:$O$86,15,0)),0,VLOOKUP($S$539,'TAR FIN'!$A$1:$O$86,15,0))</f>
        <v>0</v>
      </c>
      <c r="W539" s="6">
        <f>IF(ISERROR(VLOOKUP($T$539,'TAR FIN'!$A$1:$O$86,15,0)),0,VLOOKUP($T$539,'TAR FIN'!$A$1:$O$86,15,0))</f>
        <v>326.98</v>
      </c>
      <c r="X539" s="6">
        <f>IF(ISERROR(VLOOKUP($U$539,'TAR FIN'!$A$1:$O$86,15,0)),0,VLOOKUP($U$539,'TAR FIN'!$A$1:$O$86,15,0))</f>
        <v>314.52</v>
      </c>
      <c r="Y539" s="6"/>
      <c r="Z539" s="6">
        <f ca="1">('TUSD BE'!$AM$48+'TUSD BF_350'!$AM$48+'TUSD CVA'!$AM$48)*1</f>
        <v>313.91386533817797</v>
      </c>
      <c r="AA539" s="6">
        <f ca="1">('TE BE'!$AB$40+'TE BF_350'!$AB$40+'TE CVA'!$AB$40)*1</f>
        <v>248.89628694871266</v>
      </c>
      <c r="AB539" s="6">
        <f>$K$539*$V$539</f>
        <v>0</v>
      </c>
      <c r="AC539" s="6">
        <f>$M$539*$W$539</f>
        <v>11407.678239999999</v>
      </c>
      <c r="AD539" s="6">
        <f>$O$539*$X$539</f>
        <v>10972.973759999999</v>
      </c>
      <c r="AE539" s="6">
        <f>$K$539*$Y$539</f>
        <v>0</v>
      </c>
      <c r="AF539" s="6">
        <f ca="1">$M$539*$Z$539</f>
        <v>10951.826933918352</v>
      </c>
      <c r="AG539" s="6">
        <f ca="1">$O$539*$AA$539</f>
        <v>8683.4936590666875</v>
      </c>
    </row>
    <row r="540" spans="1:33" ht="11.25" customHeight="1" x14ac:dyDescent="0.25">
      <c r="A540" s="4" t="s">
        <v>21</v>
      </c>
      <c r="B540" s="4" t="s">
        <v>36</v>
      </c>
      <c r="C540" s="4" t="s">
        <v>23</v>
      </c>
      <c r="D540" s="4" t="s">
        <v>40</v>
      </c>
      <c r="E540" s="4" t="s">
        <v>25</v>
      </c>
      <c r="F540" s="4" t="s">
        <v>25</v>
      </c>
      <c r="G540" s="4" t="s">
        <v>25</v>
      </c>
      <c r="H540" s="4" t="s">
        <v>25</v>
      </c>
      <c r="I540" s="5">
        <v>44501</v>
      </c>
      <c r="J540" s="6">
        <v>0</v>
      </c>
      <c r="K540" s="6">
        <v>0</v>
      </c>
      <c r="L540" s="6">
        <v>720.68</v>
      </c>
      <c r="M540" s="6">
        <v>720.68</v>
      </c>
      <c r="N540" s="6">
        <v>720.68</v>
      </c>
      <c r="O540" s="6">
        <v>720.68</v>
      </c>
      <c r="P540" s="6">
        <v>1199</v>
      </c>
      <c r="Q540" s="4" t="s">
        <v>26</v>
      </c>
      <c r="R540" s="4">
        <v>0</v>
      </c>
      <c r="S540" s="6">
        <v>0</v>
      </c>
      <c r="T540" s="6">
        <v>68</v>
      </c>
      <c r="U540" s="6">
        <v>76</v>
      </c>
      <c r="V540" s="6">
        <f>IF(ISERROR(VLOOKUP($S$540,'TAR FIN'!$A$1:$O$86,15,0)),0,VLOOKUP($S$540,'TAR FIN'!$A$1:$O$86,15,0))</f>
        <v>0</v>
      </c>
      <c r="W540" s="6">
        <f>IF(ISERROR(VLOOKUP($T$540,'TAR FIN'!$A$1:$O$86,15,0)),0,VLOOKUP($T$540,'TAR FIN'!$A$1:$O$86,15,0))</f>
        <v>326.98</v>
      </c>
      <c r="X540" s="6">
        <f>IF(ISERROR(VLOOKUP($U$540,'TAR FIN'!$A$1:$O$86,15,0)),0,VLOOKUP($U$540,'TAR FIN'!$A$1:$O$86,15,0))</f>
        <v>314.52</v>
      </c>
      <c r="Y540" s="6"/>
      <c r="Z540" s="6">
        <f ca="1">('TUSD BE'!$AM$48+'TUSD BF_350'!$AM$48+'TUSD CVA'!$AM$48)*1</f>
        <v>313.91386533817797</v>
      </c>
      <c r="AA540" s="6">
        <f ca="1">('TE BE'!$AB$40+'TE BF_350'!$AB$40+'TE CVA'!$AB$40)*1</f>
        <v>248.89628694871266</v>
      </c>
      <c r="AB540" s="6">
        <f>$K$540*$V$540</f>
        <v>0</v>
      </c>
      <c r="AC540" s="6">
        <f>$M$540*$W$540</f>
        <v>235647.94639999999</v>
      </c>
      <c r="AD540" s="6">
        <f>$O$540*$X$540</f>
        <v>226668.27359999996</v>
      </c>
      <c r="AE540" s="6">
        <f>$K$540*$Y$540</f>
        <v>0</v>
      </c>
      <c r="AF540" s="6">
        <f ca="1">$M$540*$Z$540</f>
        <v>226231.44447191808</v>
      </c>
      <c r="AG540" s="6">
        <f ca="1">$O$540*$AA$540</f>
        <v>179374.57607819824</v>
      </c>
    </row>
    <row r="541" spans="1:33" ht="11.25" customHeight="1" x14ac:dyDescent="0.25">
      <c r="A541" s="4" t="s">
        <v>27</v>
      </c>
      <c r="B541" s="4" t="s">
        <v>36</v>
      </c>
      <c r="C541" s="4" t="s">
        <v>23</v>
      </c>
      <c r="D541" s="4" t="s">
        <v>40</v>
      </c>
      <c r="E541" s="4" t="s">
        <v>25</v>
      </c>
      <c r="F541" s="4" t="s">
        <v>25</v>
      </c>
      <c r="G541" s="4" t="s">
        <v>25</v>
      </c>
      <c r="H541" s="4" t="s">
        <v>25</v>
      </c>
      <c r="I541" s="5">
        <v>44501</v>
      </c>
      <c r="J541" s="6">
        <v>0</v>
      </c>
      <c r="K541" s="6">
        <v>0</v>
      </c>
      <c r="L541" s="6">
        <v>46.453000000000003</v>
      </c>
      <c r="M541" s="6">
        <v>46.453000000000003</v>
      </c>
      <c r="N541" s="6">
        <v>46.453000000000003</v>
      </c>
      <c r="O541" s="6">
        <v>46.453000000000003</v>
      </c>
      <c r="P541" s="6">
        <v>85</v>
      </c>
      <c r="Q541" s="4" t="s">
        <v>26</v>
      </c>
      <c r="R541" s="4">
        <v>0</v>
      </c>
      <c r="S541" s="6">
        <v>0</v>
      </c>
      <c r="T541" s="6">
        <v>68</v>
      </c>
      <c r="U541" s="6">
        <v>76</v>
      </c>
      <c r="V541" s="6">
        <f>IF(ISERROR(VLOOKUP($S$541,'TAR FIN'!$A$1:$O$86,15,0)),0,VLOOKUP($S$541,'TAR FIN'!$A$1:$O$86,15,0))</f>
        <v>0</v>
      </c>
      <c r="W541" s="6">
        <f>IF(ISERROR(VLOOKUP($T$541,'TAR FIN'!$A$1:$O$86,15,0)),0,VLOOKUP($T$541,'TAR FIN'!$A$1:$O$86,15,0))</f>
        <v>326.98</v>
      </c>
      <c r="X541" s="6">
        <f>IF(ISERROR(VLOOKUP($U$541,'TAR FIN'!$A$1:$O$86,15,0)),0,VLOOKUP($U$541,'TAR FIN'!$A$1:$O$86,15,0))</f>
        <v>314.52</v>
      </c>
      <c r="Y541" s="6"/>
      <c r="Z541" s="6">
        <f ca="1">('TUSD BE'!$AM$48+'TUSD BF_350'!$AM$48+'TUSD CVA'!$AM$48)*1</f>
        <v>313.91386533817797</v>
      </c>
      <c r="AA541" s="6">
        <f ca="1">('TE BE'!$AB$40+'TE BF_350'!$AB$40+'TE CVA'!$AB$40)*1</f>
        <v>248.89628694871266</v>
      </c>
      <c r="AB541" s="6">
        <f>$K$541*$V$541</f>
        <v>0</v>
      </c>
      <c r="AC541" s="6">
        <f>$M$541*$W$541</f>
        <v>15189.201940000003</v>
      </c>
      <c r="AD541" s="6">
        <f>$O$541*$X$541</f>
        <v>14610.397559999999</v>
      </c>
      <c r="AE541" s="6">
        <f>$K$541*$Y$541</f>
        <v>0</v>
      </c>
      <c r="AF541" s="6">
        <f ca="1">$M$541*$Z$541</f>
        <v>14582.240786554383</v>
      </c>
      <c r="AG541" s="6">
        <f ca="1">$O$541*$AA$541</f>
        <v>11561.97921762855</v>
      </c>
    </row>
    <row r="542" spans="1:33" ht="11.25" customHeight="1" x14ac:dyDescent="0.25">
      <c r="A542" s="4" t="s">
        <v>21</v>
      </c>
      <c r="B542" s="4" t="s">
        <v>36</v>
      </c>
      <c r="C542" s="4" t="s">
        <v>23</v>
      </c>
      <c r="D542" s="4" t="s">
        <v>40</v>
      </c>
      <c r="E542" s="4" t="s">
        <v>25</v>
      </c>
      <c r="F542" s="4" t="s">
        <v>25</v>
      </c>
      <c r="G542" s="4" t="s">
        <v>25</v>
      </c>
      <c r="H542" s="4" t="s">
        <v>25</v>
      </c>
      <c r="I542" s="5">
        <v>44531</v>
      </c>
      <c r="J542" s="6">
        <v>0</v>
      </c>
      <c r="K542" s="6">
        <v>0</v>
      </c>
      <c r="L542" s="6">
        <v>813.173</v>
      </c>
      <c r="M542" s="6">
        <v>813.173</v>
      </c>
      <c r="N542" s="6">
        <v>813.173</v>
      </c>
      <c r="O542" s="6">
        <v>813.173</v>
      </c>
      <c r="P542" s="6">
        <v>1205</v>
      </c>
      <c r="Q542" s="4" t="s">
        <v>26</v>
      </c>
      <c r="R542" s="4">
        <v>0</v>
      </c>
      <c r="S542" s="6">
        <v>0</v>
      </c>
      <c r="T542" s="6">
        <v>68</v>
      </c>
      <c r="U542" s="6">
        <v>76</v>
      </c>
      <c r="V542" s="6">
        <f>IF(ISERROR(VLOOKUP($S$542,'TAR FIN'!$A$1:$O$86,15,0)),0,VLOOKUP($S$542,'TAR FIN'!$A$1:$O$86,15,0))</f>
        <v>0</v>
      </c>
      <c r="W542" s="6">
        <f>IF(ISERROR(VLOOKUP($T$542,'TAR FIN'!$A$1:$O$86,15,0)),0,VLOOKUP($T$542,'TAR FIN'!$A$1:$O$86,15,0))</f>
        <v>326.98</v>
      </c>
      <c r="X542" s="6">
        <f>IF(ISERROR(VLOOKUP($U$542,'TAR FIN'!$A$1:$O$86,15,0)),0,VLOOKUP($U$542,'TAR FIN'!$A$1:$O$86,15,0))</f>
        <v>314.52</v>
      </c>
      <c r="Y542" s="6"/>
      <c r="Z542" s="6">
        <f ca="1">('TUSD BE'!$AM$48+'TUSD BF_350'!$AM$48+'TUSD CVA'!$AM$48)*1</f>
        <v>313.91386533817797</v>
      </c>
      <c r="AA542" s="6">
        <f ca="1">('TE BE'!$AB$40+'TE BF_350'!$AB$40+'TE CVA'!$AB$40)*1</f>
        <v>248.89628694871266</v>
      </c>
      <c r="AB542" s="6">
        <f>$K$542*$V$542</f>
        <v>0</v>
      </c>
      <c r="AC542" s="6">
        <f>$M$542*$W$542</f>
        <v>265891.30754000001</v>
      </c>
      <c r="AD542" s="6">
        <f>$O$542*$X$542</f>
        <v>255759.17195999998</v>
      </c>
      <c r="AE542" s="6">
        <f>$K$542*$Y$542</f>
        <v>0</v>
      </c>
      <c r="AF542" s="6">
        <f ca="1">$M$542*$Z$542</f>
        <v>255266.27961864221</v>
      </c>
      <c r="AG542" s="6">
        <f ca="1">$O$542*$AA$542</f>
        <v>202395.74034694553</v>
      </c>
    </row>
    <row r="543" spans="1:33" ht="11.25" customHeight="1" x14ac:dyDescent="0.25">
      <c r="A543" s="4" t="s">
        <v>27</v>
      </c>
      <c r="B543" s="4" t="s">
        <v>36</v>
      </c>
      <c r="C543" s="4" t="s">
        <v>23</v>
      </c>
      <c r="D543" s="4" t="s">
        <v>40</v>
      </c>
      <c r="E543" s="4" t="s">
        <v>25</v>
      </c>
      <c r="F543" s="4" t="s">
        <v>25</v>
      </c>
      <c r="G543" s="4" t="s">
        <v>25</v>
      </c>
      <c r="H543" s="4" t="s">
        <v>25</v>
      </c>
      <c r="I543" s="5">
        <v>44531</v>
      </c>
      <c r="J543" s="6">
        <v>0</v>
      </c>
      <c r="K543" s="6">
        <v>0</v>
      </c>
      <c r="L543" s="6">
        <v>48.036999999999999</v>
      </c>
      <c r="M543" s="6">
        <v>48.036999999999999</v>
      </c>
      <c r="N543" s="6">
        <v>48.036999999999999</v>
      </c>
      <c r="O543" s="6">
        <v>48.036999999999999</v>
      </c>
      <c r="P543" s="6">
        <v>85</v>
      </c>
      <c r="Q543" s="4" t="s">
        <v>26</v>
      </c>
      <c r="R543" s="4">
        <v>0</v>
      </c>
      <c r="S543" s="6">
        <v>0</v>
      </c>
      <c r="T543" s="6">
        <v>68</v>
      </c>
      <c r="U543" s="6">
        <v>76</v>
      </c>
      <c r="V543" s="6">
        <f>IF(ISERROR(VLOOKUP($S$543,'TAR FIN'!$A$1:$O$86,15,0)),0,VLOOKUP($S$543,'TAR FIN'!$A$1:$O$86,15,0))</f>
        <v>0</v>
      </c>
      <c r="W543" s="6">
        <f>IF(ISERROR(VLOOKUP($T$543,'TAR FIN'!$A$1:$O$86,15,0)),0,VLOOKUP($T$543,'TAR FIN'!$A$1:$O$86,15,0))</f>
        <v>326.98</v>
      </c>
      <c r="X543" s="6">
        <f>IF(ISERROR(VLOOKUP($U$543,'TAR FIN'!$A$1:$O$86,15,0)),0,VLOOKUP($U$543,'TAR FIN'!$A$1:$O$86,15,0))</f>
        <v>314.52</v>
      </c>
      <c r="Y543" s="6"/>
      <c r="Z543" s="6">
        <f ca="1">('TUSD BE'!$AM$48+'TUSD BF_350'!$AM$48+'TUSD CVA'!$AM$48)*1</f>
        <v>313.91386533817797</v>
      </c>
      <c r="AA543" s="6">
        <f ca="1">('TE BE'!$AB$40+'TE BF_350'!$AB$40+'TE CVA'!$AB$40)*1</f>
        <v>248.89628694871266</v>
      </c>
      <c r="AB543" s="6">
        <f>$K$543*$V$543</f>
        <v>0</v>
      </c>
      <c r="AC543" s="6">
        <f>$M$543*$W$543</f>
        <v>15707.13826</v>
      </c>
      <c r="AD543" s="6">
        <f>$O$543*$X$543</f>
        <v>15108.597239999999</v>
      </c>
      <c r="AE543" s="6">
        <f>$K$543*$Y$543</f>
        <v>0</v>
      </c>
      <c r="AF543" s="6">
        <f ca="1">$M$543*$Z$543</f>
        <v>15079.480349250054</v>
      </c>
      <c r="AG543" s="6">
        <f ca="1">$O$543*$AA$543</f>
        <v>11956.230936155309</v>
      </c>
    </row>
    <row r="544" spans="1:33" ht="11.25" customHeight="1" x14ac:dyDescent="0.25">
      <c r="A544" s="4" t="s">
        <v>21</v>
      </c>
      <c r="B544" s="4" t="s">
        <v>36</v>
      </c>
      <c r="C544" s="4" t="s">
        <v>23</v>
      </c>
      <c r="D544" s="4" t="s">
        <v>40</v>
      </c>
      <c r="E544" s="4" t="s">
        <v>25</v>
      </c>
      <c r="F544" s="4" t="s">
        <v>25</v>
      </c>
      <c r="G544" s="4" t="s">
        <v>25</v>
      </c>
      <c r="H544" s="4" t="s">
        <v>25</v>
      </c>
      <c r="I544" s="5">
        <v>44562</v>
      </c>
      <c r="J544" s="6">
        <v>0</v>
      </c>
      <c r="K544" s="6">
        <v>0</v>
      </c>
      <c r="L544" s="6">
        <v>862.79100000000005</v>
      </c>
      <c r="M544" s="6">
        <v>862.79100000000005</v>
      </c>
      <c r="N544" s="6">
        <v>862.79100000000005</v>
      </c>
      <c r="O544" s="6">
        <v>862.79100000000005</v>
      </c>
      <c r="P544" s="6">
        <v>1202</v>
      </c>
      <c r="Q544" s="4" t="s">
        <v>26</v>
      </c>
      <c r="R544" s="4">
        <v>0</v>
      </c>
      <c r="S544" s="6">
        <v>0</v>
      </c>
      <c r="T544" s="6">
        <v>68</v>
      </c>
      <c r="U544" s="6">
        <v>76</v>
      </c>
      <c r="V544" s="6">
        <f>IF(ISERROR(VLOOKUP($S$544,'TAR FIN'!$A$1:$O$86,15,0)),0,VLOOKUP($S$544,'TAR FIN'!$A$1:$O$86,15,0))</f>
        <v>0</v>
      </c>
      <c r="W544" s="6">
        <f>IF(ISERROR(VLOOKUP($T$544,'TAR FIN'!$A$1:$O$86,15,0)),0,VLOOKUP($T$544,'TAR FIN'!$A$1:$O$86,15,0))</f>
        <v>326.98</v>
      </c>
      <c r="X544" s="6">
        <f>IF(ISERROR(VLOOKUP($U$544,'TAR FIN'!$A$1:$O$86,15,0)),0,VLOOKUP($U$544,'TAR FIN'!$A$1:$O$86,15,0))</f>
        <v>314.52</v>
      </c>
      <c r="Y544" s="6"/>
      <c r="Z544" s="6">
        <f ca="1">('TUSD BE'!$AM$48+'TUSD BF_350'!$AM$48+'TUSD CVA'!$AM$48)*1</f>
        <v>313.91386533817797</v>
      </c>
      <c r="AA544" s="6">
        <f ca="1">('TE BE'!$AB$40+'TE BF_350'!$AB$40+'TE CVA'!$AB$40)*1</f>
        <v>248.89628694871266</v>
      </c>
      <c r="AB544" s="6">
        <f>$K$544*$V$544</f>
        <v>0</v>
      </c>
      <c r="AC544" s="6">
        <f>$M$544*$W$544</f>
        <v>282115.40118000004</v>
      </c>
      <c r="AD544" s="6">
        <f>$O$544*$X$544</f>
        <v>271365.02532000002</v>
      </c>
      <c r="AE544" s="6">
        <f>$K$544*$Y$544</f>
        <v>0</v>
      </c>
      <c r="AF544" s="6">
        <f ca="1">$M$544*$Z$544</f>
        <v>270842.05778899195</v>
      </c>
      <c r="AG544" s="6">
        <f ca="1">$O$544*$AA$544</f>
        <v>214745.47631276675</v>
      </c>
    </row>
    <row r="545" spans="1:33" ht="11.25" customHeight="1" x14ac:dyDescent="0.25">
      <c r="A545" s="4" t="s">
        <v>27</v>
      </c>
      <c r="B545" s="4" t="s">
        <v>36</v>
      </c>
      <c r="C545" s="4" t="s">
        <v>23</v>
      </c>
      <c r="D545" s="4" t="s">
        <v>40</v>
      </c>
      <c r="E545" s="4" t="s">
        <v>25</v>
      </c>
      <c r="F545" s="4" t="s">
        <v>25</v>
      </c>
      <c r="G545" s="4" t="s">
        <v>25</v>
      </c>
      <c r="H545" s="4" t="s">
        <v>25</v>
      </c>
      <c r="I545" s="5">
        <v>44562</v>
      </c>
      <c r="J545" s="6">
        <v>0</v>
      </c>
      <c r="K545" s="6">
        <v>0</v>
      </c>
      <c r="L545" s="6">
        <v>57.162999999999997</v>
      </c>
      <c r="M545" s="6">
        <v>57.162999999999997</v>
      </c>
      <c r="N545" s="6">
        <v>57.162999999999997</v>
      </c>
      <c r="O545" s="6">
        <v>57.162999999999997</v>
      </c>
      <c r="P545" s="6">
        <v>91</v>
      </c>
      <c r="Q545" s="4" t="s">
        <v>26</v>
      </c>
      <c r="R545" s="4">
        <v>0</v>
      </c>
      <c r="S545" s="6">
        <v>0</v>
      </c>
      <c r="T545" s="6">
        <v>68</v>
      </c>
      <c r="U545" s="6">
        <v>76</v>
      </c>
      <c r="V545" s="6">
        <f>IF(ISERROR(VLOOKUP($S$545,'TAR FIN'!$A$1:$O$86,15,0)),0,VLOOKUP($S$545,'TAR FIN'!$A$1:$O$86,15,0))</f>
        <v>0</v>
      </c>
      <c r="W545" s="6">
        <f>IF(ISERROR(VLOOKUP($T$545,'TAR FIN'!$A$1:$O$86,15,0)),0,VLOOKUP($T$545,'TAR FIN'!$A$1:$O$86,15,0))</f>
        <v>326.98</v>
      </c>
      <c r="X545" s="6">
        <f>IF(ISERROR(VLOOKUP($U$545,'TAR FIN'!$A$1:$O$86,15,0)),0,VLOOKUP($U$545,'TAR FIN'!$A$1:$O$86,15,0))</f>
        <v>314.52</v>
      </c>
      <c r="Y545" s="6"/>
      <c r="Z545" s="6">
        <f ca="1">('TUSD BE'!$AM$48+'TUSD BF_350'!$AM$48+'TUSD CVA'!$AM$48)*1</f>
        <v>313.91386533817797</v>
      </c>
      <c r="AA545" s="6">
        <f ca="1">('TE BE'!$AB$40+'TE BF_350'!$AB$40+'TE CVA'!$AB$40)*1</f>
        <v>248.89628694871266</v>
      </c>
      <c r="AB545" s="6">
        <f>$K$545*$V$545</f>
        <v>0</v>
      </c>
      <c r="AC545" s="6">
        <f>$M$545*$W$545</f>
        <v>18691.157739999999</v>
      </c>
      <c r="AD545" s="6">
        <f>$O$545*$X$545</f>
        <v>17978.906759999998</v>
      </c>
      <c r="AE545" s="6">
        <f>$K$545*$Y$545</f>
        <v>0</v>
      </c>
      <c r="AF545" s="6">
        <f ca="1">$M$545*$Z$545</f>
        <v>17944.258284326268</v>
      </c>
      <c r="AG545" s="6">
        <f ca="1">$O$545*$AA$545</f>
        <v>14227.658450849261</v>
      </c>
    </row>
    <row r="546" spans="1:33" ht="11.25" customHeight="1" x14ac:dyDescent="0.25">
      <c r="A546" s="4" t="s">
        <v>21</v>
      </c>
      <c r="B546" s="4" t="s">
        <v>36</v>
      </c>
      <c r="C546" s="4" t="s">
        <v>23</v>
      </c>
      <c r="D546" s="4" t="s">
        <v>40</v>
      </c>
      <c r="E546" s="4" t="s">
        <v>25</v>
      </c>
      <c r="F546" s="4" t="s">
        <v>25</v>
      </c>
      <c r="G546" s="4" t="s">
        <v>25</v>
      </c>
      <c r="H546" s="4" t="s">
        <v>25</v>
      </c>
      <c r="I546" s="5">
        <v>44593</v>
      </c>
      <c r="J546" s="6">
        <v>0</v>
      </c>
      <c r="K546" s="6">
        <v>0</v>
      </c>
      <c r="L546" s="6">
        <v>771.23199999999997</v>
      </c>
      <c r="M546" s="6">
        <v>771.23199999999997</v>
      </c>
      <c r="N546" s="6">
        <v>771.23199999999997</v>
      </c>
      <c r="O546" s="6">
        <v>771.23199999999997</v>
      </c>
      <c r="P546" s="6">
        <v>1203</v>
      </c>
      <c r="Q546" s="4" t="s">
        <v>26</v>
      </c>
      <c r="R546" s="4">
        <v>0</v>
      </c>
      <c r="S546" s="6">
        <v>0</v>
      </c>
      <c r="T546" s="6">
        <v>68</v>
      </c>
      <c r="U546" s="6">
        <v>76</v>
      </c>
      <c r="V546" s="6">
        <f>IF(ISERROR(VLOOKUP($S$546,'TAR FIN'!$A$1:$O$86,15,0)),0,VLOOKUP($S$546,'TAR FIN'!$A$1:$O$86,15,0))</f>
        <v>0</v>
      </c>
      <c r="W546" s="6">
        <f>IF(ISERROR(VLOOKUP($T$546,'TAR FIN'!$A$1:$O$86,15,0)),0,VLOOKUP($T$546,'TAR FIN'!$A$1:$O$86,15,0))</f>
        <v>326.98</v>
      </c>
      <c r="X546" s="6">
        <f>IF(ISERROR(VLOOKUP($U$546,'TAR FIN'!$A$1:$O$86,15,0)),0,VLOOKUP($U$546,'TAR FIN'!$A$1:$O$86,15,0))</f>
        <v>314.52</v>
      </c>
      <c r="Y546" s="6"/>
      <c r="Z546" s="6">
        <f ca="1">('TUSD BE'!$AM$48+'TUSD BF_350'!$AM$48+'TUSD CVA'!$AM$48)*1</f>
        <v>313.91386533817797</v>
      </c>
      <c r="AA546" s="6">
        <f ca="1">('TE BE'!$AB$40+'TE BF_350'!$AB$40+'TE CVA'!$AB$40)*1</f>
        <v>248.89628694871266</v>
      </c>
      <c r="AB546" s="6">
        <f>$K$546*$V$546</f>
        <v>0</v>
      </c>
      <c r="AC546" s="6">
        <f>$M$546*$W$546</f>
        <v>252177.43936000002</v>
      </c>
      <c r="AD546" s="6">
        <f>$O$546*$X$546</f>
        <v>242567.88863999999</v>
      </c>
      <c r="AE546" s="6">
        <f>$K$546*$Y$546</f>
        <v>0</v>
      </c>
      <c r="AF546" s="6">
        <f ca="1">$M$546*$Z$546</f>
        <v>242100.41819249367</v>
      </c>
      <c r="AG546" s="6">
        <f ca="1">$O$546*$AA$546</f>
        <v>191956.78117602956</v>
      </c>
    </row>
    <row r="547" spans="1:33" ht="11.25" customHeight="1" x14ac:dyDescent="0.25">
      <c r="A547" s="4" t="s">
        <v>27</v>
      </c>
      <c r="B547" s="4" t="s">
        <v>36</v>
      </c>
      <c r="C547" s="4" t="s">
        <v>23</v>
      </c>
      <c r="D547" s="4" t="s">
        <v>40</v>
      </c>
      <c r="E547" s="4" t="s">
        <v>25</v>
      </c>
      <c r="F547" s="4" t="s">
        <v>25</v>
      </c>
      <c r="G547" s="4" t="s">
        <v>25</v>
      </c>
      <c r="H547" s="4" t="s">
        <v>25</v>
      </c>
      <c r="I547" s="5">
        <v>44593</v>
      </c>
      <c r="J547" s="6">
        <v>0</v>
      </c>
      <c r="K547" s="6">
        <v>0</v>
      </c>
      <c r="L547" s="6">
        <v>48.823999999999998</v>
      </c>
      <c r="M547" s="6">
        <v>48.823999999999998</v>
      </c>
      <c r="N547" s="6">
        <v>48.823999999999998</v>
      </c>
      <c r="O547" s="6">
        <v>48.823999999999998</v>
      </c>
      <c r="P547" s="6">
        <v>92</v>
      </c>
      <c r="Q547" s="4" t="s">
        <v>26</v>
      </c>
      <c r="R547" s="4">
        <v>0</v>
      </c>
      <c r="S547" s="6">
        <v>0</v>
      </c>
      <c r="T547" s="6">
        <v>68</v>
      </c>
      <c r="U547" s="6">
        <v>76</v>
      </c>
      <c r="V547" s="6">
        <f>IF(ISERROR(VLOOKUP($S$547,'TAR FIN'!$A$1:$O$86,15,0)),0,VLOOKUP($S$547,'TAR FIN'!$A$1:$O$86,15,0))</f>
        <v>0</v>
      </c>
      <c r="W547" s="6">
        <f>IF(ISERROR(VLOOKUP($T$547,'TAR FIN'!$A$1:$O$86,15,0)),0,VLOOKUP($T$547,'TAR FIN'!$A$1:$O$86,15,0))</f>
        <v>326.98</v>
      </c>
      <c r="X547" s="6">
        <f>IF(ISERROR(VLOOKUP($U$547,'TAR FIN'!$A$1:$O$86,15,0)),0,VLOOKUP($U$547,'TAR FIN'!$A$1:$O$86,15,0))</f>
        <v>314.52</v>
      </c>
      <c r="Y547" s="6"/>
      <c r="Z547" s="6">
        <f ca="1">('TUSD BE'!$AM$48+'TUSD BF_350'!$AM$48+'TUSD CVA'!$AM$48)*1</f>
        <v>313.91386533817797</v>
      </c>
      <c r="AA547" s="6">
        <f ca="1">('TE BE'!$AB$40+'TE BF_350'!$AB$40+'TE CVA'!$AB$40)*1</f>
        <v>248.89628694871266</v>
      </c>
      <c r="AB547" s="6">
        <f>$K$547*$V$547</f>
        <v>0</v>
      </c>
      <c r="AC547" s="6">
        <f>$M$547*$W$547</f>
        <v>15964.471520000001</v>
      </c>
      <c r="AD547" s="6">
        <f>$O$547*$X$547</f>
        <v>15356.124479999999</v>
      </c>
      <c r="AE547" s="6">
        <f>$K$547*$Y$547</f>
        <v>0</v>
      </c>
      <c r="AF547" s="6">
        <f ca="1">$M$547*$Z$547</f>
        <v>15326.5305612712</v>
      </c>
      <c r="AG547" s="6">
        <f ca="1">$O$547*$AA$547</f>
        <v>12152.112313983946</v>
      </c>
    </row>
    <row r="548" spans="1:33" ht="11.25" customHeight="1" x14ac:dyDescent="0.25">
      <c r="A548" s="4" t="s">
        <v>21</v>
      </c>
      <c r="B548" s="4" t="s">
        <v>36</v>
      </c>
      <c r="C548" s="4" t="s">
        <v>23</v>
      </c>
      <c r="D548" s="4" t="s">
        <v>40</v>
      </c>
      <c r="E548" s="4" t="s">
        <v>25</v>
      </c>
      <c r="F548" s="4" t="s">
        <v>25</v>
      </c>
      <c r="G548" s="4" t="s">
        <v>25</v>
      </c>
      <c r="H548" s="4" t="s">
        <v>25</v>
      </c>
      <c r="I548" s="5">
        <v>44621</v>
      </c>
      <c r="J548" s="6">
        <v>0</v>
      </c>
      <c r="K548" s="6">
        <v>0</v>
      </c>
      <c r="L548" s="6">
        <v>825.40800000000002</v>
      </c>
      <c r="M548" s="6">
        <v>825.40800000000002</v>
      </c>
      <c r="N548" s="6">
        <v>825.40800000000002</v>
      </c>
      <c r="O548" s="6">
        <v>825.40800000000002</v>
      </c>
      <c r="P548" s="6">
        <v>1207</v>
      </c>
      <c r="Q548" s="4" t="s">
        <v>26</v>
      </c>
      <c r="R548" s="4">
        <v>0</v>
      </c>
      <c r="S548" s="6">
        <v>0</v>
      </c>
      <c r="T548" s="6">
        <v>68</v>
      </c>
      <c r="U548" s="6">
        <v>76</v>
      </c>
      <c r="V548" s="6">
        <f>IF(ISERROR(VLOOKUP($S$548,'TAR FIN'!$A$1:$O$86,15,0)),0,VLOOKUP($S$548,'TAR FIN'!$A$1:$O$86,15,0))</f>
        <v>0</v>
      </c>
      <c r="W548" s="6">
        <f>IF(ISERROR(VLOOKUP($T$548,'TAR FIN'!$A$1:$O$86,15,0)),0,VLOOKUP($T$548,'TAR FIN'!$A$1:$O$86,15,0))</f>
        <v>326.98</v>
      </c>
      <c r="X548" s="6">
        <f>IF(ISERROR(VLOOKUP($U$548,'TAR FIN'!$A$1:$O$86,15,0)),0,VLOOKUP($U$548,'TAR FIN'!$A$1:$O$86,15,0))</f>
        <v>314.52</v>
      </c>
      <c r="Y548" s="6"/>
      <c r="Z548" s="6">
        <f ca="1">('TUSD BE'!$AM$48+'TUSD BF_350'!$AM$48+'TUSD CVA'!$AM$48)*1</f>
        <v>313.91386533817797</v>
      </c>
      <c r="AA548" s="6">
        <f ca="1">('TE BE'!$AB$40+'TE BF_350'!$AB$40+'TE CVA'!$AB$40)*1</f>
        <v>248.89628694871266</v>
      </c>
      <c r="AB548" s="6">
        <f>$K$548*$V$548</f>
        <v>0</v>
      </c>
      <c r="AC548" s="6">
        <f>$M$548*$W$548</f>
        <v>269891.90784</v>
      </c>
      <c r="AD548" s="6">
        <f>$O$548*$X$548</f>
        <v>259607.32415999999</v>
      </c>
      <c r="AE548" s="6">
        <f>$K$548*$Y$548</f>
        <v>0</v>
      </c>
      <c r="AF548" s="6">
        <f ca="1">$M$548*$Z$548</f>
        <v>259107.01576105482</v>
      </c>
      <c r="AG548" s="6">
        <f ca="1">$O$548*$AA$548</f>
        <v>205440.98641776302</v>
      </c>
    </row>
    <row r="549" spans="1:33" ht="11.25" customHeight="1" x14ac:dyDescent="0.25">
      <c r="A549" s="4" t="s">
        <v>27</v>
      </c>
      <c r="B549" s="4" t="s">
        <v>36</v>
      </c>
      <c r="C549" s="4" t="s">
        <v>23</v>
      </c>
      <c r="D549" s="4" t="s">
        <v>40</v>
      </c>
      <c r="E549" s="4" t="s">
        <v>25</v>
      </c>
      <c r="F549" s="4" t="s">
        <v>25</v>
      </c>
      <c r="G549" s="4" t="s">
        <v>25</v>
      </c>
      <c r="H549" s="4" t="s">
        <v>25</v>
      </c>
      <c r="I549" s="5">
        <v>44621</v>
      </c>
      <c r="J549" s="6">
        <v>0</v>
      </c>
      <c r="K549" s="6">
        <v>0</v>
      </c>
      <c r="L549" s="6">
        <v>67.234999999999999</v>
      </c>
      <c r="M549" s="6">
        <v>67.234999999999999</v>
      </c>
      <c r="N549" s="6">
        <v>67.234999999999999</v>
      </c>
      <c r="O549" s="6">
        <v>67.234999999999999</v>
      </c>
      <c r="P549" s="6">
        <v>95</v>
      </c>
      <c r="Q549" s="4" t="s">
        <v>26</v>
      </c>
      <c r="R549" s="4">
        <v>0</v>
      </c>
      <c r="S549" s="6">
        <v>0</v>
      </c>
      <c r="T549" s="6">
        <v>68</v>
      </c>
      <c r="U549" s="6">
        <v>76</v>
      </c>
      <c r="V549" s="6">
        <f>IF(ISERROR(VLOOKUP($S$549,'TAR FIN'!$A$1:$O$86,15,0)),0,VLOOKUP($S$549,'TAR FIN'!$A$1:$O$86,15,0))</f>
        <v>0</v>
      </c>
      <c r="W549" s="6">
        <f>IF(ISERROR(VLOOKUP($T$549,'TAR FIN'!$A$1:$O$86,15,0)),0,VLOOKUP($T$549,'TAR FIN'!$A$1:$O$86,15,0))</f>
        <v>326.98</v>
      </c>
      <c r="X549" s="6">
        <f>IF(ISERROR(VLOOKUP($U$549,'TAR FIN'!$A$1:$O$86,15,0)),0,VLOOKUP($U$549,'TAR FIN'!$A$1:$O$86,15,0))</f>
        <v>314.52</v>
      </c>
      <c r="Y549" s="6"/>
      <c r="Z549" s="6">
        <f ca="1">('TUSD BE'!$AM$48+'TUSD BF_350'!$AM$48+'TUSD CVA'!$AM$48)*1</f>
        <v>313.91386533817797</v>
      </c>
      <c r="AA549" s="6">
        <f ca="1">('TE BE'!$AB$40+'TE BF_350'!$AB$40+'TE CVA'!$AB$40)*1</f>
        <v>248.89628694871266</v>
      </c>
      <c r="AB549" s="6">
        <f>$K$549*$V$549</f>
        <v>0</v>
      </c>
      <c r="AC549" s="6">
        <f>$M$549*$W$549</f>
        <v>21984.5003</v>
      </c>
      <c r="AD549" s="6">
        <f>$O$549*$X$549</f>
        <v>21146.752199999999</v>
      </c>
      <c r="AE549" s="6">
        <f>$K$549*$Y$549</f>
        <v>0</v>
      </c>
      <c r="AF549" s="6">
        <f ca="1">$M$549*$Z$549</f>
        <v>21105.998736012396</v>
      </c>
      <c r="AG549" s="6">
        <f ca="1">$O$549*$AA$549</f>
        <v>16734.541852996696</v>
      </c>
    </row>
    <row r="550" spans="1:33" ht="11.25" customHeight="1" x14ac:dyDescent="0.25">
      <c r="A550" s="4" t="s">
        <v>21</v>
      </c>
      <c r="B550" s="4" t="s">
        <v>36</v>
      </c>
      <c r="C550" s="4" t="s">
        <v>23</v>
      </c>
      <c r="D550" s="4" t="s">
        <v>40</v>
      </c>
      <c r="E550" s="4" t="s">
        <v>25</v>
      </c>
      <c r="F550" s="4" t="s">
        <v>25</v>
      </c>
      <c r="G550" s="4" t="s">
        <v>25</v>
      </c>
      <c r="H550" s="4" t="s">
        <v>25</v>
      </c>
      <c r="I550" s="5">
        <v>44652</v>
      </c>
      <c r="J550" s="6">
        <v>0</v>
      </c>
      <c r="K550" s="6">
        <v>0</v>
      </c>
      <c r="L550" s="6">
        <v>557.01499999999999</v>
      </c>
      <c r="M550" s="6">
        <v>557.01499999999999</v>
      </c>
      <c r="N550" s="6">
        <v>557.01499999999999</v>
      </c>
      <c r="O550" s="6">
        <v>557.01499999999999</v>
      </c>
      <c r="P550" s="6">
        <v>1206</v>
      </c>
      <c r="Q550" s="4" t="s">
        <v>26</v>
      </c>
      <c r="R550" s="4">
        <v>0</v>
      </c>
      <c r="S550" s="6">
        <v>0</v>
      </c>
      <c r="T550" s="6">
        <v>68</v>
      </c>
      <c r="U550" s="6">
        <v>76</v>
      </c>
      <c r="V550" s="6">
        <f>IF(ISERROR(VLOOKUP($S$550,'TAR FIN'!$A$1:$O$86,15,0)),0,VLOOKUP($S$550,'TAR FIN'!$A$1:$O$86,15,0))</f>
        <v>0</v>
      </c>
      <c r="W550" s="6">
        <f>IF(ISERROR(VLOOKUP($T$550,'TAR FIN'!$A$1:$O$86,15,0)),0,VLOOKUP($T$550,'TAR FIN'!$A$1:$O$86,15,0))</f>
        <v>326.98</v>
      </c>
      <c r="X550" s="6">
        <f>IF(ISERROR(VLOOKUP($U$550,'TAR FIN'!$A$1:$O$86,15,0)),0,VLOOKUP($U$550,'TAR FIN'!$A$1:$O$86,15,0))</f>
        <v>314.52</v>
      </c>
      <c r="Y550" s="6"/>
      <c r="Z550" s="6">
        <f ca="1">('TUSD BE'!$AM$48+'TUSD BF_350'!$AM$48+'TUSD CVA'!$AM$48)*1</f>
        <v>313.91386533817797</v>
      </c>
      <c r="AA550" s="6">
        <f ca="1">('TE BE'!$AB$40+'TE BF_350'!$AB$40+'TE CVA'!$AB$40)*1</f>
        <v>248.89628694871266</v>
      </c>
      <c r="AB550" s="6">
        <f>$K$550*$V$550</f>
        <v>0</v>
      </c>
      <c r="AC550" s="6">
        <f>$M$550*$W$550</f>
        <v>182132.7647</v>
      </c>
      <c r="AD550" s="6">
        <f>$O$550*$X$550</f>
        <v>175192.3578</v>
      </c>
      <c r="AE550" s="6">
        <f>$K$550*$Y$550</f>
        <v>0</v>
      </c>
      <c r="AF550" s="6">
        <f ca="1">$M$550*$Z$550</f>
        <v>174854.73170134521</v>
      </c>
      <c r="AG550" s="6">
        <f ca="1">$O$550*$AA$550</f>
        <v>138638.96527473719</v>
      </c>
    </row>
    <row r="551" spans="1:33" ht="11.25" customHeight="1" x14ac:dyDescent="0.25">
      <c r="A551" s="4" t="s">
        <v>27</v>
      </c>
      <c r="B551" s="4" t="s">
        <v>36</v>
      </c>
      <c r="C551" s="4" t="s">
        <v>23</v>
      </c>
      <c r="D551" s="4" t="s">
        <v>40</v>
      </c>
      <c r="E551" s="4" t="s">
        <v>25</v>
      </c>
      <c r="F551" s="4" t="s">
        <v>25</v>
      </c>
      <c r="G551" s="4" t="s">
        <v>25</v>
      </c>
      <c r="H551" s="4" t="s">
        <v>25</v>
      </c>
      <c r="I551" s="5">
        <v>44652</v>
      </c>
      <c r="J551" s="6">
        <v>0</v>
      </c>
      <c r="K551" s="6">
        <v>0</v>
      </c>
      <c r="L551" s="6">
        <v>49.716999999999999</v>
      </c>
      <c r="M551" s="6">
        <v>49.716999999999999</v>
      </c>
      <c r="N551" s="6">
        <v>49.716999999999999</v>
      </c>
      <c r="O551" s="6">
        <v>49.716999999999999</v>
      </c>
      <c r="P551" s="6">
        <v>95</v>
      </c>
      <c r="Q551" s="4" t="s">
        <v>26</v>
      </c>
      <c r="R551" s="4">
        <v>0</v>
      </c>
      <c r="S551" s="6">
        <v>0</v>
      </c>
      <c r="T551" s="6">
        <v>68</v>
      </c>
      <c r="U551" s="6">
        <v>76</v>
      </c>
      <c r="V551" s="6">
        <f>IF(ISERROR(VLOOKUP($S$551,'TAR FIN'!$A$1:$O$86,15,0)),0,VLOOKUP($S$551,'TAR FIN'!$A$1:$O$86,15,0))</f>
        <v>0</v>
      </c>
      <c r="W551" s="6">
        <f>IF(ISERROR(VLOOKUP($T$551,'TAR FIN'!$A$1:$O$86,15,0)),0,VLOOKUP($T$551,'TAR FIN'!$A$1:$O$86,15,0))</f>
        <v>326.98</v>
      </c>
      <c r="X551" s="6">
        <f>IF(ISERROR(VLOOKUP($U$551,'TAR FIN'!$A$1:$O$86,15,0)),0,VLOOKUP($U$551,'TAR FIN'!$A$1:$O$86,15,0))</f>
        <v>314.52</v>
      </c>
      <c r="Y551" s="6"/>
      <c r="Z551" s="6">
        <f ca="1">('TUSD BE'!$AM$48+'TUSD BF_350'!$AM$48+'TUSD CVA'!$AM$48)*1</f>
        <v>313.91386533817797</v>
      </c>
      <c r="AA551" s="6">
        <f ca="1">('TE BE'!$AB$40+'TE BF_350'!$AB$40+'TE CVA'!$AB$40)*1</f>
        <v>248.89628694871266</v>
      </c>
      <c r="AB551" s="6">
        <f>$K$551*$V$551</f>
        <v>0</v>
      </c>
      <c r="AC551" s="6">
        <f>$M$551*$W$551</f>
        <v>16256.46466</v>
      </c>
      <c r="AD551" s="6">
        <f>$O$551*$X$551</f>
        <v>15636.990839999999</v>
      </c>
      <c r="AE551" s="6">
        <f>$K$551*$Y$551</f>
        <v>0</v>
      </c>
      <c r="AF551" s="6">
        <f ca="1">$M$551*$Z$551</f>
        <v>15606.855643018194</v>
      </c>
      <c r="AG551" s="6">
        <f ca="1">$O$551*$AA$551</f>
        <v>12374.376698229147</v>
      </c>
    </row>
    <row r="552" spans="1:33" ht="11.25" customHeight="1" x14ac:dyDescent="0.25">
      <c r="A552" s="4" t="s">
        <v>21</v>
      </c>
      <c r="B552" s="4" t="s">
        <v>36</v>
      </c>
      <c r="C552" s="4" t="s">
        <v>23</v>
      </c>
      <c r="D552" s="4" t="s">
        <v>40</v>
      </c>
      <c r="E552" s="4" t="s">
        <v>25</v>
      </c>
      <c r="F552" s="4" t="s">
        <v>25</v>
      </c>
      <c r="G552" s="4" t="s">
        <v>25</v>
      </c>
      <c r="H552" s="4" t="s">
        <v>25</v>
      </c>
      <c r="I552" s="5">
        <v>44682</v>
      </c>
      <c r="J552" s="6">
        <v>0</v>
      </c>
      <c r="K552" s="6">
        <v>0</v>
      </c>
      <c r="L552" s="6">
        <v>568.80799999999999</v>
      </c>
      <c r="M552" s="6">
        <v>568.80799999999999</v>
      </c>
      <c r="N552" s="6">
        <v>568.80799999999999</v>
      </c>
      <c r="O552" s="6">
        <v>568.80799999999999</v>
      </c>
      <c r="P552" s="6">
        <v>1209</v>
      </c>
      <c r="Q552" s="4" t="s">
        <v>26</v>
      </c>
      <c r="R552" s="4">
        <v>0</v>
      </c>
      <c r="S552" s="6">
        <v>0</v>
      </c>
      <c r="T552" s="6">
        <v>68</v>
      </c>
      <c r="U552" s="6">
        <v>76</v>
      </c>
      <c r="V552" s="6">
        <f>IF(ISERROR(VLOOKUP($S$552,'TAR FIN'!$A$1:$O$86,15,0)),0,VLOOKUP($S$552,'TAR FIN'!$A$1:$O$86,15,0))</f>
        <v>0</v>
      </c>
      <c r="W552" s="6">
        <f>IF(ISERROR(VLOOKUP($T$552,'TAR FIN'!$A$1:$O$86,15,0)),0,VLOOKUP($T$552,'TAR FIN'!$A$1:$O$86,15,0))</f>
        <v>326.98</v>
      </c>
      <c r="X552" s="6">
        <f>IF(ISERROR(VLOOKUP($U$552,'TAR FIN'!$A$1:$O$86,15,0)),0,VLOOKUP($U$552,'TAR FIN'!$A$1:$O$86,15,0))</f>
        <v>314.52</v>
      </c>
      <c r="Y552" s="6"/>
      <c r="Z552" s="6">
        <f ca="1">('TUSD BE'!$AM$48+'TUSD BF_350'!$AM$48+'TUSD CVA'!$AM$48)*1</f>
        <v>313.91386533817797</v>
      </c>
      <c r="AA552" s="6">
        <f ca="1">('TE BE'!$AB$40+'TE BF_350'!$AB$40+'TE CVA'!$AB$40)*1</f>
        <v>248.89628694871266</v>
      </c>
      <c r="AB552" s="6">
        <f>$K$552*$V$552</f>
        <v>0</v>
      </c>
      <c r="AC552" s="6">
        <f>$M$552*$W$552</f>
        <v>185988.83984</v>
      </c>
      <c r="AD552" s="6">
        <f>$O$552*$X$552</f>
        <v>178901.49215999999</v>
      </c>
      <c r="AE552" s="6">
        <f>$K$552*$Y$552</f>
        <v>0</v>
      </c>
      <c r="AF552" s="6">
        <f ca="1">$M$552*$Z$552</f>
        <v>178556.71791527834</v>
      </c>
      <c r="AG552" s="6">
        <f ca="1">$O$552*$AA$552</f>
        <v>141574.19918672336</v>
      </c>
    </row>
    <row r="553" spans="1:33" ht="11.25" customHeight="1" x14ac:dyDescent="0.25">
      <c r="A553" s="4" t="s">
        <v>27</v>
      </c>
      <c r="B553" s="4" t="s">
        <v>36</v>
      </c>
      <c r="C553" s="4" t="s">
        <v>23</v>
      </c>
      <c r="D553" s="4" t="s">
        <v>40</v>
      </c>
      <c r="E553" s="4" t="s">
        <v>25</v>
      </c>
      <c r="F553" s="4" t="s">
        <v>25</v>
      </c>
      <c r="G553" s="4" t="s">
        <v>25</v>
      </c>
      <c r="H553" s="4" t="s">
        <v>25</v>
      </c>
      <c r="I553" s="5">
        <v>44682</v>
      </c>
      <c r="J553" s="6">
        <v>0</v>
      </c>
      <c r="K553" s="6">
        <v>0</v>
      </c>
      <c r="L553" s="6">
        <v>74.832999999999998</v>
      </c>
      <c r="M553" s="6">
        <v>74.832999999999998</v>
      </c>
      <c r="N553" s="6">
        <v>74.832999999999998</v>
      </c>
      <c r="O553" s="6">
        <v>74.832999999999998</v>
      </c>
      <c r="P553" s="6">
        <v>102</v>
      </c>
      <c r="Q553" s="4" t="s">
        <v>26</v>
      </c>
      <c r="R553" s="4">
        <v>0</v>
      </c>
      <c r="S553" s="6">
        <v>0</v>
      </c>
      <c r="T553" s="6">
        <v>68</v>
      </c>
      <c r="U553" s="6">
        <v>76</v>
      </c>
      <c r="V553" s="6">
        <f>IF(ISERROR(VLOOKUP($S$553,'TAR FIN'!$A$1:$O$86,15,0)),0,VLOOKUP($S$553,'TAR FIN'!$A$1:$O$86,15,0))</f>
        <v>0</v>
      </c>
      <c r="W553" s="6">
        <f>IF(ISERROR(VLOOKUP($T$553,'TAR FIN'!$A$1:$O$86,15,0)),0,VLOOKUP($T$553,'TAR FIN'!$A$1:$O$86,15,0))</f>
        <v>326.98</v>
      </c>
      <c r="X553" s="6">
        <f>IF(ISERROR(VLOOKUP($U$553,'TAR FIN'!$A$1:$O$86,15,0)),0,VLOOKUP($U$553,'TAR FIN'!$A$1:$O$86,15,0))</f>
        <v>314.52</v>
      </c>
      <c r="Y553" s="6"/>
      <c r="Z553" s="6">
        <f ca="1">('TUSD BE'!$AM$48+'TUSD BF_350'!$AM$48+'TUSD CVA'!$AM$48)*1</f>
        <v>313.91386533817797</v>
      </c>
      <c r="AA553" s="6">
        <f ca="1">('TE BE'!$AB$40+'TE BF_350'!$AB$40+'TE CVA'!$AB$40)*1</f>
        <v>248.89628694871266</v>
      </c>
      <c r="AB553" s="6">
        <f>$K$553*$V$553</f>
        <v>0</v>
      </c>
      <c r="AC553" s="6">
        <f>$M$553*$W$553</f>
        <v>24468.894340000003</v>
      </c>
      <c r="AD553" s="6">
        <f>$O$553*$X$553</f>
        <v>23536.475159999998</v>
      </c>
      <c r="AE553" s="6">
        <f>$K$553*$Y$553</f>
        <v>0</v>
      </c>
      <c r="AF553" s="6">
        <f ca="1">$M$553*$Z$553</f>
        <v>23491.116284851872</v>
      </c>
      <c r="AG553" s="6">
        <f ca="1">$O$553*$AA$553</f>
        <v>18625.655841233012</v>
      </c>
    </row>
    <row r="554" spans="1:33" ht="11.25" customHeight="1" x14ac:dyDescent="0.25">
      <c r="A554" s="4" t="s">
        <v>55</v>
      </c>
      <c r="B554" s="4" t="s">
        <v>36</v>
      </c>
      <c r="C554" s="4" t="s">
        <v>23</v>
      </c>
      <c r="D554" s="4" t="s">
        <v>40</v>
      </c>
      <c r="E554" s="4" t="s">
        <v>25</v>
      </c>
      <c r="F554" s="4" t="s">
        <v>25</v>
      </c>
      <c r="G554" s="4" t="s">
        <v>25</v>
      </c>
      <c r="H554" s="4" t="s">
        <v>25</v>
      </c>
      <c r="I554" s="5">
        <v>44713</v>
      </c>
      <c r="J554" s="6">
        <v>0</v>
      </c>
      <c r="K554" s="6">
        <v>0</v>
      </c>
      <c r="L554" s="6">
        <v>568.80799999999999</v>
      </c>
      <c r="M554" s="6">
        <v>568.80799999999999</v>
      </c>
      <c r="N554" s="6">
        <v>568.80799999999999</v>
      </c>
      <c r="O554" s="6">
        <v>568.80799999999999</v>
      </c>
      <c r="P554" s="6">
        <v>1209</v>
      </c>
      <c r="Q554" s="4" t="s">
        <v>26</v>
      </c>
      <c r="R554" s="4">
        <v>0</v>
      </c>
      <c r="S554" s="6">
        <v>0</v>
      </c>
      <c r="T554" s="6">
        <v>68</v>
      </c>
      <c r="U554" s="6">
        <v>76</v>
      </c>
      <c r="V554" s="6">
        <f>IF(ISERROR(VLOOKUP($S$554,'TAR FIN'!$A$1:$O$86,15,0)),0,VLOOKUP($S$554,'TAR FIN'!$A$1:$O$86,15,0))</f>
        <v>0</v>
      </c>
      <c r="W554" s="6">
        <f>IF(ISERROR(VLOOKUP($T$554,'TAR FIN'!$A$1:$O$86,15,0)),0,VLOOKUP($T$554,'TAR FIN'!$A$1:$O$86,15,0))</f>
        <v>326.98</v>
      </c>
      <c r="X554" s="6">
        <f>IF(ISERROR(VLOOKUP($U$554,'TAR FIN'!$A$1:$O$86,15,0)),0,VLOOKUP($U$554,'TAR FIN'!$A$1:$O$86,15,0))</f>
        <v>314.52</v>
      </c>
      <c r="Y554" s="6"/>
      <c r="Z554" s="6">
        <f ca="1">('TUSD BE'!$AM$48+'TUSD BF_350'!$AM$48+'TUSD CVA'!$AM$48)*1</f>
        <v>313.91386533817797</v>
      </c>
      <c r="AA554" s="6">
        <f ca="1">('TE BE'!$AB$40+'TE BF_350'!$AB$40+'TE CVA'!$AB$40)*1</f>
        <v>248.89628694871266</v>
      </c>
      <c r="AB554" s="6">
        <f>$K$554*$V$554</f>
        <v>0</v>
      </c>
      <c r="AC554" s="6">
        <f>$M$554*$W$554</f>
        <v>185988.83984</v>
      </c>
      <c r="AD554" s="6">
        <f>$O$554*$X$554</f>
        <v>178901.49215999999</v>
      </c>
      <c r="AE554" s="6">
        <f>$K$554*$Y$554</f>
        <v>0</v>
      </c>
      <c r="AF554" s="6">
        <f ca="1">$M$554*$Z$554</f>
        <v>178556.71791527834</v>
      </c>
      <c r="AG554" s="6">
        <f ca="1">$O$554*$AA$554</f>
        <v>141574.19918672336</v>
      </c>
    </row>
    <row r="555" spans="1:33" ht="11.25" customHeight="1" x14ac:dyDescent="0.25">
      <c r="A555" s="4" t="s">
        <v>55</v>
      </c>
      <c r="B555" s="4" t="s">
        <v>36</v>
      </c>
      <c r="C555" s="4" t="s">
        <v>23</v>
      </c>
      <c r="D555" s="4" t="s">
        <v>40</v>
      </c>
      <c r="E555" s="4" t="s">
        <v>25</v>
      </c>
      <c r="F555" s="4" t="s">
        <v>25</v>
      </c>
      <c r="G555" s="4" t="s">
        <v>25</v>
      </c>
      <c r="H555" s="4" t="s">
        <v>25</v>
      </c>
      <c r="I555" s="5">
        <v>44713</v>
      </c>
      <c r="J555" s="6">
        <v>0</v>
      </c>
      <c r="K555" s="6">
        <v>0</v>
      </c>
      <c r="L555" s="6">
        <v>74.832999999999998</v>
      </c>
      <c r="M555" s="6">
        <v>74.832999999999998</v>
      </c>
      <c r="N555" s="6">
        <v>74.832999999999998</v>
      </c>
      <c r="O555" s="6">
        <v>74.832999999999998</v>
      </c>
      <c r="P555" s="6">
        <v>102</v>
      </c>
      <c r="Q555" s="4" t="s">
        <v>26</v>
      </c>
      <c r="R555" s="4">
        <v>0</v>
      </c>
      <c r="S555" s="6">
        <v>0</v>
      </c>
      <c r="T555" s="6">
        <v>68</v>
      </c>
      <c r="U555" s="6">
        <v>76</v>
      </c>
      <c r="V555" s="6">
        <f>IF(ISERROR(VLOOKUP($S$555,'TAR FIN'!$A$1:$O$86,15,0)),0,VLOOKUP($S$555,'TAR FIN'!$A$1:$O$86,15,0))</f>
        <v>0</v>
      </c>
      <c r="W555" s="6">
        <f>IF(ISERROR(VLOOKUP($T$555,'TAR FIN'!$A$1:$O$86,15,0)),0,VLOOKUP($T$555,'TAR FIN'!$A$1:$O$86,15,0))</f>
        <v>326.98</v>
      </c>
      <c r="X555" s="6">
        <f>IF(ISERROR(VLOOKUP($U$555,'TAR FIN'!$A$1:$O$86,15,0)),0,VLOOKUP($U$555,'TAR FIN'!$A$1:$O$86,15,0))</f>
        <v>314.52</v>
      </c>
      <c r="Y555" s="6"/>
      <c r="Z555" s="6">
        <f ca="1">('TUSD BE'!$AM$48+'TUSD BF_350'!$AM$48+'TUSD CVA'!$AM$48)*1</f>
        <v>313.91386533817797</v>
      </c>
      <c r="AA555" s="6">
        <f ca="1">('TE BE'!$AB$40+'TE BF_350'!$AB$40+'TE CVA'!$AB$40)*1</f>
        <v>248.89628694871266</v>
      </c>
      <c r="AB555" s="6">
        <f>$K$555*$V$555</f>
        <v>0</v>
      </c>
      <c r="AC555" s="6">
        <f>$M$555*$W$555</f>
        <v>24468.894340000003</v>
      </c>
      <c r="AD555" s="6">
        <f>$O$555*$X$555</f>
        <v>23536.475159999998</v>
      </c>
      <c r="AE555" s="6">
        <f>$K$555*$Y$555</f>
        <v>0</v>
      </c>
      <c r="AF555" s="6">
        <f ca="1">$M$555*$Z$555</f>
        <v>23491.116284851872</v>
      </c>
      <c r="AG555" s="6">
        <f ca="1">$O$555*$AA$555</f>
        <v>18625.655841233012</v>
      </c>
    </row>
    <row r="556" spans="1:33" ht="11.25" customHeight="1" x14ac:dyDescent="0.25">
      <c r="A556" s="4" t="s">
        <v>21</v>
      </c>
      <c r="B556" s="4" t="s">
        <v>36</v>
      </c>
      <c r="C556" s="4" t="s">
        <v>23</v>
      </c>
      <c r="D556" s="4" t="s">
        <v>51</v>
      </c>
      <c r="E556" s="4" t="s">
        <v>25</v>
      </c>
      <c r="F556" s="4" t="s">
        <v>25</v>
      </c>
      <c r="G556" s="4" t="s">
        <v>25</v>
      </c>
      <c r="H556" s="4" t="s">
        <v>25</v>
      </c>
      <c r="I556" s="5">
        <v>44378</v>
      </c>
      <c r="J556" s="6">
        <v>0</v>
      </c>
      <c r="K556" s="6">
        <v>0</v>
      </c>
      <c r="L556" s="6">
        <v>8.0380000000000003</v>
      </c>
      <c r="M556" s="6">
        <v>8.0380000000000003</v>
      </c>
      <c r="N556" s="6">
        <v>8.0380000000000003</v>
      </c>
      <c r="O556" s="6">
        <v>8.0380000000000003</v>
      </c>
      <c r="P556" s="6">
        <v>3</v>
      </c>
      <c r="Q556" s="4" t="s">
        <v>26</v>
      </c>
      <c r="R556" s="4">
        <v>0</v>
      </c>
      <c r="S556" s="6">
        <v>0</v>
      </c>
      <c r="T556" s="6">
        <v>68</v>
      </c>
      <c r="U556" s="6">
        <v>76</v>
      </c>
      <c r="V556" s="6">
        <f>IF(ISERROR(VLOOKUP($S$556,'TAR FIN'!$A$1:$O$86,15,0)),0,VLOOKUP($S$556,'TAR FIN'!$A$1:$O$86,15,0))</f>
        <v>0</v>
      </c>
      <c r="W556" s="6">
        <f>IF(ISERROR(VLOOKUP($T$556,'TAR FIN'!$A$1:$O$86,15,0)),0,VLOOKUP($T$556,'TAR FIN'!$A$1:$O$86,15,0))</f>
        <v>326.98</v>
      </c>
      <c r="X556" s="6">
        <f>IF(ISERROR(VLOOKUP($U$556,'TAR FIN'!$A$1:$O$86,15,0)),0,VLOOKUP($U$556,'TAR FIN'!$A$1:$O$86,15,0))</f>
        <v>314.52</v>
      </c>
      <c r="Y556" s="6"/>
      <c r="Z556" s="6">
        <f ca="1">('TUSD BE'!$AM$48+'TUSD BF_350'!$AM$48+'TUSD CVA'!$AM$48)*1</f>
        <v>313.91386533817797</v>
      </c>
      <c r="AA556" s="6">
        <f ca="1">('TE BE'!$AB$40+'TE BF_350'!$AB$40+'TE CVA'!$AB$40)*1</f>
        <v>248.89628694871266</v>
      </c>
      <c r="AB556" s="6">
        <f>$K$556*$V$556</f>
        <v>0</v>
      </c>
      <c r="AC556" s="6">
        <f>$M$556*$W$556</f>
        <v>2628.2652400000002</v>
      </c>
      <c r="AD556" s="6">
        <f>$O$556*$X$556</f>
        <v>2528.1117599999998</v>
      </c>
      <c r="AE556" s="6">
        <f>$K$556*$Y$556</f>
        <v>0</v>
      </c>
      <c r="AF556" s="6">
        <f ca="1">$M$556*$Z$556</f>
        <v>2523.2396495882745</v>
      </c>
      <c r="AG556" s="6">
        <f ca="1">$O$556*$AA$556</f>
        <v>2000.6283544937523</v>
      </c>
    </row>
    <row r="557" spans="1:33" ht="11.25" customHeight="1" x14ac:dyDescent="0.25">
      <c r="A557" s="4" t="s">
        <v>21</v>
      </c>
      <c r="B557" s="4" t="s">
        <v>36</v>
      </c>
      <c r="C557" s="4" t="s">
        <v>23</v>
      </c>
      <c r="D557" s="4" t="s">
        <v>51</v>
      </c>
      <c r="E557" s="4" t="s">
        <v>25</v>
      </c>
      <c r="F557" s="4" t="s">
        <v>25</v>
      </c>
      <c r="G557" s="4" t="s">
        <v>25</v>
      </c>
      <c r="H557" s="4" t="s">
        <v>25</v>
      </c>
      <c r="I557" s="5">
        <v>44409</v>
      </c>
      <c r="J557" s="6">
        <v>0</v>
      </c>
      <c r="K557" s="6">
        <v>0</v>
      </c>
      <c r="L557" s="6">
        <v>7.6740000000000004</v>
      </c>
      <c r="M557" s="6">
        <v>7.6740000000000004</v>
      </c>
      <c r="N557" s="6">
        <v>7.6740000000000004</v>
      </c>
      <c r="O557" s="6">
        <v>7.6740000000000004</v>
      </c>
      <c r="P557" s="6">
        <v>3</v>
      </c>
      <c r="Q557" s="4" t="s">
        <v>26</v>
      </c>
      <c r="R557" s="4">
        <v>0</v>
      </c>
      <c r="S557" s="6">
        <v>0</v>
      </c>
      <c r="T557" s="6">
        <v>68</v>
      </c>
      <c r="U557" s="6">
        <v>76</v>
      </c>
      <c r="V557" s="6">
        <f>IF(ISERROR(VLOOKUP($S$557,'TAR FIN'!$A$1:$O$86,15,0)),0,VLOOKUP($S$557,'TAR FIN'!$A$1:$O$86,15,0))</f>
        <v>0</v>
      </c>
      <c r="W557" s="6">
        <f>IF(ISERROR(VLOOKUP($T$557,'TAR FIN'!$A$1:$O$86,15,0)),0,VLOOKUP($T$557,'TAR FIN'!$A$1:$O$86,15,0))</f>
        <v>326.98</v>
      </c>
      <c r="X557" s="6">
        <f>IF(ISERROR(VLOOKUP($U$557,'TAR FIN'!$A$1:$O$86,15,0)),0,VLOOKUP($U$557,'TAR FIN'!$A$1:$O$86,15,0))</f>
        <v>314.52</v>
      </c>
      <c r="Y557" s="6"/>
      <c r="Z557" s="6">
        <f ca="1">('TUSD BE'!$AM$48+'TUSD BF_350'!$AM$48+'TUSD CVA'!$AM$48)*1</f>
        <v>313.91386533817797</v>
      </c>
      <c r="AA557" s="6">
        <f ca="1">('TE BE'!$AB$40+'TE BF_350'!$AB$40+'TE CVA'!$AB$40)*1</f>
        <v>248.89628694871266</v>
      </c>
      <c r="AB557" s="6">
        <f>$K$557*$V$557</f>
        <v>0</v>
      </c>
      <c r="AC557" s="6">
        <f>$M$557*$W$557</f>
        <v>2509.2445200000002</v>
      </c>
      <c r="AD557" s="6">
        <f>$O$557*$X$557</f>
        <v>2413.6264799999999</v>
      </c>
      <c r="AE557" s="6">
        <f>$K$557*$Y$557</f>
        <v>0</v>
      </c>
      <c r="AF557" s="6">
        <f ca="1">$M$557*$Z$557</f>
        <v>2408.9750026051779</v>
      </c>
      <c r="AG557" s="6">
        <f ca="1">$O$557*$AA$557</f>
        <v>1910.030106044421</v>
      </c>
    </row>
    <row r="558" spans="1:33" ht="11.25" customHeight="1" x14ac:dyDescent="0.25">
      <c r="A558" s="4" t="s">
        <v>21</v>
      </c>
      <c r="B558" s="4" t="s">
        <v>36</v>
      </c>
      <c r="C558" s="4" t="s">
        <v>23</v>
      </c>
      <c r="D558" s="4" t="s">
        <v>51</v>
      </c>
      <c r="E558" s="4" t="s">
        <v>25</v>
      </c>
      <c r="F558" s="4" t="s">
        <v>25</v>
      </c>
      <c r="G558" s="4" t="s">
        <v>25</v>
      </c>
      <c r="H558" s="4" t="s">
        <v>25</v>
      </c>
      <c r="I558" s="5">
        <v>44440</v>
      </c>
      <c r="J558" s="6">
        <v>0</v>
      </c>
      <c r="K558" s="6">
        <v>0</v>
      </c>
      <c r="L558" s="6">
        <v>6.78</v>
      </c>
      <c r="M558" s="6">
        <v>6.78</v>
      </c>
      <c r="N558" s="6">
        <v>6.78</v>
      </c>
      <c r="O558" s="6">
        <v>6.78</v>
      </c>
      <c r="P558" s="6">
        <v>3</v>
      </c>
      <c r="Q558" s="4" t="s">
        <v>26</v>
      </c>
      <c r="R558" s="4">
        <v>0</v>
      </c>
      <c r="S558" s="6">
        <v>0</v>
      </c>
      <c r="T558" s="6">
        <v>68</v>
      </c>
      <c r="U558" s="6">
        <v>76</v>
      </c>
      <c r="V558" s="6">
        <f>IF(ISERROR(VLOOKUP($S$558,'TAR FIN'!$A$1:$O$86,15,0)),0,VLOOKUP($S$558,'TAR FIN'!$A$1:$O$86,15,0))</f>
        <v>0</v>
      </c>
      <c r="W558" s="6">
        <f>IF(ISERROR(VLOOKUP($T$558,'TAR FIN'!$A$1:$O$86,15,0)),0,VLOOKUP($T$558,'TAR FIN'!$A$1:$O$86,15,0))</f>
        <v>326.98</v>
      </c>
      <c r="X558" s="6">
        <f>IF(ISERROR(VLOOKUP($U$558,'TAR FIN'!$A$1:$O$86,15,0)),0,VLOOKUP($U$558,'TAR FIN'!$A$1:$O$86,15,0))</f>
        <v>314.52</v>
      </c>
      <c r="Y558" s="6"/>
      <c r="Z558" s="6">
        <f ca="1">('TUSD BE'!$AM$48+'TUSD BF_350'!$AM$48+'TUSD CVA'!$AM$48)*1</f>
        <v>313.91386533817797</v>
      </c>
      <c r="AA558" s="6">
        <f ca="1">('TE BE'!$AB$40+'TE BF_350'!$AB$40+'TE CVA'!$AB$40)*1</f>
        <v>248.89628694871266</v>
      </c>
      <c r="AB558" s="6">
        <f>$K$558*$V$558</f>
        <v>0</v>
      </c>
      <c r="AC558" s="6">
        <f>$M$558*$W$558</f>
        <v>2216.9244000000003</v>
      </c>
      <c r="AD558" s="6">
        <f>$O$558*$X$558</f>
        <v>2132.4456</v>
      </c>
      <c r="AE558" s="6">
        <f>$K$558*$Y$558</f>
        <v>0</v>
      </c>
      <c r="AF558" s="6">
        <f ca="1">$M$558*$Z$558</f>
        <v>2128.3360069928467</v>
      </c>
      <c r="AG558" s="6">
        <f ca="1">$O$558*$AA$558</f>
        <v>1687.5168255122719</v>
      </c>
    </row>
    <row r="559" spans="1:33" ht="11.25" customHeight="1" x14ac:dyDescent="0.25">
      <c r="A559" s="4" t="s">
        <v>21</v>
      </c>
      <c r="B559" s="4" t="s">
        <v>36</v>
      </c>
      <c r="C559" s="4" t="s">
        <v>23</v>
      </c>
      <c r="D559" s="4" t="s">
        <v>51</v>
      </c>
      <c r="E559" s="4" t="s">
        <v>25</v>
      </c>
      <c r="F559" s="4" t="s">
        <v>25</v>
      </c>
      <c r="G559" s="4" t="s">
        <v>25</v>
      </c>
      <c r="H559" s="4" t="s">
        <v>25</v>
      </c>
      <c r="I559" s="5">
        <v>44470</v>
      </c>
      <c r="J559" s="6">
        <v>0</v>
      </c>
      <c r="K559" s="6">
        <v>0</v>
      </c>
      <c r="L559" s="6">
        <v>7.1289999999999996</v>
      </c>
      <c r="M559" s="6">
        <v>7.1289999999999996</v>
      </c>
      <c r="N559" s="6">
        <v>7.1289999999999996</v>
      </c>
      <c r="O559" s="6">
        <v>7.1289999999999996</v>
      </c>
      <c r="P559" s="6">
        <v>3</v>
      </c>
      <c r="Q559" s="4" t="s">
        <v>26</v>
      </c>
      <c r="R559" s="4">
        <v>0</v>
      </c>
      <c r="S559" s="6">
        <v>0</v>
      </c>
      <c r="T559" s="6">
        <v>68</v>
      </c>
      <c r="U559" s="6">
        <v>76</v>
      </c>
      <c r="V559" s="6">
        <f>IF(ISERROR(VLOOKUP($S$559,'TAR FIN'!$A$1:$O$86,15,0)),0,VLOOKUP($S$559,'TAR FIN'!$A$1:$O$86,15,0))</f>
        <v>0</v>
      </c>
      <c r="W559" s="6">
        <f>IF(ISERROR(VLOOKUP($T$559,'TAR FIN'!$A$1:$O$86,15,0)),0,VLOOKUP($T$559,'TAR FIN'!$A$1:$O$86,15,0))</f>
        <v>326.98</v>
      </c>
      <c r="X559" s="6">
        <f>IF(ISERROR(VLOOKUP($U$559,'TAR FIN'!$A$1:$O$86,15,0)),0,VLOOKUP($U$559,'TAR FIN'!$A$1:$O$86,15,0))</f>
        <v>314.52</v>
      </c>
      <c r="Y559" s="6"/>
      <c r="Z559" s="6">
        <f ca="1">('TUSD BE'!$AM$48+'TUSD BF_350'!$AM$48+'TUSD CVA'!$AM$48)*1</f>
        <v>313.91386533817797</v>
      </c>
      <c r="AA559" s="6">
        <f ca="1">('TE BE'!$AB$40+'TE BF_350'!$AB$40+'TE CVA'!$AB$40)*1</f>
        <v>248.89628694871266</v>
      </c>
      <c r="AB559" s="6">
        <f>$K$559*$V$559</f>
        <v>0</v>
      </c>
      <c r="AC559" s="6">
        <f>$M$559*$W$559</f>
        <v>2331.0404199999998</v>
      </c>
      <c r="AD559" s="6">
        <f>$O$559*$X$559</f>
        <v>2242.2130799999995</v>
      </c>
      <c r="AE559" s="6">
        <f>$K$559*$Y$559</f>
        <v>0</v>
      </c>
      <c r="AF559" s="6">
        <f ca="1">$M$559*$Z$559</f>
        <v>2237.8919459958706</v>
      </c>
      <c r="AG559" s="6">
        <f ca="1">$O$559*$AA$559</f>
        <v>1774.3816296573725</v>
      </c>
    </row>
    <row r="560" spans="1:33" ht="11.25" customHeight="1" x14ac:dyDescent="0.25">
      <c r="A560" s="4" t="s">
        <v>21</v>
      </c>
      <c r="B560" s="4" t="s">
        <v>36</v>
      </c>
      <c r="C560" s="4" t="s">
        <v>23</v>
      </c>
      <c r="D560" s="4" t="s">
        <v>51</v>
      </c>
      <c r="E560" s="4" t="s">
        <v>25</v>
      </c>
      <c r="F560" s="4" t="s">
        <v>25</v>
      </c>
      <c r="G560" s="4" t="s">
        <v>25</v>
      </c>
      <c r="H560" s="4" t="s">
        <v>25</v>
      </c>
      <c r="I560" s="5">
        <v>44501</v>
      </c>
      <c r="J560" s="6">
        <v>0</v>
      </c>
      <c r="K560" s="6">
        <v>0</v>
      </c>
      <c r="L560" s="6">
        <v>8.9390000000000001</v>
      </c>
      <c r="M560" s="6">
        <v>8.9390000000000001</v>
      </c>
      <c r="N560" s="6">
        <v>8.9390000000000001</v>
      </c>
      <c r="O560" s="6">
        <v>8.9390000000000001</v>
      </c>
      <c r="P560" s="6">
        <v>3</v>
      </c>
      <c r="Q560" s="4" t="s">
        <v>26</v>
      </c>
      <c r="R560" s="4">
        <v>0</v>
      </c>
      <c r="S560" s="6">
        <v>0</v>
      </c>
      <c r="T560" s="6">
        <v>68</v>
      </c>
      <c r="U560" s="6">
        <v>76</v>
      </c>
      <c r="V560" s="6">
        <f>IF(ISERROR(VLOOKUP($S$560,'TAR FIN'!$A$1:$O$86,15,0)),0,VLOOKUP($S$560,'TAR FIN'!$A$1:$O$86,15,0))</f>
        <v>0</v>
      </c>
      <c r="W560" s="6">
        <f>IF(ISERROR(VLOOKUP($T$560,'TAR FIN'!$A$1:$O$86,15,0)),0,VLOOKUP($T$560,'TAR FIN'!$A$1:$O$86,15,0))</f>
        <v>326.98</v>
      </c>
      <c r="X560" s="6">
        <f>IF(ISERROR(VLOOKUP($U$560,'TAR FIN'!$A$1:$O$86,15,0)),0,VLOOKUP($U$560,'TAR FIN'!$A$1:$O$86,15,0))</f>
        <v>314.52</v>
      </c>
      <c r="Y560" s="6"/>
      <c r="Z560" s="6">
        <f ca="1">('TUSD BE'!$AM$48+'TUSD BF_350'!$AM$48+'TUSD CVA'!$AM$48)*1</f>
        <v>313.91386533817797</v>
      </c>
      <c r="AA560" s="6">
        <f ca="1">('TE BE'!$AB$40+'TE BF_350'!$AB$40+'TE CVA'!$AB$40)*1</f>
        <v>248.89628694871266</v>
      </c>
      <c r="AB560" s="6">
        <f>$K$560*$V$560</f>
        <v>0</v>
      </c>
      <c r="AC560" s="6">
        <f>$M$560*$W$560</f>
        <v>2922.8742200000002</v>
      </c>
      <c r="AD560" s="6">
        <f>$O$560*$X$560</f>
        <v>2811.4942799999999</v>
      </c>
      <c r="AE560" s="6">
        <f>$K$560*$Y$560</f>
        <v>0</v>
      </c>
      <c r="AF560" s="6">
        <f ca="1">$M$560*$Z$560</f>
        <v>2806.0760422579729</v>
      </c>
      <c r="AG560" s="6">
        <f ca="1">$O$560*$AA$560</f>
        <v>2224.8839090345423</v>
      </c>
    </row>
    <row r="561" spans="1:33" ht="11.25" customHeight="1" x14ac:dyDescent="0.25">
      <c r="A561" s="4" t="s">
        <v>21</v>
      </c>
      <c r="B561" s="4" t="s">
        <v>36</v>
      </c>
      <c r="C561" s="4" t="s">
        <v>23</v>
      </c>
      <c r="D561" s="4" t="s">
        <v>51</v>
      </c>
      <c r="E561" s="4" t="s">
        <v>25</v>
      </c>
      <c r="F561" s="4" t="s">
        <v>25</v>
      </c>
      <c r="G561" s="4" t="s">
        <v>25</v>
      </c>
      <c r="H561" s="4" t="s">
        <v>25</v>
      </c>
      <c r="I561" s="5">
        <v>44531</v>
      </c>
      <c r="J561" s="6">
        <v>0</v>
      </c>
      <c r="K561" s="6">
        <v>0</v>
      </c>
      <c r="L561" s="6">
        <v>9.3889999999999993</v>
      </c>
      <c r="M561" s="6">
        <v>9.3889999999999993</v>
      </c>
      <c r="N561" s="6">
        <v>9.3889999999999993</v>
      </c>
      <c r="O561" s="6">
        <v>9.3889999999999993</v>
      </c>
      <c r="P561" s="6">
        <v>3</v>
      </c>
      <c r="Q561" s="4" t="s">
        <v>26</v>
      </c>
      <c r="R561" s="4">
        <v>0</v>
      </c>
      <c r="S561" s="6">
        <v>0</v>
      </c>
      <c r="T561" s="6">
        <v>68</v>
      </c>
      <c r="U561" s="6">
        <v>76</v>
      </c>
      <c r="V561" s="6">
        <f>IF(ISERROR(VLOOKUP($S$561,'TAR FIN'!$A$1:$O$86,15,0)),0,VLOOKUP($S$561,'TAR FIN'!$A$1:$O$86,15,0))</f>
        <v>0</v>
      </c>
      <c r="W561" s="6">
        <f>IF(ISERROR(VLOOKUP($T$561,'TAR FIN'!$A$1:$O$86,15,0)),0,VLOOKUP($T$561,'TAR FIN'!$A$1:$O$86,15,0))</f>
        <v>326.98</v>
      </c>
      <c r="X561" s="6">
        <f>IF(ISERROR(VLOOKUP($U$561,'TAR FIN'!$A$1:$O$86,15,0)),0,VLOOKUP($U$561,'TAR FIN'!$A$1:$O$86,15,0))</f>
        <v>314.52</v>
      </c>
      <c r="Y561" s="6"/>
      <c r="Z561" s="6">
        <f ca="1">('TUSD BE'!$AM$48+'TUSD BF_350'!$AM$48+'TUSD CVA'!$AM$48)*1</f>
        <v>313.91386533817797</v>
      </c>
      <c r="AA561" s="6">
        <f ca="1">('TE BE'!$AB$40+'TE BF_350'!$AB$40+'TE CVA'!$AB$40)*1</f>
        <v>248.89628694871266</v>
      </c>
      <c r="AB561" s="6">
        <f>$K$561*$V$561</f>
        <v>0</v>
      </c>
      <c r="AC561" s="6">
        <f>$M$561*$W$561</f>
        <v>3070.0152199999998</v>
      </c>
      <c r="AD561" s="6">
        <f>$O$561*$X$561</f>
        <v>2953.0282799999995</v>
      </c>
      <c r="AE561" s="6">
        <f>$K$561*$Y$561</f>
        <v>0</v>
      </c>
      <c r="AF561" s="6">
        <f ca="1">$M$561*$Z$561</f>
        <v>2947.3372816601527</v>
      </c>
      <c r="AG561" s="6">
        <f ca="1">$O$561*$AA$561</f>
        <v>2336.8872381614628</v>
      </c>
    </row>
    <row r="562" spans="1:33" ht="11.25" customHeight="1" x14ac:dyDescent="0.25">
      <c r="A562" s="4" t="s">
        <v>21</v>
      </c>
      <c r="B562" s="4" t="s">
        <v>36</v>
      </c>
      <c r="C562" s="4" t="s">
        <v>23</v>
      </c>
      <c r="D562" s="4" t="s">
        <v>51</v>
      </c>
      <c r="E562" s="4" t="s">
        <v>25</v>
      </c>
      <c r="F562" s="4" t="s">
        <v>25</v>
      </c>
      <c r="G562" s="4" t="s">
        <v>25</v>
      </c>
      <c r="H562" s="4" t="s">
        <v>25</v>
      </c>
      <c r="I562" s="5">
        <v>44562</v>
      </c>
      <c r="J562" s="6">
        <v>0</v>
      </c>
      <c r="K562" s="6">
        <v>0</v>
      </c>
      <c r="L562" s="6">
        <v>11.051</v>
      </c>
      <c r="M562" s="6">
        <v>11.051</v>
      </c>
      <c r="N562" s="6">
        <v>11.051</v>
      </c>
      <c r="O562" s="6">
        <v>11.051</v>
      </c>
      <c r="P562" s="6">
        <v>3</v>
      </c>
      <c r="Q562" s="4" t="s">
        <v>26</v>
      </c>
      <c r="R562" s="4">
        <v>0</v>
      </c>
      <c r="S562" s="6">
        <v>0</v>
      </c>
      <c r="T562" s="6">
        <v>68</v>
      </c>
      <c r="U562" s="6">
        <v>76</v>
      </c>
      <c r="V562" s="6">
        <f>IF(ISERROR(VLOOKUP($S$562,'TAR FIN'!$A$1:$O$86,15,0)),0,VLOOKUP($S$562,'TAR FIN'!$A$1:$O$86,15,0))</f>
        <v>0</v>
      </c>
      <c r="W562" s="6">
        <f>IF(ISERROR(VLOOKUP($T$562,'TAR FIN'!$A$1:$O$86,15,0)),0,VLOOKUP($T$562,'TAR FIN'!$A$1:$O$86,15,0))</f>
        <v>326.98</v>
      </c>
      <c r="X562" s="6">
        <f>IF(ISERROR(VLOOKUP($U$562,'TAR FIN'!$A$1:$O$86,15,0)),0,VLOOKUP($U$562,'TAR FIN'!$A$1:$O$86,15,0))</f>
        <v>314.52</v>
      </c>
      <c r="Y562" s="6"/>
      <c r="Z562" s="6">
        <f ca="1">('TUSD BE'!$AM$48+'TUSD BF_350'!$AM$48+'TUSD CVA'!$AM$48)*1</f>
        <v>313.91386533817797</v>
      </c>
      <c r="AA562" s="6">
        <f ca="1">('TE BE'!$AB$40+'TE BF_350'!$AB$40+'TE CVA'!$AB$40)*1</f>
        <v>248.89628694871266</v>
      </c>
      <c r="AB562" s="6">
        <f>$K$562*$V$562</f>
        <v>0</v>
      </c>
      <c r="AC562" s="6">
        <f>$M$562*$W$562</f>
        <v>3613.4559800000002</v>
      </c>
      <c r="AD562" s="6">
        <f>$O$562*$X$562</f>
        <v>3475.7605199999998</v>
      </c>
      <c r="AE562" s="6">
        <f>$K$562*$Y$562</f>
        <v>0</v>
      </c>
      <c r="AF562" s="6">
        <f ca="1">$M$562*$Z$562</f>
        <v>3469.0621258522046</v>
      </c>
      <c r="AG562" s="6">
        <f ca="1">$O$562*$AA$562</f>
        <v>2750.5528670702238</v>
      </c>
    </row>
    <row r="563" spans="1:33" ht="11.25" customHeight="1" x14ac:dyDescent="0.25">
      <c r="A563" s="4" t="s">
        <v>21</v>
      </c>
      <c r="B563" s="4" t="s">
        <v>36</v>
      </c>
      <c r="C563" s="4" t="s">
        <v>23</v>
      </c>
      <c r="D563" s="4" t="s">
        <v>51</v>
      </c>
      <c r="E563" s="4" t="s">
        <v>25</v>
      </c>
      <c r="F563" s="4" t="s">
        <v>25</v>
      </c>
      <c r="G563" s="4" t="s">
        <v>25</v>
      </c>
      <c r="H563" s="4" t="s">
        <v>25</v>
      </c>
      <c r="I563" s="5">
        <v>44593</v>
      </c>
      <c r="J563" s="6">
        <v>0</v>
      </c>
      <c r="K563" s="6">
        <v>0</v>
      </c>
      <c r="L563" s="6">
        <v>9.891</v>
      </c>
      <c r="M563" s="6">
        <v>9.891</v>
      </c>
      <c r="N563" s="6">
        <v>9.891</v>
      </c>
      <c r="O563" s="6">
        <v>9.891</v>
      </c>
      <c r="P563" s="6">
        <v>3</v>
      </c>
      <c r="Q563" s="4" t="s">
        <v>26</v>
      </c>
      <c r="R563" s="4">
        <v>0</v>
      </c>
      <c r="S563" s="6">
        <v>0</v>
      </c>
      <c r="T563" s="6">
        <v>68</v>
      </c>
      <c r="U563" s="6">
        <v>76</v>
      </c>
      <c r="V563" s="6">
        <f>IF(ISERROR(VLOOKUP($S$563,'TAR FIN'!$A$1:$O$86,15,0)),0,VLOOKUP($S$563,'TAR FIN'!$A$1:$O$86,15,0))</f>
        <v>0</v>
      </c>
      <c r="W563" s="6">
        <f>IF(ISERROR(VLOOKUP($T$563,'TAR FIN'!$A$1:$O$86,15,0)),0,VLOOKUP($T$563,'TAR FIN'!$A$1:$O$86,15,0))</f>
        <v>326.98</v>
      </c>
      <c r="X563" s="6">
        <f>IF(ISERROR(VLOOKUP($U$563,'TAR FIN'!$A$1:$O$86,15,0)),0,VLOOKUP($U$563,'TAR FIN'!$A$1:$O$86,15,0))</f>
        <v>314.52</v>
      </c>
      <c r="Y563" s="6"/>
      <c r="Z563" s="6">
        <f ca="1">('TUSD BE'!$AM$48+'TUSD BF_350'!$AM$48+'TUSD CVA'!$AM$48)*1</f>
        <v>313.91386533817797</v>
      </c>
      <c r="AA563" s="6">
        <f ca="1">('TE BE'!$AB$40+'TE BF_350'!$AB$40+'TE CVA'!$AB$40)*1</f>
        <v>248.89628694871266</v>
      </c>
      <c r="AB563" s="6">
        <f>$K$563*$V$563</f>
        <v>0</v>
      </c>
      <c r="AC563" s="6">
        <f>$M$563*$W$563</f>
        <v>3234.1591800000001</v>
      </c>
      <c r="AD563" s="6">
        <f>$O$563*$X$563</f>
        <v>3110.91732</v>
      </c>
      <c r="AE563" s="6">
        <f>$K$563*$Y$563</f>
        <v>0</v>
      </c>
      <c r="AF563" s="6">
        <f ca="1">$M$563*$Z$563</f>
        <v>3104.9220420599181</v>
      </c>
      <c r="AG563" s="6">
        <f ca="1">$O$563*$AA$563</f>
        <v>2461.8331742097171</v>
      </c>
    </row>
    <row r="564" spans="1:33" ht="11.25" customHeight="1" x14ac:dyDescent="0.25">
      <c r="A564" s="4" t="s">
        <v>21</v>
      </c>
      <c r="B564" s="4" t="s">
        <v>36</v>
      </c>
      <c r="C564" s="4" t="s">
        <v>23</v>
      </c>
      <c r="D564" s="4" t="s">
        <v>51</v>
      </c>
      <c r="E564" s="4" t="s">
        <v>25</v>
      </c>
      <c r="F564" s="4" t="s">
        <v>25</v>
      </c>
      <c r="G564" s="4" t="s">
        <v>25</v>
      </c>
      <c r="H564" s="4" t="s">
        <v>25</v>
      </c>
      <c r="I564" s="5">
        <v>44621</v>
      </c>
      <c r="J564" s="6">
        <v>0</v>
      </c>
      <c r="K564" s="6">
        <v>0</v>
      </c>
      <c r="L564" s="6">
        <v>10.018000000000001</v>
      </c>
      <c r="M564" s="6">
        <v>10.018000000000001</v>
      </c>
      <c r="N564" s="6">
        <v>10.018000000000001</v>
      </c>
      <c r="O564" s="6">
        <v>10.018000000000001</v>
      </c>
      <c r="P564" s="6">
        <v>3</v>
      </c>
      <c r="Q564" s="4" t="s">
        <v>26</v>
      </c>
      <c r="R564" s="4">
        <v>0</v>
      </c>
      <c r="S564" s="6">
        <v>0</v>
      </c>
      <c r="T564" s="6">
        <v>68</v>
      </c>
      <c r="U564" s="6">
        <v>76</v>
      </c>
      <c r="V564" s="6">
        <f>IF(ISERROR(VLOOKUP($S$564,'TAR FIN'!$A$1:$O$86,15,0)),0,VLOOKUP($S$564,'TAR FIN'!$A$1:$O$86,15,0))</f>
        <v>0</v>
      </c>
      <c r="W564" s="6">
        <f>IF(ISERROR(VLOOKUP($T$564,'TAR FIN'!$A$1:$O$86,15,0)),0,VLOOKUP($T$564,'TAR FIN'!$A$1:$O$86,15,0))</f>
        <v>326.98</v>
      </c>
      <c r="X564" s="6">
        <f>IF(ISERROR(VLOOKUP($U$564,'TAR FIN'!$A$1:$O$86,15,0)),0,VLOOKUP($U$564,'TAR FIN'!$A$1:$O$86,15,0))</f>
        <v>314.52</v>
      </c>
      <c r="Y564" s="6"/>
      <c r="Z564" s="6">
        <f ca="1">('TUSD BE'!$AM$48+'TUSD BF_350'!$AM$48+'TUSD CVA'!$AM$48)*1</f>
        <v>313.91386533817797</v>
      </c>
      <c r="AA564" s="6">
        <f ca="1">('TE BE'!$AB$40+'TE BF_350'!$AB$40+'TE CVA'!$AB$40)*1</f>
        <v>248.89628694871266</v>
      </c>
      <c r="AB564" s="6">
        <f>$K$564*$V$564</f>
        <v>0</v>
      </c>
      <c r="AC564" s="6">
        <f>$M$564*$W$564</f>
        <v>3275.6856400000006</v>
      </c>
      <c r="AD564" s="6">
        <f>$O$564*$X$564</f>
        <v>3150.8613599999999</v>
      </c>
      <c r="AE564" s="6">
        <f>$K$564*$Y$564</f>
        <v>0</v>
      </c>
      <c r="AF564" s="6">
        <f ca="1">$M$564*$Z$564</f>
        <v>3144.7891029578673</v>
      </c>
      <c r="AG564" s="6">
        <f ca="1">$O$564*$AA$564</f>
        <v>2493.4430026522036</v>
      </c>
    </row>
    <row r="565" spans="1:33" ht="11.25" customHeight="1" x14ac:dyDescent="0.25">
      <c r="A565" s="4" t="s">
        <v>21</v>
      </c>
      <c r="B565" s="4" t="s">
        <v>36</v>
      </c>
      <c r="C565" s="4" t="s">
        <v>23</v>
      </c>
      <c r="D565" s="4" t="s">
        <v>51</v>
      </c>
      <c r="E565" s="4" t="s">
        <v>25</v>
      </c>
      <c r="F565" s="4" t="s">
        <v>25</v>
      </c>
      <c r="G565" s="4" t="s">
        <v>25</v>
      </c>
      <c r="H565" s="4" t="s">
        <v>25</v>
      </c>
      <c r="I565" s="5">
        <v>44652</v>
      </c>
      <c r="J565" s="6">
        <v>0</v>
      </c>
      <c r="K565" s="6">
        <v>0</v>
      </c>
      <c r="L565" s="6">
        <v>7.766</v>
      </c>
      <c r="M565" s="6">
        <v>7.766</v>
      </c>
      <c r="N565" s="6">
        <v>7.766</v>
      </c>
      <c r="O565" s="6">
        <v>7.766</v>
      </c>
      <c r="P565" s="6">
        <v>3</v>
      </c>
      <c r="Q565" s="4" t="s">
        <v>26</v>
      </c>
      <c r="R565" s="4">
        <v>0</v>
      </c>
      <c r="S565" s="6">
        <v>0</v>
      </c>
      <c r="T565" s="6">
        <v>68</v>
      </c>
      <c r="U565" s="6">
        <v>76</v>
      </c>
      <c r="V565" s="6">
        <f>IF(ISERROR(VLOOKUP($S$565,'TAR FIN'!$A$1:$O$86,15,0)),0,VLOOKUP($S$565,'TAR FIN'!$A$1:$O$86,15,0))</f>
        <v>0</v>
      </c>
      <c r="W565" s="6">
        <f>IF(ISERROR(VLOOKUP($T$565,'TAR FIN'!$A$1:$O$86,15,0)),0,VLOOKUP($T$565,'TAR FIN'!$A$1:$O$86,15,0))</f>
        <v>326.98</v>
      </c>
      <c r="X565" s="6">
        <f>IF(ISERROR(VLOOKUP($U$565,'TAR FIN'!$A$1:$O$86,15,0)),0,VLOOKUP($U$565,'TAR FIN'!$A$1:$O$86,15,0))</f>
        <v>314.52</v>
      </c>
      <c r="Y565" s="6"/>
      <c r="Z565" s="6">
        <f ca="1">('TUSD BE'!$AM$48+'TUSD BF_350'!$AM$48+'TUSD CVA'!$AM$48)*1</f>
        <v>313.91386533817797</v>
      </c>
      <c r="AA565" s="6">
        <f ca="1">('TE BE'!$AB$40+'TE BF_350'!$AB$40+'TE CVA'!$AB$40)*1</f>
        <v>248.89628694871266</v>
      </c>
      <c r="AB565" s="6">
        <f>$K$565*$V$565</f>
        <v>0</v>
      </c>
      <c r="AC565" s="6">
        <f>$M$565*$W$565</f>
        <v>2539.3266800000001</v>
      </c>
      <c r="AD565" s="6">
        <f>$O$565*$X$565</f>
        <v>2442.56232</v>
      </c>
      <c r="AE565" s="6">
        <f>$K$565*$Y$565</f>
        <v>0</v>
      </c>
      <c r="AF565" s="6">
        <f ca="1">$M$565*$Z$565</f>
        <v>2437.8550782162902</v>
      </c>
      <c r="AG565" s="6">
        <f ca="1">$O$565*$AA$565</f>
        <v>1932.9285644437025</v>
      </c>
    </row>
    <row r="566" spans="1:33" ht="11.25" customHeight="1" x14ac:dyDescent="0.25">
      <c r="A566" s="4" t="s">
        <v>21</v>
      </c>
      <c r="B566" s="4" t="s">
        <v>36</v>
      </c>
      <c r="C566" s="4" t="s">
        <v>23</v>
      </c>
      <c r="D566" s="4" t="s">
        <v>51</v>
      </c>
      <c r="E566" s="4" t="s">
        <v>25</v>
      </c>
      <c r="F566" s="4" t="s">
        <v>25</v>
      </c>
      <c r="G566" s="4" t="s">
        <v>25</v>
      </c>
      <c r="H566" s="4" t="s">
        <v>25</v>
      </c>
      <c r="I566" s="5">
        <v>44682</v>
      </c>
      <c r="J566" s="6">
        <v>0</v>
      </c>
      <c r="K566" s="6">
        <v>0</v>
      </c>
      <c r="L566" s="6">
        <v>6.9779999999999998</v>
      </c>
      <c r="M566" s="6">
        <v>6.9779999999999998</v>
      </c>
      <c r="N566" s="6">
        <v>6.9779999999999998</v>
      </c>
      <c r="O566" s="6">
        <v>6.9779999999999998</v>
      </c>
      <c r="P566" s="6">
        <v>3</v>
      </c>
      <c r="Q566" s="4" t="s">
        <v>26</v>
      </c>
      <c r="R566" s="4">
        <v>0</v>
      </c>
      <c r="S566" s="6">
        <v>0</v>
      </c>
      <c r="T566" s="6">
        <v>68</v>
      </c>
      <c r="U566" s="6">
        <v>76</v>
      </c>
      <c r="V566" s="6">
        <f>IF(ISERROR(VLOOKUP($S$566,'TAR FIN'!$A$1:$O$86,15,0)),0,VLOOKUP($S$566,'TAR FIN'!$A$1:$O$86,15,0))</f>
        <v>0</v>
      </c>
      <c r="W566" s="6">
        <f>IF(ISERROR(VLOOKUP($T$566,'TAR FIN'!$A$1:$O$86,15,0)),0,VLOOKUP($T$566,'TAR FIN'!$A$1:$O$86,15,0))</f>
        <v>326.98</v>
      </c>
      <c r="X566" s="6">
        <f>IF(ISERROR(VLOOKUP($U$566,'TAR FIN'!$A$1:$O$86,15,0)),0,VLOOKUP($U$566,'TAR FIN'!$A$1:$O$86,15,0))</f>
        <v>314.52</v>
      </c>
      <c r="Y566" s="6"/>
      <c r="Z566" s="6">
        <f ca="1">('TUSD BE'!$AM$48+'TUSD BF_350'!$AM$48+'TUSD CVA'!$AM$48)*1</f>
        <v>313.91386533817797</v>
      </c>
      <c r="AA566" s="6">
        <f ca="1">('TE BE'!$AB$40+'TE BF_350'!$AB$40+'TE CVA'!$AB$40)*1</f>
        <v>248.89628694871266</v>
      </c>
      <c r="AB566" s="6">
        <f>$K$566*$V$566</f>
        <v>0</v>
      </c>
      <c r="AC566" s="6">
        <f>$M$566*$W$566</f>
        <v>2281.66644</v>
      </c>
      <c r="AD566" s="6">
        <f>$O$566*$X$566</f>
        <v>2194.7205599999998</v>
      </c>
      <c r="AE566" s="6">
        <f>$K$566*$Y$566</f>
        <v>0</v>
      </c>
      <c r="AF566" s="6">
        <f ca="1">$M$566*$Z$566</f>
        <v>2190.4909523298056</v>
      </c>
      <c r="AG566" s="6">
        <f ca="1">$O$566*$AA$566</f>
        <v>1736.7982903281168</v>
      </c>
    </row>
    <row r="567" spans="1:33" ht="11.25" customHeight="1" x14ac:dyDescent="0.25">
      <c r="A567" s="4" t="s">
        <v>55</v>
      </c>
      <c r="B567" s="4" t="s">
        <v>36</v>
      </c>
      <c r="C567" s="4" t="s">
        <v>23</v>
      </c>
      <c r="D567" s="4" t="s">
        <v>51</v>
      </c>
      <c r="E567" s="4" t="s">
        <v>25</v>
      </c>
      <c r="F567" s="4" t="s">
        <v>25</v>
      </c>
      <c r="G567" s="4" t="s">
        <v>25</v>
      </c>
      <c r="H567" s="4" t="s">
        <v>25</v>
      </c>
      <c r="I567" s="5">
        <v>44713</v>
      </c>
      <c r="J567" s="6">
        <v>0</v>
      </c>
      <c r="K567" s="6">
        <v>0</v>
      </c>
      <c r="L567" s="6">
        <v>6.9779999999999998</v>
      </c>
      <c r="M567" s="6">
        <v>6.9779999999999998</v>
      </c>
      <c r="N567" s="6">
        <v>6.9779999999999998</v>
      </c>
      <c r="O567" s="6">
        <v>6.9779999999999998</v>
      </c>
      <c r="P567" s="6">
        <v>3</v>
      </c>
      <c r="Q567" s="4" t="s">
        <v>26</v>
      </c>
      <c r="R567" s="4">
        <v>0</v>
      </c>
      <c r="S567" s="6">
        <v>0</v>
      </c>
      <c r="T567" s="6">
        <v>68</v>
      </c>
      <c r="U567" s="6">
        <v>76</v>
      </c>
      <c r="V567" s="6">
        <f>IF(ISERROR(VLOOKUP($S$567,'TAR FIN'!$A$1:$O$86,15,0)),0,VLOOKUP($S$567,'TAR FIN'!$A$1:$O$86,15,0))</f>
        <v>0</v>
      </c>
      <c r="W567" s="6">
        <f>IF(ISERROR(VLOOKUP($T$567,'TAR FIN'!$A$1:$O$86,15,0)),0,VLOOKUP($T$567,'TAR FIN'!$A$1:$O$86,15,0))</f>
        <v>326.98</v>
      </c>
      <c r="X567" s="6">
        <f>IF(ISERROR(VLOOKUP($U$567,'TAR FIN'!$A$1:$O$86,15,0)),0,VLOOKUP($U$567,'TAR FIN'!$A$1:$O$86,15,0))</f>
        <v>314.52</v>
      </c>
      <c r="Y567" s="6"/>
      <c r="Z567" s="6">
        <f ca="1">('TUSD BE'!$AM$48+'TUSD BF_350'!$AM$48+'TUSD CVA'!$AM$48)*1</f>
        <v>313.91386533817797</v>
      </c>
      <c r="AA567" s="6">
        <f ca="1">('TE BE'!$AB$40+'TE BF_350'!$AB$40+'TE CVA'!$AB$40)*1</f>
        <v>248.89628694871266</v>
      </c>
      <c r="AB567" s="6">
        <f>$K$567*$V$567</f>
        <v>0</v>
      </c>
      <c r="AC567" s="6">
        <f>$M$567*$W$567</f>
        <v>2281.66644</v>
      </c>
      <c r="AD567" s="6">
        <f>$O$567*$X$567</f>
        <v>2194.7205599999998</v>
      </c>
      <c r="AE567" s="6">
        <f>$K$567*$Y$567</f>
        <v>0</v>
      </c>
      <c r="AF567" s="6">
        <f ca="1">$M$567*$Z$567</f>
        <v>2190.4909523298056</v>
      </c>
      <c r="AG567" s="6">
        <f ca="1">$O$567*$AA$567</f>
        <v>1736.7982903281168</v>
      </c>
    </row>
    <row r="568" spans="1:33" ht="11.25" customHeight="1" x14ac:dyDescent="0.25">
      <c r="A568" s="4" t="s">
        <v>21</v>
      </c>
      <c r="B568" s="4" t="s">
        <v>36</v>
      </c>
      <c r="C568" s="4" t="s">
        <v>23</v>
      </c>
      <c r="D568" s="4" t="s">
        <v>37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44378</v>
      </c>
      <c r="J568" s="6">
        <v>0</v>
      </c>
      <c r="K568" s="6">
        <v>0</v>
      </c>
      <c r="L568" s="6">
        <v>161.786</v>
      </c>
      <c r="M568" s="6">
        <v>161.786</v>
      </c>
      <c r="N568" s="6">
        <v>161.786</v>
      </c>
      <c r="O568" s="6">
        <v>161.786</v>
      </c>
      <c r="P568" s="6">
        <v>91</v>
      </c>
      <c r="Q568" s="4" t="s">
        <v>26</v>
      </c>
      <c r="R568" s="4">
        <v>0</v>
      </c>
      <c r="S568" s="6">
        <v>0</v>
      </c>
      <c r="T568" s="6">
        <v>68</v>
      </c>
      <c r="U568" s="6">
        <v>76</v>
      </c>
      <c r="V568" s="6">
        <f>IF(ISERROR(VLOOKUP($S$568,'TAR FIN'!$A$1:$O$86,15,0)),0,VLOOKUP($S$568,'TAR FIN'!$A$1:$O$86,15,0))</f>
        <v>0</v>
      </c>
      <c r="W568" s="6">
        <f>IF(ISERROR(VLOOKUP($T$568,'TAR FIN'!$A$1:$O$86,15,0)),0,VLOOKUP($T$568,'TAR FIN'!$A$1:$O$86,15,0))</f>
        <v>326.98</v>
      </c>
      <c r="X568" s="6">
        <f>IF(ISERROR(VLOOKUP($U$568,'TAR FIN'!$A$1:$O$86,15,0)),0,VLOOKUP($U$568,'TAR FIN'!$A$1:$O$86,15,0))</f>
        <v>314.52</v>
      </c>
      <c r="Y568" s="6"/>
      <c r="Z568" s="6">
        <f ca="1">('TUSD BE'!$AM$48+'TUSD BF_350'!$AM$48+'TUSD CVA'!$AM$48)*1</f>
        <v>313.91386533817797</v>
      </c>
      <c r="AA568" s="6">
        <f ca="1">('TE BE'!$AB$40+'TE BF_350'!$AB$40+'TE CVA'!$AB$40)*1</f>
        <v>248.89628694871266</v>
      </c>
      <c r="AB568" s="6">
        <f>$K$568*$V$568</f>
        <v>0</v>
      </c>
      <c r="AC568" s="6">
        <f>$M$568*$W$568</f>
        <v>52900.78628</v>
      </c>
      <c r="AD568" s="6">
        <f>$O$568*$X$568</f>
        <v>50884.932719999997</v>
      </c>
      <c r="AE568" s="6">
        <f>$K$568*$Y$568</f>
        <v>0</v>
      </c>
      <c r="AF568" s="6">
        <f ca="1">$M$568*$Z$568</f>
        <v>50786.868617602464</v>
      </c>
      <c r="AG568" s="6">
        <f ca="1">$O$568*$AA$568</f>
        <v>40267.934680284423</v>
      </c>
    </row>
    <row r="569" spans="1:33" ht="11.25" customHeight="1" x14ac:dyDescent="0.25">
      <c r="A569" s="4" t="s">
        <v>27</v>
      </c>
      <c r="B569" s="4" t="s">
        <v>36</v>
      </c>
      <c r="C569" s="4" t="s">
        <v>23</v>
      </c>
      <c r="D569" s="4" t="s">
        <v>37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44378</v>
      </c>
      <c r="J569" s="6">
        <v>0</v>
      </c>
      <c r="K569" s="6">
        <v>0</v>
      </c>
      <c r="L569" s="6">
        <v>12.63</v>
      </c>
      <c r="M569" s="6">
        <v>12.63</v>
      </c>
      <c r="N569" s="6">
        <v>12.63</v>
      </c>
      <c r="O569" s="6">
        <v>12.63</v>
      </c>
      <c r="P569" s="6">
        <v>14</v>
      </c>
      <c r="Q569" s="4" t="s">
        <v>26</v>
      </c>
      <c r="R569" s="4">
        <v>0</v>
      </c>
      <c r="S569" s="6">
        <v>0</v>
      </c>
      <c r="T569" s="6">
        <v>68</v>
      </c>
      <c r="U569" s="6">
        <v>76</v>
      </c>
      <c r="V569" s="6">
        <f>IF(ISERROR(VLOOKUP($S$569,'TAR FIN'!$A$1:$O$86,15,0)),0,VLOOKUP($S$569,'TAR FIN'!$A$1:$O$86,15,0))</f>
        <v>0</v>
      </c>
      <c r="W569" s="6">
        <f>IF(ISERROR(VLOOKUP($T$569,'TAR FIN'!$A$1:$O$86,15,0)),0,VLOOKUP($T$569,'TAR FIN'!$A$1:$O$86,15,0))</f>
        <v>326.98</v>
      </c>
      <c r="X569" s="6">
        <f>IF(ISERROR(VLOOKUP($U$569,'TAR FIN'!$A$1:$O$86,15,0)),0,VLOOKUP($U$569,'TAR FIN'!$A$1:$O$86,15,0))</f>
        <v>314.52</v>
      </c>
      <c r="Y569" s="6"/>
      <c r="Z569" s="6">
        <f ca="1">('TUSD BE'!$AM$48+'TUSD BF_350'!$AM$48+'TUSD CVA'!$AM$48)*1</f>
        <v>313.91386533817797</v>
      </c>
      <c r="AA569" s="6">
        <f ca="1">('TE BE'!$AB$40+'TE BF_350'!$AB$40+'TE CVA'!$AB$40)*1</f>
        <v>248.89628694871266</v>
      </c>
      <c r="AB569" s="6">
        <f>$K$569*$V$569</f>
        <v>0</v>
      </c>
      <c r="AC569" s="6">
        <f>$M$569*$W$569</f>
        <v>4129.7574000000004</v>
      </c>
      <c r="AD569" s="6">
        <f>$O$569*$X$569</f>
        <v>3972.3876</v>
      </c>
      <c r="AE569" s="6">
        <f>$K$569*$Y$569</f>
        <v>0</v>
      </c>
      <c r="AF569" s="6">
        <f ca="1">$M$569*$Z$569</f>
        <v>3964.732119221188</v>
      </c>
      <c r="AG569" s="6">
        <f ca="1">$O$569*$AA$569</f>
        <v>3143.5601041622413</v>
      </c>
    </row>
    <row r="570" spans="1:33" ht="11.25" customHeight="1" x14ac:dyDescent="0.25">
      <c r="A570" s="4" t="s">
        <v>21</v>
      </c>
      <c r="B570" s="4" t="s">
        <v>36</v>
      </c>
      <c r="C570" s="4" t="s">
        <v>23</v>
      </c>
      <c r="D570" s="4" t="s">
        <v>37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44409</v>
      </c>
      <c r="J570" s="6">
        <v>0</v>
      </c>
      <c r="K570" s="6">
        <v>0</v>
      </c>
      <c r="L570" s="6">
        <v>135.57300000000001</v>
      </c>
      <c r="M570" s="6">
        <v>135.57300000000001</v>
      </c>
      <c r="N570" s="6">
        <v>135.57300000000001</v>
      </c>
      <c r="O570" s="6">
        <v>135.57300000000001</v>
      </c>
      <c r="P570" s="6">
        <v>89</v>
      </c>
      <c r="Q570" s="4" t="s">
        <v>26</v>
      </c>
      <c r="R570" s="4">
        <v>0</v>
      </c>
      <c r="S570" s="6">
        <v>0</v>
      </c>
      <c r="T570" s="6">
        <v>68</v>
      </c>
      <c r="U570" s="6">
        <v>76</v>
      </c>
      <c r="V570" s="6">
        <f>IF(ISERROR(VLOOKUP($S$570,'TAR FIN'!$A$1:$O$86,15,0)),0,VLOOKUP($S$570,'TAR FIN'!$A$1:$O$86,15,0))</f>
        <v>0</v>
      </c>
      <c r="W570" s="6">
        <f>IF(ISERROR(VLOOKUP($T$570,'TAR FIN'!$A$1:$O$86,15,0)),0,VLOOKUP($T$570,'TAR FIN'!$A$1:$O$86,15,0))</f>
        <v>326.98</v>
      </c>
      <c r="X570" s="6">
        <f>IF(ISERROR(VLOOKUP($U$570,'TAR FIN'!$A$1:$O$86,15,0)),0,VLOOKUP($U$570,'TAR FIN'!$A$1:$O$86,15,0))</f>
        <v>314.52</v>
      </c>
      <c r="Y570" s="6"/>
      <c r="Z570" s="6">
        <f ca="1">('TUSD BE'!$AM$48+'TUSD BF_350'!$AM$48+'TUSD CVA'!$AM$48)*1</f>
        <v>313.91386533817797</v>
      </c>
      <c r="AA570" s="6">
        <f ca="1">('TE BE'!$AB$40+'TE BF_350'!$AB$40+'TE CVA'!$AB$40)*1</f>
        <v>248.89628694871266</v>
      </c>
      <c r="AB570" s="6">
        <f>$K$570*$V$570</f>
        <v>0</v>
      </c>
      <c r="AC570" s="6">
        <f>$M$570*$W$570</f>
        <v>44329.659540000008</v>
      </c>
      <c r="AD570" s="6">
        <f>$O$570*$X$570</f>
        <v>42640.419959999999</v>
      </c>
      <c r="AE570" s="6">
        <f>$K$570*$Y$570</f>
        <v>0</v>
      </c>
      <c r="AF570" s="6">
        <f ca="1">$M$570*$Z$570</f>
        <v>42558.244465492804</v>
      </c>
      <c r="AG570" s="6">
        <f ca="1">$O$570*$AA$570</f>
        <v>33743.616310497826</v>
      </c>
    </row>
    <row r="571" spans="1:33" ht="11.25" customHeight="1" x14ac:dyDescent="0.25">
      <c r="A571" s="4" t="s">
        <v>27</v>
      </c>
      <c r="B571" s="4" t="s">
        <v>36</v>
      </c>
      <c r="C571" s="4" t="s">
        <v>23</v>
      </c>
      <c r="D571" s="4" t="s">
        <v>37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44409</v>
      </c>
      <c r="J571" s="6">
        <v>0</v>
      </c>
      <c r="K571" s="6">
        <v>0</v>
      </c>
      <c r="L571" s="6">
        <v>24.561</v>
      </c>
      <c r="M571" s="6">
        <v>24.561</v>
      </c>
      <c r="N571" s="6">
        <v>24.561</v>
      </c>
      <c r="O571" s="6">
        <v>24.561</v>
      </c>
      <c r="P571" s="6">
        <v>16</v>
      </c>
      <c r="Q571" s="4" t="s">
        <v>26</v>
      </c>
      <c r="R571" s="4">
        <v>0</v>
      </c>
      <c r="S571" s="6">
        <v>0</v>
      </c>
      <c r="T571" s="6">
        <v>68</v>
      </c>
      <c r="U571" s="6">
        <v>76</v>
      </c>
      <c r="V571" s="6">
        <f>IF(ISERROR(VLOOKUP($S$571,'TAR FIN'!$A$1:$O$86,15,0)),0,VLOOKUP($S$571,'TAR FIN'!$A$1:$O$86,15,0))</f>
        <v>0</v>
      </c>
      <c r="W571" s="6">
        <f>IF(ISERROR(VLOOKUP($T$571,'TAR FIN'!$A$1:$O$86,15,0)),0,VLOOKUP($T$571,'TAR FIN'!$A$1:$O$86,15,0))</f>
        <v>326.98</v>
      </c>
      <c r="X571" s="6">
        <f>IF(ISERROR(VLOOKUP($U$571,'TAR FIN'!$A$1:$O$86,15,0)),0,VLOOKUP($U$571,'TAR FIN'!$A$1:$O$86,15,0))</f>
        <v>314.52</v>
      </c>
      <c r="Y571" s="6"/>
      <c r="Z571" s="6">
        <f ca="1">('TUSD BE'!$AM$48+'TUSD BF_350'!$AM$48+'TUSD CVA'!$AM$48)*1</f>
        <v>313.91386533817797</v>
      </c>
      <c r="AA571" s="6">
        <f ca="1">('TE BE'!$AB$40+'TE BF_350'!$AB$40+'TE CVA'!$AB$40)*1</f>
        <v>248.89628694871266</v>
      </c>
      <c r="AB571" s="6">
        <f>$K$571*$V$571</f>
        <v>0</v>
      </c>
      <c r="AC571" s="6">
        <f>$M$571*$W$571</f>
        <v>8030.9557800000002</v>
      </c>
      <c r="AD571" s="6">
        <f>$O$571*$X$571</f>
        <v>7724.9257199999993</v>
      </c>
      <c r="AE571" s="6">
        <f>$K$571*$Y$571</f>
        <v>0</v>
      </c>
      <c r="AF571" s="6">
        <f ca="1">$M$571*$Z$571</f>
        <v>7710.0384465709894</v>
      </c>
      <c r="AG571" s="6">
        <f ca="1">$O$571*$AA$571</f>
        <v>6113.1417037473311</v>
      </c>
    </row>
    <row r="572" spans="1:33" ht="11.25" customHeight="1" x14ac:dyDescent="0.25">
      <c r="A572" s="4" t="s">
        <v>21</v>
      </c>
      <c r="B572" s="4" t="s">
        <v>36</v>
      </c>
      <c r="C572" s="4" t="s">
        <v>23</v>
      </c>
      <c r="D572" s="4" t="s">
        <v>37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44440</v>
      </c>
      <c r="J572" s="6">
        <v>0</v>
      </c>
      <c r="K572" s="6">
        <v>0</v>
      </c>
      <c r="L572" s="6">
        <v>123.67700000000001</v>
      </c>
      <c r="M572" s="6">
        <v>123.67700000000001</v>
      </c>
      <c r="N572" s="6">
        <v>123.67700000000001</v>
      </c>
      <c r="O572" s="6">
        <v>123.67700000000001</v>
      </c>
      <c r="P572" s="6">
        <v>88</v>
      </c>
      <c r="Q572" s="4" t="s">
        <v>26</v>
      </c>
      <c r="R572" s="4">
        <v>0</v>
      </c>
      <c r="S572" s="6">
        <v>0</v>
      </c>
      <c r="T572" s="6">
        <v>68</v>
      </c>
      <c r="U572" s="6">
        <v>76</v>
      </c>
      <c r="V572" s="6">
        <f>IF(ISERROR(VLOOKUP($S$572,'TAR FIN'!$A$1:$O$86,15,0)),0,VLOOKUP($S$572,'TAR FIN'!$A$1:$O$86,15,0))</f>
        <v>0</v>
      </c>
      <c r="W572" s="6">
        <f>IF(ISERROR(VLOOKUP($T$572,'TAR FIN'!$A$1:$O$86,15,0)),0,VLOOKUP($T$572,'TAR FIN'!$A$1:$O$86,15,0))</f>
        <v>326.98</v>
      </c>
      <c r="X572" s="6">
        <f>IF(ISERROR(VLOOKUP($U$572,'TAR FIN'!$A$1:$O$86,15,0)),0,VLOOKUP($U$572,'TAR FIN'!$A$1:$O$86,15,0))</f>
        <v>314.52</v>
      </c>
      <c r="Y572" s="6"/>
      <c r="Z572" s="6">
        <f ca="1">('TUSD BE'!$AM$48+'TUSD BF_350'!$AM$48+'TUSD CVA'!$AM$48)*1</f>
        <v>313.91386533817797</v>
      </c>
      <c r="AA572" s="6">
        <f ca="1">('TE BE'!$AB$40+'TE BF_350'!$AB$40+'TE CVA'!$AB$40)*1</f>
        <v>248.89628694871266</v>
      </c>
      <c r="AB572" s="6">
        <f>$K$572*$V$572</f>
        <v>0</v>
      </c>
      <c r="AC572" s="6">
        <f>$M$572*$W$572</f>
        <v>40439.905460000002</v>
      </c>
      <c r="AD572" s="6">
        <f>$O$572*$X$572</f>
        <v>38898.890039999998</v>
      </c>
      <c r="AE572" s="6">
        <f>$K$572*$Y$572</f>
        <v>0</v>
      </c>
      <c r="AF572" s="6">
        <f ca="1">$M$572*$Z$572</f>
        <v>38823.925123429835</v>
      </c>
      <c r="AG572" s="6">
        <f ca="1">$O$572*$AA$572</f>
        <v>30782.746080955938</v>
      </c>
    </row>
    <row r="573" spans="1:33" ht="11.25" customHeight="1" x14ac:dyDescent="0.25">
      <c r="A573" s="4" t="s">
        <v>27</v>
      </c>
      <c r="B573" s="4" t="s">
        <v>36</v>
      </c>
      <c r="C573" s="4" t="s">
        <v>23</v>
      </c>
      <c r="D573" s="4" t="s">
        <v>37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44440</v>
      </c>
      <c r="J573" s="6">
        <v>0</v>
      </c>
      <c r="K573" s="6">
        <v>0</v>
      </c>
      <c r="L573" s="6">
        <v>18.343</v>
      </c>
      <c r="M573" s="6">
        <v>18.343</v>
      </c>
      <c r="N573" s="6">
        <v>18.343</v>
      </c>
      <c r="O573" s="6">
        <v>18.343</v>
      </c>
      <c r="P573" s="6">
        <v>17</v>
      </c>
      <c r="Q573" s="4" t="s">
        <v>26</v>
      </c>
      <c r="R573" s="4">
        <v>0</v>
      </c>
      <c r="S573" s="6">
        <v>0</v>
      </c>
      <c r="T573" s="6">
        <v>68</v>
      </c>
      <c r="U573" s="6">
        <v>76</v>
      </c>
      <c r="V573" s="6">
        <f>IF(ISERROR(VLOOKUP($S$573,'TAR FIN'!$A$1:$O$86,15,0)),0,VLOOKUP($S$573,'TAR FIN'!$A$1:$O$86,15,0))</f>
        <v>0</v>
      </c>
      <c r="W573" s="6">
        <f>IF(ISERROR(VLOOKUP($T$573,'TAR FIN'!$A$1:$O$86,15,0)),0,VLOOKUP($T$573,'TAR FIN'!$A$1:$O$86,15,0))</f>
        <v>326.98</v>
      </c>
      <c r="X573" s="6">
        <f>IF(ISERROR(VLOOKUP($U$573,'TAR FIN'!$A$1:$O$86,15,0)),0,VLOOKUP($U$573,'TAR FIN'!$A$1:$O$86,15,0))</f>
        <v>314.52</v>
      </c>
      <c r="Y573" s="6"/>
      <c r="Z573" s="6">
        <f ca="1">('TUSD BE'!$AM$48+'TUSD BF_350'!$AM$48+'TUSD CVA'!$AM$48)*1</f>
        <v>313.91386533817797</v>
      </c>
      <c r="AA573" s="6">
        <f ca="1">('TE BE'!$AB$40+'TE BF_350'!$AB$40+'TE CVA'!$AB$40)*1</f>
        <v>248.89628694871266</v>
      </c>
      <c r="AB573" s="6">
        <f>$K$573*$V$573</f>
        <v>0</v>
      </c>
      <c r="AC573" s="6">
        <f>$M$573*$W$573</f>
        <v>5997.79414</v>
      </c>
      <c r="AD573" s="6">
        <f>$O$573*$X$573</f>
        <v>5769.2403599999998</v>
      </c>
      <c r="AE573" s="6">
        <f>$K$573*$Y$573</f>
        <v>0</v>
      </c>
      <c r="AF573" s="6">
        <f ca="1">$M$573*$Z$573</f>
        <v>5758.1220318981987</v>
      </c>
      <c r="AG573" s="6">
        <f ca="1">$O$573*$AA$573</f>
        <v>4565.5045915002365</v>
      </c>
    </row>
    <row r="574" spans="1:33" ht="11.25" customHeight="1" x14ac:dyDescent="0.25">
      <c r="A574" s="4" t="s">
        <v>21</v>
      </c>
      <c r="B574" s="4" t="s">
        <v>36</v>
      </c>
      <c r="C574" s="4" t="s">
        <v>23</v>
      </c>
      <c r="D574" s="4" t="s">
        <v>37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44470</v>
      </c>
      <c r="J574" s="6">
        <v>0</v>
      </c>
      <c r="K574" s="6">
        <v>0</v>
      </c>
      <c r="L574" s="6">
        <v>123.251</v>
      </c>
      <c r="M574" s="6">
        <v>123.251</v>
      </c>
      <c r="N574" s="6">
        <v>123.251</v>
      </c>
      <c r="O574" s="6">
        <v>123.251</v>
      </c>
      <c r="P574" s="6">
        <v>87</v>
      </c>
      <c r="Q574" s="4" t="s">
        <v>26</v>
      </c>
      <c r="R574" s="4">
        <v>0</v>
      </c>
      <c r="S574" s="6">
        <v>0</v>
      </c>
      <c r="T574" s="6">
        <v>68</v>
      </c>
      <c r="U574" s="6">
        <v>76</v>
      </c>
      <c r="V574" s="6">
        <f>IF(ISERROR(VLOOKUP($S$574,'TAR FIN'!$A$1:$O$86,15,0)),0,VLOOKUP($S$574,'TAR FIN'!$A$1:$O$86,15,0))</f>
        <v>0</v>
      </c>
      <c r="W574" s="6">
        <f>IF(ISERROR(VLOOKUP($T$574,'TAR FIN'!$A$1:$O$86,15,0)),0,VLOOKUP($T$574,'TAR FIN'!$A$1:$O$86,15,0))</f>
        <v>326.98</v>
      </c>
      <c r="X574" s="6">
        <f>IF(ISERROR(VLOOKUP($U$574,'TAR FIN'!$A$1:$O$86,15,0)),0,VLOOKUP($U$574,'TAR FIN'!$A$1:$O$86,15,0))</f>
        <v>314.52</v>
      </c>
      <c r="Y574" s="6"/>
      <c r="Z574" s="6">
        <f ca="1">('TUSD BE'!$AM$48+'TUSD BF_350'!$AM$48+'TUSD CVA'!$AM$48)*1</f>
        <v>313.91386533817797</v>
      </c>
      <c r="AA574" s="6">
        <f ca="1">('TE BE'!$AB$40+'TE BF_350'!$AB$40+'TE CVA'!$AB$40)*1</f>
        <v>248.89628694871266</v>
      </c>
      <c r="AB574" s="6">
        <f>$K$574*$V$574</f>
        <v>0</v>
      </c>
      <c r="AC574" s="6">
        <f>$M$574*$W$574</f>
        <v>40300.611980000001</v>
      </c>
      <c r="AD574" s="6">
        <f>$O$574*$X$574</f>
        <v>38764.904519999996</v>
      </c>
      <c r="AE574" s="6">
        <f>$K$574*$Y$574</f>
        <v>0</v>
      </c>
      <c r="AF574" s="6">
        <f ca="1">$M$574*$Z$574</f>
        <v>38690.197816795771</v>
      </c>
      <c r="AG574" s="6">
        <f ca="1">$O$574*$AA$574</f>
        <v>30676.716262715785</v>
      </c>
    </row>
    <row r="575" spans="1:33" ht="11.25" customHeight="1" x14ac:dyDescent="0.25">
      <c r="A575" s="4" t="s">
        <v>27</v>
      </c>
      <c r="B575" s="4" t="s">
        <v>36</v>
      </c>
      <c r="C575" s="4" t="s">
        <v>23</v>
      </c>
      <c r="D575" s="4" t="s">
        <v>37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44470</v>
      </c>
      <c r="J575" s="6">
        <v>0</v>
      </c>
      <c r="K575" s="6">
        <v>0</v>
      </c>
      <c r="L575" s="6">
        <v>14.35</v>
      </c>
      <c r="M575" s="6">
        <v>14.35</v>
      </c>
      <c r="N575" s="6">
        <v>14.35</v>
      </c>
      <c r="O575" s="6">
        <v>14.35</v>
      </c>
      <c r="P575" s="6">
        <v>17</v>
      </c>
      <c r="Q575" s="4" t="s">
        <v>26</v>
      </c>
      <c r="R575" s="4">
        <v>0</v>
      </c>
      <c r="S575" s="6">
        <v>0</v>
      </c>
      <c r="T575" s="6">
        <v>68</v>
      </c>
      <c r="U575" s="6">
        <v>76</v>
      </c>
      <c r="V575" s="6">
        <f>IF(ISERROR(VLOOKUP($S$575,'TAR FIN'!$A$1:$O$86,15,0)),0,VLOOKUP($S$575,'TAR FIN'!$A$1:$O$86,15,0))</f>
        <v>0</v>
      </c>
      <c r="W575" s="6">
        <f>IF(ISERROR(VLOOKUP($T$575,'TAR FIN'!$A$1:$O$86,15,0)),0,VLOOKUP($T$575,'TAR FIN'!$A$1:$O$86,15,0))</f>
        <v>326.98</v>
      </c>
      <c r="X575" s="6">
        <f>IF(ISERROR(VLOOKUP($U$575,'TAR FIN'!$A$1:$O$86,15,0)),0,VLOOKUP($U$575,'TAR FIN'!$A$1:$O$86,15,0))</f>
        <v>314.52</v>
      </c>
      <c r="Y575" s="6"/>
      <c r="Z575" s="6">
        <f ca="1">('TUSD BE'!$AM$48+'TUSD BF_350'!$AM$48+'TUSD CVA'!$AM$48)*1</f>
        <v>313.91386533817797</v>
      </c>
      <c r="AA575" s="6">
        <f ca="1">('TE BE'!$AB$40+'TE BF_350'!$AB$40+'TE CVA'!$AB$40)*1</f>
        <v>248.89628694871266</v>
      </c>
      <c r="AB575" s="6">
        <f>$K$575*$V$575</f>
        <v>0</v>
      </c>
      <c r="AC575" s="6">
        <f>$M$575*$W$575</f>
        <v>4692.1630000000005</v>
      </c>
      <c r="AD575" s="6">
        <f>$O$575*$X$575</f>
        <v>4513.3620000000001</v>
      </c>
      <c r="AE575" s="6">
        <f>$K$575*$Y$575</f>
        <v>0</v>
      </c>
      <c r="AF575" s="6">
        <f ca="1">$M$575*$Z$575</f>
        <v>4504.6639676028535</v>
      </c>
      <c r="AG575" s="6">
        <f ca="1">$O$575*$AA$575</f>
        <v>3571.6617177140265</v>
      </c>
    </row>
    <row r="576" spans="1:33" ht="11.25" customHeight="1" x14ac:dyDescent="0.25">
      <c r="A576" s="4" t="s">
        <v>21</v>
      </c>
      <c r="B576" s="4" t="s">
        <v>36</v>
      </c>
      <c r="C576" s="4" t="s">
        <v>23</v>
      </c>
      <c r="D576" s="4" t="s">
        <v>37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44501</v>
      </c>
      <c r="J576" s="6">
        <v>0</v>
      </c>
      <c r="K576" s="6">
        <v>0</v>
      </c>
      <c r="L576" s="6">
        <v>136.86000000000001</v>
      </c>
      <c r="M576" s="6">
        <v>136.86000000000001</v>
      </c>
      <c r="N576" s="6">
        <v>136.86000000000001</v>
      </c>
      <c r="O576" s="6">
        <v>136.86000000000001</v>
      </c>
      <c r="P576" s="6">
        <v>89</v>
      </c>
      <c r="Q576" s="4" t="s">
        <v>26</v>
      </c>
      <c r="R576" s="4">
        <v>0</v>
      </c>
      <c r="S576" s="6">
        <v>0</v>
      </c>
      <c r="T576" s="6">
        <v>68</v>
      </c>
      <c r="U576" s="6">
        <v>76</v>
      </c>
      <c r="V576" s="6">
        <f>IF(ISERROR(VLOOKUP($S$576,'TAR FIN'!$A$1:$O$86,15,0)),0,VLOOKUP($S$576,'TAR FIN'!$A$1:$O$86,15,0))</f>
        <v>0</v>
      </c>
      <c r="W576" s="6">
        <f>IF(ISERROR(VLOOKUP($T$576,'TAR FIN'!$A$1:$O$86,15,0)),0,VLOOKUP($T$576,'TAR FIN'!$A$1:$O$86,15,0))</f>
        <v>326.98</v>
      </c>
      <c r="X576" s="6">
        <f>IF(ISERROR(VLOOKUP($U$576,'TAR FIN'!$A$1:$O$86,15,0)),0,VLOOKUP($U$576,'TAR FIN'!$A$1:$O$86,15,0))</f>
        <v>314.52</v>
      </c>
      <c r="Y576" s="6"/>
      <c r="Z576" s="6">
        <f ca="1">('TUSD BE'!$AM$48+'TUSD BF_350'!$AM$48+'TUSD CVA'!$AM$48)*1</f>
        <v>313.91386533817797</v>
      </c>
      <c r="AA576" s="6">
        <f ca="1">('TE BE'!$AB$40+'TE BF_350'!$AB$40+'TE CVA'!$AB$40)*1</f>
        <v>248.89628694871266</v>
      </c>
      <c r="AB576" s="6">
        <f>$K$576*$V$576</f>
        <v>0</v>
      </c>
      <c r="AC576" s="6">
        <f>$M$576*$W$576</f>
        <v>44750.482800000005</v>
      </c>
      <c r="AD576" s="6">
        <f>$O$576*$X$576</f>
        <v>43045.207200000004</v>
      </c>
      <c r="AE576" s="6">
        <f>$K$576*$Y$576</f>
        <v>0</v>
      </c>
      <c r="AF576" s="6">
        <f ca="1">$M$576*$Z$576</f>
        <v>42962.251610183041</v>
      </c>
      <c r="AG576" s="6">
        <f ca="1">$O$576*$AA$576</f>
        <v>34063.945831800818</v>
      </c>
    </row>
    <row r="577" spans="1:33" ht="11.25" customHeight="1" x14ac:dyDescent="0.25">
      <c r="A577" s="4" t="s">
        <v>27</v>
      </c>
      <c r="B577" s="4" t="s">
        <v>36</v>
      </c>
      <c r="C577" s="4" t="s">
        <v>23</v>
      </c>
      <c r="D577" s="4" t="s">
        <v>37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44501</v>
      </c>
      <c r="J577" s="6">
        <v>0</v>
      </c>
      <c r="K577" s="6">
        <v>0</v>
      </c>
      <c r="L577" s="6">
        <v>16.785</v>
      </c>
      <c r="M577" s="6">
        <v>16.785</v>
      </c>
      <c r="N577" s="6">
        <v>16.785</v>
      </c>
      <c r="O577" s="6">
        <v>16.785</v>
      </c>
      <c r="P577" s="6">
        <v>17</v>
      </c>
      <c r="Q577" s="4" t="s">
        <v>26</v>
      </c>
      <c r="R577" s="4">
        <v>0</v>
      </c>
      <c r="S577" s="6">
        <v>0</v>
      </c>
      <c r="T577" s="6">
        <v>68</v>
      </c>
      <c r="U577" s="6">
        <v>76</v>
      </c>
      <c r="V577" s="6">
        <f>IF(ISERROR(VLOOKUP($S$577,'TAR FIN'!$A$1:$O$86,15,0)),0,VLOOKUP($S$577,'TAR FIN'!$A$1:$O$86,15,0))</f>
        <v>0</v>
      </c>
      <c r="W577" s="6">
        <f>IF(ISERROR(VLOOKUP($T$577,'TAR FIN'!$A$1:$O$86,15,0)),0,VLOOKUP($T$577,'TAR FIN'!$A$1:$O$86,15,0))</f>
        <v>326.98</v>
      </c>
      <c r="X577" s="6">
        <f>IF(ISERROR(VLOOKUP($U$577,'TAR FIN'!$A$1:$O$86,15,0)),0,VLOOKUP($U$577,'TAR FIN'!$A$1:$O$86,15,0))</f>
        <v>314.52</v>
      </c>
      <c r="Y577" s="6"/>
      <c r="Z577" s="6">
        <f ca="1">('TUSD BE'!$AM$48+'TUSD BF_350'!$AM$48+'TUSD CVA'!$AM$48)*1</f>
        <v>313.91386533817797</v>
      </c>
      <c r="AA577" s="6">
        <f ca="1">('TE BE'!$AB$40+'TE BF_350'!$AB$40+'TE CVA'!$AB$40)*1</f>
        <v>248.89628694871266</v>
      </c>
      <c r="AB577" s="6">
        <f>$K$577*$V$577</f>
        <v>0</v>
      </c>
      <c r="AC577" s="6">
        <f>$M$577*$W$577</f>
        <v>5488.3593000000001</v>
      </c>
      <c r="AD577" s="6">
        <f>$O$577*$X$577</f>
        <v>5279.2181999999993</v>
      </c>
      <c r="AE577" s="6">
        <f>$K$577*$Y$577</f>
        <v>0</v>
      </c>
      <c r="AF577" s="6">
        <f ca="1">$M$577*$Z$577</f>
        <v>5269.0442297013169</v>
      </c>
      <c r="AG577" s="6">
        <f ca="1">$O$577*$AA$577</f>
        <v>4177.7241764341416</v>
      </c>
    </row>
    <row r="578" spans="1:33" ht="11.25" customHeight="1" x14ac:dyDescent="0.25">
      <c r="A578" s="4" t="s">
        <v>21</v>
      </c>
      <c r="B578" s="4" t="s">
        <v>36</v>
      </c>
      <c r="C578" s="4" t="s">
        <v>23</v>
      </c>
      <c r="D578" s="4" t="s">
        <v>37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44531</v>
      </c>
      <c r="J578" s="6">
        <v>0</v>
      </c>
      <c r="K578" s="6">
        <v>0</v>
      </c>
      <c r="L578" s="6">
        <v>143.69999999999999</v>
      </c>
      <c r="M578" s="6">
        <v>143.69999999999999</v>
      </c>
      <c r="N578" s="6">
        <v>143.69999999999999</v>
      </c>
      <c r="O578" s="6">
        <v>143.69999999999999</v>
      </c>
      <c r="P578" s="6">
        <v>86</v>
      </c>
      <c r="Q578" s="4" t="s">
        <v>26</v>
      </c>
      <c r="R578" s="4">
        <v>0</v>
      </c>
      <c r="S578" s="6">
        <v>0</v>
      </c>
      <c r="T578" s="6">
        <v>68</v>
      </c>
      <c r="U578" s="6">
        <v>76</v>
      </c>
      <c r="V578" s="6">
        <f>IF(ISERROR(VLOOKUP($S$578,'TAR FIN'!$A$1:$O$86,15,0)),0,VLOOKUP($S$578,'TAR FIN'!$A$1:$O$86,15,0))</f>
        <v>0</v>
      </c>
      <c r="W578" s="6">
        <f>IF(ISERROR(VLOOKUP($T$578,'TAR FIN'!$A$1:$O$86,15,0)),0,VLOOKUP($T$578,'TAR FIN'!$A$1:$O$86,15,0))</f>
        <v>326.98</v>
      </c>
      <c r="X578" s="6">
        <f>IF(ISERROR(VLOOKUP($U$578,'TAR FIN'!$A$1:$O$86,15,0)),0,VLOOKUP($U$578,'TAR FIN'!$A$1:$O$86,15,0))</f>
        <v>314.52</v>
      </c>
      <c r="Y578" s="6"/>
      <c r="Z578" s="6">
        <f ca="1">('TUSD BE'!$AM$48+'TUSD BF_350'!$AM$48+'TUSD CVA'!$AM$48)*1</f>
        <v>313.91386533817797</v>
      </c>
      <c r="AA578" s="6">
        <f ca="1">('TE BE'!$AB$40+'TE BF_350'!$AB$40+'TE CVA'!$AB$40)*1</f>
        <v>248.89628694871266</v>
      </c>
      <c r="AB578" s="6">
        <f>$K$578*$V$578</f>
        <v>0</v>
      </c>
      <c r="AC578" s="6">
        <f>$M$578*$W$578</f>
        <v>46987.025999999998</v>
      </c>
      <c r="AD578" s="6">
        <f>$O$578*$X$578</f>
        <v>45196.52399999999</v>
      </c>
      <c r="AE578" s="6">
        <f>$K$578*$Y$578</f>
        <v>0</v>
      </c>
      <c r="AF578" s="6">
        <f ca="1">$M$578*$Z$578</f>
        <v>45109.422449096171</v>
      </c>
      <c r="AG578" s="6">
        <f ca="1">$O$578*$AA$578</f>
        <v>35766.396434530005</v>
      </c>
    </row>
    <row r="579" spans="1:33" ht="11.25" customHeight="1" x14ac:dyDescent="0.25">
      <c r="A579" s="4" t="s">
        <v>27</v>
      </c>
      <c r="B579" s="4" t="s">
        <v>36</v>
      </c>
      <c r="C579" s="4" t="s">
        <v>23</v>
      </c>
      <c r="D579" s="4" t="s">
        <v>37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44531</v>
      </c>
      <c r="J579" s="6">
        <v>0</v>
      </c>
      <c r="K579" s="6">
        <v>0</v>
      </c>
      <c r="L579" s="6">
        <v>6.3120000000000003</v>
      </c>
      <c r="M579" s="6">
        <v>6.3120000000000003</v>
      </c>
      <c r="N579" s="6">
        <v>6.3120000000000003</v>
      </c>
      <c r="O579" s="6">
        <v>6.3120000000000003</v>
      </c>
      <c r="P579" s="6">
        <v>18</v>
      </c>
      <c r="Q579" s="4" t="s">
        <v>26</v>
      </c>
      <c r="R579" s="4">
        <v>0</v>
      </c>
      <c r="S579" s="6">
        <v>0</v>
      </c>
      <c r="T579" s="6">
        <v>68</v>
      </c>
      <c r="U579" s="6">
        <v>76</v>
      </c>
      <c r="V579" s="6">
        <f>IF(ISERROR(VLOOKUP($S$579,'TAR FIN'!$A$1:$O$86,15,0)),0,VLOOKUP($S$579,'TAR FIN'!$A$1:$O$86,15,0))</f>
        <v>0</v>
      </c>
      <c r="W579" s="6">
        <f>IF(ISERROR(VLOOKUP($T$579,'TAR FIN'!$A$1:$O$86,15,0)),0,VLOOKUP($T$579,'TAR FIN'!$A$1:$O$86,15,0))</f>
        <v>326.98</v>
      </c>
      <c r="X579" s="6">
        <f>IF(ISERROR(VLOOKUP($U$579,'TAR FIN'!$A$1:$O$86,15,0)),0,VLOOKUP($U$579,'TAR FIN'!$A$1:$O$86,15,0))</f>
        <v>314.52</v>
      </c>
      <c r="Y579" s="6"/>
      <c r="Z579" s="6">
        <f ca="1">('TUSD BE'!$AM$48+'TUSD BF_350'!$AM$48+'TUSD CVA'!$AM$48)*1</f>
        <v>313.91386533817797</v>
      </c>
      <c r="AA579" s="6">
        <f ca="1">('TE BE'!$AB$40+'TE BF_350'!$AB$40+'TE CVA'!$AB$40)*1</f>
        <v>248.89628694871266</v>
      </c>
      <c r="AB579" s="6">
        <f>$K$579*$V$579</f>
        <v>0</v>
      </c>
      <c r="AC579" s="6">
        <f>$M$579*$W$579</f>
        <v>2063.8977600000003</v>
      </c>
      <c r="AD579" s="6">
        <f>$O$579*$X$579</f>
        <v>1985.2502400000001</v>
      </c>
      <c r="AE579" s="6">
        <f>$K$579*$Y$579</f>
        <v>0</v>
      </c>
      <c r="AF579" s="6">
        <f ca="1">$M$579*$Z$579</f>
        <v>1981.4243180145795</v>
      </c>
      <c r="AG579" s="6">
        <f ca="1">$O$579*$AA$579</f>
        <v>1571.0333632202744</v>
      </c>
    </row>
    <row r="580" spans="1:33" ht="11.25" customHeight="1" x14ac:dyDescent="0.25">
      <c r="A580" s="4" t="s">
        <v>21</v>
      </c>
      <c r="B580" s="4" t="s">
        <v>36</v>
      </c>
      <c r="C580" s="4" t="s">
        <v>23</v>
      </c>
      <c r="D580" s="4" t="s">
        <v>37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44562</v>
      </c>
      <c r="J580" s="6">
        <v>0</v>
      </c>
      <c r="K580" s="6">
        <v>0</v>
      </c>
      <c r="L580" s="6">
        <v>126.765</v>
      </c>
      <c r="M580" s="6">
        <v>126.765</v>
      </c>
      <c r="N580" s="6">
        <v>126.765</v>
      </c>
      <c r="O580" s="6">
        <v>126.765</v>
      </c>
      <c r="P580" s="6">
        <v>85</v>
      </c>
      <c r="Q580" s="4" t="s">
        <v>26</v>
      </c>
      <c r="R580" s="4">
        <v>0</v>
      </c>
      <c r="S580" s="6">
        <v>0</v>
      </c>
      <c r="T580" s="6">
        <v>68</v>
      </c>
      <c r="U580" s="6">
        <v>76</v>
      </c>
      <c r="V580" s="6">
        <f>IF(ISERROR(VLOOKUP($S$580,'TAR FIN'!$A$1:$O$86,15,0)),0,VLOOKUP($S$580,'TAR FIN'!$A$1:$O$86,15,0))</f>
        <v>0</v>
      </c>
      <c r="W580" s="6">
        <f>IF(ISERROR(VLOOKUP($T$580,'TAR FIN'!$A$1:$O$86,15,0)),0,VLOOKUP($T$580,'TAR FIN'!$A$1:$O$86,15,0))</f>
        <v>326.98</v>
      </c>
      <c r="X580" s="6">
        <f>IF(ISERROR(VLOOKUP($U$580,'TAR FIN'!$A$1:$O$86,15,0)),0,VLOOKUP($U$580,'TAR FIN'!$A$1:$O$86,15,0))</f>
        <v>314.52</v>
      </c>
      <c r="Y580" s="6"/>
      <c r="Z580" s="6">
        <f ca="1">('TUSD BE'!$AM$48+'TUSD BF_350'!$AM$48+'TUSD CVA'!$AM$48)*1</f>
        <v>313.91386533817797</v>
      </c>
      <c r="AA580" s="6">
        <f ca="1">('TE BE'!$AB$40+'TE BF_350'!$AB$40+'TE CVA'!$AB$40)*1</f>
        <v>248.89628694871266</v>
      </c>
      <c r="AB580" s="6">
        <f>$K$580*$V$580</f>
        <v>0</v>
      </c>
      <c r="AC580" s="6">
        <f>$M$580*$W$580</f>
        <v>41449.619700000003</v>
      </c>
      <c r="AD580" s="6">
        <f>$O$580*$X$580</f>
        <v>39870.127799999995</v>
      </c>
      <c r="AE580" s="6">
        <f>$K$580*$Y$580</f>
        <v>0</v>
      </c>
      <c r="AF580" s="6">
        <f ca="1">$M$580*$Z$580</f>
        <v>39793.291139594134</v>
      </c>
      <c r="AG580" s="6">
        <f ca="1">$O$580*$AA$580</f>
        <v>31551.337815053561</v>
      </c>
    </row>
    <row r="581" spans="1:33" ht="11.25" customHeight="1" x14ac:dyDescent="0.25">
      <c r="A581" s="4" t="s">
        <v>27</v>
      </c>
      <c r="B581" s="4" t="s">
        <v>36</v>
      </c>
      <c r="C581" s="4" t="s">
        <v>23</v>
      </c>
      <c r="D581" s="4" t="s">
        <v>37</v>
      </c>
      <c r="E581" s="4" t="s">
        <v>25</v>
      </c>
      <c r="F581" s="4" t="s">
        <v>25</v>
      </c>
      <c r="G581" s="4" t="s">
        <v>25</v>
      </c>
      <c r="H581" s="4" t="s">
        <v>25</v>
      </c>
      <c r="I581" s="5">
        <v>44562</v>
      </c>
      <c r="J581" s="6">
        <v>0</v>
      </c>
      <c r="K581" s="6">
        <v>0</v>
      </c>
      <c r="L581" s="6">
        <v>12.159000000000001</v>
      </c>
      <c r="M581" s="6">
        <v>12.159000000000001</v>
      </c>
      <c r="N581" s="6">
        <v>12.159000000000001</v>
      </c>
      <c r="O581" s="6">
        <v>12.159000000000001</v>
      </c>
      <c r="P581" s="6">
        <v>19</v>
      </c>
      <c r="Q581" s="4" t="s">
        <v>26</v>
      </c>
      <c r="R581" s="4">
        <v>0</v>
      </c>
      <c r="S581" s="6">
        <v>0</v>
      </c>
      <c r="T581" s="6">
        <v>68</v>
      </c>
      <c r="U581" s="6">
        <v>76</v>
      </c>
      <c r="V581" s="6">
        <f>IF(ISERROR(VLOOKUP($S$581,'TAR FIN'!$A$1:$O$86,15,0)),0,VLOOKUP($S$581,'TAR FIN'!$A$1:$O$86,15,0))</f>
        <v>0</v>
      </c>
      <c r="W581" s="6">
        <f>IF(ISERROR(VLOOKUP($T$581,'TAR FIN'!$A$1:$O$86,15,0)),0,VLOOKUP($T$581,'TAR FIN'!$A$1:$O$86,15,0))</f>
        <v>326.98</v>
      </c>
      <c r="X581" s="6">
        <f>IF(ISERROR(VLOOKUP($U$581,'TAR FIN'!$A$1:$O$86,15,0)),0,VLOOKUP($U$581,'TAR FIN'!$A$1:$O$86,15,0))</f>
        <v>314.52</v>
      </c>
      <c r="Y581" s="6"/>
      <c r="Z581" s="6">
        <f ca="1">('TUSD BE'!$AM$48+'TUSD BF_350'!$AM$48+'TUSD CVA'!$AM$48)*1</f>
        <v>313.91386533817797</v>
      </c>
      <c r="AA581" s="6">
        <f ca="1">('TE BE'!$AB$40+'TE BF_350'!$AB$40+'TE CVA'!$AB$40)*1</f>
        <v>248.89628694871266</v>
      </c>
      <c r="AB581" s="6">
        <f>$K$581*$V$581</f>
        <v>0</v>
      </c>
      <c r="AC581" s="6">
        <f>$M$581*$W$581</f>
        <v>3975.7498200000005</v>
      </c>
      <c r="AD581" s="6">
        <f>$O$581*$X$581</f>
        <v>3824.2486800000001</v>
      </c>
      <c r="AE581" s="6">
        <f>$K$581*$Y$581</f>
        <v>0</v>
      </c>
      <c r="AF581" s="6">
        <f ca="1">$M$581*$Z$581</f>
        <v>3816.8786886469061</v>
      </c>
      <c r="AG581" s="6">
        <f ca="1">$O$581*$AA$581</f>
        <v>3026.3299530093973</v>
      </c>
    </row>
    <row r="582" spans="1:33" ht="11.25" customHeight="1" x14ac:dyDescent="0.25">
      <c r="A582" s="4" t="s">
        <v>21</v>
      </c>
      <c r="B582" s="4" t="s">
        <v>36</v>
      </c>
      <c r="C582" s="4" t="s">
        <v>23</v>
      </c>
      <c r="D582" s="4" t="s">
        <v>37</v>
      </c>
      <c r="E582" s="4" t="s">
        <v>25</v>
      </c>
      <c r="F582" s="4" t="s">
        <v>25</v>
      </c>
      <c r="G582" s="4" t="s">
        <v>25</v>
      </c>
      <c r="H582" s="4" t="s">
        <v>25</v>
      </c>
      <c r="I582" s="5">
        <v>44593</v>
      </c>
      <c r="J582" s="6">
        <v>0</v>
      </c>
      <c r="K582" s="6">
        <v>0</v>
      </c>
      <c r="L582" s="6">
        <v>137.38399999999999</v>
      </c>
      <c r="M582" s="6">
        <v>137.38399999999999</v>
      </c>
      <c r="N582" s="6">
        <v>137.38399999999999</v>
      </c>
      <c r="O582" s="6">
        <v>137.38399999999999</v>
      </c>
      <c r="P582" s="6">
        <v>84</v>
      </c>
      <c r="Q582" s="4" t="s">
        <v>26</v>
      </c>
      <c r="R582" s="4">
        <v>0</v>
      </c>
      <c r="S582" s="6">
        <v>0</v>
      </c>
      <c r="T582" s="6">
        <v>68</v>
      </c>
      <c r="U582" s="6">
        <v>76</v>
      </c>
      <c r="V582" s="6">
        <f>IF(ISERROR(VLOOKUP($S$582,'TAR FIN'!$A$1:$O$86,15,0)),0,VLOOKUP($S$582,'TAR FIN'!$A$1:$O$86,15,0))</f>
        <v>0</v>
      </c>
      <c r="W582" s="6">
        <f>IF(ISERROR(VLOOKUP($T$582,'TAR FIN'!$A$1:$O$86,15,0)),0,VLOOKUP($T$582,'TAR FIN'!$A$1:$O$86,15,0))</f>
        <v>326.98</v>
      </c>
      <c r="X582" s="6">
        <f>IF(ISERROR(VLOOKUP($U$582,'TAR FIN'!$A$1:$O$86,15,0)),0,VLOOKUP($U$582,'TAR FIN'!$A$1:$O$86,15,0))</f>
        <v>314.52</v>
      </c>
      <c r="Y582" s="6"/>
      <c r="Z582" s="6">
        <f ca="1">('TUSD BE'!$AM$48+'TUSD BF_350'!$AM$48+'TUSD CVA'!$AM$48)*1</f>
        <v>313.91386533817797</v>
      </c>
      <c r="AA582" s="6">
        <f ca="1">('TE BE'!$AB$40+'TE BF_350'!$AB$40+'TE CVA'!$AB$40)*1</f>
        <v>248.89628694871266</v>
      </c>
      <c r="AB582" s="6">
        <f>$K$582*$V$582</f>
        <v>0</v>
      </c>
      <c r="AC582" s="6">
        <f>$M$582*$W$582</f>
        <v>44921.820319999999</v>
      </c>
      <c r="AD582" s="6">
        <f>$O$582*$X$582</f>
        <v>43210.01567999999</v>
      </c>
      <c r="AE582" s="6">
        <f>$K$582*$Y$582</f>
        <v>0</v>
      </c>
      <c r="AF582" s="6">
        <f ca="1">$M$582*$Z$582</f>
        <v>43126.742475620238</v>
      </c>
      <c r="AG582" s="6">
        <f ca="1">$O$582*$AA$582</f>
        <v>34194.367486161937</v>
      </c>
    </row>
    <row r="583" spans="1:33" ht="11.25" customHeight="1" x14ac:dyDescent="0.25">
      <c r="A583" s="4" t="s">
        <v>27</v>
      </c>
      <c r="B583" s="4" t="s">
        <v>36</v>
      </c>
      <c r="C583" s="4" t="s">
        <v>23</v>
      </c>
      <c r="D583" s="4" t="s">
        <v>37</v>
      </c>
      <c r="E583" s="4" t="s">
        <v>25</v>
      </c>
      <c r="F583" s="4" t="s">
        <v>25</v>
      </c>
      <c r="G583" s="4" t="s">
        <v>25</v>
      </c>
      <c r="H583" s="4" t="s">
        <v>25</v>
      </c>
      <c r="I583" s="5">
        <v>44593</v>
      </c>
      <c r="J583" s="6">
        <v>0</v>
      </c>
      <c r="K583" s="6">
        <v>0</v>
      </c>
      <c r="L583" s="6">
        <v>11.898999999999999</v>
      </c>
      <c r="M583" s="6">
        <v>11.898999999999999</v>
      </c>
      <c r="N583" s="6">
        <v>11.898999999999999</v>
      </c>
      <c r="O583" s="6">
        <v>11.898999999999999</v>
      </c>
      <c r="P583" s="6">
        <v>19</v>
      </c>
      <c r="Q583" s="4" t="s">
        <v>26</v>
      </c>
      <c r="R583" s="4">
        <v>0</v>
      </c>
      <c r="S583" s="6">
        <v>0</v>
      </c>
      <c r="T583" s="6">
        <v>68</v>
      </c>
      <c r="U583" s="6">
        <v>76</v>
      </c>
      <c r="V583" s="6">
        <f>IF(ISERROR(VLOOKUP($S$583,'TAR FIN'!$A$1:$O$86,15,0)),0,VLOOKUP($S$583,'TAR FIN'!$A$1:$O$86,15,0))</f>
        <v>0</v>
      </c>
      <c r="W583" s="6">
        <f>IF(ISERROR(VLOOKUP($T$583,'TAR FIN'!$A$1:$O$86,15,0)),0,VLOOKUP($T$583,'TAR FIN'!$A$1:$O$86,15,0))</f>
        <v>326.98</v>
      </c>
      <c r="X583" s="6">
        <f>IF(ISERROR(VLOOKUP($U$583,'TAR FIN'!$A$1:$O$86,15,0)),0,VLOOKUP($U$583,'TAR FIN'!$A$1:$O$86,15,0))</f>
        <v>314.52</v>
      </c>
      <c r="Y583" s="6"/>
      <c r="Z583" s="6">
        <f ca="1">('TUSD BE'!$AM$48+'TUSD BF_350'!$AM$48+'TUSD CVA'!$AM$48)*1</f>
        <v>313.91386533817797</v>
      </c>
      <c r="AA583" s="6">
        <f ca="1">('TE BE'!$AB$40+'TE BF_350'!$AB$40+'TE CVA'!$AB$40)*1</f>
        <v>248.89628694871266</v>
      </c>
      <c r="AB583" s="6">
        <f>$K$583*$V$583</f>
        <v>0</v>
      </c>
      <c r="AC583" s="6">
        <f>$M$583*$W$583</f>
        <v>3890.7350200000001</v>
      </c>
      <c r="AD583" s="6">
        <f>$O$583*$X$583</f>
        <v>3742.4734799999997</v>
      </c>
      <c r="AE583" s="6">
        <f>$K$583*$Y$583</f>
        <v>0</v>
      </c>
      <c r="AF583" s="6">
        <f ca="1">$M$583*$Z$583</f>
        <v>3735.2610836589793</v>
      </c>
      <c r="AG583" s="6">
        <f ca="1">$O$583*$AA$583</f>
        <v>2961.6169184027317</v>
      </c>
    </row>
    <row r="584" spans="1:33" ht="11.25" customHeight="1" x14ac:dyDescent="0.25">
      <c r="A584" s="4" t="s">
        <v>21</v>
      </c>
      <c r="B584" s="4" t="s">
        <v>36</v>
      </c>
      <c r="C584" s="4" t="s">
        <v>23</v>
      </c>
      <c r="D584" s="4" t="s">
        <v>37</v>
      </c>
      <c r="E584" s="4" t="s">
        <v>25</v>
      </c>
      <c r="F584" s="4" t="s">
        <v>25</v>
      </c>
      <c r="G584" s="4" t="s">
        <v>25</v>
      </c>
      <c r="H584" s="4" t="s">
        <v>25</v>
      </c>
      <c r="I584" s="5">
        <v>44621</v>
      </c>
      <c r="J584" s="6">
        <v>0</v>
      </c>
      <c r="K584" s="6">
        <v>0</v>
      </c>
      <c r="L584" s="6">
        <v>141.16200000000001</v>
      </c>
      <c r="M584" s="6">
        <v>141.16200000000001</v>
      </c>
      <c r="N584" s="6">
        <v>141.16200000000001</v>
      </c>
      <c r="O584" s="6">
        <v>141.16200000000001</v>
      </c>
      <c r="P584" s="6">
        <v>84</v>
      </c>
      <c r="Q584" s="4" t="s">
        <v>26</v>
      </c>
      <c r="R584" s="4">
        <v>0</v>
      </c>
      <c r="S584" s="6">
        <v>0</v>
      </c>
      <c r="T584" s="6">
        <v>68</v>
      </c>
      <c r="U584" s="6">
        <v>76</v>
      </c>
      <c r="V584" s="6">
        <f>IF(ISERROR(VLOOKUP($S$584,'TAR FIN'!$A$1:$O$86,15,0)),0,VLOOKUP($S$584,'TAR FIN'!$A$1:$O$86,15,0))</f>
        <v>0</v>
      </c>
      <c r="W584" s="6">
        <f>IF(ISERROR(VLOOKUP($T$584,'TAR FIN'!$A$1:$O$86,15,0)),0,VLOOKUP($T$584,'TAR FIN'!$A$1:$O$86,15,0))</f>
        <v>326.98</v>
      </c>
      <c r="X584" s="6">
        <f>IF(ISERROR(VLOOKUP($U$584,'TAR FIN'!$A$1:$O$86,15,0)),0,VLOOKUP($U$584,'TAR FIN'!$A$1:$O$86,15,0))</f>
        <v>314.52</v>
      </c>
      <c r="Y584" s="6"/>
      <c r="Z584" s="6">
        <f ca="1">('TUSD BE'!$AM$48+'TUSD BF_350'!$AM$48+'TUSD CVA'!$AM$48)*1</f>
        <v>313.91386533817797</v>
      </c>
      <c r="AA584" s="6">
        <f ca="1">('TE BE'!$AB$40+'TE BF_350'!$AB$40+'TE CVA'!$AB$40)*1</f>
        <v>248.89628694871266</v>
      </c>
      <c r="AB584" s="6">
        <f>$K$584*$V$584</f>
        <v>0</v>
      </c>
      <c r="AC584" s="6">
        <f>$M$584*$W$584</f>
        <v>46157.150760000004</v>
      </c>
      <c r="AD584" s="6">
        <f>$O$584*$X$584</f>
        <v>44398.272239999998</v>
      </c>
      <c r="AE584" s="6">
        <f>$K$584*$Y$584</f>
        <v>0</v>
      </c>
      <c r="AF584" s="6">
        <f ca="1">$M$584*$Z$584</f>
        <v>44312.709058867884</v>
      </c>
      <c r="AG584" s="6">
        <f ca="1">$O$584*$AA$584</f>
        <v>35134.697658254176</v>
      </c>
    </row>
    <row r="585" spans="1:33" ht="11.25" customHeight="1" x14ac:dyDescent="0.25">
      <c r="A585" s="4" t="s">
        <v>27</v>
      </c>
      <c r="B585" s="4" t="s">
        <v>36</v>
      </c>
      <c r="C585" s="4" t="s">
        <v>23</v>
      </c>
      <c r="D585" s="4" t="s">
        <v>37</v>
      </c>
      <c r="E585" s="4" t="s">
        <v>25</v>
      </c>
      <c r="F585" s="4" t="s">
        <v>25</v>
      </c>
      <c r="G585" s="4" t="s">
        <v>25</v>
      </c>
      <c r="H585" s="4" t="s">
        <v>25</v>
      </c>
      <c r="I585" s="5">
        <v>44621</v>
      </c>
      <c r="J585" s="6">
        <v>0</v>
      </c>
      <c r="K585" s="6">
        <v>0</v>
      </c>
      <c r="L585" s="6">
        <v>23.125</v>
      </c>
      <c r="M585" s="6">
        <v>23.125</v>
      </c>
      <c r="N585" s="6">
        <v>23.125</v>
      </c>
      <c r="O585" s="6">
        <v>23.125</v>
      </c>
      <c r="P585" s="6">
        <v>20</v>
      </c>
      <c r="Q585" s="4" t="s">
        <v>26</v>
      </c>
      <c r="R585" s="4">
        <v>0</v>
      </c>
      <c r="S585" s="6">
        <v>0</v>
      </c>
      <c r="T585" s="6">
        <v>68</v>
      </c>
      <c r="U585" s="6">
        <v>76</v>
      </c>
      <c r="V585" s="6">
        <f>IF(ISERROR(VLOOKUP($S$585,'TAR FIN'!$A$1:$O$86,15,0)),0,VLOOKUP($S$585,'TAR FIN'!$A$1:$O$86,15,0))</f>
        <v>0</v>
      </c>
      <c r="W585" s="6">
        <f>IF(ISERROR(VLOOKUP($T$585,'TAR FIN'!$A$1:$O$86,15,0)),0,VLOOKUP($T$585,'TAR FIN'!$A$1:$O$86,15,0))</f>
        <v>326.98</v>
      </c>
      <c r="X585" s="6">
        <f>IF(ISERROR(VLOOKUP($U$585,'TAR FIN'!$A$1:$O$86,15,0)),0,VLOOKUP($U$585,'TAR FIN'!$A$1:$O$86,15,0))</f>
        <v>314.52</v>
      </c>
      <c r="Y585" s="6"/>
      <c r="Z585" s="6">
        <f ca="1">('TUSD BE'!$AM$48+'TUSD BF_350'!$AM$48+'TUSD CVA'!$AM$48)*1</f>
        <v>313.91386533817797</v>
      </c>
      <c r="AA585" s="6">
        <f ca="1">('TE BE'!$AB$40+'TE BF_350'!$AB$40+'TE CVA'!$AB$40)*1</f>
        <v>248.89628694871266</v>
      </c>
      <c r="AB585" s="6">
        <f>$K$585*$V$585</f>
        <v>0</v>
      </c>
      <c r="AC585" s="6">
        <f>$M$585*$W$585</f>
        <v>7561.4125000000004</v>
      </c>
      <c r="AD585" s="6">
        <f>$O$585*$X$585</f>
        <v>7273.2749999999996</v>
      </c>
      <c r="AE585" s="6">
        <f>$K$585*$Y$585</f>
        <v>0</v>
      </c>
      <c r="AF585" s="6">
        <f ca="1">$M$585*$Z$585</f>
        <v>7259.2581359453652</v>
      </c>
      <c r="AG585" s="6">
        <f ca="1">$O$585*$AA$585</f>
        <v>5755.7266356889804</v>
      </c>
    </row>
    <row r="586" spans="1:33" ht="11.25" customHeight="1" x14ac:dyDescent="0.25">
      <c r="A586" s="4" t="s">
        <v>21</v>
      </c>
      <c r="B586" s="4" t="s">
        <v>36</v>
      </c>
      <c r="C586" s="4" t="s">
        <v>23</v>
      </c>
      <c r="D586" s="4" t="s">
        <v>37</v>
      </c>
      <c r="E586" s="4" t="s">
        <v>25</v>
      </c>
      <c r="F586" s="4" t="s">
        <v>25</v>
      </c>
      <c r="G586" s="4" t="s">
        <v>25</v>
      </c>
      <c r="H586" s="4" t="s">
        <v>25</v>
      </c>
      <c r="I586" s="5">
        <v>44652</v>
      </c>
      <c r="J586" s="6">
        <v>0</v>
      </c>
      <c r="K586" s="6">
        <v>0</v>
      </c>
      <c r="L586" s="6">
        <v>119.083</v>
      </c>
      <c r="M586" s="6">
        <v>119.083</v>
      </c>
      <c r="N586" s="6">
        <v>119.083</v>
      </c>
      <c r="O586" s="6">
        <v>119.083</v>
      </c>
      <c r="P586" s="6">
        <v>85</v>
      </c>
      <c r="Q586" s="4" t="s">
        <v>26</v>
      </c>
      <c r="R586" s="4">
        <v>0</v>
      </c>
      <c r="S586" s="6">
        <v>0</v>
      </c>
      <c r="T586" s="6">
        <v>68</v>
      </c>
      <c r="U586" s="6">
        <v>76</v>
      </c>
      <c r="V586" s="6">
        <f>IF(ISERROR(VLOOKUP($S$586,'TAR FIN'!$A$1:$O$86,15,0)),0,VLOOKUP($S$586,'TAR FIN'!$A$1:$O$86,15,0))</f>
        <v>0</v>
      </c>
      <c r="W586" s="6">
        <f>IF(ISERROR(VLOOKUP($T$586,'TAR FIN'!$A$1:$O$86,15,0)),0,VLOOKUP($T$586,'TAR FIN'!$A$1:$O$86,15,0))</f>
        <v>326.98</v>
      </c>
      <c r="X586" s="6">
        <f>IF(ISERROR(VLOOKUP($U$586,'TAR FIN'!$A$1:$O$86,15,0)),0,VLOOKUP($U$586,'TAR FIN'!$A$1:$O$86,15,0))</f>
        <v>314.52</v>
      </c>
      <c r="Y586" s="6"/>
      <c r="Z586" s="6">
        <f ca="1">('TUSD BE'!$AM$48+'TUSD BF_350'!$AM$48+'TUSD CVA'!$AM$48)*1</f>
        <v>313.91386533817797</v>
      </c>
      <c r="AA586" s="6">
        <f ca="1">('TE BE'!$AB$40+'TE BF_350'!$AB$40+'TE CVA'!$AB$40)*1</f>
        <v>248.89628694871266</v>
      </c>
      <c r="AB586" s="6">
        <f>$K$586*$V$586</f>
        <v>0</v>
      </c>
      <c r="AC586" s="6">
        <f>$M$586*$W$586</f>
        <v>38937.759340000004</v>
      </c>
      <c r="AD586" s="6">
        <f>$O$586*$X$586</f>
        <v>37453.985159999997</v>
      </c>
      <c r="AE586" s="6">
        <f>$K$586*$Y$586</f>
        <v>0</v>
      </c>
      <c r="AF586" s="6">
        <f ca="1">$M$586*$Z$586</f>
        <v>37381.804826066247</v>
      </c>
      <c r="AG586" s="6">
        <f ca="1">$O$586*$AA$586</f>
        <v>29639.316538713549</v>
      </c>
    </row>
    <row r="587" spans="1:33" ht="11.25" customHeight="1" x14ac:dyDescent="0.25">
      <c r="A587" s="4" t="s">
        <v>27</v>
      </c>
      <c r="B587" s="4" t="s">
        <v>36</v>
      </c>
      <c r="C587" s="4" t="s">
        <v>23</v>
      </c>
      <c r="D587" s="4" t="s">
        <v>37</v>
      </c>
      <c r="E587" s="4" t="s">
        <v>25</v>
      </c>
      <c r="F587" s="4" t="s">
        <v>25</v>
      </c>
      <c r="G587" s="4" t="s">
        <v>25</v>
      </c>
      <c r="H587" s="4" t="s">
        <v>25</v>
      </c>
      <c r="I587" s="5">
        <v>44652</v>
      </c>
      <c r="J587" s="6">
        <v>0</v>
      </c>
      <c r="K587" s="6">
        <v>0</v>
      </c>
      <c r="L587" s="6">
        <v>15.375999999999999</v>
      </c>
      <c r="M587" s="6">
        <v>15.375999999999999</v>
      </c>
      <c r="N587" s="6">
        <v>15.375999999999999</v>
      </c>
      <c r="O587" s="6">
        <v>15.375999999999999</v>
      </c>
      <c r="P587" s="6">
        <v>20</v>
      </c>
      <c r="Q587" s="4" t="s">
        <v>26</v>
      </c>
      <c r="R587" s="4">
        <v>0</v>
      </c>
      <c r="S587" s="6">
        <v>0</v>
      </c>
      <c r="T587" s="6">
        <v>68</v>
      </c>
      <c r="U587" s="6">
        <v>76</v>
      </c>
      <c r="V587" s="6">
        <f>IF(ISERROR(VLOOKUP($S$587,'TAR FIN'!$A$1:$O$86,15,0)),0,VLOOKUP($S$587,'TAR FIN'!$A$1:$O$86,15,0))</f>
        <v>0</v>
      </c>
      <c r="W587" s="6">
        <f>IF(ISERROR(VLOOKUP($T$587,'TAR FIN'!$A$1:$O$86,15,0)),0,VLOOKUP($T$587,'TAR FIN'!$A$1:$O$86,15,0))</f>
        <v>326.98</v>
      </c>
      <c r="X587" s="6">
        <f>IF(ISERROR(VLOOKUP($U$587,'TAR FIN'!$A$1:$O$86,15,0)),0,VLOOKUP($U$587,'TAR FIN'!$A$1:$O$86,15,0))</f>
        <v>314.52</v>
      </c>
      <c r="Y587" s="6"/>
      <c r="Z587" s="6">
        <f ca="1">('TUSD BE'!$AM$48+'TUSD BF_350'!$AM$48+'TUSD CVA'!$AM$48)*1</f>
        <v>313.91386533817797</v>
      </c>
      <c r="AA587" s="6">
        <f ca="1">('TE BE'!$AB$40+'TE BF_350'!$AB$40+'TE CVA'!$AB$40)*1</f>
        <v>248.89628694871266</v>
      </c>
      <c r="AB587" s="6">
        <f>$K$587*$V$587</f>
        <v>0</v>
      </c>
      <c r="AC587" s="6">
        <f>$M$587*$W$587</f>
        <v>5027.6444799999999</v>
      </c>
      <c r="AD587" s="6">
        <f>$O$587*$X$587</f>
        <v>4836.0595199999998</v>
      </c>
      <c r="AE587" s="6">
        <f>$K$587*$Y$587</f>
        <v>0</v>
      </c>
      <c r="AF587" s="6">
        <f ca="1">$M$587*$Z$587</f>
        <v>4826.7395934398246</v>
      </c>
      <c r="AG587" s="6">
        <f ca="1">$O$587*$AA$587</f>
        <v>3827.0293081234058</v>
      </c>
    </row>
    <row r="588" spans="1:33" ht="11.25" customHeight="1" x14ac:dyDescent="0.25">
      <c r="A588" s="4" t="s">
        <v>21</v>
      </c>
      <c r="B588" s="4" t="s">
        <v>36</v>
      </c>
      <c r="C588" s="4" t="s">
        <v>23</v>
      </c>
      <c r="D588" s="4" t="s">
        <v>37</v>
      </c>
      <c r="E588" s="4" t="s">
        <v>25</v>
      </c>
      <c r="F588" s="4" t="s">
        <v>25</v>
      </c>
      <c r="G588" s="4" t="s">
        <v>25</v>
      </c>
      <c r="H588" s="4" t="s">
        <v>25</v>
      </c>
      <c r="I588" s="5">
        <v>44682</v>
      </c>
      <c r="J588" s="6">
        <v>0</v>
      </c>
      <c r="K588" s="6">
        <v>0</v>
      </c>
      <c r="L588" s="6">
        <v>123.544</v>
      </c>
      <c r="M588" s="6">
        <v>123.544</v>
      </c>
      <c r="N588" s="6">
        <v>123.544</v>
      </c>
      <c r="O588" s="6">
        <v>123.544</v>
      </c>
      <c r="P588" s="6">
        <v>82</v>
      </c>
      <c r="Q588" s="4" t="s">
        <v>26</v>
      </c>
      <c r="R588" s="4">
        <v>0</v>
      </c>
      <c r="S588" s="6">
        <v>0</v>
      </c>
      <c r="T588" s="6">
        <v>68</v>
      </c>
      <c r="U588" s="6">
        <v>76</v>
      </c>
      <c r="V588" s="6">
        <f>IF(ISERROR(VLOOKUP($S$588,'TAR FIN'!$A$1:$O$86,15,0)),0,VLOOKUP($S$588,'TAR FIN'!$A$1:$O$86,15,0))</f>
        <v>0</v>
      </c>
      <c r="W588" s="6">
        <f>IF(ISERROR(VLOOKUP($T$588,'TAR FIN'!$A$1:$O$86,15,0)),0,VLOOKUP($T$588,'TAR FIN'!$A$1:$O$86,15,0))</f>
        <v>326.98</v>
      </c>
      <c r="X588" s="6">
        <f>IF(ISERROR(VLOOKUP($U$588,'TAR FIN'!$A$1:$O$86,15,0)),0,VLOOKUP($U$588,'TAR FIN'!$A$1:$O$86,15,0))</f>
        <v>314.52</v>
      </c>
      <c r="Y588" s="6"/>
      <c r="Z588" s="6">
        <f ca="1">('TUSD BE'!$AM$48+'TUSD BF_350'!$AM$48+'TUSD CVA'!$AM$48)*1</f>
        <v>313.91386533817797</v>
      </c>
      <c r="AA588" s="6">
        <f ca="1">('TE BE'!$AB$40+'TE BF_350'!$AB$40+'TE CVA'!$AB$40)*1</f>
        <v>248.89628694871266</v>
      </c>
      <c r="AB588" s="6">
        <f>$K$588*$V$588</f>
        <v>0</v>
      </c>
      <c r="AC588" s="6">
        <f>$M$588*$W$588</f>
        <v>40396.417119999998</v>
      </c>
      <c r="AD588" s="6">
        <f>$O$588*$X$588</f>
        <v>38857.058879999997</v>
      </c>
      <c r="AE588" s="6">
        <f>$K$588*$Y$588</f>
        <v>0</v>
      </c>
      <c r="AF588" s="6">
        <f ca="1">$M$588*$Z$588</f>
        <v>38782.174579339859</v>
      </c>
      <c r="AG588" s="6">
        <f ca="1">$O$588*$AA$588</f>
        <v>30749.642874791756</v>
      </c>
    </row>
    <row r="589" spans="1:33" ht="11.25" customHeight="1" x14ac:dyDescent="0.25">
      <c r="A589" s="4" t="s">
        <v>27</v>
      </c>
      <c r="B589" s="4" t="s">
        <v>36</v>
      </c>
      <c r="C589" s="4" t="s">
        <v>23</v>
      </c>
      <c r="D589" s="4" t="s">
        <v>37</v>
      </c>
      <c r="E589" s="4" t="s">
        <v>25</v>
      </c>
      <c r="F589" s="4" t="s">
        <v>25</v>
      </c>
      <c r="G589" s="4" t="s">
        <v>25</v>
      </c>
      <c r="H589" s="4" t="s">
        <v>25</v>
      </c>
      <c r="I589" s="5">
        <v>44682</v>
      </c>
      <c r="J589" s="6">
        <v>0</v>
      </c>
      <c r="K589" s="6">
        <v>0</v>
      </c>
      <c r="L589" s="6">
        <v>29.393999999999998</v>
      </c>
      <c r="M589" s="6">
        <v>29.393999999999998</v>
      </c>
      <c r="N589" s="6">
        <v>29.393999999999998</v>
      </c>
      <c r="O589" s="6">
        <v>29.393999999999998</v>
      </c>
      <c r="P589" s="6">
        <v>20</v>
      </c>
      <c r="Q589" s="4" t="s">
        <v>26</v>
      </c>
      <c r="R589" s="4">
        <v>0</v>
      </c>
      <c r="S589" s="6">
        <v>0</v>
      </c>
      <c r="T589" s="6">
        <v>68</v>
      </c>
      <c r="U589" s="6">
        <v>76</v>
      </c>
      <c r="V589" s="6">
        <f>IF(ISERROR(VLOOKUP($S$589,'TAR FIN'!$A$1:$O$86,15,0)),0,VLOOKUP($S$589,'TAR FIN'!$A$1:$O$86,15,0))</f>
        <v>0</v>
      </c>
      <c r="W589" s="6">
        <f>IF(ISERROR(VLOOKUP($T$589,'TAR FIN'!$A$1:$O$86,15,0)),0,VLOOKUP($T$589,'TAR FIN'!$A$1:$O$86,15,0))</f>
        <v>326.98</v>
      </c>
      <c r="X589" s="6">
        <f>IF(ISERROR(VLOOKUP($U$589,'TAR FIN'!$A$1:$O$86,15,0)),0,VLOOKUP($U$589,'TAR FIN'!$A$1:$O$86,15,0))</f>
        <v>314.52</v>
      </c>
      <c r="Y589" s="6"/>
      <c r="Z589" s="6">
        <f ca="1">('TUSD BE'!$AM$48+'TUSD BF_350'!$AM$48+'TUSD CVA'!$AM$48)*1</f>
        <v>313.91386533817797</v>
      </c>
      <c r="AA589" s="6">
        <f ca="1">('TE BE'!$AB$40+'TE BF_350'!$AB$40+'TE CVA'!$AB$40)*1</f>
        <v>248.89628694871266</v>
      </c>
      <c r="AB589" s="6">
        <f>$K$589*$V$589</f>
        <v>0</v>
      </c>
      <c r="AC589" s="6">
        <f>$M$589*$W$589</f>
        <v>9611.2501200000006</v>
      </c>
      <c r="AD589" s="6">
        <f>$O$589*$X$589</f>
        <v>9245.0008799999996</v>
      </c>
      <c r="AE589" s="6">
        <f>$K$589*$Y$589</f>
        <v>0</v>
      </c>
      <c r="AF589" s="6">
        <f ca="1">$M$589*$Z$589</f>
        <v>9227.1841577504019</v>
      </c>
      <c r="AG589" s="6">
        <f ca="1">$O$589*$AA$589</f>
        <v>7316.0574585704599</v>
      </c>
    </row>
    <row r="590" spans="1:33" ht="11.25" customHeight="1" x14ac:dyDescent="0.25">
      <c r="A590" s="4" t="s">
        <v>55</v>
      </c>
      <c r="B590" s="4" t="s">
        <v>36</v>
      </c>
      <c r="C590" s="4" t="s">
        <v>23</v>
      </c>
      <c r="D590" s="4" t="s">
        <v>37</v>
      </c>
      <c r="E590" s="4" t="s">
        <v>25</v>
      </c>
      <c r="F590" s="4" t="s">
        <v>25</v>
      </c>
      <c r="G590" s="4" t="s">
        <v>25</v>
      </c>
      <c r="H590" s="4" t="s">
        <v>25</v>
      </c>
      <c r="I590" s="5">
        <v>44713</v>
      </c>
      <c r="J590" s="6">
        <v>0</v>
      </c>
      <c r="K590" s="6">
        <v>0</v>
      </c>
      <c r="L590" s="6">
        <v>123.544</v>
      </c>
      <c r="M590" s="6">
        <v>123.544</v>
      </c>
      <c r="N590" s="6">
        <v>123.544</v>
      </c>
      <c r="O590" s="6">
        <v>123.544</v>
      </c>
      <c r="P590" s="6">
        <v>82</v>
      </c>
      <c r="Q590" s="4" t="s">
        <v>26</v>
      </c>
      <c r="R590" s="4">
        <v>0</v>
      </c>
      <c r="S590" s="6">
        <v>0</v>
      </c>
      <c r="T590" s="6">
        <v>68</v>
      </c>
      <c r="U590" s="6">
        <v>76</v>
      </c>
      <c r="V590" s="6">
        <f>IF(ISERROR(VLOOKUP($S$590,'TAR FIN'!$A$1:$O$86,15,0)),0,VLOOKUP($S$590,'TAR FIN'!$A$1:$O$86,15,0))</f>
        <v>0</v>
      </c>
      <c r="W590" s="6">
        <f>IF(ISERROR(VLOOKUP($T$590,'TAR FIN'!$A$1:$O$86,15,0)),0,VLOOKUP($T$590,'TAR FIN'!$A$1:$O$86,15,0))</f>
        <v>326.98</v>
      </c>
      <c r="X590" s="6">
        <f>IF(ISERROR(VLOOKUP($U$590,'TAR FIN'!$A$1:$O$86,15,0)),0,VLOOKUP($U$590,'TAR FIN'!$A$1:$O$86,15,0))</f>
        <v>314.52</v>
      </c>
      <c r="Y590" s="6"/>
      <c r="Z590" s="6">
        <f ca="1">('TUSD BE'!$AM$48+'TUSD BF_350'!$AM$48+'TUSD CVA'!$AM$48)*1</f>
        <v>313.91386533817797</v>
      </c>
      <c r="AA590" s="6">
        <f ca="1">('TE BE'!$AB$40+'TE BF_350'!$AB$40+'TE CVA'!$AB$40)*1</f>
        <v>248.89628694871266</v>
      </c>
      <c r="AB590" s="6">
        <f>$K$590*$V$590</f>
        <v>0</v>
      </c>
      <c r="AC590" s="6">
        <f>$M$590*$W$590</f>
        <v>40396.417119999998</v>
      </c>
      <c r="AD590" s="6">
        <f>$O$590*$X$590</f>
        <v>38857.058879999997</v>
      </c>
      <c r="AE590" s="6">
        <f>$K$590*$Y$590</f>
        <v>0</v>
      </c>
      <c r="AF590" s="6">
        <f ca="1">$M$590*$Z$590</f>
        <v>38782.174579339859</v>
      </c>
      <c r="AG590" s="6">
        <f ca="1">$O$590*$AA$590</f>
        <v>30749.642874791756</v>
      </c>
    </row>
    <row r="591" spans="1:33" ht="11.25" customHeight="1" x14ac:dyDescent="0.25">
      <c r="A591" s="4" t="s">
        <v>55</v>
      </c>
      <c r="B591" s="4" t="s">
        <v>36</v>
      </c>
      <c r="C591" s="4" t="s">
        <v>23</v>
      </c>
      <c r="D591" s="4" t="s">
        <v>37</v>
      </c>
      <c r="E591" s="4" t="s">
        <v>25</v>
      </c>
      <c r="F591" s="4" t="s">
        <v>25</v>
      </c>
      <c r="G591" s="4" t="s">
        <v>25</v>
      </c>
      <c r="H591" s="4" t="s">
        <v>25</v>
      </c>
      <c r="I591" s="5">
        <v>44713</v>
      </c>
      <c r="J591" s="6">
        <v>0</v>
      </c>
      <c r="K591" s="6">
        <v>0</v>
      </c>
      <c r="L591" s="6">
        <v>29.393999999999998</v>
      </c>
      <c r="M591" s="6">
        <v>29.393999999999998</v>
      </c>
      <c r="N591" s="6">
        <v>29.393999999999998</v>
      </c>
      <c r="O591" s="6">
        <v>29.393999999999998</v>
      </c>
      <c r="P591" s="6">
        <v>20</v>
      </c>
      <c r="Q591" s="4" t="s">
        <v>26</v>
      </c>
      <c r="R591" s="4">
        <v>0</v>
      </c>
      <c r="S591" s="6">
        <v>0</v>
      </c>
      <c r="T591" s="6">
        <v>68</v>
      </c>
      <c r="U591" s="6">
        <v>76</v>
      </c>
      <c r="V591" s="6">
        <f>IF(ISERROR(VLOOKUP($S$591,'TAR FIN'!$A$1:$O$86,15,0)),0,VLOOKUP($S$591,'TAR FIN'!$A$1:$O$86,15,0))</f>
        <v>0</v>
      </c>
      <c r="W591" s="6">
        <f>IF(ISERROR(VLOOKUP($T$591,'TAR FIN'!$A$1:$O$86,15,0)),0,VLOOKUP($T$591,'TAR FIN'!$A$1:$O$86,15,0))</f>
        <v>326.98</v>
      </c>
      <c r="X591" s="6">
        <f>IF(ISERROR(VLOOKUP($U$591,'TAR FIN'!$A$1:$O$86,15,0)),0,VLOOKUP($U$591,'TAR FIN'!$A$1:$O$86,15,0))</f>
        <v>314.52</v>
      </c>
      <c r="Y591" s="6"/>
      <c r="Z591" s="6">
        <f ca="1">('TUSD BE'!$AM$48+'TUSD BF_350'!$AM$48+'TUSD CVA'!$AM$48)*1</f>
        <v>313.91386533817797</v>
      </c>
      <c r="AA591" s="6">
        <f ca="1">('TE BE'!$AB$40+'TE BF_350'!$AB$40+'TE CVA'!$AB$40)*1</f>
        <v>248.89628694871266</v>
      </c>
      <c r="AB591" s="6">
        <f>$K$591*$V$591</f>
        <v>0</v>
      </c>
      <c r="AC591" s="6">
        <f>$M$591*$W$591</f>
        <v>9611.2501200000006</v>
      </c>
      <c r="AD591" s="6">
        <f>$O$591*$X$591</f>
        <v>9245.0008799999996</v>
      </c>
      <c r="AE591" s="6">
        <f>$K$591*$Y$591</f>
        <v>0</v>
      </c>
      <c r="AF591" s="6">
        <f ca="1">$M$591*$Z$591</f>
        <v>9227.1841577504019</v>
      </c>
      <c r="AG591" s="6">
        <f ca="1">$O$591*$AA$591</f>
        <v>7316.0574585704599</v>
      </c>
    </row>
    <row r="592" spans="1:33" ht="11.25" customHeight="1" x14ac:dyDescent="0.25">
      <c r="A592" s="4" t="s">
        <v>21</v>
      </c>
      <c r="B592" s="4" t="s">
        <v>36</v>
      </c>
      <c r="C592" s="4" t="s">
        <v>23</v>
      </c>
      <c r="D592" s="4" t="s">
        <v>44</v>
      </c>
      <c r="E592" s="4" t="s">
        <v>25</v>
      </c>
      <c r="F592" s="4" t="s">
        <v>25</v>
      </c>
      <c r="G592" s="4" t="s">
        <v>25</v>
      </c>
      <c r="H592" s="4" t="s">
        <v>25</v>
      </c>
      <c r="I592" s="5">
        <v>44378</v>
      </c>
      <c r="J592" s="6">
        <v>0</v>
      </c>
      <c r="K592" s="6">
        <v>0</v>
      </c>
      <c r="L592" s="6">
        <v>131.809</v>
      </c>
      <c r="M592" s="6">
        <v>131.809</v>
      </c>
      <c r="N592" s="6">
        <v>131.809</v>
      </c>
      <c r="O592" s="6">
        <v>131.809</v>
      </c>
      <c r="P592" s="6">
        <v>144</v>
      </c>
      <c r="Q592" s="4" t="s">
        <v>26</v>
      </c>
      <c r="R592" s="4">
        <v>0</v>
      </c>
      <c r="S592" s="6">
        <v>0</v>
      </c>
      <c r="T592" s="6">
        <v>68</v>
      </c>
      <c r="U592" s="6">
        <v>76</v>
      </c>
      <c r="V592" s="6">
        <f>IF(ISERROR(VLOOKUP($S$592,'TAR FIN'!$A$1:$O$86,15,0)),0,VLOOKUP($S$592,'TAR FIN'!$A$1:$O$86,15,0))</f>
        <v>0</v>
      </c>
      <c r="W592" s="6">
        <f>IF(ISERROR(VLOOKUP($T$592,'TAR FIN'!$A$1:$O$86,15,0)),0,VLOOKUP($T$592,'TAR FIN'!$A$1:$O$86,15,0))</f>
        <v>326.98</v>
      </c>
      <c r="X592" s="6">
        <f>IF(ISERROR(VLOOKUP($U$592,'TAR FIN'!$A$1:$O$86,15,0)),0,VLOOKUP($U$592,'TAR FIN'!$A$1:$O$86,15,0))</f>
        <v>314.52</v>
      </c>
      <c r="Y592" s="6"/>
      <c r="Z592" s="6">
        <f ca="1">('TUSD BE'!$AM$48+'TUSD BF_350'!$AM$48+'TUSD CVA'!$AM$48)*1</f>
        <v>313.91386533817797</v>
      </c>
      <c r="AA592" s="6">
        <f ca="1">('TE BE'!$AB$40+'TE BF_350'!$AB$40+'TE CVA'!$AB$40)*1</f>
        <v>248.89628694871266</v>
      </c>
      <c r="AB592" s="6">
        <f>$K$592*$V$592</f>
        <v>0</v>
      </c>
      <c r="AC592" s="6">
        <f>$M$592*$W$592</f>
        <v>43098.906820000004</v>
      </c>
      <c r="AD592" s="6">
        <f>$O$592*$X$592</f>
        <v>41456.566679999996</v>
      </c>
      <c r="AE592" s="6">
        <f>$K$592*$Y$592</f>
        <v>0</v>
      </c>
      <c r="AF592" s="6">
        <f ca="1">$M$592*$Z$592</f>
        <v>41376.6726763599</v>
      </c>
      <c r="AG592" s="6">
        <f ca="1">$O$592*$AA$592</f>
        <v>32806.770686422868</v>
      </c>
    </row>
    <row r="593" spans="1:33" ht="11.25" customHeight="1" x14ac:dyDescent="0.25">
      <c r="A593" s="4" t="s">
        <v>21</v>
      </c>
      <c r="B593" s="4" t="s">
        <v>36</v>
      </c>
      <c r="C593" s="4" t="s">
        <v>23</v>
      </c>
      <c r="D593" s="4" t="s">
        <v>44</v>
      </c>
      <c r="E593" s="4" t="s">
        <v>25</v>
      </c>
      <c r="F593" s="4" t="s">
        <v>25</v>
      </c>
      <c r="G593" s="4" t="s">
        <v>25</v>
      </c>
      <c r="H593" s="4" t="s">
        <v>25</v>
      </c>
      <c r="I593" s="5">
        <v>44409</v>
      </c>
      <c r="J593" s="6">
        <v>0</v>
      </c>
      <c r="K593" s="6">
        <v>0</v>
      </c>
      <c r="L593" s="6">
        <v>125.95099999999999</v>
      </c>
      <c r="M593" s="6">
        <v>125.95099999999999</v>
      </c>
      <c r="N593" s="6">
        <v>125.95099999999999</v>
      </c>
      <c r="O593" s="6">
        <v>125.95099999999999</v>
      </c>
      <c r="P593" s="6">
        <v>144</v>
      </c>
      <c r="Q593" s="4" t="s">
        <v>26</v>
      </c>
      <c r="R593" s="4">
        <v>0</v>
      </c>
      <c r="S593" s="6">
        <v>0</v>
      </c>
      <c r="T593" s="6">
        <v>68</v>
      </c>
      <c r="U593" s="6">
        <v>76</v>
      </c>
      <c r="V593" s="6">
        <f>IF(ISERROR(VLOOKUP($S$593,'TAR FIN'!$A$1:$O$86,15,0)),0,VLOOKUP($S$593,'TAR FIN'!$A$1:$O$86,15,0))</f>
        <v>0</v>
      </c>
      <c r="W593" s="6">
        <f>IF(ISERROR(VLOOKUP($T$593,'TAR FIN'!$A$1:$O$86,15,0)),0,VLOOKUP($T$593,'TAR FIN'!$A$1:$O$86,15,0))</f>
        <v>326.98</v>
      </c>
      <c r="X593" s="6">
        <f>IF(ISERROR(VLOOKUP($U$593,'TAR FIN'!$A$1:$O$86,15,0)),0,VLOOKUP($U$593,'TAR FIN'!$A$1:$O$86,15,0))</f>
        <v>314.52</v>
      </c>
      <c r="Y593" s="6"/>
      <c r="Z593" s="6">
        <f ca="1">('TUSD BE'!$AM$48+'TUSD BF_350'!$AM$48+'TUSD CVA'!$AM$48)*1</f>
        <v>313.91386533817797</v>
      </c>
      <c r="AA593" s="6">
        <f ca="1">('TE BE'!$AB$40+'TE BF_350'!$AB$40+'TE CVA'!$AB$40)*1</f>
        <v>248.89628694871266</v>
      </c>
      <c r="AB593" s="6">
        <f>$K$593*$V$593</f>
        <v>0</v>
      </c>
      <c r="AC593" s="6">
        <f>$M$593*$W$593</f>
        <v>41183.457979999999</v>
      </c>
      <c r="AD593" s="6">
        <f>$O$593*$X$593</f>
        <v>39614.108519999994</v>
      </c>
      <c r="AE593" s="6">
        <f>$K$593*$Y$593</f>
        <v>0</v>
      </c>
      <c r="AF593" s="6">
        <f ca="1">$M$593*$Z$593</f>
        <v>39537.765253208854</v>
      </c>
      <c r="AG593" s="6">
        <f ca="1">$O$593*$AA$593</f>
        <v>31348.736237477307</v>
      </c>
    </row>
    <row r="594" spans="1:33" ht="11.25" customHeight="1" x14ac:dyDescent="0.25">
      <c r="A594" s="4" t="s">
        <v>21</v>
      </c>
      <c r="B594" s="4" t="s">
        <v>36</v>
      </c>
      <c r="C594" s="4" t="s">
        <v>23</v>
      </c>
      <c r="D594" s="4" t="s">
        <v>44</v>
      </c>
      <c r="E594" s="4" t="s">
        <v>25</v>
      </c>
      <c r="F594" s="4" t="s">
        <v>25</v>
      </c>
      <c r="G594" s="4" t="s">
        <v>25</v>
      </c>
      <c r="H594" s="4" t="s">
        <v>25</v>
      </c>
      <c r="I594" s="5">
        <v>44440</v>
      </c>
      <c r="J594" s="6">
        <v>0</v>
      </c>
      <c r="K594" s="6">
        <v>0</v>
      </c>
      <c r="L594" s="6">
        <v>96.822000000000003</v>
      </c>
      <c r="M594" s="6">
        <v>96.822000000000003</v>
      </c>
      <c r="N594" s="6">
        <v>96.822000000000003</v>
      </c>
      <c r="O594" s="6">
        <v>96.822000000000003</v>
      </c>
      <c r="P594" s="6">
        <v>142</v>
      </c>
      <c r="Q594" s="4" t="s">
        <v>26</v>
      </c>
      <c r="R594" s="4">
        <v>0</v>
      </c>
      <c r="S594" s="6">
        <v>0</v>
      </c>
      <c r="T594" s="6">
        <v>68</v>
      </c>
      <c r="U594" s="6">
        <v>76</v>
      </c>
      <c r="V594" s="6">
        <f>IF(ISERROR(VLOOKUP($S$594,'TAR FIN'!$A$1:$O$86,15,0)),0,VLOOKUP($S$594,'TAR FIN'!$A$1:$O$86,15,0))</f>
        <v>0</v>
      </c>
      <c r="W594" s="6">
        <f>IF(ISERROR(VLOOKUP($T$594,'TAR FIN'!$A$1:$O$86,15,0)),0,VLOOKUP($T$594,'TAR FIN'!$A$1:$O$86,15,0))</f>
        <v>326.98</v>
      </c>
      <c r="X594" s="6">
        <f>IF(ISERROR(VLOOKUP($U$594,'TAR FIN'!$A$1:$O$86,15,0)),0,VLOOKUP($U$594,'TAR FIN'!$A$1:$O$86,15,0))</f>
        <v>314.52</v>
      </c>
      <c r="Y594" s="6"/>
      <c r="Z594" s="6">
        <f ca="1">('TUSD BE'!$AM$48+'TUSD BF_350'!$AM$48+'TUSD CVA'!$AM$48)*1</f>
        <v>313.91386533817797</v>
      </c>
      <c r="AA594" s="6">
        <f ca="1">('TE BE'!$AB$40+'TE BF_350'!$AB$40+'TE CVA'!$AB$40)*1</f>
        <v>248.89628694871266</v>
      </c>
      <c r="AB594" s="6">
        <f>$K$594*$V$594</f>
        <v>0</v>
      </c>
      <c r="AC594" s="6">
        <f>$M$594*$W$594</f>
        <v>31658.857560000004</v>
      </c>
      <c r="AD594" s="6">
        <f>$O$594*$X$594</f>
        <v>30452.455439999998</v>
      </c>
      <c r="AE594" s="6">
        <f>$K$594*$Y$594</f>
        <v>0</v>
      </c>
      <c r="AF594" s="6">
        <f ca="1">$M$594*$Z$594</f>
        <v>30393.768269773067</v>
      </c>
      <c r="AG594" s="6">
        <f ca="1">$O$594*$AA$594</f>
        <v>24098.636294948257</v>
      </c>
    </row>
    <row r="595" spans="1:33" ht="11.25" customHeight="1" x14ac:dyDescent="0.25">
      <c r="A595" s="4" t="s">
        <v>21</v>
      </c>
      <c r="B595" s="4" t="s">
        <v>36</v>
      </c>
      <c r="C595" s="4" t="s">
        <v>23</v>
      </c>
      <c r="D595" s="4" t="s">
        <v>44</v>
      </c>
      <c r="E595" s="4" t="s">
        <v>25</v>
      </c>
      <c r="F595" s="4" t="s">
        <v>25</v>
      </c>
      <c r="G595" s="4" t="s">
        <v>25</v>
      </c>
      <c r="H595" s="4" t="s">
        <v>25</v>
      </c>
      <c r="I595" s="5">
        <v>44470</v>
      </c>
      <c r="J595" s="6">
        <v>0</v>
      </c>
      <c r="K595" s="6">
        <v>0</v>
      </c>
      <c r="L595" s="6">
        <v>99.596000000000004</v>
      </c>
      <c r="M595" s="6">
        <v>99.596000000000004</v>
      </c>
      <c r="N595" s="6">
        <v>99.596000000000004</v>
      </c>
      <c r="O595" s="6">
        <v>99.596000000000004</v>
      </c>
      <c r="P595" s="6">
        <v>145</v>
      </c>
      <c r="Q595" s="4" t="s">
        <v>26</v>
      </c>
      <c r="R595" s="4">
        <v>0</v>
      </c>
      <c r="S595" s="6">
        <v>0</v>
      </c>
      <c r="T595" s="6">
        <v>68</v>
      </c>
      <c r="U595" s="6">
        <v>76</v>
      </c>
      <c r="V595" s="6">
        <f>IF(ISERROR(VLOOKUP($S$595,'TAR FIN'!$A$1:$O$86,15,0)),0,VLOOKUP($S$595,'TAR FIN'!$A$1:$O$86,15,0))</f>
        <v>0</v>
      </c>
      <c r="W595" s="6">
        <f>IF(ISERROR(VLOOKUP($T$595,'TAR FIN'!$A$1:$O$86,15,0)),0,VLOOKUP($T$595,'TAR FIN'!$A$1:$O$86,15,0))</f>
        <v>326.98</v>
      </c>
      <c r="X595" s="6">
        <f>IF(ISERROR(VLOOKUP($U$595,'TAR FIN'!$A$1:$O$86,15,0)),0,VLOOKUP($U$595,'TAR FIN'!$A$1:$O$86,15,0))</f>
        <v>314.52</v>
      </c>
      <c r="Y595" s="6"/>
      <c r="Z595" s="6">
        <f ca="1">('TUSD BE'!$AM$48+'TUSD BF_350'!$AM$48+'TUSD CVA'!$AM$48)*1</f>
        <v>313.91386533817797</v>
      </c>
      <c r="AA595" s="6">
        <f ca="1">('TE BE'!$AB$40+'TE BF_350'!$AB$40+'TE CVA'!$AB$40)*1</f>
        <v>248.89628694871266</v>
      </c>
      <c r="AB595" s="6">
        <f>$K$595*$V$595</f>
        <v>0</v>
      </c>
      <c r="AC595" s="6">
        <f>$M$595*$W$595</f>
        <v>32565.900080000003</v>
      </c>
      <c r="AD595" s="6">
        <f>$O$595*$X$595</f>
        <v>31324.933919999999</v>
      </c>
      <c r="AE595" s="6">
        <f>$K$595*$Y$595</f>
        <v>0</v>
      </c>
      <c r="AF595" s="6">
        <f ca="1">$M$595*$Z$595</f>
        <v>31264.565332221173</v>
      </c>
      <c r="AG595" s="6">
        <f ca="1">$O$595*$AA$595</f>
        <v>24789.074594943988</v>
      </c>
    </row>
    <row r="596" spans="1:33" ht="11.25" customHeight="1" x14ac:dyDescent="0.25">
      <c r="A596" s="4" t="s">
        <v>21</v>
      </c>
      <c r="B596" s="4" t="s">
        <v>36</v>
      </c>
      <c r="C596" s="4" t="s">
        <v>23</v>
      </c>
      <c r="D596" s="4" t="s">
        <v>44</v>
      </c>
      <c r="E596" s="4" t="s">
        <v>25</v>
      </c>
      <c r="F596" s="4" t="s">
        <v>25</v>
      </c>
      <c r="G596" s="4" t="s">
        <v>25</v>
      </c>
      <c r="H596" s="4" t="s">
        <v>25</v>
      </c>
      <c r="I596" s="5">
        <v>44501</v>
      </c>
      <c r="J596" s="6">
        <v>0</v>
      </c>
      <c r="K596" s="6">
        <v>0</v>
      </c>
      <c r="L596" s="6">
        <v>151.63999999999999</v>
      </c>
      <c r="M596" s="6">
        <v>151.63999999999999</v>
      </c>
      <c r="N596" s="6">
        <v>151.63999999999999</v>
      </c>
      <c r="O596" s="6">
        <v>151.63999999999999</v>
      </c>
      <c r="P596" s="6">
        <v>145</v>
      </c>
      <c r="Q596" s="4" t="s">
        <v>26</v>
      </c>
      <c r="R596" s="4">
        <v>0</v>
      </c>
      <c r="S596" s="6">
        <v>0</v>
      </c>
      <c r="T596" s="6">
        <v>68</v>
      </c>
      <c r="U596" s="6">
        <v>76</v>
      </c>
      <c r="V596" s="6">
        <f>IF(ISERROR(VLOOKUP($S$596,'TAR FIN'!$A$1:$O$86,15,0)),0,VLOOKUP($S$596,'TAR FIN'!$A$1:$O$86,15,0))</f>
        <v>0</v>
      </c>
      <c r="W596" s="6">
        <f>IF(ISERROR(VLOOKUP($T$596,'TAR FIN'!$A$1:$O$86,15,0)),0,VLOOKUP($T$596,'TAR FIN'!$A$1:$O$86,15,0))</f>
        <v>326.98</v>
      </c>
      <c r="X596" s="6">
        <f>IF(ISERROR(VLOOKUP($U$596,'TAR FIN'!$A$1:$O$86,15,0)),0,VLOOKUP($U$596,'TAR FIN'!$A$1:$O$86,15,0))</f>
        <v>314.52</v>
      </c>
      <c r="Y596" s="6"/>
      <c r="Z596" s="6">
        <f ca="1">('TUSD BE'!$AM$48+'TUSD BF_350'!$AM$48+'TUSD CVA'!$AM$48)*1</f>
        <v>313.91386533817797</v>
      </c>
      <c r="AA596" s="6">
        <f ca="1">('TE BE'!$AB$40+'TE BF_350'!$AB$40+'TE CVA'!$AB$40)*1</f>
        <v>248.89628694871266</v>
      </c>
      <c r="AB596" s="6">
        <f>$K$596*$V$596</f>
        <v>0</v>
      </c>
      <c r="AC596" s="6">
        <f>$M$596*$W$596</f>
        <v>49583.247199999998</v>
      </c>
      <c r="AD596" s="6">
        <f>$O$596*$X$596</f>
        <v>47693.812799999992</v>
      </c>
      <c r="AE596" s="6">
        <f>$K$596*$Y$596</f>
        <v>0</v>
      </c>
      <c r="AF596" s="6">
        <f ca="1">$M$596*$Z$596</f>
        <v>47601.898539881302</v>
      </c>
      <c r="AG596" s="6">
        <f ca="1">$O$596*$AA$596</f>
        <v>37742.632952902786</v>
      </c>
    </row>
    <row r="597" spans="1:33" ht="11.25" customHeight="1" x14ac:dyDescent="0.25">
      <c r="A597" s="4" t="s">
        <v>21</v>
      </c>
      <c r="B597" s="4" t="s">
        <v>36</v>
      </c>
      <c r="C597" s="4" t="s">
        <v>23</v>
      </c>
      <c r="D597" s="4" t="s">
        <v>44</v>
      </c>
      <c r="E597" s="4" t="s">
        <v>25</v>
      </c>
      <c r="F597" s="4" t="s">
        <v>25</v>
      </c>
      <c r="G597" s="4" t="s">
        <v>25</v>
      </c>
      <c r="H597" s="4" t="s">
        <v>25</v>
      </c>
      <c r="I597" s="5">
        <v>44531</v>
      </c>
      <c r="J597" s="6">
        <v>0</v>
      </c>
      <c r="K597" s="6">
        <v>0</v>
      </c>
      <c r="L597" s="6">
        <v>180.57900000000001</v>
      </c>
      <c r="M597" s="6">
        <v>180.57900000000001</v>
      </c>
      <c r="N597" s="6">
        <v>180.57900000000001</v>
      </c>
      <c r="O597" s="6">
        <v>180.57900000000001</v>
      </c>
      <c r="P597" s="6">
        <v>144</v>
      </c>
      <c r="Q597" s="4" t="s">
        <v>26</v>
      </c>
      <c r="R597" s="4">
        <v>0</v>
      </c>
      <c r="S597" s="6">
        <v>0</v>
      </c>
      <c r="T597" s="6">
        <v>68</v>
      </c>
      <c r="U597" s="6">
        <v>76</v>
      </c>
      <c r="V597" s="6">
        <f>IF(ISERROR(VLOOKUP($S$597,'TAR FIN'!$A$1:$O$86,15,0)),0,VLOOKUP($S$597,'TAR FIN'!$A$1:$O$86,15,0))</f>
        <v>0</v>
      </c>
      <c r="W597" s="6">
        <f>IF(ISERROR(VLOOKUP($T$597,'TAR FIN'!$A$1:$O$86,15,0)),0,VLOOKUP($T$597,'TAR FIN'!$A$1:$O$86,15,0))</f>
        <v>326.98</v>
      </c>
      <c r="X597" s="6">
        <f>IF(ISERROR(VLOOKUP($U$597,'TAR FIN'!$A$1:$O$86,15,0)),0,VLOOKUP($U$597,'TAR FIN'!$A$1:$O$86,15,0))</f>
        <v>314.52</v>
      </c>
      <c r="Y597" s="6"/>
      <c r="Z597" s="6">
        <f ca="1">('TUSD BE'!$AM$48+'TUSD BF_350'!$AM$48+'TUSD CVA'!$AM$48)*1</f>
        <v>313.91386533817797</v>
      </c>
      <c r="AA597" s="6">
        <f ca="1">('TE BE'!$AB$40+'TE BF_350'!$AB$40+'TE CVA'!$AB$40)*1</f>
        <v>248.89628694871266</v>
      </c>
      <c r="AB597" s="6">
        <f>$K$597*$V$597</f>
        <v>0</v>
      </c>
      <c r="AC597" s="6">
        <f>$M$597*$W$597</f>
        <v>59045.721420000009</v>
      </c>
      <c r="AD597" s="6">
        <f>$O$597*$X$597</f>
        <v>56795.70708</v>
      </c>
      <c r="AE597" s="6">
        <f>$K$597*$Y$597</f>
        <v>0</v>
      </c>
      <c r="AF597" s="6">
        <f ca="1">$M$597*$Z$597</f>
        <v>56686.251888902843</v>
      </c>
      <c r="AG597" s="6">
        <f ca="1">$O$597*$AA$597</f>
        <v>44945.442600911585</v>
      </c>
    </row>
    <row r="598" spans="1:33" ht="11.25" customHeight="1" x14ac:dyDescent="0.25">
      <c r="A598" s="4" t="s">
        <v>41</v>
      </c>
      <c r="B598" s="4" t="s">
        <v>36</v>
      </c>
      <c r="C598" s="4" t="s">
        <v>23</v>
      </c>
      <c r="D598" s="4" t="s">
        <v>44</v>
      </c>
      <c r="E598" s="4" t="s">
        <v>25</v>
      </c>
      <c r="F598" s="4" t="s">
        <v>25</v>
      </c>
      <c r="G598" s="4" t="s">
        <v>25</v>
      </c>
      <c r="H598" s="4" t="s">
        <v>25</v>
      </c>
      <c r="I598" s="5">
        <v>44531</v>
      </c>
      <c r="J598" s="6">
        <v>0</v>
      </c>
      <c r="K598" s="6">
        <v>0</v>
      </c>
      <c r="L598" s="6">
        <v>0.48899999999999999</v>
      </c>
      <c r="M598" s="6">
        <v>0.48899999999999999</v>
      </c>
      <c r="N598" s="6">
        <v>0.48899999999999999</v>
      </c>
      <c r="O598" s="6">
        <v>0.48899999999999999</v>
      </c>
      <c r="P598" s="6">
        <v>0</v>
      </c>
      <c r="Q598" s="4" t="s">
        <v>26</v>
      </c>
      <c r="R598" s="4">
        <v>0</v>
      </c>
      <c r="S598" s="6">
        <v>0</v>
      </c>
      <c r="T598" s="6">
        <v>68</v>
      </c>
      <c r="U598" s="6">
        <v>76</v>
      </c>
      <c r="V598" s="6">
        <f>IF(ISERROR(VLOOKUP($S$598,'TAR FIN'!$A$1:$O$86,15,0)),0,VLOOKUP($S$598,'TAR FIN'!$A$1:$O$86,15,0))</f>
        <v>0</v>
      </c>
      <c r="W598" s="6">
        <f>IF(ISERROR(VLOOKUP($T$598,'TAR FIN'!$A$1:$O$86,15,0)),0,VLOOKUP($T$598,'TAR FIN'!$A$1:$O$86,15,0))</f>
        <v>326.98</v>
      </c>
      <c r="X598" s="6">
        <f>IF(ISERROR(VLOOKUP($U$598,'TAR FIN'!$A$1:$O$86,15,0)),0,VLOOKUP($U$598,'TAR FIN'!$A$1:$O$86,15,0))</f>
        <v>314.52</v>
      </c>
      <c r="Y598" s="6"/>
      <c r="Z598" s="6">
        <f ca="1">('TUSD BE'!$AM$48+'TUSD BF_350'!$AM$48+'TUSD CVA'!$AM$48)*1</f>
        <v>313.91386533817797</v>
      </c>
      <c r="AA598" s="6">
        <f ca="1">('TE BE'!$AB$40+'TE BF_350'!$AB$40+'TE CVA'!$AB$40)*1</f>
        <v>248.89628694871266</v>
      </c>
      <c r="AB598" s="6">
        <f>$K$598*$V$598</f>
        <v>0</v>
      </c>
      <c r="AC598" s="6">
        <f>$M$598*$W$598</f>
        <v>159.89322000000001</v>
      </c>
      <c r="AD598" s="6">
        <f>$O$598*$X$598</f>
        <v>153.80027999999999</v>
      </c>
      <c r="AE598" s="6">
        <f>$K$598*$Y$598</f>
        <v>0</v>
      </c>
      <c r="AF598" s="6">
        <f ca="1">$M$598*$Z$598</f>
        <v>153.50388015036901</v>
      </c>
      <c r="AG598" s="6">
        <f ca="1">$O$598*$AA$598</f>
        <v>121.71028431792048</v>
      </c>
    </row>
    <row r="599" spans="1:33" ht="11.25" customHeight="1" x14ac:dyDescent="0.25">
      <c r="A599" s="4" t="s">
        <v>21</v>
      </c>
      <c r="B599" s="4" t="s">
        <v>36</v>
      </c>
      <c r="C599" s="4" t="s">
        <v>23</v>
      </c>
      <c r="D599" s="4" t="s">
        <v>44</v>
      </c>
      <c r="E599" s="4" t="s">
        <v>25</v>
      </c>
      <c r="F599" s="4" t="s">
        <v>25</v>
      </c>
      <c r="G599" s="4" t="s">
        <v>25</v>
      </c>
      <c r="H599" s="4" t="s">
        <v>25</v>
      </c>
      <c r="I599" s="5">
        <v>44562</v>
      </c>
      <c r="J599" s="6">
        <v>0</v>
      </c>
      <c r="K599" s="6">
        <v>0</v>
      </c>
      <c r="L599" s="6">
        <v>139.97</v>
      </c>
      <c r="M599" s="6">
        <v>139.97</v>
      </c>
      <c r="N599" s="6">
        <v>139.97</v>
      </c>
      <c r="O599" s="6">
        <v>139.97</v>
      </c>
      <c r="P599" s="6">
        <v>144</v>
      </c>
      <c r="Q599" s="4" t="s">
        <v>26</v>
      </c>
      <c r="R599" s="4">
        <v>0</v>
      </c>
      <c r="S599" s="6">
        <v>0</v>
      </c>
      <c r="T599" s="6">
        <v>68</v>
      </c>
      <c r="U599" s="6">
        <v>76</v>
      </c>
      <c r="V599" s="6">
        <f>IF(ISERROR(VLOOKUP($S$599,'TAR FIN'!$A$1:$O$86,15,0)),0,VLOOKUP($S$599,'TAR FIN'!$A$1:$O$86,15,0))</f>
        <v>0</v>
      </c>
      <c r="W599" s="6">
        <f>IF(ISERROR(VLOOKUP($T$599,'TAR FIN'!$A$1:$O$86,15,0)),0,VLOOKUP($T$599,'TAR FIN'!$A$1:$O$86,15,0))</f>
        <v>326.98</v>
      </c>
      <c r="X599" s="6">
        <f>IF(ISERROR(VLOOKUP($U$599,'TAR FIN'!$A$1:$O$86,15,0)),0,VLOOKUP($U$599,'TAR FIN'!$A$1:$O$86,15,0))</f>
        <v>314.52</v>
      </c>
      <c r="Y599" s="6"/>
      <c r="Z599" s="6">
        <f ca="1">('TUSD BE'!$AM$48+'TUSD BF_350'!$AM$48+'TUSD CVA'!$AM$48)*1</f>
        <v>313.91386533817797</v>
      </c>
      <c r="AA599" s="6">
        <f ca="1">('TE BE'!$AB$40+'TE BF_350'!$AB$40+'TE CVA'!$AB$40)*1</f>
        <v>248.89628694871266</v>
      </c>
      <c r="AB599" s="6">
        <f>$K$599*$V$599</f>
        <v>0</v>
      </c>
      <c r="AC599" s="6">
        <f>$M$599*$W$599</f>
        <v>45767.390599999999</v>
      </c>
      <c r="AD599" s="6">
        <f>$O$599*$X$599</f>
        <v>44023.364399999999</v>
      </c>
      <c r="AE599" s="6">
        <f>$K$599*$Y$599</f>
        <v>0</v>
      </c>
      <c r="AF599" s="6">
        <f ca="1">$M$599*$Z$599</f>
        <v>43938.523731384768</v>
      </c>
      <c r="AG599" s="6">
        <f ca="1">$O$599*$AA$599</f>
        <v>34838.013284211309</v>
      </c>
    </row>
    <row r="600" spans="1:33" ht="11.25" customHeight="1" x14ac:dyDescent="0.25">
      <c r="A600" s="4" t="s">
        <v>21</v>
      </c>
      <c r="B600" s="4" t="s">
        <v>36</v>
      </c>
      <c r="C600" s="4" t="s">
        <v>23</v>
      </c>
      <c r="D600" s="4" t="s">
        <v>44</v>
      </c>
      <c r="E600" s="4" t="s">
        <v>25</v>
      </c>
      <c r="F600" s="4" t="s">
        <v>25</v>
      </c>
      <c r="G600" s="4" t="s">
        <v>25</v>
      </c>
      <c r="H600" s="4" t="s">
        <v>25</v>
      </c>
      <c r="I600" s="5">
        <v>44593</v>
      </c>
      <c r="J600" s="6">
        <v>0</v>
      </c>
      <c r="K600" s="6">
        <v>0</v>
      </c>
      <c r="L600" s="6">
        <v>137.822</v>
      </c>
      <c r="M600" s="6">
        <v>137.822</v>
      </c>
      <c r="N600" s="6">
        <v>137.822</v>
      </c>
      <c r="O600" s="6">
        <v>137.822</v>
      </c>
      <c r="P600" s="6">
        <v>145</v>
      </c>
      <c r="Q600" s="4" t="s">
        <v>26</v>
      </c>
      <c r="R600" s="4">
        <v>0</v>
      </c>
      <c r="S600" s="6">
        <v>0</v>
      </c>
      <c r="T600" s="6">
        <v>68</v>
      </c>
      <c r="U600" s="6">
        <v>76</v>
      </c>
      <c r="V600" s="6">
        <f>IF(ISERROR(VLOOKUP($S$600,'TAR FIN'!$A$1:$O$86,15,0)),0,VLOOKUP($S$600,'TAR FIN'!$A$1:$O$86,15,0))</f>
        <v>0</v>
      </c>
      <c r="W600" s="6">
        <f>IF(ISERROR(VLOOKUP($T$600,'TAR FIN'!$A$1:$O$86,15,0)),0,VLOOKUP($T$600,'TAR FIN'!$A$1:$O$86,15,0))</f>
        <v>326.98</v>
      </c>
      <c r="X600" s="6">
        <f>IF(ISERROR(VLOOKUP($U$600,'TAR FIN'!$A$1:$O$86,15,0)),0,VLOOKUP($U$600,'TAR FIN'!$A$1:$O$86,15,0))</f>
        <v>314.52</v>
      </c>
      <c r="Y600" s="6"/>
      <c r="Z600" s="6">
        <f ca="1">('TUSD BE'!$AM$48+'TUSD BF_350'!$AM$48+'TUSD CVA'!$AM$48)*1</f>
        <v>313.91386533817797</v>
      </c>
      <c r="AA600" s="6">
        <f ca="1">('TE BE'!$AB$40+'TE BF_350'!$AB$40+'TE CVA'!$AB$40)*1</f>
        <v>248.89628694871266</v>
      </c>
      <c r="AB600" s="6">
        <f>$K$600*$V$600</f>
        <v>0</v>
      </c>
      <c r="AC600" s="6">
        <f>$M$600*$W$600</f>
        <v>45065.037560000004</v>
      </c>
      <c r="AD600" s="6">
        <f>$O$600*$X$600</f>
        <v>43347.775439999998</v>
      </c>
      <c r="AE600" s="6">
        <f>$K$600*$Y$600</f>
        <v>0</v>
      </c>
      <c r="AF600" s="6">
        <f ca="1">$M$600*$Z$600</f>
        <v>43264.236748638366</v>
      </c>
      <c r="AG600" s="6">
        <f ca="1">$O$600*$AA$600</f>
        <v>34303.384059845477</v>
      </c>
    </row>
    <row r="601" spans="1:33" ht="11.25" customHeight="1" x14ac:dyDescent="0.25">
      <c r="A601" s="4" t="s">
        <v>21</v>
      </c>
      <c r="B601" s="4" t="s">
        <v>36</v>
      </c>
      <c r="C601" s="4" t="s">
        <v>23</v>
      </c>
      <c r="D601" s="4" t="s">
        <v>44</v>
      </c>
      <c r="E601" s="4" t="s">
        <v>25</v>
      </c>
      <c r="F601" s="4" t="s">
        <v>25</v>
      </c>
      <c r="G601" s="4" t="s">
        <v>25</v>
      </c>
      <c r="H601" s="4" t="s">
        <v>25</v>
      </c>
      <c r="I601" s="5">
        <v>44621</v>
      </c>
      <c r="J601" s="6">
        <v>0</v>
      </c>
      <c r="K601" s="6">
        <v>0</v>
      </c>
      <c r="L601" s="6">
        <v>229.821</v>
      </c>
      <c r="M601" s="6">
        <v>229.821</v>
      </c>
      <c r="N601" s="6">
        <v>229.821</v>
      </c>
      <c r="O601" s="6">
        <v>229.821</v>
      </c>
      <c r="P601" s="6">
        <v>147</v>
      </c>
      <c r="Q601" s="4" t="s">
        <v>26</v>
      </c>
      <c r="R601" s="4">
        <v>0</v>
      </c>
      <c r="S601" s="6">
        <v>0</v>
      </c>
      <c r="T601" s="6">
        <v>68</v>
      </c>
      <c r="U601" s="6">
        <v>76</v>
      </c>
      <c r="V601" s="6">
        <f>IF(ISERROR(VLOOKUP($S$601,'TAR FIN'!$A$1:$O$86,15,0)),0,VLOOKUP($S$601,'TAR FIN'!$A$1:$O$86,15,0))</f>
        <v>0</v>
      </c>
      <c r="W601" s="6">
        <f>IF(ISERROR(VLOOKUP($T$601,'TAR FIN'!$A$1:$O$86,15,0)),0,VLOOKUP($T$601,'TAR FIN'!$A$1:$O$86,15,0))</f>
        <v>326.98</v>
      </c>
      <c r="X601" s="6">
        <f>IF(ISERROR(VLOOKUP($U$601,'TAR FIN'!$A$1:$O$86,15,0)),0,VLOOKUP($U$601,'TAR FIN'!$A$1:$O$86,15,0))</f>
        <v>314.52</v>
      </c>
      <c r="Y601" s="6"/>
      <c r="Z601" s="6">
        <f ca="1">('TUSD BE'!$AM$48+'TUSD BF_350'!$AM$48+'TUSD CVA'!$AM$48)*1</f>
        <v>313.91386533817797</v>
      </c>
      <c r="AA601" s="6">
        <f ca="1">('TE BE'!$AB$40+'TE BF_350'!$AB$40+'TE CVA'!$AB$40)*1</f>
        <v>248.89628694871266</v>
      </c>
      <c r="AB601" s="6">
        <f>$K$601*$V$601</f>
        <v>0</v>
      </c>
      <c r="AC601" s="6">
        <f>$M$601*$W$601</f>
        <v>75146.870580000003</v>
      </c>
      <c r="AD601" s="6">
        <f>$O$601*$X$601</f>
        <v>72283.300919999994</v>
      </c>
      <c r="AE601" s="6">
        <f>$K$601*$Y$601</f>
        <v>0</v>
      </c>
      <c r="AF601" s="6">
        <f ca="1">$M$601*$Z$601</f>
        <v>72143.998445885401</v>
      </c>
      <c r="AG601" s="6">
        <f ca="1">$O$601*$AA$601</f>
        <v>57201.593562840091</v>
      </c>
    </row>
    <row r="602" spans="1:33" ht="11.25" customHeight="1" x14ac:dyDescent="0.25">
      <c r="A602" s="4" t="s">
        <v>21</v>
      </c>
      <c r="B602" s="4" t="s">
        <v>36</v>
      </c>
      <c r="C602" s="4" t="s">
        <v>23</v>
      </c>
      <c r="D602" s="4" t="s">
        <v>44</v>
      </c>
      <c r="E602" s="4" t="s">
        <v>25</v>
      </c>
      <c r="F602" s="4" t="s">
        <v>25</v>
      </c>
      <c r="G602" s="4" t="s">
        <v>25</v>
      </c>
      <c r="H602" s="4" t="s">
        <v>25</v>
      </c>
      <c r="I602" s="5">
        <v>44652</v>
      </c>
      <c r="J602" s="6">
        <v>0</v>
      </c>
      <c r="K602" s="6">
        <v>0</v>
      </c>
      <c r="L602" s="6">
        <v>119.70099999999999</v>
      </c>
      <c r="M602" s="6">
        <v>119.70099999999999</v>
      </c>
      <c r="N602" s="6">
        <v>119.70099999999999</v>
      </c>
      <c r="O602" s="6">
        <v>119.70099999999999</v>
      </c>
      <c r="P602" s="6">
        <v>144</v>
      </c>
      <c r="Q602" s="4" t="s">
        <v>26</v>
      </c>
      <c r="R602" s="4">
        <v>0</v>
      </c>
      <c r="S602" s="6">
        <v>0</v>
      </c>
      <c r="T602" s="6">
        <v>68</v>
      </c>
      <c r="U602" s="6">
        <v>76</v>
      </c>
      <c r="V602" s="6">
        <f>IF(ISERROR(VLOOKUP($S$602,'TAR FIN'!$A$1:$O$86,15,0)),0,VLOOKUP($S$602,'TAR FIN'!$A$1:$O$86,15,0))</f>
        <v>0</v>
      </c>
      <c r="W602" s="6">
        <f>IF(ISERROR(VLOOKUP($T$602,'TAR FIN'!$A$1:$O$86,15,0)),0,VLOOKUP($T$602,'TAR FIN'!$A$1:$O$86,15,0))</f>
        <v>326.98</v>
      </c>
      <c r="X602" s="6">
        <f>IF(ISERROR(VLOOKUP($U$602,'TAR FIN'!$A$1:$O$86,15,0)),0,VLOOKUP($U$602,'TAR FIN'!$A$1:$O$86,15,0))</f>
        <v>314.52</v>
      </c>
      <c r="Y602" s="6"/>
      <c r="Z602" s="6">
        <f ca="1">('TUSD BE'!$AM$48+'TUSD BF_350'!$AM$48+'TUSD CVA'!$AM$48)*1</f>
        <v>313.91386533817797</v>
      </c>
      <c r="AA602" s="6">
        <f ca="1">('TE BE'!$AB$40+'TE BF_350'!$AB$40+'TE CVA'!$AB$40)*1</f>
        <v>248.89628694871266</v>
      </c>
      <c r="AB602" s="6">
        <f>$K$602*$V$602</f>
        <v>0</v>
      </c>
      <c r="AC602" s="6">
        <f>$M$602*$W$602</f>
        <v>39139.832979999999</v>
      </c>
      <c r="AD602" s="6">
        <f>$O$602*$X$602</f>
        <v>37648.358519999994</v>
      </c>
      <c r="AE602" s="6">
        <f>$K$602*$Y$602</f>
        <v>0</v>
      </c>
      <c r="AF602" s="6">
        <f ca="1">$M$602*$Z$602</f>
        <v>37575.803594845238</v>
      </c>
      <c r="AG602" s="6">
        <f ca="1">$O$602*$AA$602</f>
        <v>29793.134444047853</v>
      </c>
    </row>
    <row r="603" spans="1:33" ht="11.25" customHeight="1" x14ac:dyDescent="0.25">
      <c r="A603" s="4" t="s">
        <v>41</v>
      </c>
      <c r="B603" s="4" t="s">
        <v>36</v>
      </c>
      <c r="C603" s="4" t="s">
        <v>23</v>
      </c>
      <c r="D603" s="4" t="s">
        <v>44</v>
      </c>
      <c r="E603" s="4" t="s">
        <v>25</v>
      </c>
      <c r="F603" s="4" t="s">
        <v>25</v>
      </c>
      <c r="G603" s="4" t="s">
        <v>25</v>
      </c>
      <c r="H603" s="4" t="s">
        <v>25</v>
      </c>
      <c r="I603" s="5">
        <v>44652</v>
      </c>
      <c r="J603" s="6">
        <v>0</v>
      </c>
      <c r="K603" s="6">
        <v>0</v>
      </c>
      <c r="L603" s="6">
        <v>-6.55</v>
      </c>
      <c r="M603" s="6">
        <v>-6.55</v>
      </c>
      <c r="N603" s="6">
        <v>-6.55</v>
      </c>
      <c r="O603" s="6">
        <v>-6.55</v>
      </c>
      <c r="P603" s="6">
        <v>0</v>
      </c>
      <c r="Q603" s="4" t="s">
        <v>26</v>
      </c>
      <c r="R603" s="4">
        <v>0</v>
      </c>
      <c r="S603" s="6">
        <v>0</v>
      </c>
      <c r="T603" s="6">
        <v>68</v>
      </c>
      <c r="U603" s="6">
        <v>76</v>
      </c>
      <c r="V603" s="6">
        <f>IF(ISERROR(VLOOKUP($S$603,'TAR FIN'!$A$1:$O$86,15,0)),0,VLOOKUP($S$603,'TAR FIN'!$A$1:$O$86,15,0))</f>
        <v>0</v>
      </c>
      <c r="W603" s="6">
        <f>IF(ISERROR(VLOOKUP($T$603,'TAR FIN'!$A$1:$O$86,15,0)),0,VLOOKUP($T$603,'TAR FIN'!$A$1:$O$86,15,0))</f>
        <v>326.98</v>
      </c>
      <c r="X603" s="6">
        <f>IF(ISERROR(VLOOKUP($U$603,'TAR FIN'!$A$1:$O$86,15,0)),0,VLOOKUP($U$603,'TAR FIN'!$A$1:$O$86,15,0))</f>
        <v>314.52</v>
      </c>
      <c r="Y603" s="6"/>
      <c r="Z603" s="6">
        <f ca="1">('TUSD BE'!$AM$48+'TUSD BF_350'!$AM$48+'TUSD CVA'!$AM$48)*1</f>
        <v>313.91386533817797</v>
      </c>
      <c r="AA603" s="6">
        <f ca="1">('TE BE'!$AB$40+'TE BF_350'!$AB$40+'TE CVA'!$AB$40)*1</f>
        <v>248.89628694871266</v>
      </c>
      <c r="AB603" s="6">
        <f>$K$603*$V$603</f>
        <v>0</v>
      </c>
      <c r="AC603" s="6">
        <f>$M$603*$W$603</f>
        <v>-2141.7190000000001</v>
      </c>
      <c r="AD603" s="6">
        <f>$O$603*$X$603</f>
        <v>-2060.1059999999998</v>
      </c>
      <c r="AE603" s="6">
        <f>$K$603*$Y$603</f>
        <v>0</v>
      </c>
      <c r="AF603" s="6">
        <f ca="1">$M$603*$Z$603</f>
        <v>-2056.1358179650656</v>
      </c>
      <c r="AG603" s="6">
        <f ca="1">$O$603*$AA$603</f>
        <v>-1630.2706795140678</v>
      </c>
    </row>
    <row r="604" spans="1:33" ht="11.25" customHeight="1" x14ac:dyDescent="0.25">
      <c r="A604" s="4" t="s">
        <v>21</v>
      </c>
      <c r="B604" s="4" t="s">
        <v>36</v>
      </c>
      <c r="C604" s="4" t="s">
        <v>23</v>
      </c>
      <c r="D604" s="4" t="s">
        <v>44</v>
      </c>
      <c r="E604" s="4" t="s">
        <v>25</v>
      </c>
      <c r="F604" s="4" t="s">
        <v>25</v>
      </c>
      <c r="G604" s="4" t="s">
        <v>25</v>
      </c>
      <c r="H604" s="4" t="s">
        <v>25</v>
      </c>
      <c r="I604" s="5">
        <v>44682</v>
      </c>
      <c r="J604" s="6">
        <v>0</v>
      </c>
      <c r="K604" s="6">
        <v>0</v>
      </c>
      <c r="L604" s="6">
        <v>122.13800000000001</v>
      </c>
      <c r="M604" s="6">
        <v>122.13800000000001</v>
      </c>
      <c r="N604" s="6">
        <v>122.13800000000001</v>
      </c>
      <c r="O604" s="6">
        <v>122.13800000000001</v>
      </c>
      <c r="P604" s="6">
        <v>150</v>
      </c>
      <c r="Q604" s="4" t="s">
        <v>26</v>
      </c>
      <c r="R604" s="4">
        <v>0</v>
      </c>
      <c r="S604" s="6">
        <v>0</v>
      </c>
      <c r="T604" s="6">
        <v>68</v>
      </c>
      <c r="U604" s="6">
        <v>76</v>
      </c>
      <c r="V604" s="6">
        <f>IF(ISERROR(VLOOKUP($S$604,'TAR FIN'!$A$1:$O$86,15,0)),0,VLOOKUP($S$604,'TAR FIN'!$A$1:$O$86,15,0))</f>
        <v>0</v>
      </c>
      <c r="W604" s="6">
        <f>IF(ISERROR(VLOOKUP($T$604,'TAR FIN'!$A$1:$O$86,15,0)),0,VLOOKUP($T$604,'TAR FIN'!$A$1:$O$86,15,0))</f>
        <v>326.98</v>
      </c>
      <c r="X604" s="6">
        <f>IF(ISERROR(VLOOKUP($U$604,'TAR FIN'!$A$1:$O$86,15,0)),0,VLOOKUP($U$604,'TAR FIN'!$A$1:$O$86,15,0))</f>
        <v>314.52</v>
      </c>
      <c r="Y604" s="6"/>
      <c r="Z604" s="6">
        <f ca="1">('TUSD BE'!$AM$48+'TUSD BF_350'!$AM$48+'TUSD CVA'!$AM$48)*1</f>
        <v>313.91386533817797</v>
      </c>
      <c r="AA604" s="6">
        <f ca="1">('TE BE'!$AB$40+'TE BF_350'!$AB$40+'TE CVA'!$AB$40)*1</f>
        <v>248.89628694871266</v>
      </c>
      <c r="AB604" s="6">
        <f>$K$604*$V$604</f>
        <v>0</v>
      </c>
      <c r="AC604" s="6">
        <f>$M$604*$W$604</f>
        <v>39936.683240000006</v>
      </c>
      <c r="AD604" s="6">
        <f>$O$604*$X$604</f>
        <v>38414.843759999996</v>
      </c>
      <c r="AE604" s="6">
        <f>$K$604*$Y$604</f>
        <v>0</v>
      </c>
      <c r="AF604" s="6">
        <f ca="1">$M$604*$Z$604</f>
        <v>38340.81168467438</v>
      </c>
      <c r="AG604" s="6">
        <f ca="1">$O$604*$AA$604</f>
        <v>30399.694695341866</v>
      </c>
    </row>
    <row r="605" spans="1:33" ht="11.25" customHeight="1" x14ac:dyDescent="0.25">
      <c r="A605" s="4" t="s">
        <v>55</v>
      </c>
      <c r="B605" s="4" t="s">
        <v>36</v>
      </c>
      <c r="C605" s="4" t="s">
        <v>23</v>
      </c>
      <c r="D605" s="4" t="s">
        <v>44</v>
      </c>
      <c r="E605" s="4" t="s">
        <v>25</v>
      </c>
      <c r="F605" s="4" t="s">
        <v>25</v>
      </c>
      <c r="G605" s="4" t="s">
        <v>25</v>
      </c>
      <c r="H605" s="4" t="s">
        <v>25</v>
      </c>
      <c r="I605" s="5">
        <v>44713</v>
      </c>
      <c r="J605" s="6">
        <v>0</v>
      </c>
      <c r="K605" s="6">
        <v>0</v>
      </c>
      <c r="L605" s="6">
        <v>122.13800000000001</v>
      </c>
      <c r="M605" s="6">
        <v>122.13800000000001</v>
      </c>
      <c r="N605" s="6">
        <v>122.13800000000001</v>
      </c>
      <c r="O605" s="6">
        <v>122.13800000000001</v>
      </c>
      <c r="P605" s="6">
        <v>150</v>
      </c>
      <c r="Q605" s="4" t="s">
        <v>26</v>
      </c>
      <c r="R605" s="4">
        <v>0</v>
      </c>
      <c r="S605" s="6">
        <v>0</v>
      </c>
      <c r="T605" s="6">
        <v>68</v>
      </c>
      <c r="U605" s="6">
        <v>76</v>
      </c>
      <c r="V605" s="6">
        <f>IF(ISERROR(VLOOKUP($S$605,'TAR FIN'!$A$1:$O$86,15,0)),0,VLOOKUP($S$605,'TAR FIN'!$A$1:$O$86,15,0))</f>
        <v>0</v>
      </c>
      <c r="W605" s="6">
        <f>IF(ISERROR(VLOOKUP($T$605,'TAR FIN'!$A$1:$O$86,15,0)),0,VLOOKUP($T$605,'TAR FIN'!$A$1:$O$86,15,0))</f>
        <v>326.98</v>
      </c>
      <c r="X605" s="6">
        <f>IF(ISERROR(VLOOKUP($U$605,'TAR FIN'!$A$1:$O$86,15,0)),0,VLOOKUP($U$605,'TAR FIN'!$A$1:$O$86,15,0))</f>
        <v>314.52</v>
      </c>
      <c r="Y605" s="6"/>
      <c r="Z605" s="6">
        <f ca="1">('TUSD BE'!$AM$48+'TUSD BF_350'!$AM$48+'TUSD CVA'!$AM$48)*1</f>
        <v>313.91386533817797</v>
      </c>
      <c r="AA605" s="6">
        <f ca="1">('TE BE'!$AB$40+'TE BF_350'!$AB$40+'TE CVA'!$AB$40)*1</f>
        <v>248.89628694871266</v>
      </c>
      <c r="AB605" s="6">
        <f>$K$605*$V$605</f>
        <v>0</v>
      </c>
      <c r="AC605" s="6">
        <f>$M$605*$W$605</f>
        <v>39936.683240000006</v>
      </c>
      <c r="AD605" s="6">
        <f>$O$605*$X$605</f>
        <v>38414.843759999996</v>
      </c>
      <c r="AE605" s="6">
        <f>$K$605*$Y$605</f>
        <v>0</v>
      </c>
      <c r="AF605" s="6">
        <f ca="1">$M$605*$Z$605</f>
        <v>38340.81168467438</v>
      </c>
      <c r="AG605" s="6">
        <f ca="1">$O$605*$AA$605</f>
        <v>30399.694695341866</v>
      </c>
    </row>
    <row r="606" spans="1:33" ht="11.25" customHeight="1" x14ac:dyDescent="0.25">
      <c r="A606" s="4" t="s">
        <v>21</v>
      </c>
      <c r="B606" s="4" t="s">
        <v>36</v>
      </c>
      <c r="C606" s="4" t="s">
        <v>23</v>
      </c>
      <c r="D606" s="4" t="s">
        <v>48</v>
      </c>
      <c r="E606" s="4" t="s">
        <v>49</v>
      </c>
      <c r="F606" s="4" t="s">
        <v>25</v>
      </c>
      <c r="G606" s="4" t="s">
        <v>25</v>
      </c>
      <c r="H606" s="4" t="s">
        <v>25</v>
      </c>
      <c r="I606" s="5">
        <v>44378</v>
      </c>
      <c r="J606" s="6">
        <v>0</v>
      </c>
      <c r="K606" s="96">
        <v>0</v>
      </c>
      <c r="L606" s="6">
        <v>128.226</v>
      </c>
      <c r="M606" s="96">
        <v>128.226</v>
      </c>
      <c r="N606" s="6">
        <v>128.226</v>
      </c>
      <c r="O606" s="96">
        <v>128.226</v>
      </c>
      <c r="P606" s="6">
        <v>23</v>
      </c>
      <c r="Q606" s="4" t="s">
        <v>26</v>
      </c>
      <c r="R606" s="4">
        <v>0</v>
      </c>
      <c r="S606" s="6">
        <v>0</v>
      </c>
      <c r="T606" s="6">
        <v>68</v>
      </c>
      <c r="U606" s="6">
        <v>76</v>
      </c>
      <c r="V606" s="96">
        <f>IF(ISERROR(VLOOKUP($S$606,'TAR FIN'!$A$1:$O$86,15,0)),0,VLOOKUP($S$606,'TAR FIN'!$A$1:$O$86,15,0))</f>
        <v>0</v>
      </c>
      <c r="W606" s="96">
        <f>IF(ISERROR(VLOOKUP($T$606,'TAR FIN'!$A$1:$O$86,15,0)),0,VLOOKUP($T$606,'TAR FIN'!$A$1:$O$86,15,0))*(1-0.06)</f>
        <v>307.3612</v>
      </c>
      <c r="X606" s="96">
        <f>IF(ISERROR(VLOOKUP($U$606,'TAR FIN'!$A$1:$O$86,15,0)),0,VLOOKUP($U$606,'TAR FIN'!$A$1:$O$86,15,0))*(1-0.06)</f>
        <v>295.64879999999999</v>
      </c>
      <c r="Y606" s="96"/>
      <c r="Z606" s="96">
        <f ca="1">('TUSD BE'!$AM$48+'TUSD BF_350'!$AM$48+'TUSD CVA'!$AM$48)*1*(1-0.03)</f>
        <v>304.49644937803265</v>
      </c>
      <c r="AA606" s="96">
        <f ca="1">('TE BE'!$AB$40+'TE BF_350'!$AB$40+'TE CVA'!$AB$40)*1*(1-0.03)</f>
        <v>241.42939834025128</v>
      </c>
      <c r="AB606" s="6">
        <f>$K$606*$V$606</f>
        <v>0</v>
      </c>
      <c r="AC606" s="6">
        <f>$M$606*$W$606</f>
        <v>39411.6972312</v>
      </c>
      <c r="AD606" s="6">
        <f>$O$606*$X$606</f>
        <v>37909.863028799999</v>
      </c>
      <c r="AE606" s="6">
        <f>$K$606*$Y$606</f>
        <v>0</v>
      </c>
      <c r="AF606" s="6">
        <f ca="1">$M$606*$Z$606</f>
        <v>39044.361717947613</v>
      </c>
      <c r="AG606" s="6">
        <f ca="1">$O$606*$AA$606</f>
        <v>30957.526031577061</v>
      </c>
    </row>
    <row r="607" spans="1:33" ht="11.25" customHeight="1" x14ac:dyDescent="0.25">
      <c r="A607" s="4" t="s">
        <v>21</v>
      </c>
      <c r="B607" s="4" t="s">
        <v>36</v>
      </c>
      <c r="C607" s="4" t="s">
        <v>23</v>
      </c>
      <c r="D607" s="4" t="s">
        <v>48</v>
      </c>
      <c r="E607" s="4" t="s">
        <v>49</v>
      </c>
      <c r="F607" s="4" t="s">
        <v>25</v>
      </c>
      <c r="G607" s="4" t="s">
        <v>25</v>
      </c>
      <c r="H607" s="4" t="s">
        <v>25</v>
      </c>
      <c r="I607" s="5">
        <v>44409</v>
      </c>
      <c r="J607" s="6">
        <v>0</v>
      </c>
      <c r="K607" s="96">
        <v>0</v>
      </c>
      <c r="L607" s="6">
        <v>134.18799999999999</v>
      </c>
      <c r="M607" s="96">
        <v>134.18799999999999</v>
      </c>
      <c r="N607" s="6">
        <v>134.18799999999999</v>
      </c>
      <c r="O607" s="96">
        <v>134.18799999999999</v>
      </c>
      <c r="P607" s="6">
        <v>23</v>
      </c>
      <c r="Q607" s="4" t="s">
        <v>26</v>
      </c>
      <c r="R607" s="4">
        <v>0</v>
      </c>
      <c r="S607" s="6">
        <v>0</v>
      </c>
      <c r="T607" s="6">
        <v>68</v>
      </c>
      <c r="U607" s="6">
        <v>76</v>
      </c>
      <c r="V607" s="96">
        <f>IF(ISERROR(VLOOKUP($S$607,'TAR FIN'!$A$1:$O$86,15,0)),0,VLOOKUP($S$607,'TAR FIN'!$A$1:$O$86,15,0))</f>
        <v>0</v>
      </c>
      <c r="W607" s="96">
        <f>IF(ISERROR(VLOOKUP($T$607,'TAR FIN'!$A$1:$O$86,15,0)),0,VLOOKUP($T$607,'TAR FIN'!$A$1:$O$86,15,0))*(1-0.06)</f>
        <v>307.3612</v>
      </c>
      <c r="X607" s="96">
        <f>IF(ISERROR(VLOOKUP($U$607,'TAR FIN'!$A$1:$O$86,15,0)),0,VLOOKUP($U$607,'TAR FIN'!$A$1:$O$86,15,0))*(1-0.06)</f>
        <v>295.64879999999999</v>
      </c>
      <c r="Y607" s="96"/>
      <c r="Z607" s="96">
        <f ca="1">('TUSD BE'!$AM$48+'TUSD BF_350'!$AM$48+'TUSD CVA'!$AM$48)*1*(1-0.03)</f>
        <v>304.49644937803265</v>
      </c>
      <c r="AA607" s="96">
        <f ca="1">('TE BE'!$AB$40+'TE BF_350'!$AB$40+'TE CVA'!$AB$40)*1*(1-0.03)</f>
        <v>241.42939834025128</v>
      </c>
      <c r="AB607" s="6">
        <f>$K$607*$V$607</f>
        <v>0</v>
      </c>
      <c r="AC607" s="6">
        <f>$M$607*$W$607</f>
        <v>41244.184705599997</v>
      </c>
      <c r="AD607" s="6">
        <f>$O$607*$X$607</f>
        <v>39672.521174399997</v>
      </c>
      <c r="AE607" s="6">
        <f>$K$607*$Y$607</f>
        <v>0</v>
      </c>
      <c r="AF607" s="6">
        <f ca="1">$M$607*$Z$607</f>
        <v>40859.769549139441</v>
      </c>
      <c r="AG607" s="6">
        <f ca="1">$O$607*$AA$607</f>
        <v>32396.928104481638</v>
      </c>
    </row>
    <row r="608" spans="1:33" ht="11.25" customHeight="1" x14ac:dyDescent="0.25">
      <c r="A608" s="4" t="s">
        <v>21</v>
      </c>
      <c r="B608" s="4" t="s">
        <v>36</v>
      </c>
      <c r="C608" s="4" t="s">
        <v>23</v>
      </c>
      <c r="D608" s="4" t="s">
        <v>48</v>
      </c>
      <c r="E608" s="4" t="s">
        <v>49</v>
      </c>
      <c r="F608" s="4" t="s">
        <v>25</v>
      </c>
      <c r="G608" s="4" t="s">
        <v>25</v>
      </c>
      <c r="H608" s="4" t="s">
        <v>25</v>
      </c>
      <c r="I608" s="5">
        <v>44440</v>
      </c>
      <c r="J608" s="6">
        <v>0</v>
      </c>
      <c r="K608" s="96">
        <v>0</v>
      </c>
      <c r="L608" s="6">
        <v>120.355</v>
      </c>
      <c r="M608" s="96">
        <v>120.355</v>
      </c>
      <c r="N608" s="6">
        <v>120.355</v>
      </c>
      <c r="O608" s="96">
        <v>120.355</v>
      </c>
      <c r="P608" s="6">
        <v>23</v>
      </c>
      <c r="Q608" s="4" t="s">
        <v>26</v>
      </c>
      <c r="R608" s="4">
        <v>0</v>
      </c>
      <c r="S608" s="6">
        <v>0</v>
      </c>
      <c r="T608" s="6">
        <v>68</v>
      </c>
      <c r="U608" s="6">
        <v>76</v>
      </c>
      <c r="V608" s="96">
        <f>IF(ISERROR(VLOOKUP($S$608,'TAR FIN'!$A$1:$O$86,15,0)),0,VLOOKUP($S$608,'TAR FIN'!$A$1:$O$86,15,0))</f>
        <v>0</v>
      </c>
      <c r="W608" s="96">
        <f>IF(ISERROR(VLOOKUP($T$608,'TAR FIN'!$A$1:$O$86,15,0)),0,VLOOKUP($T$608,'TAR FIN'!$A$1:$O$86,15,0))*(1-0.06)</f>
        <v>307.3612</v>
      </c>
      <c r="X608" s="96">
        <f>IF(ISERROR(VLOOKUP($U$608,'TAR FIN'!$A$1:$O$86,15,0)),0,VLOOKUP($U$608,'TAR FIN'!$A$1:$O$86,15,0))*(1-0.06)</f>
        <v>295.64879999999999</v>
      </c>
      <c r="Y608" s="96"/>
      <c r="Z608" s="96">
        <f ca="1">('TUSD BE'!$AM$48+'TUSD BF_350'!$AM$48+'TUSD CVA'!$AM$48)*1*(1-0.03)</f>
        <v>304.49644937803265</v>
      </c>
      <c r="AA608" s="96">
        <f ca="1">('TE BE'!$AB$40+'TE BF_350'!$AB$40+'TE CVA'!$AB$40)*1*(1-0.03)</f>
        <v>241.42939834025128</v>
      </c>
      <c r="AB608" s="6">
        <f>$K$608*$V$608</f>
        <v>0</v>
      </c>
      <c r="AC608" s="6">
        <f>$M$608*$W$608</f>
        <v>36992.457225999999</v>
      </c>
      <c r="AD608" s="6">
        <f>$O$608*$X$608</f>
        <v>35582.811324000002</v>
      </c>
      <c r="AE608" s="6">
        <f>$K$608*$Y$608</f>
        <v>0</v>
      </c>
      <c r="AF608" s="6">
        <f ca="1">$M$608*$Z$608</f>
        <v>36647.670164893119</v>
      </c>
      <c r="AG608" s="6">
        <f ca="1">$O$608*$AA$608</f>
        <v>29057.235237240944</v>
      </c>
    </row>
    <row r="609" spans="1:33" ht="11.25" customHeight="1" x14ac:dyDescent="0.25">
      <c r="A609" s="4" t="s">
        <v>21</v>
      </c>
      <c r="B609" s="4" t="s">
        <v>36</v>
      </c>
      <c r="C609" s="4" t="s">
        <v>23</v>
      </c>
      <c r="D609" s="4" t="s">
        <v>48</v>
      </c>
      <c r="E609" s="4" t="s">
        <v>49</v>
      </c>
      <c r="F609" s="4" t="s">
        <v>25</v>
      </c>
      <c r="G609" s="4" t="s">
        <v>25</v>
      </c>
      <c r="H609" s="4" t="s">
        <v>25</v>
      </c>
      <c r="I609" s="5">
        <v>44470</v>
      </c>
      <c r="J609" s="6">
        <v>0</v>
      </c>
      <c r="K609" s="96">
        <v>0</v>
      </c>
      <c r="L609" s="6">
        <v>117.742</v>
      </c>
      <c r="M609" s="96">
        <v>117.742</v>
      </c>
      <c r="N609" s="6">
        <v>117.742</v>
      </c>
      <c r="O609" s="96">
        <v>117.742</v>
      </c>
      <c r="P609" s="6">
        <v>23</v>
      </c>
      <c r="Q609" s="4" t="s">
        <v>26</v>
      </c>
      <c r="R609" s="4">
        <v>0</v>
      </c>
      <c r="S609" s="6">
        <v>0</v>
      </c>
      <c r="T609" s="6">
        <v>68</v>
      </c>
      <c r="U609" s="6">
        <v>76</v>
      </c>
      <c r="V609" s="96">
        <f>IF(ISERROR(VLOOKUP($S$609,'TAR FIN'!$A$1:$O$86,15,0)),0,VLOOKUP($S$609,'TAR FIN'!$A$1:$O$86,15,0))</f>
        <v>0</v>
      </c>
      <c r="W609" s="96">
        <f>IF(ISERROR(VLOOKUP($T$609,'TAR FIN'!$A$1:$O$86,15,0)),0,VLOOKUP($T$609,'TAR FIN'!$A$1:$O$86,15,0))*(1-0.06)</f>
        <v>307.3612</v>
      </c>
      <c r="X609" s="96">
        <f>IF(ISERROR(VLOOKUP($U$609,'TAR FIN'!$A$1:$O$86,15,0)),0,VLOOKUP($U$609,'TAR FIN'!$A$1:$O$86,15,0))*(1-0.06)</f>
        <v>295.64879999999999</v>
      </c>
      <c r="Y609" s="96"/>
      <c r="Z609" s="96">
        <f ca="1">('TUSD BE'!$AM$48+'TUSD BF_350'!$AM$48+'TUSD CVA'!$AM$48)*1*(1-0.03)</f>
        <v>304.49644937803265</v>
      </c>
      <c r="AA609" s="96">
        <f ca="1">('TE BE'!$AB$40+'TE BF_350'!$AB$40+'TE CVA'!$AB$40)*1*(1-0.03)</f>
        <v>241.42939834025128</v>
      </c>
      <c r="AB609" s="6">
        <f>$K$609*$V$609</f>
        <v>0</v>
      </c>
      <c r="AC609" s="6">
        <f>$M$609*$W$609</f>
        <v>36189.322410400004</v>
      </c>
      <c r="AD609" s="6">
        <f>$O$609*$X$609</f>
        <v>34810.281009600003</v>
      </c>
      <c r="AE609" s="6">
        <f>$K$609*$Y$609</f>
        <v>0</v>
      </c>
      <c r="AF609" s="6">
        <f ca="1">$M$609*$Z$609</f>
        <v>35852.020942668321</v>
      </c>
      <c r="AG609" s="6">
        <f ca="1">$O$609*$AA$609</f>
        <v>28426.380219377868</v>
      </c>
    </row>
    <row r="610" spans="1:33" ht="11.25" customHeight="1" x14ac:dyDescent="0.25">
      <c r="A610" s="4" t="s">
        <v>21</v>
      </c>
      <c r="B610" s="4" t="s">
        <v>36</v>
      </c>
      <c r="C610" s="4" t="s">
        <v>23</v>
      </c>
      <c r="D610" s="4" t="s">
        <v>48</v>
      </c>
      <c r="E610" s="4" t="s">
        <v>49</v>
      </c>
      <c r="F610" s="4" t="s">
        <v>25</v>
      </c>
      <c r="G610" s="4" t="s">
        <v>25</v>
      </c>
      <c r="H610" s="4" t="s">
        <v>25</v>
      </c>
      <c r="I610" s="5">
        <v>44501</v>
      </c>
      <c r="J610" s="6">
        <v>0</v>
      </c>
      <c r="K610" s="96">
        <v>0</v>
      </c>
      <c r="L610" s="6">
        <v>138.86199999999999</v>
      </c>
      <c r="M610" s="96">
        <v>138.86199999999999</v>
      </c>
      <c r="N610" s="6">
        <v>138.86199999999999</v>
      </c>
      <c r="O610" s="96">
        <v>138.86199999999999</v>
      </c>
      <c r="P610" s="6">
        <v>23</v>
      </c>
      <c r="Q610" s="4" t="s">
        <v>26</v>
      </c>
      <c r="R610" s="4">
        <v>0</v>
      </c>
      <c r="S610" s="6">
        <v>0</v>
      </c>
      <c r="T610" s="6">
        <v>68</v>
      </c>
      <c r="U610" s="6">
        <v>76</v>
      </c>
      <c r="V610" s="96">
        <f>IF(ISERROR(VLOOKUP($S$610,'TAR FIN'!$A$1:$O$86,15,0)),0,VLOOKUP($S$610,'TAR FIN'!$A$1:$O$86,15,0))</f>
        <v>0</v>
      </c>
      <c r="W610" s="96">
        <f>IF(ISERROR(VLOOKUP($T$610,'TAR FIN'!$A$1:$O$86,15,0)),0,VLOOKUP($T$610,'TAR FIN'!$A$1:$O$86,15,0))*(1-0.06)</f>
        <v>307.3612</v>
      </c>
      <c r="X610" s="96">
        <f>IF(ISERROR(VLOOKUP($U$610,'TAR FIN'!$A$1:$O$86,15,0)),0,VLOOKUP($U$610,'TAR FIN'!$A$1:$O$86,15,0))*(1-0.06)</f>
        <v>295.64879999999999</v>
      </c>
      <c r="Y610" s="96"/>
      <c r="Z610" s="96">
        <f ca="1">('TUSD BE'!$AM$48+'TUSD BF_350'!$AM$48+'TUSD CVA'!$AM$48)*1*(1-0.03)</f>
        <v>304.49644937803265</v>
      </c>
      <c r="AA610" s="96">
        <f ca="1">('TE BE'!$AB$40+'TE BF_350'!$AB$40+'TE CVA'!$AB$40)*1*(1-0.03)</f>
        <v>241.42939834025128</v>
      </c>
      <c r="AB610" s="6">
        <f>$K$610*$V$610</f>
        <v>0</v>
      </c>
      <c r="AC610" s="6">
        <f>$M$610*$W$610</f>
        <v>42680.790954399999</v>
      </c>
      <c r="AD610" s="6">
        <f>$O$610*$X$610</f>
        <v>41054.383665599998</v>
      </c>
      <c r="AE610" s="6">
        <f>$K$610*$Y$610</f>
        <v>0</v>
      </c>
      <c r="AF610" s="6">
        <f ca="1">$M$610*$Z$610</f>
        <v>42282.98595353237</v>
      </c>
      <c r="AG610" s="6">
        <f ca="1">$O$610*$AA$610</f>
        <v>33525.36911232397</v>
      </c>
    </row>
    <row r="611" spans="1:33" ht="11.25" customHeight="1" x14ac:dyDescent="0.25">
      <c r="A611" s="4" t="s">
        <v>21</v>
      </c>
      <c r="B611" s="4" t="s">
        <v>36</v>
      </c>
      <c r="C611" s="4" t="s">
        <v>23</v>
      </c>
      <c r="D611" s="4" t="s">
        <v>48</v>
      </c>
      <c r="E611" s="4" t="s">
        <v>49</v>
      </c>
      <c r="F611" s="4" t="s">
        <v>25</v>
      </c>
      <c r="G611" s="4" t="s">
        <v>25</v>
      </c>
      <c r="H611" s="4" t="s">
        <v>25</v>
      </c>
      <c r="I611" s="5">
        <v>44531</v>
      </c>
      <c r="J611" s="6">
        <v>0</v>
      </c>
      <c r="K611" s="96">
        <v>0</v>
      </c>
      <c r="L611" s="6">
        <v>136.72</v>
      </c>
      <c r="M611" s="96">
        <v>136.72</v>
      </c>
      <c r="N611" s="6">
        <v>136.72</v>
      </c>
      <c r="O611" s="96">
        <v>136.72</v>
      </c>
      <c r="P611" s="6">
        <v>23</v>
      </c>
      <c r="Q611" s="4" t="s">
        <v>26</v>
      </c>
      <c r="R611" s="4">
        <v>0</v>
      </c>
      <c r="S611" s="6">
        <v>0</v>
      </c>
      <c r="T611" s="6">
        <v>68</v>
      </c>
      <c r="U611" s="6">
        <v>76</v>
      </c>
      <c r="V611" s="96">
        <f>IF(ISERROR(VLOOKUP($S$611,'TAR FIN'!$A$1:$O$86,15,0)),0,VLOOKUP($S$611,'TAR FIN'!$A$1:$O$86,15,0))</f>
        <v>0</v>
      </c>
      <c r="W611" s="96">
        <f>IF(ISERROR(VLOOKUP($T$611,'TAR FIN'!$A$1:$O$86,15,0)),0,VLOOKUP($T$611,'TAR FIN'!$A$1:$O$86,15,0))*(1-0.06)</f>
        <v>307.3612</v>
      </c>
      <c r="X611" s="96">
        <f>IF(ISERROR(VLOOKUP($U$611,'TAR FIN'!$A$1:$O$86,15,0)),0,VLOOKUP($U$611,'TAR FIN'!$A$1:$O$86,15,0))*(1-0.06)</f>
        <v>295.64879999999999</v>
      </c>
      <c r="Y611" s="96"/>
      <c r="Z611" s="96">
        <f ca="1">('TUSD BE'!$AM$48+'TUSD BF_350'!$AM$48+'TUSD CVA'!$AM$48)*1*(1-0.03)</f>
        <v>304.49644937803265</v>
      </c>
      <c r="AA611" s="96">
        <f ca="1">('TE BE'!$AB$40+'TE BF_350'!$AB$40+'TE CVA'!$AB$40)*1*(1-0.03)</f>
        <v>241.42939834025128</v>
      </c>
      <c r="AB611" s="6">
        <f>$K$611*$V$611</f>
        <v>0</v>
      </c>
      <c r="AC611" s="6">
        <f>$M$611*$W$611</f>
        <v>42022.423263999997</v>
      </c>
      <c r="AD611" s="6">
        <f>$O$611*$X$611</f>
        <v>40421.103936</v>
      </c>
      <c r="AE611" s="6">
        <f>$K$611*$Y$611</f>
        <v>0</v>
      </c>
      <c r="AF611" s="6">
        <f ca="1">$M$611*$Z$611</f>
        <v>41630.754558964625</v>
      </c>
      <c r="AG611" s="6">
        <f ca="1">$O$611*$AA$611</f>
        <v>33008.227341079153</v>
      </c>
    </row>
    <row r="612" spans="1:33" ht="11.25" customHeight="1" x14ac:dyDescent="0.25">
      <c r="A612" s="4" t="s">
        <v>21</v>
      </c>
      <c r="B612" s="4" t="s">
        <v>36</v>
      </c>
      <c r="C612" s="4" t="s">
        <v>23</v>
      </c>
      <c r="D612" s="4" t="s">
        <v>48</v>
      </c>
      <c r="E612" s="4" t="s">
        <v>49</v>
      </c>
      <c r="F612" s="4" t="s">
        <v>25</v>
      </c>
      <c r="G612" s="4" t="s">
        <v>25</v>
      </c>
      <c r="H612" s="4" t="s">
        <v>25</v>
      </c>
      <c r="I612" s="5">
        <v>44562</v>
      </c>
      <c r="J612" s="6">
        <v>0</v>
      </c>
      <c r="K612" s="96">
        <v>0</v>
      </c>
      <c r="L612" s="6">
        <v>133.994</v>
      </c>
      <c r="M612" s="96">
        <v>133.994</v>
      </c>
      <c r="N612" s="6">
        <v>133.994</v>
      </c>
      <c r="O612" s="96">
        <v>133.994</v>
      </c>
      <c r="P612" s="6">
        <v>23</v>
      </c>
      <c r="Q612" s="4" t="s">
        <v>26</v>
      </c>
      <c r="R612" s="4">
        <v>0</v>
      </c>
      <c r="S612" s="6">
        <v>0</v>
      </c>
      <c r="T612" s="6">
        <v>68</v>
      </c>
      <c r="U612" s="6">
        <v>76</v>
      </c>
      <c r="V612" s="96">
        <f>IF(ISERROR(VLOOKUP($S$612,'TAR FIN'!$A$1:$O$86,15,0)),0,VLOOKUP($S$612,'TAR FIN'!$A$1:$O$86,15,0))</f>
        <v>0</v>
      </c>
      <c r="W612" s="96">
        <f>IF(ISERROR(VLOOKUP($T$612,'TAR FIN'!$A$1:$O$86,15,0)),0,VLOOKUP($T$612,'TAR FIN'!$A$1:$O$86,15,0))*(1-0.06)</f>
        <v>307.3612</v>
      </c>
      <c r="X612" s="96">
        <f>IF(ISERROR(VLOOKUP($U$612,'TAR FIN'!$A$1:$O$86,15,0)),0,VLOOKUP($U$612,'TAR FIN'!$A$1:$O$86,15,0))*(1-0.06)</f>
        <v>295.64879999999999</v>
      </c>
      <c r="Y612" s="96"/>
      <c r="Z612" s="96">
        <f ca="1">('TUSD BE'!$AM$48+'TUSD BF_350'!$AM$48+'TUSD CVA'!$AM$48)*1*(1-0.03)</f>
        <v>304.49644937803265</v>
      </c>
      <c r="AA612" s="96">
        <f ca="1">('TE BE'!$AB$40+'TE BF_350'!$AB$40+'TE CVA'!$AB$40)*1*(1-0.03)</f>
        <v>241.42939834025128</v>
      </c>
      <c r="AB612" s="6">
        <f>$K$612*$V$612</f>
        <v>0</v>
      </c>
      <c r="AC612" s="6">
        <f>$M$612*$W$612</f>
        <v>41184.556632799999</v>
      </c>
      <c r="AD612" s="6">
        <f>$O$612*$X$612</f>
        <v>39615.165307199997</v>
      </c>
      <c r="AE612" s="6">
        <f>$K$612*$Y$612</f>
        <v>0</v>
      </c>
      <c r="AF612" s="6">
        <f ca="1">$M$612*$Z$612</f>
        <v>40800.697237960107</v>
      </c>
      <c r="AG612" s="6">
        <f ca="1">$O$612*$AA$612</f>
        <v>32350.090801203631</v>
      </c>
    </row>
    <row r="613" spans="1:33" ht="11.25" customHeight="1" x14ac:dyDescent="0.25">
      <c r="A613" s="4" t="s">
        <v>21</v>
      </c>
      <c r="B613" s="4" t="s">
        <v>36</v>
      </c>
      <c r="C613" s="4" t="s">
        <v>23</v>
      </c>
      <c r="D613" s="4" t="s">
        <v>48</v>
      </c>
      <c r="E613" s="4" t="s">
        <v>49</v>
      </c>
      <c r="F613" s="4" t="s">
        <v>25</v>
      </c>
      <c r="G613" s="4" t="s">
        <v>25</v>
      </c>
      <c r="H613" s="4" t="s">
        <v>25</v>
      </c>
      <c r="I613" s="5">
        <v>44593</v>
      </c>
      <c r="J613" s="6">
        <v>0</v>
      </c>
      <c r="K613" s="96">
        <v>0</v>
      </c>
      <c r="L613" s="6">
        <v>130.32300000000001</v>
      </c>
      <c r="M613" s="96">
        <v>130.32300000000001</v>
      </c>
      <c r="N613" s="6">
        <v>130.32300000000001</v>
      </c>
      <c r="O613" s="96">
        <v>130.32300000000001</v>
      </c>
      <c r="P613" s="6">
        <v>32</v>
      </c>
      <c r="Q613" s="4" t="s">
        <v>26</v>
      </c>
      <c r="R613" s="4">
        <v>0</v>
      </c>
      <c r="S613" s="6">
        <v>0</v>
      </c>
      <c r="T613" s="6">
        <v>68</v>
      </c>
      <c r="U613" s="6">
        <v>76</v>
      </c>
      <c r="V613" s="96">
        <f>IF(ISERROR(VLOOKUP($S$613,'TAR FIN'!$A$1:$O$86,15,0)),0,VLOOKUP($S$613,'TAR FIN'!$A$1:$O$86,15,0))</f>
        <v>0</v>
      </c>
      <c r="W613" s="96">
        <f>IF(ISERROR(VLOOKUP($T$613,'TAR FIN'!$A$1:$O$86,15,0)),0,VLOOKUP($T$613,'TAR FIN'!$A$1:$O$86,15,0))*(1-0.06)</f>
        <v>307.3612</v>
      </c>
      <c r="X613" s="96">
        <f>IF(ISERROR(VLOOKUP($U$613,'TAR FIN'!$A$1:$O$86,15,0)),0,VLOOKUP($U$613,'TAR FIN'!$A$1:$O$86,15,0))*(1-0.06)</f>
        <v>295.64879999999999</v>
      </c>
      <c r="Y613" s="96"/>
      <c r="Z613" s="96">
        <f ca="1">('TUSD BE'!$AM$48+'TUSD BF_350'!$AM$48+'TUSD CVA'!$AM$48)*1*(1-0.03)</f>
        <v>304.49644937803265</v>
      </c>
      <c r="AA613" s="96">
        <f ca="1">('TE BE'!$AB$40+'TE BF_350'!$AB$40+'TE CVA'!$AB$40)*1*(1-0.03)</f>
        <v>241.42939834025128</v>
      </c>
      <c r="AB613" s="6">
        <f>$K$613*$V$613</f>
        <v>0</v>
      </c>
      <c r="AC613" s="6">
        <f>$M$613*$W$613</f>
        <v>40056.233667600005</v>
      </c>
      <c r="AD613" s="6">
        <f>$O$613*$X$613</f>
        <v>38529.8385624</v>
      </c>
      <c r="AE613" s="6">
        <f>$K$613*$Y$613</f>
        <v>0</v>
      </c>
      <c r="AF613" s="6">
        <f ca="1">$M$613*$Z$613</f>
        <v>39682.890772293351</v>
      </c>
      <c r="AG613" s="6">
        <f ca="1">$O$613*$AA$613</f>
        <v>31463.803479896571</v>
      </c>
    </row>
    <row r="614" spans="1:33" ht="11.25" customHeight="1" x14ac:dyDescent="0.25">
      <c r="A614" s="4" t="s">
        <v>21</v>
      </c>
      <c r="B614" s="4" t="s">
        <v>36</v>
      </c>
      <c r="C614" s="4" t="s">
        <v>23</v>
      </c>
      <c r="D614" s="4" t="s">
        <v>48</v>
      </c>
      <c r="E614" s="4" t="s">
        <v>49</v>
      </c>
      <c r="F614" s="4" t="s">
        <v>25</v>
      </c>
      <c r="G614" s="4" t="s">
        <v>25</v>
      </c>
      <c r="H614" s="4" t="s">
        <v>25</v>
      </c>
      <c r="I614" s="5">
        <v>44621</v>
      </c>
      <c r="J614" s="6">
        <v>0</v>
      </c>
      <c r="K614" s="96">
        <v>0</v>
      </c>
      <c r="L614" s="6">
        <v>134.40899999999999</v>
      </c>
      <c r="M614" s="96">
        <v>134.40899999999999</v>
      </c>
      <c r="N614" s="6">
        <v>134.40899999999999</v>
      </c>
      <c r="O614" s="96">
        <v>134.40899999999999</v>
      </c>
      <c r="P614" s="6">
        <v>32</v>
      </c>
      <c r="Q614" s="4" t="s">
        <v>26</v>
      </c>
      <c r="R614" s="4">
        <v>0</v>
      </c>
      <c r="S614" s="6">
        <v>0</v>
      </c>
      <c r="T614" s="6">
        <v>68</v>
      </c>
      <c r="U614" s="6">
        <v>76</v>
      </c>
      <c r="V614" s="96">
        <f>IF(ISERROR(VLOOKUP($S$614,'TAR FIN'!$A$1:$O$86,15,0)),0,VLOOKUP($S$614,'TAR FIN'!$A$1:$O$86,15,0))</f>
        <v>0</v>
      </c>
      <c r="W614" s="96">
        <f>IF(ISERROR(VLOOKUP($T$614,'TAR FIN'!$A$1:$O$86,15,0)),0,VLOOKUP($T$614,'TAR FIN'!$A$1:$O$86,15,0))*(1-0.06)</f>
        <v>307.3612</v>
      </c>
      <c r="X614" s="96">
        <f>IF(ISERROR(VLOOKUP($U$614,'TAR FIN'!$A$1:$O$86,15,0)),0,VLOOKUP($U$614,'TAR FIN'!$A$1:$O$86,15,0))*(1-0.06)</f>
        <v>295.64879999999999</v>
      </c>
      <c r="Y614" s="96"/>
      <c r="Z614" s="96">
        <f ca="1">('TUSD BE'!$AM$48+'TUSD BF_350'!$AM$48+'TUSD CVA'!$AM$48)*1*(1-0.03)</f>
        <v>304.49644937803265</v>
      </c>
      <c r="AA614" s="96">
        <f ca="1">('TE BE'!$AB$40+'TE BF_350'!$AB$40+'TE CVA'!$AB$40)*1*(1-0.03)</f>
        <v>241.42939834025128</v>
      </c>
      <c r="AB614" s="6">
        <f>$K$614*$V$614</f>
        <v>0</v>
      </c>
      <c r="AC614" s="6">
        <f>$M$614*$W$614</f>
        <v>41312.111530799993</v>
      </c>
      <c r="AD614" s="6">
        <f>$O$614*$X$614</f>
        <v>39737.859559199998</v>
      </c>
      <c r="AE614" s="6">
        <f>$K$614*$Y$614</f>
        <v>0</v>
      </c>
      <c r="AF614" s="6">
        <f ca="1">$M$614*$Z$614</f>
        <v>40927.063264451986</v>
      </c>
      <c r="AG614" s="6">
        <f ca="1">$O$614*$AA$614</f>
        <v>32450.284001514832</v>
      </c>
    </row>
    <row r="615" spans="1:33" ht="11.25" customHeight="1" x14ac:dyDescent="0.25">
      <c r="A615" s="4" t="s">
        <v>21</v>
      </c>
      <c r="B615" s="4" t="s">
        <v>36</v>
      </c>
      <c r="C615" s="4" t="s">
        <v>23</v>
      </c>
      <c r="D615" s="4" t="s">
        <v>48</v>
      </c>
      <c r="E615" s="4" t="s">
        <v>49</v>
      </c>
      <c r="F615" s="4" t="s">
        <v>25</v>
      </c>
      <c r="G615" s="4" t="s">
        <v>25</v>
      </c>
      <c r="H615" s="4" t="s">
        <v>25</v>
      </c>
      <c r="I615" s="5">
        <v>44652</v>
      </c>
      <c r="J615" s="6">
        <v>0</v>
      </c>
      <c r="K615" s="96">
        <v>0</v>
      </c>
      <c r="L615" s="6">
        <v>141.02799999999999</v>
      </c>
      <c r="M615" s="96">
        <v>141.02799999999999</v>
      </c>
      <c r="N615" s="6">
        <v>141.02799999999999</v>
      </c>
      <c r="O615" s="96">
        <v>141.02799999999999</v>
      </c>
      <c r="P615" s="6">
        <v>33</v>
      </c>
      <c r="Q615" s="4" t="s">
        <v>26</v>
      </c>
      <c r="R615" s="4">
        <v>0</v>
      </c>
      <c r="S615" s="6">
        <v>0</v>
      </c>
      <c r="T615" s="6">
        <v>68</v>
      </c>
      <c r="U615" s="6">
        <v>76</v>
      </c>
      <c r="V615" s="96">
        <f>IF(ISERROR(VLOOKUP($S$615,'TAR FIN'!$A$1:$O$86,15,0)),0,VLOOKUP($S$615,'TAR FIN'!$A$1:$O$86,15,0))</f>
        <v>0</v>
      </c>
      <c r="W615" s="96">
        <f>IF(ISERROR(VLOOKUP($T$615,'TAR FIN'!$A$1:$O$86,15,0)),0,VLOOKUP($T$615,'TAR FIN'!$A$1:$O$86,15,0))*(1-0.06)</f>
        <v>307.3612</v>
      </c>
      <c r="X615" s="96">
        <f>IF(ISERROR(VLOOKUP($U$615,'TAR FIN'!$A$1:$O$86,15,0)),0,VLOOKUP($U$615,'TAR FIN'!$A$1:$O$86,15,0))*(1-0.06)</f>
        <v>295.64879999999999</v>
      </c>
      <c r="Y615" s="96"/>
      <c r="Z615" s="96">
        <f ca="1">('TUSD BE'!$AM$48+'TUSD BF_350'!$AM$48+'TUSD CVA'!$AM$48)*1*(1-0.03)</f>
        <v>304.49644937803265</v>
      </c>
      <c r="AA615" s="96">
        <f ca="1">('TE BE'!$AB$40+'TE BF_350'!$AB$40+'TE CVA'!$AB$40)*1*(1-0.03)</f>
        <v>241.42939834025128</v>
      </c>
      <c r="AB615" s="6">
        <f>$K$615*$V$615</f>
        <v>0</v>
      </c>
      <c r="AC615" s="6">
        <f>$M$615*$W$615</f>
        <v>43346.535313599998</v>
      </c>
      <c r="AD615" s="6">
        <f>$O$615*$X$615</f>
        <v>41694.758966399997</v>
      </c>
      <c r="AE615" s="6">
        <f>$K$615*$Y$615</f>
        <v>0</v>
      </c>
      <c r="AF615" s="6">
        <f ca="1">$M$615*$Z$615</f>
        <v>42942.525262885189</v>
      </c>
      <c r="AG615" s="6">
        <f ca="1">$O$615*$AA$615</f>
        <v>34048.305189128958</v>
      </c>
    </row>
    <row r="616" spans="1:33" ht="11.25" customHeight="1" x14ac:dyDescent="0.25">
      <c r="A616" s="4" t="s">
        <v>21</v>
      </c>
      <c r="B616" s="4" t="s">
        <v>36</v>
      </c>
      <c r="C616" s="4" t="s">
        <v>23</v>
      </c>
      <c r="D616" s="4" t="s">
        <v>48</v>
      </c>
      <c r="E616" s="4" t="s">
        <v>49</v>
      </c>
      <c r="F616" s="4" t="s">
        <v>25</v>
      </c>
      <c r="G616" s="4" t="s">
        <v>25</v>
      </c>
      <c r="H616" s="4" t="s">
        <v>25</v>
      </c>
      <c r="I616" s="5">
        <v>44682</v>
      </c>
      <c r="J616" s="6">
        <v>0</v>
      </c>
      <c r="K616" s="96">
        <v>0</v>
      </c>
      <c r="L616" s="6">
        <v>143.99799999999999</v>
      </c>
      <c r="M616" s="96">
        <v>143.99799999999999</v>
      </c>
      <c r="N616" s="6">
        <v>143.99799999999999</v>
      </c>
      <c r="O616" s="96">
        <v>143.99799999999999</v>
      </c>
      <c r="P616" s="6">
        <v>33</v>
      </c>
      <c r="Q616" s="4" t="s">
        <v>26</v>
      </c>
      <c r="R616" s="4">
        <v>0</v>
      </c>
      <c r="S616" s="6">
        <v>0</v>
      </c>
      <c r="T616" s="6">
        <v>68</v>
      </c>
      <c r="U616" s="6">
        <v>76</v>
      </c>
      <c r="V616" s="96">
        <f>IF(ISERROR(VLOOKUP($S$616,'TAR FIN'!$A$1:$O$86,15,0)),0,VLOOKUP($S$616,'TAR FIN'!$A$1:$O$86,15,0))</f>
        <v>0</v>
      </c>
      <c r="W616" s="96">
        <f>IF(ISERROR(VLOOKUP($T$616,'TAR FIN'!$A$1:$O$86,15,0)),0,VLOOKUP($T$616,'TAR FIN'!$A$1:$O$86,15,0))*(1-0.06)</f>
        <v>307.3612</v>
      </c>
      <c r="X616" s="96">
        <f>IF(ISERROR(VLOOKUP($U$616,'TAR FIN'!$A$1:$O$86,15,0)),0,VLOOKUP($U$616,'TAR FIN'!$A$1:$O$86,15,0))*(1-0.06)</f>
        <v>295.64879999999999</v>
      </c>
      <c r="Y616" s="96"/>
      <c r="Z616" s="96">
        <f ca="1">('TUSD BE'!$AM$48+'TUSD BF_350'!$AM$48+'TUSD CVA'!$AM$48)*1*(1-0.03)</f>
        <v>304.49644937803265</v>
      </c>
      <c r="AA616" s="96">
        <f ca="1">('TE BE'!$AB$40+'TE BF_350'!$AB$40+'TE CVA'!$AB$40)*1*(1-0.03)</f>
        <v>241.42939834025128</v>
      </c>
      <c r="AB616" s="6">
        <f>$K$616*$V$616</f>
        <v>0</v>
      </c>
      <c r="AC616" s="6">
        <f>$M$616*$W$616</f>
        <v>44259.398077599995</v>
      </c>
      <c r="AD616" s="6">
        <f>$O$616*$X$616</f>
        <v>42572.835902399995</v>
      </c>
      <c r="AE616" s="6">
        <f>$K$616*$Y$616</f>
        <v>0</v>
      </c>
      <c r="AF616" s="6">
        <f ca="1">$M$616*$Z$616</f>
        <v>43846.879717537944</v>
      </c>
      <c r="AG616" s="6">
        <f ca="1">$O$616*$AA$616</f>
        <v>34765.350502199501</v>
      </c>
    </row>
    <row r="617" spans="1:33" ht="11.25" customHeight="1" x14ac:dyDescent="0.25">
      <c r="A617" s="4" t="s">
        <v>55</v>
      </c>
      <c r="B617" s="4" t="s">
        <v>36</v>
      </c>
      <c r="C617" s="4" t="s">
        <v>23</v>
      </c>
      <c r="D617" s="4" t="s">
        <v>48</v>
      </c>
      <c r="E617" s="4" t="s">
        <v>49</v>
      </c>
      <c r="F617" s="4" t="s">
        <v>25</v>
      </c>
      <c r="G617" s="4" t="s">
        <v>25</v>
      </c>
      <c r="H617" s="4" t="s">
        <v>25</v>
      </c>
      <c r="I617" s="5">
        <v>44713</v>
      </c>
      <c r="J617" s="6">
        <v>0</v>
      </c>
      <c r="K617" s="96">
        <v>0</v>
      </c>
      <c r="L617" s="6">
        <v>143.99799999999999</v>
      </c>
      <c r="M617" s="96">
        <v>143.99799999999999</v>
      </c>
      <c r="N617" s="6">
        <v>143.99799999999999</v>
      </c>
      <c r="O617" s="96">
        <v>143.99799999999999</v>
      </c>
      <c r="P617" s="6">
        <v>33</v>
      </c>
      <c r="Q617" s="4" t="s">
        <v>26</v>
      </c>
      <c r="R617" s="4">
        <v>0</v>
      </c>
      <c r="S617" s="6">
        <v>0</v>
      </c>
      <c r="T617" s="6">
        <v>68</v>
      </c>
      <c r="U617" s="6">
        <v>76</v>
      </c>
      <c r="V617" s="96">
        <f>IF(ISERROR(VLOOKUP($S$617,'TAR FIN'!$A$1:$O$86,15,0)),0,VLOOKUP($S$617,'TAR FIN'!$A$1:$O$86,15,0))</f>
        <v>0</v>
      </c>
      <c r="W617" s="96">
        <f>IF(ISERROR(VLOOKUP($T$617,'TAR FIN'!$A$1:$O$86,15,0)),0,VLOOKUP($T$617,'TAR FIN'!$A$1:$O$86,15,0))*(1-0.06)</f>
        <v>307.3612</v>
      </c>
      <c r="X617" s="96">
        <f>IF(ISERROR(VLOOKUP($U$617,'TAR FIN'!$A$1:$O$86,15,0)),0,VLOOKUP($U$617,'TAR FIN'!$A$1:$O$86,15,0))*(1-0.06)</f>
        <v>295.64879999999999</v>
      </c>
      <c r="Y617" s="96"/>
      <c r="Z617" s="96">
        <f ca="1">('TUSD BE'!$AM$48+'TUSD BF_350'!$AM$48+'TUSD CVA'!$AM$48)*1*(1-0.03)</f>
        <v>304.49644937803265</v>
      </c>
      <c r="AA617" s="96">
        <f ca="1">('TE BE'!$AB$40+'TE BF_350'!$AB$40+'TE CVA'!$AB$40)*1*(1-0.03)</f>
        <v>241.42939834025128</v>
      </c>
      <c r="AB617" s="6">
        <f>$K$617*$V$617</f>
        <v>0</v>
      </c>
      <c r="AC617" s="6">
        <f>$M$617*$W$617</f>
        <v>44259.398077599995</v>
      </c>
      <c r="AD617" s="6">
        <f>$O$617*$X$617</f>
        <v>42572.835902399995</v>
      </c>
      <c r="AE617" s="6">
        <f>$K$617*$Y$617</f>
        <v>0</v>
      </c>
      <c r="AF617" s="6">
        <f ca="1">$M$617*$Z$617</f>
        <v>43846.879717537944</v>
      </c>
      <c r="AG617" s="6">
        <f ca="1">$O$617*$AA$617</f>
        <v>34765.350502199501</v>
      </c>
    </row>
    <row r="618" spans="1:33" ht="11.25" customHeight="1" x14ac:dyDescent="0.25">
      <c r="A618" s="4" t="s">
        <v>21</v>
      </c>
      <c r="B618" s="4" t="s">
        <v>45</v>
      </c>
      <c r="C618" s="4" t="s">
        <v>23</v>
      </c>
      <c r="D618" s="4" t="s">
        <v>46</v>
      </c>
      <c r="E618" s="4" t="s">
        <v>47</v>
      </c>
      <c r="F618" s="4" t="s">
        <v>25</v>
      </c>
      <c r="G618" s="4" t="s">
        <v>25</v>
      </c>
      <c r="H618" s="4" t="s">
        <v>25</v>
      </c>
      <c r="I618" s="5">
        <v>44378</v>
      </c>
      <c r="J618" s="6">
        <v>0</v>
      </c>
      <c r="K618" s="6">
        <v>0</v>
      </c>
      <c r="L618" s="6">
        <v>418.91800000000001</v>
      </c>
      <c r="M618" s="6">
        <v>418.91800000000001</v>
      </c>
      <c r="N618" s="6">
        <v>418.91800000000001</v>
      </c>
      <c r="O618" s="6">
        <v>418.91800000000001</v>
      </c>
      <c r="P618" s="6">
        <v>4</v>
      </c>
      <c r="Q618" s="4" t="s">
        <v>26</v>
      </c>
      <c r="R618" s="4">
        <v>0</v>
      </c>
      <c r="S618" s="6">
        <v>0</v>
      </c>
      <c r="T618" s="6">
        <v>74</v>
      </c>
      <c r="U618" s="6">
        <v>59</v>
      </c>
      <c r="V618" s="6">
        <f>IF(ISERROR(VLOOKUP($S$618,'TAR FIN'!$A$1:$O$86,15,0)),0,VLOOKUP($S$618,'TAR FIN'!$A$1:$O$86,15,0))</f>
        <v>0</v>
      </c>
      <c r="W618" s="6">
        <f>IF(ISERROR(VLOOKUP($T$618,'TAR FIN'!$A$1:$O$86,15,0)),0,VLOOKUP($T$618,'TAR FIN'!$A$1:$O$86,15,0))</f>
        <v>179.84</v>
      </c>
      <c r="X618" s="6">
        <f>IF(ISERROR(VLOOKUP($U$618,'TAR FIN'!$A$1:$O$86,15,0)),0,VLOOKUP($U$618,'TAR FIN'!$A$1:$O$86,15,0))</f>
        <v>172.98</v>
      </c>
      <c r="Y618" s="6"/>
      <c r="Z618" s="6">
        <f ca="1">('TUSD BE'!$AM$50+'TUSD BF_350'!$AM$50+'TUSD CVA'!$AM$50)*1</f>
        <v>172.65262593599786</v>
      </c>
      <c r="AA618" s="6">
        <f ca="1">('TE BE'!$AB$42+'TE BF_350'!$AB$42+'TE CVA'!$AB$42)*1</f>
        <v>136.89295782179195</v>
      </c>
      <c r="AB618" s="6">
        <f>$K$618*$V$618</f>
        <v>0</v>
      </c>
      <c r="AC618" s="6">
        <f>$M$618*$W$618</f>
        <v>75338.21312</v>
      </c>
      <c r="AD618" s="6">
        <f>$O$618*$X$618</f>
        <v>72464.435639999996</v>
      </c>
      <c r="AE618" s="6">
        <f>$K$618*$Y$618</f>
        <v>0</v>
      </c>
      <c r="AF618" s="6">
        <f ca="1">$M$618*$Z$618</f>
        <v>72327.292751856352</v>
      </c>
      <c r="AG618" s="6">
        <f ca="1">$O$618*$AA$618</f>
        <v>57346.924104789439</v>
      </c>
    </row>
    <row r="619" spans="1:33" ht="11.25" customHeight="1" x14ac:dyDescent="0.25">
      <c r="A619" s="4" t="s">
        <v>21</v>
      </c>
      <c r="B619" s="4" t="s">
        <v>45</v>
      </c>
      <c r="C619" s="4" t="s">
        <v>23</v>
      </c>
      <c r="D619" s="4" t="s">
        <v>46</v>
      </c>
      <c r="E619" s="4" t="s">
        <v>47</v>
      </c>
      <c r="F619" s="4" t="s">
        <v>25</v>
      </c>
      <c r="G619" s="4" t="s">
        <v>25</v>
      </c>
      <c r="H619" s="4" t="s">
        <v>25</v>
      </c>
      <c r="I619" s="5">
        <v>44409</v>
      </c>
      <c r="J619" s="6">
        <v>0</v>
      </c>
      <c r="K619" s="6">
        <v>0</v>
      </c>
      <c r="L619" s="6">
        <v>419.18200000000002</v>
      </c>
      <c r="M619" s="6">
        <v>419.18200000000002</v>
      </c>
      <c r="N619" s="6">
        <v>419.18200000000002</v>
      </c>
      <c r="O619" s="6">
        <v>419.18200000000002</v>
      </c>
      <c r="P619" s="6">
        <v>4</v>
      </c>
      <c r="Q619" s="4" t="s">
        <v>26</v>
      </c>
      <c r="R619" s="4">
        <v>0</v>
      </c>
      <c r="S619" s="6">
        <v>0</v>
      </c>
      <c r="T619" s="6">
        <v>74</v>
      </c>
      <c r="U619" s="6">
        <v>59</v>
      </c>
      <c r="V619" s="6">
        <f>IF(ISERROR(VLOOKUP($S$619,'TAR FIN'!$A$1:$O$86,15,0)),0,VLOOKUP($S$619,'TAR FIN'!$A$1:$O$86,15,0))</f>
        <v>0</v>
      </c>
      <c r="W619" s="6">
        <f>IF(ISERROR(VLOOKUP($T$619,'TAR FIN'!$A$1:$O$86,15,0)),0,VLOOKUP($T$619,'TAR FIN'!$A$1:$O$86,15,0))</f>
        <v>179.84</v>
      </c>
      <c r="X619" s="6">
        <f>IF(ISERROR(VLOOKUP($U$619,'TAR FIN'!$A$1:$O$86,15,0)),0,VLOOKUP($U$619,'TAR FIN'!$A$1:$O$86,15,0))</f>
        <v>172.98</v>
      </c>
      <c r="Y619" s="6"/>
      <c r="Z619" s="6">
        <f ca="1">('TUSD BE'!$AM$50+'TUSD BF_350'!$AM$50+'TUSD CVA'!$AM$50)*1</f>
        <v>172.65262593599786</v>
      </c>
      <c r="AA619" s="6">
        <f ca="1">('TE BE'!$AB$42+'TE BF_350'!$AB$42+'TE CVA'!$AB$42)*1</f>
        <v>136.89295782179195</v>
      </c>
      <c r="AB619" s="6">
        <f>$K$619*$V$619</f>
        <v>0</v>
      </c>
      <c r="AC619" s="6">
        <f>$M$619*$W$619</f>
        <v>75385.690880000009</v>
      </c>
      <c r="AD619" s="6">
        <f>$O$619*$X$619</f>
        <v>72510.102360000004</v>
      </c>
      <c r="AE619" s="6">
        <f>$K$619*$Y$619</f>
        <v>0</v>
      </c>
      <c r="AF619" s="6">
        <f ca="1">$M$619*$Z$619</f>
        <v>72372.873045103464</v>
      </c>
      <c r="AG619" s="6">
        <f ca="1">$O$619*$AA$619</f>
        <v>57383.063845654397</v>
      </c>
    </row>
    <row r="620" spans="1:33" ht="11.25" customHeight="1" x14ac:dyDescent="0.25">
      <c r="A620" s="4" t="s">
        <v>21</v>
      </c>
      <c r="B620" s="4" t="s">
        <v>45</v>
      </c>
      <c r="C620" s="4" t="s">
        <v>23</v>
      </c>
      <c r="D620" s="4" t="s">
        <v>46</v>
      </c>
      <c r="E620" s="4" t="s">
        <v>47</v>
      </c>
      <c r="F620" s="4" t="s">
        <v>25</v>
      </c>
      <c r="G620" s="4" t="s">
        <v>25</v>
      </c>
      <c r="H620" s="4" t="s">
        <v>25</v>
      </c>
      <c r="I620" s="5">
        <v>44440</v>
      </c>
      <c r="J620" s="6">
        <v>0</v>
      </c>
      <c r="K620" s="6">
        <v>0</v>
      </c>
      <c r="L620" s="6">
        <v>405.67500000000001</v>
      </c>
      <c r="M620" s="6">
        <v>405.67500000000001</v>
      </c>
      <c r="N620" s="6">
        <v>405.67500000000001</v>
      </c>
      <c r="O620" s="6">
        <v>405.67500000000001</v>
      </c>
      <c r="P620" s="6">
        <v>4</v>
      </c>
      <c r="Q620" s="4" t="s">
        <v>26</v>
      </c>
      <c r="R620" s="4">
        <v>0</v>
      </c>
      <c r="S620" s="6">
        <v>0</v>
      </c>
      <c r="T620" s="6">
        <v>74</v>
      </c>
      <c r="U620" s="6">
        <v>59</v>
      </c>
      <c r="V620" s="6">
        <f>IF(ISERROR(VLOOKUP($S$620,'TAR FIN'!$A$1:$O$86,15,0)),0,VLOOKUP($S$620,'TAR FIN'!$A$1:$O$86,15,0))</f>
        <v>0</v>
      </c>
      <c r="W620" s="6">
        <f>IF(ISERROR(VLOOKUP($T$620,'TAR FIN'!$A$1:$O$86,15,0)),0,VLOOKUP($T$620,'TAR FIN'!$A$1:$O$86,15,0))</f>
        <v>179.84</v>
      </c>
      <c r="X620" s="6">
        <f>IF(ISERROR(VLOOKUP($U$620,'TAR FIN'!$A$1:$O$86,15,0)),0,VLOOKUP($U$620,'TAR FIN'!$A$1:$O$86,15,0))</f>
        <v>172.98</v>
      </c>
      <c r="Y620" s="6"/>
      <c r="Z620" s="6">
        <f ca="1">('TUSD BE'!$AM$50+'TUSD BF_350'!$AM$50+'TUSD CVA'!$AM$50)*1</f>
        <v>172.65262593599786</v>
      </c>
      <c r="AA620" s="6">
        <f ca="1">('TE BE'!$AB$42+'TE BF_350'!$AB$42+'TE CVA'!$AB$42)*1</f>
        <v>136.89295782179195</v>
      </c>
      <c r="AB620" s="6">
        <f>$K$620*$V$620</f>
        <v>0</v>
      </c>
      <c r="AC620" s="6">
        <f>$M$620*$W$620</f>
        <v>72956.592000000004</v>
      </c>
      <c r="AD620" s="6">
        <f>$O$620*$X$620</f>
        <v>70173.661500000002</v>
      </c>
      <c r="AE620" s="6">
        <f>$K$620*$Y$620</f>
        <v>0</v>
      </c>
      <c r="AF620" s="6">
        <f ca="1">$M$620*$Z$620</f>
        <v>70040.854026585934</v>
      </c>
      <c r="AG620" s="6">
        <f ca="1">$O$620*$AA$620</f>
        <v>55534.050664355455</v>
      </c>
    </row>
    <row r="621" spans="1:33" ht="11.25" customHeight="1" x14ac:dyDescent="0.25">
      <c r="A621" s="4" t="s">
        <v>21</v>
      </c>
      <c r="B621" s="4" t="s">
        <v>45</v>
      </c>
      <c r="C621" s="4" t="s">
        <v>23</v>
      </c>
      <c r="D621" s="4" t="s">
        <v>46</v>
      </c>
      <c r="E621" s="4" t="s">
        <v>47</v>
      </c>
      <c r="F621" s="4" t="s">
        <v>25</v>
      </c>
      <c r="G621" s="4" t="s">
        <v>25</v>
      </c>
      <c r="H621" s="4" t="s">
        <v>25</v>
      </c>
      <c r="I621" s="5">
        <v>44470</v>
      </c>
      <c r="J621" s="6">
        <v>0</v>
      </c>
      <c r="K621" s="6">
        <v>0</v>
      </c>
      <c r="L621" s="6">
        <v>419.04899999999998</v>
      </c>
      <c r="M621" s="6">
        <v>419.04899999999998</v>
      </c>
      <c r="N621" s="6">
        <v>419.04899999999998</v>
      </c>
      <c r="O621" s="6">
        <v>419.04899999999998</v>
      </c>
      <c r="P621" s="6">
        <v>4</v>
      </c>
      <c r="Q621" s="4" t="s">
        <v>26</v>
      </c>
      <c r="R621" s="4">
        <v>0</v>
      </c>
      <c r="S621" s="6">
        <v>0</v>
      </c>
      <c r="T621" s="6">
        <v>74</v>
      </c>
      <c r="U621" s="6">
        <v>59</v>
      </c>
      <c r="V621" s="6">
        <f>IF(ISERROR(VLOOKUP($S$621,'TAR FIN'!$A$1:$O$86,15,0)),0,VLOOKUP($S$621,'TAR FIN'!$A$1:$O$86,15,0))</f>
        <v>0</v>
      </c>
      <c r="W621" s="6">
        <f>IF(ISERROR(VLOOKUP($T$621,'TAR FIN'!$A$1:$O$86,15,0)),0,VLOOKUP($T$621,'TAR FIN'!$A$1:$O$86,15,0))</f>
        <v>179.84</v>
      </c>
      <c r="X621" s="6">
        <f>IF(ISERROR(VLOOKUP($U$621,'TAR FIN'!$A$1:$O$86,15,0)),0,VLOOKUP($U$621,'TAR FIN'!$A$1:$O$86,15,0))</f>
        <v>172.98</v>
      </c>
      <c r="Y621" s="6"/>
      <c r="Z621" s="6">
        <f ca="1">('TUSD BE'!$AM$50+'TUSD BF_350'!$AM$50+'TUSD CVA'!$AM$50)*1</f>
        <v>172.65262593599786</v>
      </c>
      <c r="AA621" s="6">
        <f ca="1">('TE BE'!$AB$42+'TE BF_350'!$AB$42+'TE CVA'!$AB$42)*1</f>
        <v>136.89295782179195</v>
      </c>
      <c r="AB621" s="6">
        <f>$K$621*$V$621</f>
        <v>0</v>
      </c>
      <c r="AC621" s="6">
        <f>$M$621*$W$621</f>
        <v>75361.772159999993</v>
      </c>
      <c r="AD621" s="6">
        <f>$O$621*$X$621</f>
        <v>72487.096019999997</v>
      </c>
      <c r="AE621" s="6">
        <f>$K$621*$Y$621</f>
        <v>0</v>
      </c>
      <c r="AF621" s="6">
        <f ca="1">$M$621*$Z$621</f>
        <v>72349.910245853971</v>
      </c>
      <c r="AG621" s="6">
        <f ca="1">$O$621*$AA$621</f>
        <v>57364.85708226409</v>
      </c>
    </row>
    <row r="622" spans="1:33" ht="11.25" customHeight="1" x14ac:dyDescent="0.25">
      <c r="A622" s="4" t="s">
        <v>21</v>
      </c>
      <c r="B622" s="4" t="s">
        <v>45</v>
      </c>
      <c r="C622" s="4" t="s">
        <v>23</v>
      </c>
      <c r="D622" s="4" t="s">
        <v>46</v>
      </c>
      <c r="E622" s="4" t="s">
        <v>47</v>
      </c>
      <c r="F622" s="4" t="s">
        <v>25</v>
      </c>
      <c r="G622" s="4" t="s">
        <v>25</v>
      </c>
      <c r="H622" s="4" t="s">
        <v>25</v>
      </c>
      <c r="I622" s="5">
        <v>44501</v>
      </c>
      <c r="J622" s="6">
        <v>0</v>
      </c>
      <c r="K622" s="6">
        <v>0</v>
      </c>
      <c r="L622" s="6">
        <v>404.16300000000001</v>
      </c>
      <c r="M622" s="6">
        <v>404.16300000000001</v>
      </c>
      <c r="N622" s="6">
        <v>404.16300000000001</v>
      </c>
      <c r="O622" s="6">
        <v>404.16300000000001</v>
      </c>
      <c r="P622" s="6">
        <v>4</v>
      </c>
      <c r="Q622" s="4" t="s">
        <v>26</v>
      </c>
      <c r="R622" s="4">
        <v>0</v>
      </c>
      <c r="S622" s="6">
        <v>0</v>
      </c>
      <c r="T622" s="6">
        <v>74</v>
      </c>
      <c r="U622" s="6">
        <v>59</v>
      </c>
      <c r="V622" s="6">
        <f>IF(ISERROR(VLOOKUP($S$622,'TAR FIN'!$A$1:$O$86,15,0)),0,VLOOKUP($S$622,'TAR FIN'!$A$1:$O$86,15,0))</f>
        <v>0</v>
      </c>
      <c r="W622" s="6">
        <f>IF(ISERROR(VLOOKUP($T$622,'TAR FIN'!$A$1:$O$86,15,0)),0,VLOOKUP($T$622,'TAR FIN'!$A$1:$O$86,15,0))</f>
        <v>179.84</v>
      </c>
      <c r="X622" s="6">
        <f>IF(ISERROR(VLOOKUP($U$622,'TAR FIN'!$A$1:$O$86,15,0)),0,VLOOKUP($U$622,'TAR FIN'!$A$1:$O$86,15,0))</f>
        <v>172.98</v>
      </c>
      <c r="Y622" s="6"/>
      <c r="Z622" s="6">
        <f ca="1">('TUSD BE'!$AM$50+'TUSD BF_350'!$AM$50+'TUSD CVA'!$AM$50)*1</f>
        <v>172.65262593599786</v>
      </c>
      <c r="AA622" s="6">
        <f ca="1">('TE BE'!$AB$42+'TE BF_350'!$AB$42+'TE CVA'!$AB$42)*1</f>
        <v>136.89295782179195</v>
      </c>
      <c r="AB622" s="6">
        <f>$K$622*$V$622</f>
        <v>0</v>
      </c>
      <c r="AC622" s="6">
        <f>$M$622*$W$622</f>
        <v>72684.673920000001</v>
      </c>
      <c r="AD622" s="6">
        <f>$O$622*$X$622</f>
        <v>69912.115739999994</v>
      </c>
      <c r="AE622" s="6">
        <f>$K$622*$Y$622</f>
        <v>0</v>
      </c>
      <c r="AF622" s="6">
        <f ca="1">$M$622*$Z$622</f>
        <v>69779.803256170708</v>
      </c>
      <c r="AG622" s="6">
        <f ca="1">$O$622*$AA$622</f>
        <v>55327.068512128899</v>
      </c>
    </row>
    <row r="623" spans="1:33" ht="11.25" customHeight="1" x14ac:dyDescent="0.25">
      <c r="A623" s="4" t="s">
        <v>21</v>
      </c>
      <c r="B623" s="4" t="s">
        <v>45</v>
      </c>
      <c r="C623" s="4" t="s">
        <v>23</v>
      </c>
      <c r="D623" s="4" t="s">
        <v>46</v>
      </c>
      <c r="E623" s="4" t="s">
        <v>47</v>
      </c>
      <c r="F623" s="4" t="s">
        <v>25</v>
      </c>
      <c r="G623" s="4" t="s">
        <v>25</v>
      </c>
      <c r="H623" s="4" t="s">
        <v>25</v>
      </c>
      <c r="I623" s="5">
        <v>44531</v>
      </c>
      <c r="J623" s="6">
        <v>0</v>
      </c>
      <c r="K623" s="6">
        <v>0</v>
      </c>
      <c r="L623" s="6">
        <v>418.75099999999998</v>
      </c>
      <c r="M623" s="6">
        <v>418.75099999999998</v>
      </c>
      <c r="N623" s="6">
        <v>418.75099999999998</v>
      </c>
      <c r="O623" s="6">
        <v>418.75099999999998</v>
      </c>
      <c r="P623" s="6">
        <v>4</v>
      </c>
      <c r="Q623" s="4" t="s">
        <v>26</v>
      </c>
      <c r="R623" s="4">
        <v>0</v>
      </c>
      <c r="S623" s="6">
        <v>0</v>
      </c>
      <c r="T623" s="6">
        <v>74</v>
      </c>
      <c r="U623" s="6">
        <v>59</v>
      </c>
      <c r="V623" s="6">
        <f>IF(ISERROR(VLOOKUP($S$623,'TAR FIN'!$A$1:$O$86,15,0)),0,VLOOKUP($S$623,'TAR FIN'!$A$1:$O$86,15,0))</f>
        <v>0</v>
      </c>
      <c r="W623" s="6">
        <f>IF(ISERROR(VLOOKUP($T$623,'TAR FIN'!$A$1:$O$86,15,0)),0,VLOOKUP($T$623,'TAR FIN'!$A$1:$O$86,15,0))</f>
        <v>179.84</v>
      </c>
      <c r="X623" s="6">
        <f>IF(ISERROR(VLOOKUP($U$623,'TAR FIN'!$A$1:$O$86,15,0)),0,VLOOKUP($U$623,'TAR FIN'!$A$1:$O$86,15,0))</f>
        <v>172.98</v>
      </c>
      <c r="Y623" s="6"/>
      <c r="Z623" s="6">
        <f ca="1">('TUSD BE'!$AM$50+'TUSD BF_350'!$AM$50+'TUSD CVA'!$AM$50)*1</f>
        <v>172.65262593599786</v>
      </c>
      <c r="AA623" s="6">
        <f ca="1">('TE BE'!$AB$42+'TE BF_350'!$AB$42+'TE CVA'!$AB$42)*1</f>
        <v>136.89295782179195</v>
      </c>
      <c r="AB623" s="6">
        <f>$K$623*$V$623</f>
        <v>0</v>
      </c>
      <c r="AC623" s="6">
        <f>$M$623*$W$623</f>
        <v>75308.179839999997</v>
      </c>
      <c r="AD623" s="6">
        <f>$O$623*$X$623</f>
        <v>72435.547979999988</v>
      </c>
      <c r="AE623" s="6">
        <f>$K$623*$Y$623</f>
        <v>0</v>
      </c>
      <c r="AF623" s="6">
        <f ca="1">$M$623*$Z$623</f>
        <v>72298.459763325038</v>
      </c>
      <c r="AG623" s="6">
        <f ca="1">$O$623*$AA$623</f>
        <v>57324.062980833201</v>
      </c>
    </row>
    <row r="624" spans="1:33" ht="11.25" customHeight="1" x14ac:dyDescent="0.25">
      <c r="A624" s="4" t="s">
        <v>21</v>
      </c>
      <c r="B624" s="4" t="s">
        <v>45</v>
      </c>
      <c r="C624" s="4" t="s">
        <v>23</v>
      </c>
      <c r="D624" s="4" t="s">
        <v>46</v>
      </c>
      <c r="E624" s="4" t="s">
        <v>47</v>
      </c>
      <c r="F624" s="4" t="s">
        <v>25</v>
      </c>
      <c r="G624" s="4" t="s">
        <v>25</v>
      </c>
      <c r="H624" s="4" t="s">
        <v>25</v>
      </c>
      <c r="I624" s="5">
        <v>44562</v>
      </c>
      <c r="J624" s="6">
        <v>0</v>
      </c>
      <c r="K624" s="6">
        <v>0</v>
      </c>
      <c r="L624" s="6">
        <v>418.15899999999999</v>
      </c>
      <c r="M624" s="6">
        <v>418.15899999999999</v>
      </c>
      <c r="N624" s="6">
        <v>418.15899999999999</v>
      </c>
      <c r="O624" s="6">
        <v>418.15899999999999</v>
      </c>
      <c r="P624" s="6">
        <v>4</v>
      </c>
      <c r="Q624" s="4" t="s">
        <v>26</v>
      </c>
      <c r="R624" s="4">
        <v>0</v>
      </c>
      <c r="S624" s="6">
        <v>0</v>
      </c>
      <c r="T624" s="6">
        <v>74</v>
      </c>
      <c r="U624" s="6">
        <v>59</v>
      </c>
      <c r="V624" s="6">
        <f>IF(ISERROR(VLOOKUP($S$624,'TAR FIN'!$A$1:$O$86,15,0)),0,VLOOKUP($S$624,'TAR FIN'!$A$1:$O$86,15,0))</f>
        <v>0</v>
      </c>
      <c r="W624" s="6">
        <f>IF(ISERROR(VLOOKUP($T$624,'TAR FIN'!$A$1:$O$86,15,0)),0,VLOOKUP($T$624,'TAR FIN'!$A$1:$O$86,15,0))</f>
        <v>179.84</v>
      </c>
      <c r="X624" s="6">
        <f>IF(ISERROR(VLOOKUP($U$624,'TAR FIN'!$A$1:$O$86,15,0)),0,VLOOKUP($U$624,'TAR FIN'!$A$1:$O$86,15,0))</f>
        <v>172.98</v>
      </c>
      <c r="Y624" s="6"/>
      <c r="Z624" s="6">
        <f ca="1">('TUSD BE'!$AM$50+'TUSD BF_350'!$AM$50+'TUSD CVA'!$AM$50)*1</f>
        <v>172.65262593599786</v>
      </c>
      <c r="AA624" s="6">
        <f ca="1">('TE BE'!$AB$42+'TE BF_350'!$AB$42+'TE CVA'!$AB$42)*1</f>
        <v>136.89295782179195</v>
      </c>
      <c r="AB624" s="6">
        <f>$K$624*$V$624</f>
        <v>0</v>
      </c>
      <c r="AC624" s="6">
        <f>$M$624*$W$624</f>
        <v>75201.714559999993</v>
      </c>
      <c r="AD624" s="6">
        <f>$O$624*$X$624</f>
        <v>72333.143819999998</v>
      </c>
      <c r="AE624" s="6">
        <f>$K$624*$Y$624</f>
        <v>0</v>
      </c>
      <c r="AF624" s="6">
        <f ca="1">$M$624*$Z$624</f>
        <v>72196.249408770935</v>
      </c>
      <c r="AG624" s="6">
        <f ca="1">$O$624*$AA$624</f>
        <v>57243.022349802697</v>
      </c>
    </row>
    <row r="625" spans="1:33" ht="11.25" customHeight="1" x14ac:dyDescent="0.25">
      <c r="A625" s="4" t="s">
        <v>21</v>
      </c>
      <c r="B625" s="4" t="s">
        <v>45</v>
      </c>
      <c r="C625" s="4" t="s">
        <v>23</v>
      </c>
      <c r="D625" s="4" t="s">
        <v>46</v>
      </c>
      <c r="E625" s="4" t="s">
        <v>47</v>
      </c>
      <c r="F625" s="4" t="s">
        <v>25</v>
      </c>
      <c r="G625" s="4" t="s">
        <v>25</v>
      </c>
      <c r="H625" s="4" t="s">
        <v>25</v>
      </c>
      <c r="I625" s="5">
        <v>44593</v>
      </c>
      <c r="J625" s="6">
        <v>0</v>
      </c>
      <c r="K625" s="6">
        <v>0</v>
      </c>
      <c r="L625" s="6">
        <v>380.358</v>
      </c>
      <c r="M625" s="6">
        <v>380.358</v>
      </c>
      <c r="N625" s="6">
        <v>380.358</v>
      </c>
      <c r="O625" s="6">
        <v>380.358</v>
      </c>
      <c r="P625" s="6">
        <v>4</v>
      </c>
      <c r="Q625" s="4" t="s">
        <v>26</v>
      </c>
      <c r="R625" s="4">
        <v>0</v>
      </c>
      <c r="S625" s="6">
        <v>0</v>
      </c>
      <c r="T625" s="6">
        <v>74</v>
      </c>
      <c r="U625" s="6">
        <v>59</v>
      </c>
      <c r="V625" s="6">
        <f>IF(ISERROR(VLOOKUP($S$625,'TAR FIN'!$A$1:$O$86,15,0)),0,VLOOKUP($S$625,'TAR FIN'!$A$1:$O$86,15,0))</f>
        <v>0</v>
      </c>
      <c r="W625" s="6">
        <f>IF(ISERROR(VLOOKUP($T$625,'TAR FIN'!$A$1:$O$86,15,0)),0,VLOOKUP($T$625,'TAR FIN'!$A$1:$O$86,15,0))</f>
        <v>179.84</v>
      </c>
      <c r="X625" s="6">
        <f>IF(ISERROR(VLOOKUP($U$625,'TAR FIN'!$A$1:$O$86,15,0)),0,VLOOKUP($U$625,'TAR FIN'!$A$1:$O$86,15,0))</f>
        <v>172.98</v>
      </c>
      <c r="Y625" s="6"/>
      <c r="Z625" s="6">
        <f ca="1">('TUSD BE'!$AM$50+'TUSD BF_350'!$AM$50+'TUSD CVA'!$AM$50)*1</f>
        <v>172.65262593599786</v>
      </c>
      <c r="AA625" s="6">
        <f ca="1">('TE BE'!$AB$42+'TE BF_350'!$AB$42+'TE CVA'!$AB$42)*1</f>
        <v>136.89295782179195</v>
      </c>
      <c r="AB625" s="6">
        <f>$K$625*$V$625</f>
        <v>0</v>
      </c>
      <c r="AC625" s="6">
        <f>$M$625*$W$625</f>
        <v>68403.582720000006</v>
      </c>
      <c r="AD625" s="6">
        <f>$O$625*$X$625</f>
        <v>65794.326839999994</v>
      </c>
      <c r="AE625" s="6">
        <f>$K$625*$Y$625</f>
        <v>0</v>
      </c>
      <c r="AF625" s="6">
        <f ca="1">$M$625*$Z$625</f>
        <v>65669.807495764282</v>
      </c>
      <c r="AG625" s="6">
        <f ca="1">$O$625*$AA$625</f>
        <v>52068.331651181143</v>
      </c>
    </row>
    <row r="626" spans="1:33" ht="11.25" customHeight="1" x14ac:dyDescent="0.25">
      <c r="A626" s="4" t="s">
        <v>21</v>
      </c>
      <c r="B626" s="4" t="s">
        <v>45</v>
      </c>
      <c r="C626" s="4" t="s">
        <v>23</v>
      </c>
      <c r="D626" s="4" t="s">
        <v>46</v>
      </c>
      <c r="E626" s="4" t="s">
        <v>47</v>
      </c>
      <c r="F626" s="4" t="s">
        <v>25</v>
      </c>
      <c r="G626" s="4" t="s">
        <v>25</v>
      </c>
      <c r="H626" s="4" t="s">
        <v>25</v>
      </c>
      <c r="I626" s="5">
        <v>44621</v>
      </c>
      <c r="J626" s="6">
        <v>0</v>
      </c>
      <c r="K626" s="6">
        <v>0</v>
      </c>
      <c r="L626" s="6">
        <v>423.27</v>
      </c>
      <c r="M626" s="6">
        <v>423.27</v>
      </c>
      <c r="N626" s="6">
        <v>423.27</v>
      </c>
      <c r="O626" s="6">
        <v>423.27</v>
      </c>
      <c r="P626" s="6">
        <v>4</v>
      </c>
      <c r="Q626" s="4" t="s">
        <v>26</v>
      </c>
      <c r="R626" s="4">
        <v>0</v>
      </c>
      <c r="S626" s="6">
        <v>0</v>
      </c>
      <c r="T626" s="6">
        <v>74</v>
      </c>
      <c r="U626" s="6">
        <v>59</v>
      </c>
      <c r="V626" s="6">
        <f>IF(ISERROR(VLOOKUP($S$626,'TAR FIN'!$A$1:$O$86,15,0)),0,VLOOKUP($S$626,'TAR FIN'!$A$1:$O$86,15,0))</f>
        <v>0</v>
      </c>
      <c r="W626" s="6">
        <f>IF(ISERROR(VLOOKUP($T$626,'TAR FIN'!$A$1:$O$86,15,0)),0,VLOOKUP($T$626,'TAR FIN'!$A$1:$O$86,15,0))</f>
        <v>179.84</v>
      </c>
      <c r="X626" s="6">
        <f>IF(ISERROR(VLOOKUP($U$626,'TAR FIN'!$A$1:$O$86,15,0)),0,VLOOKUP($U$626,'TAR FIN'!$A$1:$O$86,15,0))</f>
        <v>172.98</v>
      </c>
      <c r="Y626" s="6"/>
      <c r="Z626" s="6">
        <f ca="1">('TUSD BE'!$AM$50+'TUSD BF_350'!$AM$50+'TUSD CVA'!$AM$50)*1</f>
        <v>172.65262593599786</v>
      </c>
      <c r="AA626" s="6">
        <f ca="1">('TE BE'!$AB$42+'TE BF_350'!$AB$42+'TE CVA'!$AB$42)*1</f>
        <v>136.89295782179195</v>
      </c>
      <c r="AB626" s="6">
        <f>$K$626*$V$626</f>
        <v>0</v>
      </c>
      <c r="AC626" s="6">
        <f>$M$626*$W$626</f>
        <v>76120.876799999998</v>
      </c>
      <c r="AD626" s="6">
        <f>$O$626*$X$626</f>
        <v>73217.244599999991</v>
      </c>
      <c r="AE626" s="6">
        <f>$K$626*$Y$626</f>
        <v>0</v>
      </c>
      <c r="AF626" s="6">
        <f ca="1">$M$626*$Z$626</f>
        <v>73078.676979929805</v>
      </c>
      <c r="AG626" s="6">
        <f ca="1">$O$626*$AA$626</f>
        <v>57942.682257229877</v>
      </c>
    </row>
    <row r="627" spans="1:33" ht="11.25" customHeight="1" x14ac:dyDescent="0.25">
      <c r="A627" s="4" t="s">
        <v>21</v>
      </c>
      <c r="B627" s="4" t="s">
        <v>45</v>
      </c>
      <c r="C627" s="4" t="s">
        <v>23</v>
      </c>
      <c r="D627" s="4" t="s">
        <v>46</v>
      </c>
      <c r="E627" s="4" t="s">
        <v>47</v>
      </c>
      <c r="F627" s="4" t="s">
        <v>25</v>
      </c>
      <c r="G627" s="4" t="s">
        <v>25</v>
      </c>
      <c r="H627" s="4" t="s">
        <v>25</v>
      </c>
      <c r="I627" s="5">
        <v>44652</v>
      </c>
      <c r="J627" s="6">
        <v>0</v>
      </c>
      <c r="K627" s="6">
        <v>0</v>
      </c>
      <c r="L627" s="6">
        <v>393.06099999999998</v>
      </c>
      <c r="M627" s="6">
        <v>393.06099999999998</v>
      </c>
      <c r="N627" s="6">
        <v>393.06099999999998</v>
      </c>
      <c r="O627" s="6">
        <v>393.06099999999998</v>
      </c>
      <c r="P627" s="6">
        <v>4</v>
      </c>
      <c r="Q627" s="4" t="s">
        <v>26</v>
      </c>
      <c r="R627" s="4">
        <v>0</v>
      </c>
      <c r="S627" s="6">
        <v>0</v>
      </c>
      <c r="T627" s="6">
        <v>74</v>
      </c>
      <c r="U627" s="6">
        <v>59</v>
      </c>
      <c r="V627" s="6">
        <f>IF(ISERROR(VLOOKUP($S$627,'TAR FIN'!$A$1:$O$86,15,0)),0,VLOOKUP($S$627,'TAR FIN'!$A$1:$O$86,15,0))</f>
        <v>0</v>
      </c>
      <c r="W627" s="6">
        <f>IF(ISERROR(VLOOKUP($T$627,'TAR FIN'!$A$1:$O$86,15,0)),0,VLOOKUP($T$627,'TAR FIN'!$A$1:$O$86,15,0))</f>
        <v>179.84</v>
      </c>
      <c r="X627" s="6">
        <f>IF(ISERROR(VLOOKUP($U$627,'TAR FIN'!$A$1:$O$86,15,0)),0,VLOOKUP($U$627,'TAR FIN'!$A$1:$O$86,15,0))</f>
        <v>172.98</v>
      </c>
      <c r="Y627" s="6"/>
      <c r="Z627" s="6">
        <f ca="1">('TUSD BE'!$AM$50+'TUSD BF_350'!$AM$50+'TUSD CVA'!$AM$50)*1</f>
        <v>172.65262593599786</v>
      </c>
      <c r="AA627" s="6">
        <f ca="1">('TE BE'!$AB$42+'TE BF_350'!$AB$42+'TE CVA'!$AB$42)*1</f>
        <v>136.89295782179195</v>
      </c>
      <c r="AB627" s="6">
        <f>$K$627*$V$627</f>
        <v>0</v>
      </c>
      <c r="AC627" s="6">
        <f>$M$627*$W$627</f>
        <v>70688.09023999999</v>
      </c>
      <c r="AD627" s="6">
        <f>$O$627*$X$627</f>
        <v>67991.691779999994</v>
      </c>
      <c r="AE627" s="6">
        <f>$K$627*$Y$627</f>
        <v>0</v>
      </c>
      <c r="AF627" s="6">
        <f ca="1">$M$627*$Z$627</f>
        <v>67863.013803029258</v>
      </c>
      <c r="AG627" s="6">
        <f ca="1">$O$627*$AA$627</f>
        <v>53807.282894391363</v>
      </c>
    </row>
    <row r="628" spans="1:33" ht="11.25" customHeight="1" x14ac:dyDescent="0.25">
      <c r="A628" s="4" t="s">
        <v>21</v>
      </c>
      <c r="B628" s="4" t="s">
        <v>45</v>
      </c>
      <c r="C628" s="4" t="s">
        <v>23</v>
      </c>
      <c r="D628" s="4" t="s">
        <v>46</v>
      </c>
      <c r="E628" s="4" t="s">
        <v>47</v>
      </c>
      <c r="F628" s="4" t="s">
        <v>25</v>
      </c>
      <c r="G628" s="4" t="s">
        <v>25</v>
      </c>
      <c r="H628" s="4" t="s">
        <v>25</v>
      </c>
      <c r="I628" s="5">
        <v>44682</v>
      </c>
      <c r="J628" s="6">
        <v>0</v>
      </c>
      <c r="K628" s="6">
        <v>0</v>
      </c>
      <c r="L628" s="6">
        <v>406.755</v>
      </c>
      <c r="M628" s="6">
        <v>406.755</v>
      </c>
      <c r="N628" s="6">
        <v>406.755</v>
      </c>
      <c r="O628" s="6">
        <v>406.755</v>
      </c>
      <c r="P628" s="6">
        <v>4</v>
      </c>
      <c r="Q628" s="4" t="s">
        <v>26</v>
      </c>
      <c r="R628" s="4">
        <v>0</v>
      </c>
      <c r="S628" s="6">
        <v>0</v>
      </c>
      <c r="T628" s="6">
        <v>74</v>
      </c>
      <c r="U628" s="6">
        <v>59</v>
      </c>
      <c r="V628" s="6">
        <f>IF(ISERROR(VLOOKUP($S$628,'TAR FIN'!$A$1:$O$86,15,0)),0,VLOOKUP($S$628,'TAR FIN'!$A$1:$O$86,15,0))</f>
        <v>0</v>
      </c>
      <c r="W628" s="6">
        <f>IF(ISERROR(VLOOKUP($T$628,'TAR FIN'!$A$1:$O$86,15,0)),0,VLOOKUP($T$628,'TAR FIN'!$A$1:$O$86,15,0))</f>
        <v>179.84</v>
      </c>
      <c r="X628" s="6">
        <f>IF(ISERROR(VLOOKUP($U$628,'TAR FIN'!$A$1:$O$86,15,0)),0,VLOOKUP($U$628,'TAR FIN'!$A$1:$O$86,15,0))</f>
        <v>172.98</v>
      </c>
      <c r="Y628" s="6"/>
      <c r="Z628" s="6">
        <f ca="1">('TUSD BE'!$AM$50+'TUSD BF_350'!$AM$50+'TUSD CVA'!$AM$50)*1</f>
        <v>172.65262593599786</v>
      </c>
      <c r="AA628" s="6">
        <f ca="1">('TE BE'!$AB$42+'TE BF_350'!$AB$42+'TE CVA'!$AB$42)*1</f>
        <v>136.89295782179195</v>
      </c>
      <c r="AB628" s="6">
        <f>$K$628*$V$628</f>
        <v>0</v>
      </c>
      <c r="AC628" s="6">
        <f>$M$628*$W$628</f>
        <v>73150.819199999998</v>
      </c>
      <c r="AD628" s="6">
        <f>$O$628*$X$628</f>
        <v>70360.479899999991</v>
      </c>
      <c r="AE628" s="6">
        <f>$K$628*$Y$628</f>
        <v>0</v>
      </c>
      <c r="AF628" s="6">
        <f ca="1">$M$628*$Z$628</f>
        <v>70227.318862596803</v>
      </c>
      <c r="AG628" s="6">
        <f ca="1">$O$628*$AA$628</f>
        <v>55681.895058802984</v>
      </c>
    </row>
    <row r="629" spans="1:33" ht="11.25" customHeight="1" x14ac:dyDescent="0.25">
      <c r="A629" s="4" t="s">
        <v>55</v>
      </c>
      <c r="B629" s="4" t="s">
        <v>45</v>
      </c>
      <c r="C629" s="4" t="s">
        <v>23</v>
      </c>
      <c r="D629" s="4" t="s">
        <v>46</v>
      </c>
      <c r="E629" s="4" t="s">
        <v>47</v>
      </c>
      <c r="F629" s="4" t="s">
        <v>25</v>
      </c>
      <c r="G629" s="4" t="s">
        <v>25</v>
      </c>
      <c r="H629" s="4" t="s">
        <v>25</v>
      </c>
      <c r="I629" s="5">
        <v>44713</v>
      </c>
      <c r="J629" s="6">
        <v>0</v>
      </c>
      <c r="K629" s="6">
        <v>0</v>
      </c>
      <c r="L629" s="6">
        <v>406.755</v>
      </c>
      <c r="M629" s="6">
        <v>406.755</v>
      </c>
      <c r="N629" s="6">
        <v>406.755</v>
      </c>
      <c r="O629" s="6">
        <v>406.755</v>
      </c>
      <c r="P629" s="6">
        <v>4</v>
      </c>
      <c r="Q629" s="4" t="s">
        <v>26</v>
      </c>
      <c r="R629" s="4">
        <v>0</v>
      </c>
      <c r="S629" s="6">
        <v>0</v>
      </c>
      <c r="T629" s="6">
        <v>74</v>
      </c>
      <c r="U629" s="6">
        <v>59</v>
      </c>
      <c r="V629" s="6">
        <f>IF(ISERROR(VLOOKUP($S$629,'TAR FIN'!$A$1:$O$86,15,0)),0,VLOOKUP($S$629,'TAR FIN'!$A$1:$O$86,15,0))</f>
        <v>0</v>
      </c>
      <c r="W629" s="6">
        <f>IF(ISERROR(VLOOKUP($T$629,'TAR FIN'!$A$1:$O$86,15,0)),0,VLOOKUP($T$629,'TAR FIN'!$A$1:$O$86,15,0))</f>
        <v>179.84</v>
      </c>
      <c r="X629" s="6">
        <f>IF(ISERROR(VLOOKUP($U$629,'TAR FIN'!$A$1:$O$86,15,0)),0,VLOOKUP($U$629,'TAR FIN'!$A$1:$O$86,15,0))</f>
        <v>172.98</v>
      </c>
      <c r="Y629" s="6"/>
      <c r="Z629" s="6">
        <f ca="1">('TUSD BE'!$AM$50+'TUSD BF_350'!$AM$50+'TUSD CVA'!$AM$50)*1</f>
        <v>172.65262593599786</v>
      </c>
      <c r="AA629" s="6">
        <f ca="1">('TE BE'!$AB$42+'TE BF_350'!$AB$42+'TE CVA'!$AB$42)*1</f>
        <v>136.89295782179195</v>
      </c>
      <c r="AB629" s="6">
        <f>$K$629*$V$629</f>
        <v>0</v>
      </c>
      <c r="AC629" s="6">
        <f>$M$629*$W$629</f>
        <v>73150.819199999998</v>
      </c>
      <c r="AD629" s="6">
        <f>$O$629*$X$629</f>
        <v>70360.479899999991</v>
      </c>
      <c r="AE629" s="6">
        <f>$K$629*$Y$629</f>
        <v>0</v>
      </c>
      <c r="AF629" s="6">
        <f ca="1">$M$629*$Z$629</f>
        <v>70227.318862596803</v>
      </c>
      <c r="AG629" s="6">
        <f ca="1">$O$629*$AA$629</f>
        <v>55681.895058802984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C4810-89AA-4BC9-BE9D-05C7F8EC5AC2}">
  <sheetPr codeName="Planilha22">
    <tabColor indexed="12" tint="-0.249977111117893"/>
  </sheetPr>
  <dimension ref="B1:AB20"/>
  <sheetViews>
    <sheetView topLeftCell="A10" workbookViewId="0">
      <selection activeCell="F21" sqref="F21"/>
    </sheetView>
  </sheetViews>
  <sheetFormatPr defaultRowHeight="15" x14ac:dyDescent="0.25"/>
  <cols>
    <col min="2" max="2" width="15.85546875" bestFit="1" customWidth="1"/>
    <col min="3" max="3" width="11.7109375" bestFit="1" customWidth="1"/>
    <col min="4" max="4" width="13.28515625" bestFit="1" customWidth="1"/>
    <col min="5" max="5" width="11.140625" bestFit="1" customWidth="1"/>
    <col min="6" max="6" width="19" bestFit="1" customWidth="1"/>
    <col min="7" max="7" width="17" bestFit="1" customWidth="1"/>
    <col min="8" max="8" width="34" bestFit="1" customWidth="1"/>
    <col min="9" max="9" width="16.85546875" bestFit="1" customWidth="1"/>
    <col min="10" max="10" width="33.85546875" bestFit="1" customWidth="1"/>
    <col min="28" max="28" width="8" bestFit="1" customWidth="1"/>
  </cols>
  <sheetData>
    <row r="1" spans="2:28" x14ac:dyDescent="0.25">
      <c r="AA1" t="s">
        <v>1082</v>
      </c>
      <c r="AB1">
        <v>1000042</v>
      </c>
    </row>
    <row r="2" spans="2:28" x14ac:dyDescent="0.25">
      <c r="AA2" t="s">
        <v>1083</v>
      </c>
      <c r="AB2">
        <v>2022</v>
      </c>
    </row>
    <row r="3" spans="2:28" x14ac:dyDescent="0.25">
      <c r="AA3" t="s">
        <v>605</v>
      </c>
      <c r="AB3">
        <v>1</v>
      </c>
    </row>
    <row r="4" spans="2:28" ht="15.75" thickBot="1" x14ac:dyDescent="0.3">
      <c r="B4" s="31" t="s">
        <v>522</v>
      </c>
      <c r="C4" s="31" t="s">
        <v>68</v>
      </c>
      <c r="D4" s="31" t="s">
        <v>69</v>
      </c>
      <c r="E4" s="31" t="s">
        <v>74</v>
      </c>
      <c r="F4" s="31" t="s">
        <v>1084</v>
      </c>
      <c r="G4" s="31" t="s">
        <v>1085</v>
      </c>
      <c r="H4" s="31" t="s">
        <v>1086</v>
      </c>
      <c r="I4" s="31" t="s">
        <v>1087</v>
      </c>
      <c r="J4" s="31" t="s">
        <v>1088</v>
      </c>
    </row>
    <row r="5" spans="2:28" x14ac:dyDescent="0.25">
      <c r="B5" s="34" t="s">
        <v>483</v>
      </c>
      <c r="C5" s="35" t="s">
        <v>38</v>
      </c>
      <c r="D5" s="35" t="s">
        <v>50</v>
      </c>
      <c r="E5" s="35" t="s">
        <v>1089</v>
      </c>
      <c r="F5" s="38">
        <f>SUMIFS(Mercado_Receita!J:J,Mercado_Receita!B:B,"=A4",Mercado_Receita!C:C,"=AZUL",Mercado_Receita!H:H,"=Ponta")</f>
        <v>2940</v>
      </c>
      <c r="G5" s="38">
        <f ca="1">ROUND('TUSD BE'!$AM$5+'TUSD BF'!$AM$5+'TUSD CVA'!$AM$5,2)</f>
        <v>21.87</v>
      </c>
      <c r="H5" s="38">
        <v>47.94</v>
      </c>
      <c r="I5" s="38">
        <f t="shared" ref="I5:I14" ca="1" si="0">F5*G5</f>
        <v>64297.8</v>
      </c>
      <c r="J5" s="39">
        <f t="shared" ref="J5:J14" si="1">F5*H5</f>
        <v>140943.6</v>
      </c>
    </row>
    <row r="6" spans="2:28" x14ac:dyDescent="0.25">
      <c r="B6" s="32" t="s">
        <v>483</v>
      </c>
      <c r="C6" s="81" t="s">
        <v>38</v>
      </c>
      <c r="D6" s="81" t="s">
        <v>50</v>
      </c>
      <c r="E6" s="81" t="s">
        <v>1090</v>
      </c>
      <c r="F6" s="104">
        <f>SUMIFS(Mercado_Receita!J:J,Mercado_Receita!B:B,"=A4",Mercado_Receita!C:C,"=AZUL",Mercado_Receita!H:H,"=Fora Ponta")</f>
        <v>2940</v>
      </c>
      <c r="G6" s="104">
        <f ca="1">ROUND('TUSD BE'!$AM$6+'TUSD BF'!$AM$6+'TUSD CVA'!$AM$6,2)</f>
        <v>21.14</v>
      </c>
      <c r="H6" s="104">
        <v>32.31</v>
      </c>
      <c r="I6" s="104">
        <f t="shared" ca="1" si="0"/>
        <v>62151.6</v>
      </c>
      <c r="J6" s="40">
        <f t="shared" si="1"/>
        <v>94991.400000000009</v>
      </c>
    </row>
    <row r="7" spans="2:28" x14ac:dyDescent="0.25">
      <c r="B7" s="32" t="s">
        <v>483</v>
      </c>
      <c r="C7" s="81" t="s">
        <v>38</v>
      </c>
      <c r="D7" s="81" t="s">
        <v>50</v>
      </c>
      <c r="E7" s="81" t="s">
        <v>11</v>
      </c>
      <c r="F7" s="104">
        <f>SUMIFS(Mercado_Receita!L:L,Mercado_Receita!B:B,"=A4",Mercado_Receita!C:C,"=AZUL",Mercado_Receita!H:H,"&lt;&gt;Não se aplica",Mercado_Receita!Q:Q,"=Cativo")+SUMIFS(Mercado_Receita!L:L,Mercado_Receita!B:B,"=A4",Mercado_Receita!C:C,"=AZUL",Mercado_Receita!Q:Q,"=Livre")</f>
        <v>1433.7980000000002</v>
      </c>
      <c r="G7" s="104">
        <f ca="1">ROUND('TUSD BE'!$AM$7+'TUSD BF'!$AM$7+'TUSD CVA'!$AM$7,2)</f>
        <v>95.82</v>
      </c>
      <c r="H7" s="104">
        <v>116.79</v>
      </c>
      <c r="I7" s="104">
        <f t="shared" ca="1" si="0"/>
        <v>137386.52436000001</v>
      </c>
      <c r="J7" s="40">
        <f t="shared" si="1"/>
        <v>167453.26842000004</v>
      </c>
    </row>
    <row r="8" spans="2:28" x14ac:dyDescent="0.25">
      <c r="B8" s="32" t="s">
        <v>511</v>
      </c>
      <c r="C8" s="81" t="s">
        <v>38</v>
      </c>
      <c r="D8" s="81" t="s">
        <v>50</v>
      </c>
      <c r="E8" s="81" t="s">
        <v>1091</v>
      </c>
      <c r="F8" s="104">
        <f>SUMIFS(Mercado_Receita!N:N,Mercado_Receita!B:B,"=A4",Mercado_Receita!C:C,"=AZUL",Mercado_Receita!H:H,"=Ponta",Mercado_Receita!Q:Q,"=Cativo")</f>
        <v>135.45399999999998</v>
      </c>
      <c r="G8" s="104">
        <f>ROUND('TE BE'!$AB$5+'TE BF'!$AB$5+'TE CVA'!$AB$5,2)</f>
        <v>398.02</v>
      </c>
      <c r="H8" s="104">
        <v>393.63</v>
      </c>
      <c r="I8" s="104">
        <f t="shared" si="0"/>
        <v>53913.401079999989</v>
      </c>
      <c r="J8" s="40">
        <f t="shared" si="1"/>
        <v>53318.758019999994</v>
      </c>
    </row>
    <row r="9" spans="2:28" ht="15.75" thickBot="1" x14ac:dyDescent="0.3">
      <c r="B9" s="33" t="s">
        <v>511</v>
      </c>
      <c r="C9" s="80" t="s">
        <v>38</v>
      </c>
      <c r="D9" s="80" t="s">
        <v>50</v>
      </c>
      <c r="E9" s="80" t="s">
        <v>1092</v>
      </c>
      <c r="F9" s="105">
        <f>SUMIFS(Mercado_Receita!N:N,Mercado_Receita!B:B,"=A4",Mercado_Receita!C:C,"=AZUL",Mercado_Receita!H:H,"=Fora Ponta",Mercado_Receita!Q:Q,"=Cativo")</f>
        <v>1298.3439999999998</v>
      </c>
      <c r="G9" s="105">
        <f>ROUND('TE BE'!$AB$6+'TE BF'!$AB$6+'TE CVA'!$AB$6,2)</f>
        <v>235.34</v>
      </c>
      <c r="H9" s="105">
        <v>249.61</v>
      </c>
      <c r="I9" s="105">
        <f t="shared" si="0"/>
        <v>305552.27695999999</v>
      </c>
      <c r="J9" s="44">
        <f t="shared" si="1"/>
        <v>324079.64583999995</v>
      </c>
    </row>
    <row r="10" spans="2:28" x14ac:dyDescent="0.25">
      <c r="B10" s="34" t="s">
        <v>483</v>
      </c>
      <c r="C10" s="35" t="s">
        <v>38</v>
      </c>
      <c r="D10" s="35" t="s">
        <v>39</v>
      </c>
      <c r="E10" s="35" t="s">
        <v>9</v>
      </c>
      <c r="F10" s="38">
        <f>SUMIFS(Mercado_Receita!J:J,Mercado_Receita!B:B,"=A4",Mercado_Receita!C:C,"=VERDE",Mercado_Receita!H:H,"=Não se aplica")</f>
        <v>252451</v>
      </c>
      <c r="G10" s="38">
        <f ca="1">ROUND('TUSD BE'!$AM$10+'TUSD BF'!$AM$10+'TUSD CVA'!$AM$10,2)</f>
        <v>21.14</v>
      </c>
      <c r="H10" s="38">
        <v>32.31</v>
      </c>
      <c r="I10" s="38">
        <f t="shared" ca="1" si="0"/>
        <v>5336814.1400000006</v>
      </c>
      <c r="J10" s="39">
        <f t="shared" si="1"/>
        <v>8156691.8100000005</v>
      </c>
    </row>
    <row r="11" spans="2:28" x14ac:dyDescent="0.25">
      <c r="B11" s="32" t="s">
        <v>483</v>
      </c>
      <c r="C11" s="81" t="s">
        <v>38</v>
      </c>
      <c r="D11" s="81" t="s">
        <v>39</v>
      </c>
      <c r="E11" s="81" t="s">
        <v>1093</v>
      </c>
      <c r="F11" s="104">
        <f>SUMIFS(Mercado_Receita!L:L,Mercado_Receita!B:B,"=A4",Mercado_Receita!C:C,"=VERDE",Mercado_Receita!H:H,"=Ponta")</f>
        <v>6165.0579999999991</v>
      </c>
      <c r="G11" s="104">
        <f ca="1">ROUND('TUSD BE'!$AM$11+'TUSD BF'!$AM$11+'TUSD CVA'!$AM$11,2)</f>
        <v>625.66999999999996</v>
      </c>
      <c r="H11" s="104">
        <v>1283.23</v>
      </c>
      <c r="I11" s="104">
        <f t="shared" ca="1" si="0"/>
        <v>3857291.8388599991</v>
      </c>
      <c r="J11" s="40">
        <f t="shared" si="1"/>
        <v>7911187.3773399992</v>
      </c>
    </row>
    <row r="12" spans="2:28" x14ac:dyDescent="0.25">
      <c r="B12" s="32" t="s">
        <v>483</v>
      </c>
      <c r="C12" s="81" t="s">
        <v>38</v>
      </c>
      <c r="D12" s="81" t="s">
        <v>39</v>
      </c>
      <c r="E12" s="81" t="s">
        <v>1094</v>
      </c>
      <c r="F12" s="104">
        <f>SUMIFS(Mercado_Receita!L:L,Mercado_Receita!B:B,"=A4",Mercado_Receita!C:C,"=VERDE",Mercado_Receita!H:H,"=Fora Ponta")</f>
        <v>60495.598999999995</v>
      </c>
      <c r="G12" s="104">
        <f ca="1">ROUND('TUSD BE'!$AM$12+'TUSD BF'!$AM$12+'TUSD CVA'!$AM$12,2)</f>
        <v>95.82</v>
      </c>
      <c r="H12" s="104">
        <v>116.79</v>
      </c>
      <c r="I12" s="104">
        <f t="shared" ca="1" si="0"/>
        <v>5796688.2961799987</v>
      </c>
      <c r="J12" s="40">
        <f t="shared" si="1"/>
        <v>7065281.0072099995</v>
      </c>
    </row>
    <row r="13" spans="2:28" x14ac:dyDescent="0.25">
      <c r="B13" s="32" t="s">
        <v>511</v>
      </c>
      <c r="C13" s="81" t="s">
        <v>38</v>
      </c>
      <c r="D13" s="81" t="s">
        <v>39</v>
      </c>
      <c r="E13" s="81" t="s">
        <v>1091</v>
      </c>
      <c r="F13" s="104">
        <f>SUMIFS(Mercado_Receita!N:N,Mercado_Receita!B:B,"=A4",Mercado_Receita!C:C,"=VERDE",Mercado_Receita!H:H,"=Ponta",Mercado_Receita!Q:Q,"=Cativo")</f>
        <v>1088.1880000000003</v>
      </c>
      <c r="G13" s="104">
        <f>ROUND('TE BE'!$AB$5+'TE BF'!$AB$5+'TE CVA'!$AB$5,2)</f>
        <v>398.02</v>
      </c>
      <c r="H13" s="104">
        <v>393.63</v>
      </c>
      <c r="I13" s="104">
        <f t="shared" si="0"/>
        <v>433120.58776000008</v>
      </c>
      <c r="J13" s="40">
        <f t="shared" si="1"/>
        <v>428343.44244000013</v>
      </c>
    </row>
    <row r="14" spans="2:28" ht="15.75" thickBot="1" x14ac:dyDescent="0.3">
      <c r="B14" s="36" t="s">
        <v>511</v>
      </c>
      <c r="C14" s="37" t="s">
        <v>38</v>
      </c>
      <c r="D14" s="37" t="s">
        <v>39</v>
      </c>
      <c r="E14" s="37" t="s">
        <v>1092</v>
      </c>
      <c r="F14" s="41">
        <f>SUMIFS(Mercado_Receita!N:N,Mercado_Receita!B:B,"=A4",Mercado_Receita!C:C,"=VERDE",Mercado_Receita!H:H,"=Fora Ponta",Mercado_Receita!Q:Q,"=Cativo")</f>
        <v>13836.616999999995</v>
      </c>
      <c r="G14" s="41">
        <f>ROUND('TE BE'!$AB$6+'TE BF'!$AB$6+'TE CVA'!$AB$6,2)</f>
        <v>235.34</v>
      </c>
      <c r="H14" s="41">
        <v>249.61</v>
      </c>
      <c r="I14" s="41">
        <f t="shared" si="0"/>
        <v>3256309.4447799986</v>
      </c>
      <c r="J14" s="42">
        <f t="shared" si="1"/>
        <v>3453757.9693699987</v>
      </c>
    </row>
    <row r="16" spans="2:28" ht="15.75" thickBot="1" x14ac:dyDescent="0.3">
      <c r="D16" t="s">
        <v>1095</v>
      </c>
      <c r="E16" t="s">
        <v>1096</v>
      </c>
      <c r="F16" t="s">
        <v>1097</v>
      </c>
      <c r="G16" t="s">
        <v>1098</v>
      </c>
    </row>
    <row r="17" spans="2:7" ht="15.75" thickBot="1" x14ac:dyDescent="0.3">
      <c r="B17" t="s">
        <v>1099</v>
      </c>
      <c r="C17" s="45" t="s">
        <v>38</v>
      </c>
      <c r="D17" s="50">
        <f ca="1">SUMIFS($I$5:$I$14,$C$5:$C$14,C17,$B$5:$B$14,"TUSD")/(SUMIFS($F$5:$F$14,$C$5:$C$14,C17,$B$5:$B$14,"TUSD",$E$5:$E$14,"TUSD_E")+SUMIFS($F$5:$F$14,$C$5:$C$14,C17,$B$5:$B$14,"TUSD",$E$5:$E$14,"TUSD_E P")+SUMIFS($F$5:$F$14,$C$5:$C$14,C17,$B$5:$B$14,"TUSD",$E$5:$E$14,"TUSD_E FP"))</f>
        <v>224.02162113493677</v>
      </c>
      <c r="E17" s="50">
        <f>SUMIFS($J$5:$J$14,$C$5:$C$14,C17,$B$5:$B$14,"TUSD")/(SUMIFS($F$5:$F$14,$C$5:$C$14,C17,$B$5:$B$14,"TUSD",$E$5:$E$14,"TUSD_E")+SUMIFS($F$5:$F$14,$C$5:$C$14,C17,$B$5:$B$14,"TUSD",$E$5:$E$14,"TUSD_E P")+SUMIFS($F$5:$F$14,$C$5:$C$14,C17,$B$5:$B$14,"TUSD",$E$5:$E$14,"TUSD_E FP"))</f>
        <v>345.64559570922478</v>
      </c>
      <c r="F17" s="43" t="str">
        <f ca="1">IF(AND(E17&lt;D17,NOT(ISERROR(_xlfn.XMATCH("AVALIAR " &amp;C17,$F$17:$F$20,2)))),"APLICAR","NÃO APLICAR")</f>
        <v>NÃO APLICAR</v>
      </c>
      <c r="G17" s="51">
        <f ca="1">IF(AND(E17&lt;D17,NOT(ISERROR(_xlfn.XMATCH("AVALIAR " &amp;C17,$F$17:$F$20,2)))),1,0)</f>
        <v>0</v>
      </c>
    </row>
    <row r="18" spans="2:7" ht="15.75" thickBot="1" x14ac:dyDescent="0.3">
      <c r="B18" t="s">
        <v>1100</v>
      </c>
      <c r="C18" s="45" t="s">
        <v>38</v>
      </c>
      <c r="D18" s="50">
        <f>IF((SUMIFS($F$5:$F$14,$C$5:$C$14,C18,$B$5:$B$14,"TE",$E$5:$E$14,"TE P")+SUMIFS($F$5:$F$14,$C$5:$C$14,C18,$B$5:$B$14,"TE",$E$5:$E$14,"TE FP") = 0),0,SUMIFS($I$5:$I$14,$C$5:$C$14,C18,$B$5:$B$14,"TE")/(SUMIFS($F$5:$F$14,$C$5:$C$14,C18,$B$5:$B$14,"TUSD",$E$5:$E$14,"TUSD_E")+SUMIFS($F$5:$F$14,$C$5:$C$14,C18,$B$5:$B$14,"TUSD",$E$5:$E$14,"TUSD_E P")+SUMIFS($F$5:$F$14,$C$5:$C$14,C18,$B$5:$B$14,"TUSD",$E$5:$E$14,"TUSD_E FP")))</f>
        <v>59.459991427789525</v>
      </c>
      <c r="E18" s="50">
        <f>IF((SUMIFS($F$5:$F$14,$C$5:$C$14,C18,$B$5:$B$14,"TE",$E$5:$E$14,"TE P")+SUMIFS($F$5:$F$14,$C$5:$C$14,C18,$B$5:$B$14,"TE",$E$5:$E$14,"TE FP") = 0),0,SUMIFS($J$5:$J$14,$C$5:$C$14,C18,$B$5:$B$14,"TE")/(SUMIFS($F$5:$F$14,$C$5:$C$14,C18,$B$5:$B$14,"TUSD",$E$5:$E$14,"TUSD_E")+SUMIFS($F$5:$F$14,$C$5:$C$14,C18,$B$5:$B$14,"TUSD",$E$5:$E$14,"TUSD_E P")+SUMIFS($F$5:$F$14,$C$5:$C$14,C18,$B$5:$B$14,"TUSD",$E$5:$E$14,"TUSD_E FP")))</f>
        <v>62.552814552521191</v>
      </c>
      <c r="F18" s="43" t="str">
        <f ca="1">IF(AND(E18&lt;D18,NOT(ISERROR(_xlfn.XMATCH("AVALIAR " &amp;C18,$F$17:$F$20,2)))),"APLICAR","NÃO APLICAR")</f>
        <v>NÃO APLICAR</v>
      </c>
      <c r="G18" s="51">
        <f ca="1">IF(AND(E18&lt;D18,NOT(ISERROR(_xlfn.XMATCH("AVALIAR " &amp;C18,$F$17:$F$20,2)))),1,0)</f>
        <v>0</v>
      </c>
    </row>
    <row r="19" spans="2:7" ht="15.75" thickBot="1" x14ac:dyDescent="0.3">
      <c r="B19" t="s">
        <v>1101</v>
      </c>
      <c r="C19" s="45" t="s">
        <v>38</v>
      </c>
      <c r="D19" s="50">
        <f ca="1">SUMIFS(D$17:D$18,C$17:C$18,C19)</f>
        <v>283.4816125627263</v>
      </c>
      <c r="E19" s="50">
        <f>SUMIFS(E$17:E$18,C$17:C$18,C19)</f>
        <v>408.19841026174595</v>
      </c>
      <c r="F19" s="43" t="str">
        <f ca="1">IF(E19&lt;D19,"AVALIAR "&amp;C19,"NÃO ALTERAR")</f>
        <v>NÃO ALTERAR</v>
      </c>
      <c r="G19" s="51">
        <f ca="1">IF(E19&lt;D19,1,0)</f>
        <v>0</v>
      </c>
    </row>
    <row r="20" spans="2:7" ht="15.75" thickBot="1" x14ac:dyDescent="0.3">
      <c r="B20" t="s">
        <v>1102</v>
      </c>
      <c r="C20" s="46" t="s">
        <v>1103</v>
      </c>
      <c r="D20" s="49">
        <f ca="1">ROUND('TE BE'!$AB$12+'TE BF'!$AB$12+'TE CVA'!$AB$12,2)+ROUND('TUSD BE'!$AM$20+'TUSD BF'!$AM$20+'TUSD CVA'!$AM$20,2)</f>
        <v>562.81000000000006</v>
      </c>
      <c r="E20" s="49">
        <v>699.16000000000008</v>
      </c>
      <c r="F20" s="47" t="str">
        <f ca="1">IF(D20&lt;=E20,"NÃO ALTERAR","AVALIAR TarB1")</f>
        <v>NÃO ALTERAR</v>
      </c>
      <c r="G20" s="48">
        <f ca="1">IF(E20&lt;D20,1,0)</f>
        <v>0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07086-0D5F-412F-A67E-2F42CB66E358}">
  <sheetPr codeName="Planilha20"/>
  <dimension ref="B1:U16"/>
  <sheetViews>
    <sheetView showGridLines="0" workbookViewId="0">
      <selection activeCell="U1" sqref="U1"/>
    </sheetView>
  </sheetViews>
  <sheetFormatPr defaultRowHeight="15" x14ac:dyDescent="0.25"/>
  <sheetData>
    <row r="1" spans="2:21" x14ac:dyDescent="0.25">
      <c r="B1" s="88" t="s">
        <v>682</v>
      </c>
      <c r="C1" s="88" t="s">
        <v>683</v>
      </c>
      <c r="D1" s="88" t="s">
        <v>684</v>
      </c>
      <c r="E1" s="88" t="s">
        <v>2</v>
      </c>
      <c r="F1" s="88" t="s">
        <v>685</v>
      </c>
      <c r="G1" s="88" t="s">
        <v>604</v>
      </c>
      <c r="H1" s="88" t="s">
        <v>3</v>
      </c>
      <c r="I1" s="88" t="s">
        <v>686</v>
      </c>
      <c r="J1" s="88" t="s">
        <v>5</v>
      </c>
      <c r="K1" s="88" t="s">
        <v>1</v>
      </c>
      <c r="L1" s="88" t="s">
        <v>687</v>
      </c>
      <c r="M1" s="88" t="s">
        <v>688</v>
      </c>
      <c r="N1" s="88" t="s">
        <v>689</v>
      </c>
      <c r="O1" s="88" t="s">
        <v>690</v>
      </c>
      <c r="P1" s="88" t="s">
        <v>691</v>
      </c>
      <c r="Q1" s="88" t="s">
        <v>692</v>
      </c>
      <c r="R1" s="88" t="s">
        <v>693</v>
      </c>
      <c r="S1" s="88" t="s">
        <v>694</v>
      </c>
      <c r="T1" s="88" t="s">
        <v>695</v>
      </c>
      <c r="U1" s="88" t="s">
        <v>696</v>
      </c>
    </row>
    <row r="2" spans="2:21" x14ac:dyDescent="0.25">
      <c r="B2" s="87" t="s">
        <v>663</v>
      </c>
      <c r="C2" s="87">
        <v>5537</v>
      </c>
      <c r="D2" s="87">
        <v>399</v>
      </c>
      <c r="E2" s="87" t="s">
        <v>23</v>
      </c>
      <c r="F2" s="87">
        <v>1</v>
      </c>
      <c r="G2" s="87" t="s">
        <v>664</v>
      </c>
      <c r="H2" s="87" t="s">
        <v>43</v>
      </c>
      <c r="I2" s="87" t="s">
        <v>25</v>
      </c>
      <c r="J2" s="87" t="s">
        <v>43</v>
      </c>
      <c r="K2" s="87" t="s">
        <v>42</v>
      </c>
      <c r="L2" s="87">
        <v>0.3</v>
      </c>
      <c r="M2" s="87">
        <v>0.24</v>
      </c>
      <c r="N2" s="87">
        <v>0.18</v>
      </c>
      <c r="O2" s="87">
        <v>0.12</v>
      </c>
      <c r="P2" s="87">
        <v>0.06</v>
      </c>
      <c r="Q2" s="87">
        <v>0</v>
      </c>
      <c r="R2" s="87"/>
      <c r="S2" s="87"/>
      <c r="T2" s="87"/>
      <c r="U2" s="87">
        <v>3</v>
      </c>
    </row>
    <row r="3" spans="2:21" x14ac:dyDescent="0.25">
      <c r="B3" s="87" t="s">
        <v>665</v>
      </c>
      <c r="C3" s="87">
        <v>6869</v>
      </c>
      <c r="D3" s="87">
        <v>399</v>
      </c>
      <c r="E3" s="87" t="s">
        <v>50</v>
      </c>
      <c r="F3" s="87">
        <v>1</v>
      </c>
      <c r="G3" s="87" t="s">
        <v>664</v>
      </c>
      <c r="H3" s="87" t="s">
        <v>43</v>
      </c>
      <c r="I3" s="87" t="s">
        <v>25</v>
      </c>
      <c r="J3" s="87" t="s">
        <v>666</v>
      </c>
      <c r="K3" s="87" t="s">
        <v>38</v>
      </c>
      <c r="L3" s="87">
        <v>0.1</v>
      </c>
      <c r="M3" s="87">
        <v>0.08</v>
      </c>
      <c r="N3" s="87">
        <v>0.06</v>
      </c>
      <c r="O3" s="87">
        <v>0.04</v>
      </c>
      <c r="P3" s="87">
        <v>0.02</v>
      </c>
      <c r="Q3" s="87">
        <v>0</v>
      </c>
      <c r="R3" s="87"/>
      <c r="S3" s="87"/>
      <c r="T3" s="87"/>
      <c r="U3" s="87">
        <v>3</v>
      </c>
    </row>
    <row r="4" spans="2:21" x14ac:dyDescent="0.25">
      <c r="B4" s="87" t="s">
        <v>667</v>
      </c>
      <c r="C4" s="87">
        <v>6870</v>
      </c>
      <c r="D4" s="87">
        <v>399</v>
      </c>
      <c r="E4" s="87" t="s">
        <v>39</v>
      </c>
      <c r="F4" s="87">
        <v>1</v>
      </c>
      <c r="G4" s="87" t="s">
        <v>664</v>
      </c>
      <c r="H4" s="87" t="s">
        <v>43</v>
      </c>
      <c r="I4" s="87" t="s">
        <v>25</v>
      </c>
      <c r="J4" s="87" t="s">
        <v>666</v>
      </c>
      <c r="K4" s="87" t="s">
        <v>38</v>
      </c>
      <c r="L4" s="87">
        <v>0.1</v>
      </c>
      <c r="M4" s="87">
        <v>0.08</v>
      </c>
      <c r="N4" s="87">
        <v>0.06</v>
      </c>
      <c r="O4" s="87">
        <v>0.04</v>
      </c>
      <c r="P4" s="87">
        <v>0.02</v>
      </c>
      <c r="Q4" s="87">
        <v>0</v>
      </c>
      <c r="R4" s="87"/>
      <c r="S4" s="87"/>
      <c r="T4" s="87"/>
      <c r="U4" s="87">
        <v>3</v>
      </c>
    </row>
    <row r="5" spans="2:21" x14ac:dyDescent="0.25">
      <c r="B5" s="87" t="s">
        <v>668</v>
      </c>
      <c r="C5" s="87">
        <v>6871</v>
      </c>
      <c r="D5" s="87">
        <v>399</v>
      </c>
      <c r="E5" s="87" t="s">
        <v>23</v>
      </c>
      <c r="F5" s="87">
        <v>1</v>
      </c>
      <c r="G5" s="87" t="s">
        <v>664</v>
      </c>
      <c r="H5" s="87" t="s">
        <v>43</v>
      </c>
      <c r="I5" s="87" t="s">
        <v>25</v>
      </c>
      <c r="J5" s="87" t="s">
        <v>666</v>
      </c>
      <c r="K5" s="87" t="s">
        <v>38</v>
      </c>
      <c r="L5" s="87">
        <v>0.1</v>
      </c>
      <c r="M5" s="87">
        <v>0.08</v>
      </c>
      <c r="N5" s="87">
        <v>0.06</v>
      </c>
      <c r="O5" s="87">
        <v>0.04</v>
      </c>
      <c r="P5" s="87">
        <v>0.02</v>
      </c>
      <c r="Q5" s="87">
        <v>0</v>
      </c>
      <c r="R5" s="87"/>
      <c r="S5" s="87"/>
      <c r="T5" s="87"/>
      <c r="U5" s="87">
        <v>3</v>
      </c>
    </row>
    <row r="6" spans="2:21" x14ac:dyDescent="0.25">
      <c r="B6" s="87" t="s">
        <v>669</v>
      </c>
      <c r="C6" s="87">
        <v>6872</v>
      </c>
      <c r="D6" s="87">
        <v>399</v>
      </c>
      <c r="E6" s="87" t="s">
        <v>50</v>
      </c>
      <c r="F6" s="87">
        <v>1</v>
      </c>
      <c r="G6" s="87" t="s">
        <v>664</v>
      </c>
      <c r="H6" s="87" t="s">
        <v>48</v>
      </c>
      <c r="I6" s="87" t="s">
        <v>49</v>
      </c>
      <c r="J6" s="87" t="s">
        <v>670</v>
      </c>
      <c r="K6" s="87" t="s">
        <v>38</v>
      </c>
      <c r="L6" s="87">
        <v>0.15</v>
      </c>
      <c r="M6" s="87">
        <v>0.12</v>
      </c>
      <c r="N6" s="87">
        <v>0.09</v>
      </c>
      <c r="O6" s="87">
        <v>0.06</v>
      </c>
      <c r="P6" s="87">
        <v>0.03</v>
      </c>
      <c r="Q6" s="87">
        <v>0</v>
      </c>
      <c r="R6" s="87"/>
      <c r="S6" s="87"/>
      <c r="T6" s="87"/>
      <c r="U6" s="87">
        <v>3</v>
      </c>
    </row>
    <row r="7" spans="2:21" x14ac:dyDescent="0.25">
      <c r="B7" s="87" t="s">
        <v>671</v>
      </c>
      <c r="C7" s="87">
        <v>6873</v>
      </c>
      <c r="D7" s="87">
        <v>399</v>
      </c>
      <c r="E7" s="87" t="s">
        <v>39</v>
      </c>
      <c r="F7" s="87">
        <v>1</v>
      </c>
      <c r="G7" s="87" t="s">
        <v>664</v>
      </c>
      <c r="H7" s="87" t="s">
        <v>48</v>
      </c>
      <c r="I7" s="87" t="s">
        <v>49</v>
      </c>
      <c r="J7" s="87" t="s">
        <v>670</v>
      </c>
      <c r="K7" s="87" t="s">
        <v>38</v>
      </c>
      <c r="L7" s="87">
        <v>0.15</v>
      </c>
      <c r="M7" s="87">
        <v>0.12</v>
      </c>
      <c r="N7" s="87">
        <v>0.09</v>
      </c>
      <c r="O7" s="87">
        <v>0.06</v>
      </c>
      <c r="P7" s="87">
        <v>0.03</v>
      </c>
      <c r="Q7" s="87">
        <v>0</v>
      </c>
      <c r="R7" s="87"/>
      <c r="S7" s="87"/>
      <c r="T7" s="87"/>
      <c r="U7" s="87">
        <v>3</v>
      </c>
    </row>
    <row r="8" spans="2:21" x14ac:dyDescent="0.25">
      <c r="B8" s="87" t="s">
        <v>672</v>
      </c>
      <c r="C8" s="87">
        <v>6874</v>
      </c>
      <c r="D8" s="87">
        <v>399</v>
      </c>
      <c r="E8" s="87" t="s">
        <v>673</v>
      </c>
      <c r="F8" s="87">
        <v>1</v>
      </c>
      <c r="G8" s="87" t="s">
        <v>664</v>
      </c>
      <c r="H8" s="87" t="s">
        <v>48</v>
      </c>
      <c r="I8" s="87" t="s">
        <v>49</v>
      </c>
      <c r="J8" s="87" t="s">
        <v>670</v>
      </c>
      <c r="K8" s="87" t="s">
        <v>38</v>
      </c>
      <c r="L8" s="87">
        <v>0.15</v>
      </c>
      <c r="M8" s="87">
        <v>0.12</v>
      </c>
      <c r="N8" s="87">
        <v>0.09</v>
      </c>
      <c r="O8" s="87">
        <v>0.06</v>
      </c>
      <c r="P8" s="87">
        <v>0.03</v>
      </c>
      <c r="Q8" s="87">
        <v>0</v>
      </c>
      <c r="R8" s="87"/>
      <c r="S8" s="87"/>
      <c r="T8" s="87"/>
      <c r="U8" s="87">
        <v>3</v>
      </c>
    </row>
    <row r="9" spans="2:21" x14ac:dyDescent="0.25">
      <c r="B9" s="87" t="s">
        <v>663</v>
      </c>
      <c r="C9" s="87">
        <v>6875</v>
      </c>
      <c r="D9" s="87">
        <v>399</v>
      </c>
      <c r="E9" s="87" t="s">
        <v>23</v>
      </c>
      <c r="F9" s="87">
        <v>1</v>
      </c>
      <c r="G9" s="87" t="s">
        <v>664</v>
      </c>
      <c r="H9" s="87" t="s">
        <v>43</v>
      </c>
      <c r="I9" s="87" t="s">
        <v>25</v>
      </c>
      <c r="J9" s="87" t="s">
        <v>43</v>
      </c>
      <c r="K9" s="87" t="s">
        <v>42</v>
      </c>
      <c r="L9" s="87">
        <v>0.3</v>
      </c>
      <c r="M9" s="87">
        <v>0.24</v>
      </c>
      <c r="N9" s="87">
        <v>0.18</v>
      </c>
      <c r="O9" s="87">
        <v>0.12</v>
      </c>
      <c r="P9" s="87">
        <v>0.06</v>
      </c>
      <c r="Q9" s="87">
        <v>0</v>
      </c>
      <c r="R9" s="87"/>
      <c r="S9" s="87"/>
      <c r="T9" s="87"/>
      <c r="U9" s="87">
        <v>3</v>
      </c>
    </row>
    <row r="10" spans="2:21" x14ac:dyDescent="0.25">
      <c r="B10" s="87" t="s">
        <v>674</v>
      </c>
      <c r="C10" s="87">
        <v>6876</v>
      </c>
      <c r="D10" s="87">
        <v>399</v>
      </c>
      <c r="E10" s="87" t="s">
        <v>32</v>
      </c>
      <c r="F10" s="87">
        <v>1</v>
      </c>
      <c r="G10" s="87" t="s">
        <v>664</v>
      </c>
      <c r="H10" s="87" t="s">
        <v>43</v>
      </c>
      <c r="I10" s="87" t="s">
        <v>25</v>
      </c>
      <c r="J10" s="87" t="s">
        <v>43</v>
      </c>
      <c r="K10" s="87" t="s">
        <v>42</v>
      </c>
      <c r="L10" s="87">
        <v>0.3</v>
      </c>
      <c r="M10" s="87">
        <v>0.24</v>
      </c>
      <c r="N10" s="87">
        <v>0.18</v>
      </c>
      <c r="O10" s="87">
        <v>0.12</v>
      </c>
      <c r="P10" s="87">
        <v>0.06</v>
      </c>
      <c r="Q10" s="87">
        <v>0</v>
      </c>
      <c r="R10" s="87"/>
      <c r="S10" s="87"/>
      <c r="T10" s="87"/>
      <c r="U10" s="87">
        <v>3</v>
      </c>
    </row>
    <row r="11" spans="2:21" x14ac:dyDescent="0.25">
      <c r="B11" s="87" t="s">
        <v>675</v>
      </c>
      <c r="C11" s="87">
        <v>6877</v>
      </c>
      <c r="D11" s="87">
        <v>399</v>
      </c>
      <c r="E11" s="87" t="s">
        <v>23</v>
      </c>
      <c r="F11" s="87">
        <v>1</v>
      </c>
      <c r="G11" s="87" t="s">
        <v>664</v>
      </c>
      <c r="H11" s="87" t="s">
        <v>43</v>
      </c>
      <c r="I11" s="87" t="s">
        <v>95</v>
      </c>
      <c r="J11" s="87" t="s">
        <v>670</v>
      </c>
      <c r="K11" s="87" t="s">
        <v>42</v>
      </c>
      <c r="L11" s="87">
        <v>0.3</v>
      </c>
      <c r="M11" s="87">
        <v>0.24</v>
      </c>
      <c r="N11" s="87">
        <v>0.18</v>
      </c>
      <c r="O11" s="87">
        <v>0.12</v>
      </c>
      <c r="P11" s="87">
        <v>0.06</v>
      </c>
      <c r="Q11" s="87">
        <v>0</v>
      </c>
      <c r="R11" s="87"/>
      <c r="S11" s="87"/>
      <c r="T11" s="87"/>
      <c r="U11" s="87">
        <v>3</v>
      </c>
    </row>
    <row r="12" spans="2:21" x14ac:dyDescent="0.25">
      <c r="B12" s="87" t="s">
        <v>676</v>
      </c>
      <c r="C12" s="87">
        <v>6878</v>
      </c>
      <c r="D12" s="87">
        <v>399</v>
      </c>
      <c r="E12" s="87" t="s">
        <v>677</v>
      </c>
      <c r="F12" s="87">
        <v>1</v>
      </c>
      <c r="G12" s="87" t="s">
        <v>664</v>
      </c>
      <c r="H12" s="87" t="s">
        <v>43</v>
      </c>
      <c r="I12" s="87" t="s">
        <v>95</v>
      </c>
      <c r="J12" s="87" t="s">
        <v>670</v>
      </c>
      <c r="K12" s="87" t="s">
        <v>42</v>
      </c>
      <c r="L12" s="87">
        <v>0.3</v>
      </c>
      <c r="M12" s="87">
        <v>0.24</v>
      </c>
      <c r="N12" s="87">
        <v>0.18</v>
      </c>
      <c r="O12" s="87">
        <v>0.12</v>
      </c>
      <c r="P12" s="87">
        <v>0.06</v>
      </c>
      <c r="Q12" s="87">
        <v>0</v>
      </c>
      <c r="R12" s="87"/>
      <c r="S12" s="87"/>
      <c r="T12" s="87"/>
      <c r="U12" s="87">
        <v>3</v>
      </c>
    </row>
    <row r="13" spans="2:21" x14ac:dyDescent="0.25">
      <c r="B13" s="87" t="s">
        <v>678</v>
      </c>
      <c r="C13" s="87">
        <v>6879</v>
      </c>
      <c r="D13" s="87">
        <v>399</v>
      </c>
      <c r="E13" s="87" t="s">
        <v>23</v>
      </c>
      <c r="F13" s="87">
        <v>1</v>
      </c>
      <c r="G13" s="87" t="s">
        <v>664</v>
      </c>
      <c r="H13" s="87" t="s">
        <v>43</v>
      </c>
      <c r="I13" s="87" t="s">
        <v>96</v>
      </c>
      <c r="J13" s="87" t="s">
        <v>670</v>
      </c>
      <c r="K13" s="87" t="s">
        <v>42</v>
      </c>
      <c r="L13" s="87">
        <v>0.4</v>
      </c>
      <c r="M13" s="87">
        <v>0.32</v>
      </c>
      <c r="N13" s="87">
        <v>0.24</v>
      </c>
      <c r="O13" s="87">
        <v>0.16</v>
      </c>
      <c r="P13" s="87">
        <v>0.08</v>
      </c>
      <c r="Q13" s="87">
        <v>0</v>
      </c>
      <c r="R13" s="87"/>
      <c r="S13" s="87"/>
      <c r="T13" s="87"/>
      <c r="U13" s="87">
        <v>3</v>
      </c>
    </row>
    <row r="14" spans="2:21" x14ac:dyDescent="0.25">
      <c r="B14" s="87" t="s">
        <v>679</v>
      </c>
      <c r="C14" s="87">
        <v>6880</v>
      </c>
      <c r="D14" s="87">
        <v>399</v>
      </c>
      <c r="E14" s="87" t="s">
        <v>677</v>
      </c>
      <c r="F14" s="87">
        <v>1</v>
      </c>
      <c r="G14" s="87" t="s">
        <v>664</v>
      </c>
      <c r="H14" s="87" t="s">
        <v>43</v>
      </c>
      <c r="I14" s="87" t="s">
        <v>96</v>
      </c>
      <c r="J14" s="87" t="s">
        <v>670</v>
      </c>
      <c r="K14" s="87" t="s">
        <v>42</v>
      </c>
      <c r="L14" s="87">
        <v>0.4</v>
      </c>
      <c r="M14" s="87">
        <v>0.32</v>
      </c>
      <c r="N14" s="87">
        <v>0.24</v>
      </c>
      <c r="O14" s="87">
        <v>0.16</v>
      </c>
      <c r="P14" s="87">
        <v>0.08</v>
      </c>
      <c r="Q14" s="87">
        <v>0</v>
      </c>
      <c r="R14" s="87"/>
      <c r="S14" s="87"/>
      <c r="T14" s="87"/>
      <c r="U14" s="87">
        <v>3</v>
      </c>
    </row>
    <row r="15" spans="2:21" x14ac:dyDescent="0.25">
      <c r="B15" s="87" t="s">
        <v>680</v>
      </c>
      <c r="C15" s="87">
        <v>6881</v>
      </c>
      <c r="D15" s="87">
        <v>399</v>
      </c>
      <c r="E15" s="87" t="s">
        <v>23</v>
      </c>
      <c r="F15" s="87">
        <v>1</v>
      </c>
      <c r="G15" s="87" t="s">
        <v>664</v>
      </c>
      <c r="H15" s="87" t="s">
        <v>48</v>
      </c>
      <c r="I15" s="87" t="s">
        <v>49</v>
      </c>
      <c r="J15" s="87" t="s">
        <v>670</v>
      </c>
      <c r="K15" s="87" t="s">
        <v>36</v>
      </c>
      <c r="L15" s="87">
        <v>0.15</v>
      </c>
      <c r="M15" s="87">
        <v>0.12</v>
      </c>
      <c r="N15" s="87">
        <v>0.09</v>
      </c>
      <c r="O15" s="87">
        <v>0.06</v>
      </c>
      <c r="P15" s="87">
        <v>0.03</v>
      </c>
      <c r="Q15" s="87">
        <v>0</v>
      </c>
      <c r="R15" s="87"/>
      <c r="S15" s="87"/>
      <c r="T15" s="87"/>
      <c r="U15" s="87">
        <v>3</v>
      </c>
    </row>
    <row r="16" spans="2:21" x14ac:dyDescent="0.25">
      <c r="B16" s="87" t="s">
        <v>681</v>
      </c>
      <c r="C16" s="87">
        <v>6882</v>
      </c>
      <c r="D16" s="87">
        <v>399</v>
      </c>
      <c r="E16" s="87" t="s">
        <v>32</v>
      </c>
      <c r="F16" s="87">
        <v>1</v>
      </c>
      <c r="G16" s="87" t="s">
        <v>664</v>
      </c>
      <c r="H16" s="87" t="s">
        <v>48</v>
      </c>
      <c r="I16" s="87" t="s">
        <v>49</v>
      </c>
      <c r="J16" s="87" t="s">
        <v>670</v>
      </c>
      <c r="K16" s="87" t="s">
        <v>36</v>
      </c>
      <c r="L16" s="87">
        <v>0.15</v>
      </c>
      <c r="M16" s="87">
        <v>0.12</v>
      </c>
      <c r="N16" s="87">
        <v>0.09</v>
      </c>
      <c r="O16" s="87">
        <v>0.06</v>
      </c>
      <c r="P16" s="87">
        <v>0.03</v>
      </c>
      <c r="Q16" s="87">
        <v>0</v>
      </c>
      <c r="R16" s="87"/>
      <c r="S16" s="87"/>
      <c r="T16" s="87"/>
      <c r="U16" s="87">
        <v>3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75B3C-DB2A-4B72-9DCB-492851D7BA15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5" bestFit="1" customWidth="1"/>
    <col min="2" max="2" width="18.42578125" style="15" customWidth="1"/>
    <col min="3" max="12" width="11" style="15" customWidth="1"/>
    <col min="13" max="16384" width="9.140625" style="15"/>
  </cols>
  <sheetData>
    <row r="1" spans="1:12" ht="12" thickBot="1" x14ac:dyDescent="0.25">
      <c r="A1" s="128" t="s">
        <v>1209</v>
      </c>
      <c r="B1" s="128" t="s">
        <v>22</v>
      </c>
      <c r="C1" s="128" t="s">
        <v>1208</v>
      </c>
      <c r="D1" s="128" t="s">
        <v>1207</v>
      </c>
      <c r="E1" s="128" t="s">
        <v>36</v>
      </c>
      <c r="F1" s="128" t="s">
        <v>1206</v>
      </c>
      <c r="G1" s="128" t="s">
        <v>1205</v>
      </c>
      <c r="H1" s="128" t="s">
        <v>599</v>
      </c>
      <c r="I1" s="128" t="s">
        <v>38</v>
      </c>
      <c r="J1" s="128" t="s">
        <v>598</v>
      </c>
      <c r="K1" s="128" t="s">
        <v>597</v>
      </c>
      <c r="L1" s="128" t="s">
        <v>596</v>
      </c>
    </row>
    <row r="2" spans="1:12" x14ac:dyDescent="0.2">
      <c r="A2" s="124" t="s">
        <v>1204</v>
      </c>
      <c r="B2" s="130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288.56460389726141</v>
      </c>
      <c r="C2" s="130">
        <f t="shared" si="0"/>
        <v>271.15122262759917</v>
      </c>
      <c r="D2" s="130">
        <f t="shared" si="0"/>
        <v>265.67844565713381</v>
      </c>
      <c r="E2" s="130">
        <f t="shared" si="0"/>
        <v>288.56460389726141</v>
      </c>
      <c r="F2" s="130">
        <f t="shared" si="0"/>
        <v>158.71053214349379</v>
      </c>
      <c r="G2" s="130">
        <f t="shared" si="0"/>
        <v>173.13876233835686</v>
      </c>
      <c r="H2" s="130">
        <f t="shared" si="0"/>
        <v>0</v>
      </c>
      <c r="I2" s="130">
        <f t="shared" si="0"/>
        <v>637.4716860485953</v>
      </c>
      <c r="J2" s="130">
        <f t="shared" si="0"/>
        <v>0</v>
      </c>
      <c r="K2" s="130">
        <f t="shared" si="0"/>
        <v>0</v>
      </c>
      <c r="L2" s="130">
        <f t="shared" si="0"/>
        <v>0</v>
      </c>
    </row>
    <row r="3" spans="1:12" ht="12" thickBot="1" x14ac:dyDescent="0.25">
      <c r="A3" s="122" t="s">
        <v>1203</v>
      </c>
      <c r="B3" s="129">
        <v>5.8</v>
      </c>
      <c r="C3" s="129">
        <v>5.45</v>
      </c>
      <c r="D3" s="129">
        <v>5.34</v>
      </c>
      <c r="E3" s="129">
        <v>5.8</v>
      </c>
      <c r="F3" s="129">
        <v>3.19</v>
      </c>
      <c r="G3" s="129">
        <v>3.48</v>
      </c>
      <c r="H3" s="129">
        <v>0</v>
      </c>
      <c r="I3" s="129">
        <f>'TUSD BE'!$AC$6</f>
        <v>12.812852751677841</v>
      </c>
      <c r="J3" s="129">
        <v>0</v>
      </c>
      <c r="K3" s="129">
        <v>0</v>
      </c>
      <c r="L3" s="129">
        <v>0</v>
      </c>
    </row>
    <row r="5" spans="1:12" ht="12" thickBot="1" x14ac:dyDescent="0.25">
      <c r="A5" s="128" t="s">
        <v>1202</v>
      </c>
      <c r="B5" s="128" t="s">
        <v>1201</v>
      </c>
    </row>
    <row r="6" spans="1:12" x14ac:dyDescent="0.2">
      <c r="A6" s="124" t="s">
        <v>1200</v>
      </c>
      <c r="B6" s="127">
        <v>0.1082749759</v>
      </c>
    </row>
    <row r="7" spans="1:12" x14ac:dyDescent="0.2">
      <c r="A7" s="126" t="s">
        <v>1199</v>
      </c>
      <c r="B7" s="125">
        <v>0.34</v>
      </c>
    </row>
    <row r="8" spans="1:12" x14ac:dyDescent="0.2">
      <c r="A8" s="124" t="s">
        <v>1198</v>
      </c>
      <c r="B8" s="123">
        <v>16107504.713983055</v>
      </c>
    </row>
    <row r="9" spans="1:12" x14ac:dyDescent="0.2">
      <c r="A9" s="126" t="s">
        <v>1197</v>
      </c>
      <c r="B9" s="125">
        <v>3.9E-2</v>
      </c>
    </row>
    <row r="10" spans="1:12" x14ac:dyDescent="0.2">
      <c r="A10" s="124" t="s">
        <v>1196</v>
      </c>
      <c r="B10" s="123">
        <v>8318597.2849165034</v>
      </c>
    </row>
    <row r="11" spans="1:12" ht="12" thickBot="1" x14ac:dyDescent="0.25">
      <c r="A11" s="122" t="s">
        <v>1195</v>
      </c>
      <c r="B11" s="121">
        <f>(1+$B$6)^(1/IF($B$9&lt;&gt;0,$B$9,1))*$B$6/IF((1+$B$6)^(1/IF($B$9&lt;&gt;0,$B$9,1))-1&lt;&gt;0,(1+$B$6)^(1/IF($B$9&lt;&gt;0,$B$9,1))-1,1)</f>
        <v>0.11663112277560428</v>
      </c>
    </row>
    <row r="18" spans="2:2" x14ac:dyDescent="0.2">
      <c r="B18" s="12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1F7E7-DD80-4399-9DF7-E52F48962EAC}">
  <dimension ref="B1:AR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2" bestFit="1" customWidth="1"/>
    <col min="34" max="34" width="16.5703125" bestFit="1" customWidth="1"/>
    <col min="35" max="35" width="14.5703125" bestFit="1" customWidth="1"/>
    <col min="36" max="36" width="12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89" t="s">
        <v>1247</v>
      </c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  <c r="AD1" s="189"/>
      <c r="AE1" s="189"/>
      <c r="AF1" s="189"/>
      <c r="AG1" s="190"/>
      <c r="AH1" s="189" t="s">
        <v>1248</v>
      </c>
      <c r="AI1" s="189"/>
      <c r="AJ1" s="189"/>
      <c r="AK1" s="189"/>
      <c r="AL1" s="189"/>
      <c r="AM1" s="189"/>
      <c r="AN1" s="189"/>
      <c r="AO1" s="189"/>
      <c r="AP1" s="189"/>
      <c r="AQ1" s="189"/>
      <c r="AR1" s="189"/>
    </row>
    <row r="2" spans="2:44" ht="12" customHeight="1" x14ac:dyDescent="0.25">
      <c r="L2" s="191" t="s">
        <v>484</v>
      </c>
      <c r="M2" s="191"/>
      <c r="N2" s="191"/>
      <c r="O2" s="191"/>
      <c r="P2" s="191"/>
      <c r="Q2" s="191"/>
      <c r="R2" s="191"/>
      <c r="S2" s="192"/>
      <c r="T2" s="191" t="s">
        <v>493</v>
      </c>
      <c r="U2" s="191"/>
      <c r="V2" s="191"/>
      <c r="W2" s="191"/>
      <c r="X2" s="191"/>
      <c r="Y2" s="191"/>
      <c r="Z2" s="192"/>
      <c r="AA2" s="150" t="s">
        <v>501</v>
      </c>
      <c r="AB2" s="191" t="s">
        <v>25</v>
      </c>
      <c r="AC2" s="192"/>
      <c r="AD2" s="191" t="s">
        <v>1246</v>
      </c>
      <c r="AE2" s="191"/>
      <c r="AF2" s="191"/>
      <c r="AG2" s="192"/>
      <c r="AH2" s="191" t="s">
        <v>484</v>
      </c>
      <c r="AI2" s="191"/>
      <c r="AJ2" s="191"/>
      <c r="AK2" s="191"/>
      <c r="AL2" s="192"/>
      <c r="AM2" s="150" t="s">
        <v>515</v>
      </c>
      <c r="AN2" s="191" t="s">
        <v>493</v>
      </c>
      <c r="AO2" s="191"/>
      <c r="AP2" s="191"/>
      <c r="AQ2" s="192"/>
      <c r="AR2" s="149" t="s">
        <v>1246</v>
      </c>
    </row>
    <row r="3" spans="2:44" ht="12" customHeight="1" x14ac:dyDescent="0.25">
      <c r="B3" s="131" t="s">
        <v>68</v>
      </c>
      <c r="C3" s="132" t="s">
        <v>69</v>
      </c>
      <c r="D3" s="132" t="s">
        <v>70</v>
      </c>
      <c r="E3" s="132" t="s">
        <v>71</v>
      </c>
      <c r="F3" s="132" t="s">
        <v>72</v>
      </c>
      <c r="G3" s="132" t="s">
        <v>74</v>
      </c>
      <c r="H3" s="132" t="s">
        <v>75</v>
      </c>
      <c r="I3" s="132" t="s">
        <v>727</v>
      </c>
      <c r="J3" s="132" t="s">
        <v>1210</v>
      </c>
      <c r="K3" s="132" t="s">
        <v>1211</v>
      </c>
      <c r="L3" s="132" t="s">
        <v>1212</v>
      </c>
      <c r="M3" s="132" t="s">
        <v>1213</v>
      </c>
      <c r="N3" s="132" t="s">
        <v>1214</v>
      </c>
      <c r="O3" s="132" t="s">
        <v>1215</v>
      </c>
      <c r="P3" s="132" t="s">
        <v>1216</v>
      </c>
      <c r="Q3" s="132" t="s">
        <v>1217</v>
      </c>
      <c r="R3" s="132" t="s">
        <v>1218</v>
      </c>
      <c r="S3" s="132" t="s">
        <v>1219</v>
      </c>
      <c r="T3" s="132" t="s">
        <v>1220</v>
      </c>
      <c r="U3" s="132" t="s">
        <v>1221</v>
      </c>
      <c r="V3" s="132" t="s">
        <v>1222</v>
      </c>
      <c r="W3" s="132" t="s">
        <v>1223</v>
      </c>
      <c r="X3" s="132" t="s">
        <v>1224</v>
      </c>
      <c r="Y3" s="132" t="s">
        <v>1225</v>
      </c>
      <c r="Z3" s="132" t="s">
        <v>1226</v>
      </c>
      <c r="AA3" s="132" t="s">
        <v>1227</v>
      </c>
      <c r="AB3" s="132" t="s">
        <v>1228</v>
      </c>
      <c r="AC3" s="132" t="s">
        <v>1229</v>
      </c>
      <c r="AD3" s="132" t="s">
        <v>1230</v>
      </c>
      <c r="AE3" s="132" t="s">
        <v>1231</v>
      </c>
      <c r="AF3" s="132" t="s">
        <v>1232</v>
      </c>
      <c r="AG3" s="132" t="s">
        <v>1233</v>
      </c>
      <c r="AH3" s="132" t="s">
        <v>1234</v>
      </c>
      <c r="AI3" s="132" t="s">
        <v>1235</v>
      </c>
      <c r="AJ3" s="132" t="s">
        <v>1236</v>
      </c>
      <c r="AK3" s="132" t="s">
        <v>1237</v>
      </c>
      <c r="AL3" s="132" t="s">
        <v>1238</v>
      </c>
      <c r="AM3" s="132" t="s">
        <v>1239</v>
      </c>
      <c r="AN3" s="132" t="s">
        <v>1240</v>
      </c>
      <c r="AO3" s="132" t="s">
        <v>1241</v>
      </c>
      <c r="AP3" s="132" t="s">
        <v>1242</v>
      </c>
      <c r="AQ3" s="132" t="s">
        <v>1243</v>
      </c>
      <c r="AR3" s="133" t="s">
        <v>1244</v>
      </c>
    </row>
    <row r="4" spans="2:44" ht="12" customHeight="1" x14ac:dyDescent="0.25">
      <c r="B4" s="134" t="s">
        <v>38</v>
      </c>
      <c r="C4" s="135" t="s">
        <v>50</v>
      </c>
      <c r="D4" s="135" t="s">
        <v>25</v>
      </c>
      <c r="E4" s="135" t="s">
        <v>25</v>
      </c>
      <c r="F4" s="135" t="s">
        <v>86</v>
      </c>
      <c r="G4" s="135" t="s">
        <v>33</v>
      </c>
      <c r="H4" s="135" t="s">
        <v>78</v>
      </c>
      <c r="I4" s="135" t="s">
        <v>25</v>
      </c>
      <c r="J4" s="135">
        <v>6.09</v>
      </c>
      <c r="K4" s="135">
        <v>0</v>
      </c>
      <c r="L4" s="135">
        <v>0</v>
      </c>
      <c r="M4" s="135">
        <v>0.37480666711286997</v>
      </c>
      <c r="N4" s="135">
        <v>0.119615513301676</v>
      </c>
      <c r="O4" s="135">
        <v>0</v>
      </c>
      <c r="P4" s="135">
        <v>0</v>
      </c>
      <c r="Q4" s="135">
        <v>0</v>
      </c>
      <c r="R4" s="135">
        <v>0</v>
      </c>
      <c r="S4" s="135">
        <v>0</v>
      </c>
      <c r="T4" s="135">
        <v>0</v>
      </c>
      <c r="U4" s="135">
        <v>0</v>
      </c>
      <c r="V4" s="135">
        <v>0</v>
      </c>
      <c r="W4" s="135">
        <v>0</v>
      </c>
      <c r="X4" s="135">
        <v>0</v>
      </c>
      <c r="Y4" s="135">
        <v>0</v>
      </c>
      <c r="Z4" s="135">
        <v>0</v>
      </c>
      <c r="AA4" s="135">
        <v>0</v>
      </c>
      <c r="AB4" s="135">
        <v>-1.24618571008695</v>
      </c>
      <c r="AC4" s="135">
        <v>0</v>
      </c>
      <c r="AD4" s="135">
        <v>5.9601538210526801</v>
      </c>
      <c r="AE4" s="135">
        <v>0</v>
      </c>
      <c r="AF4" s="135">
        <v>0.55649648678054697</v>
      </c>
      <c r="AG4" s="135">
        <v>0.32420210999115001</v>
      </c>
      <c r="AH4" s="135">
        <v>0</v>
      </c>
      <c r="AI4" s="135">
        <v>0</v>
      </c>
      <c r="AJ4" s="135">
        <v>0</v>
      </c>
      <c r="AK4" s="135">
        <v>0</v>
      </c>
      <c r="AL4" s="135">
        <v>0</v>
      </c>
      <c r="AM4" s="135">
        <v>0</v>
      </c>
      <c r="AN4" s="135">
        <v>0</v>
      </c>
      <c r="AO4" s="135">
        <v>0</v>
      </c>
      <c r="AP4" s="135">
        <v>0</v>
      </c>
      <c r="AQ4" s="135">
        <v>0</v>
      </c>
      <c r="AR4" s="136">
        <v>0</v>
      </c>
    </row>
    <row r="5" spans="2:44" ht="12" customHeight="1" x14ac:dyDescent="0.25">
      <c r="B5" s="134" t="s">
        <v>38</v>
      </c>
      <c r="C5" s="135" t="s">
        <v>50</v>
      </c>
      <c r="D5" s="135" t="s">
        <v>25</v>
      </c>
      <c r="E5" s="135" t="s">
        <v>25</v>
      </c>
      <c r="F5" s="135" t="s">
        <v>86</v>
      </c>
      <c r="G5" s="135" t="s">
        <v>33</v>
      </c>
      <c r="H5" s="135" t="s">
        <v>83</v>
      </c>
      <c r="I5" s="135" t="s">
        <v>25</v>
      </c>
      <c r="J5" s="135">
        <v>21.87</v>
      </c>
      <c r="K5" s="135">
        <v>0</v>
      </c>
      <c r="L5" s="135">
        <v>0</v>
      </c>
      <c r="M5" s="135">
        <v>0</v>
      </c>
      <c r="N5" s="135">
        <v>0</v>
      </c>
      <c r="O5" s="135">
        <v>0</v>
      </c>
      <c r="P5" s="135">
        <v>0</v>
      </c>
      <c r="Q5" s="135">
        <v>0</v>
      </c>
      <c r="R5" s="135">
        <v>0</v>
      </c>
      <c r="S5" s="135">
        <v>0</v>
      </c>
      <c r="T5" s="135">
        <v>6.84848770480298</v>
      </c>
      <c r="U5" s="135">
        <v>6.1541709190194904</v>
      </c>
      <c r="V5" s="135">
        <v>1.03749036904458</v>
      </c>
      <c r="W5" s="135">
        <v>0</v>
      </c>
      <c r="X5" s="135">
        <v>0</v>
      </c>
      <c r="Y5" s="135">
        <v>0</v>
      </c>
      <c r="Z5" s="135">
        <v>0</v>
      </c>
      <c r="AA5" s="135">
        <v>12.574961708155101</v>
      </c>
      <c r="AB5" s="135">
        <v>-4.7425810949930103</v>
      </c>
      <c r="AC5" s="135">
        <v>0</v>
      </c>
      <c r="AD5" s="135">
        <v>0</v>
      </c>
      <c r="AE5" s="135">
        <v>0</v>
      </c>
      <c r="AF5" s="135">
        <v>0</v>
      </c>
      <c r="AG5" s="135">
        <v>0</v>
      </c>
      <c r="AH5" s="135">
        <v>0</v>
      </c>
      <c r="AI5" s="135">
        <v>0</v>
      </c>
      <c r="AJ5" s="135">
        <v>0</v>
      </c>
      <c r="AK5" s="135">
        <v>0</v>
      </c>
      <c r="AL5" s="135">
        <v>0</v>
      </c>
      <c r="AM5" s="135">
        <v>0</v>
      </c>
      <c r="AN5" s="135">
        <v>0</v>
      </c>
      <c r="AO5" s="135">
        <v>0</v>
      </c>
      <c r="AP5" s="135">
        <v>0</v>
      </c>
      <c r="AQ5" s="135">
        <v>0</v>
      </c>
      <c r="AR5" s="136">
        <v>0</v>
      </c>
    </row>
    <row r="6" spans="2:44" ht="12" customHeight="1" x14ac:dyDescent="0.25">
      <c r="B6" s="134" t="s">
        <v>38</v>
      </c>
      <c r="C6" s="135" t="s">
        <v>50</v>
      </c>
      <c r="D6" s="135" t="s">
        <v>25</v>
      </c>
      <c r="E6" s="135" t="s">
        <v>25</v>
      </c>
      <c r="F6" s="135" t="s">
        <v>86</v>
      </c>
      <c r="G6" s="135" t="s">
        <v>34</v>
      </c>
      <c r="H6" s="135" t="s">
        <v>78</v>
      </c>
      <c r="I6" s="135" t="s">
        <v>25</v>
      </c>
      <c r="J6" s="135">
        <v>6.09</v>
      </c>
      <c r="K6" s="135">
        <v>0</v>
      </c>
      <c r="L6" s="135">
        <v>0</v>
      </c>
      <c r="M6" s="135">
        <v>0.37480666711286997</v>
      </c>
      <c r="N6" s="135">
        <v>0.119615513301676</v>
      </c>
      <c r="O6" s="135">
        <v>0</v>
      </c>
      <c r="P6" s="135">
        <v>0</v>
      </c>
      <c r="Q6" s="135">
        <v>0</v>
      </c>
      <c r="R6" s="135">
        <v>0</v>
      </c>
      <c r="S6" s="135">
        <v>0</v>
      </c>
      <c r="T6" s="135">
        <v>0</v>
      </c>
      <c r="U6" s="135">
        <v>0</v>
      </c>
      <c r="V6" s="135">
        <v>0</v>
      </c>
      <c r="W6" s="135">
        <v>0</v>
      </c>
      <c r="X6" s="135">
        <v>0</v>
      </c>
      <c r="Y6" s="135">
        <v>0</v>
      </c>
      <c r="Z6" s="135">
        <v>0</v>
      </c>
      <c r="AA6" s="135">
        <v>0</v>
      </c>
      <c r="AB6" s="135">
        <v>-1.24618571008695</v>
      </c>
      <c r="AC6" s="135">
        <v>0</v>
      </c>
      <c r="AD6" s="135">
        <v>5.9601538210526801</v>
      </c>
      <c r="AE6" s="135">
        <v>0</v>
      </c>
      <c r="AF6" s="135">
        <v>0.55649648678054697</v>
      </c>
      <c r="AG6" s="135">
        <v>0.32420210999115001</v>
      </c>
      <c r="AH6" s="135">
        <v>0</v>
      </c>
      <c r="AI6" s="135">
        <v>0</v>
      </c>
      <c r="AJ6" s="135">
        <v>0</v>
      </c>
      <c r="AK6" s="135">
        <v>0</v>
      </c>
      <c r="AL6" s="135">
        <v>0</v>
      </c>
      <c r="AM6" s="135">
        <v>0</v>
      </c>
      <c r="AN6" s="135">
        <v>0</v>
      </c>
      <c r="AO6" s="135">
        <v>0</v>
      </c>
      <c r="AP6" s="135">
        <v>0</v>
      </c>
      <c r="AQ6" s="135">
        <v>0</v>
      </c>
      <c r="AR6" s="136">
        <v>0</v>
      </c>
    </row>
    <row r="7" spans="2:44" ht="12" customHeight="1" x14ac:dyDescent="0.25">
      <c r="B7" s="134" t="s">
        <v>38</v>
      </c>
      <c r="C7" s="135" t="s">
        <v>50</v>
      </c>
      <c r="D7" s="135" t="s">
        <v>25</v>
      </c>
      <c r="E7" s="135" t="s">
        <v>25</v>
      </c>
      <c r="F7" s="135" t="s">
        <v>86</v>
      </c>
      <c r="G7" s="135" t="s">
        <v>34</v>
      </c>
      <c r="H7" s="135" t="s">
        <v>83</v>
      </c>
      <c r="I7" s="135" t="s">
        <v>25</v>
      </c>
      <c r="J7" s="135">
        <v>21.14</v>
      </c>
      <c r="K7" s="135">
        <v>0</v>
      </c>
      <c r="L7" s="135">
        <v>0</v>
      </c>
      <c r="M7" s="135">
        <v>0</v>
      </c>
      <c r="N7" s="135">
        <v>0</v>
      </c>
      <c r="O7" s="135">
        <v>0</v>
      </c>
      <c r="P7" s="135">
        <v>0</v>
      </c>
      <c r="Q7" s="135">
        <v>0</v>
      </c>
      <c r="R7" s="135">
        <v>0</v>
      </c>
      <c r="S7" s="135">
        <v>0</v>
      </c>
      <c r="T7" s="135">
        <v>6.8496949388253796</v>
      </c>
      <c r="U7" s="135">
        <v>5.3127035338215904</v>
      </c>
      <c r="V7" s="135">
        <v>0.99056366607593405</v>
      </c>
      <c r="W7" s="135">
        <v>0</v>
      </c>
      <c r="X7" s="135">
        <v>0</v>
      </c>
      <c r="Y7" s="135">
        <v>0</v>
      </c>
      <c r="Z7" s="135">
        <v>0</v>
      </c>
      <c r="AA7" s="135">
        <v>12.574961708155101</v>
      </c>
      <c r="AB7" s="135">
        <v>-4.5883503212995498</v>
      </c>
      <c r="AC7" s="135">
        <v>0</v>
      </c>
      <c r="AD7" s="135">
        <v>0</v>
      </c>
      <c r="AE7" s="135">
        <v>0</v>
      </c>
      <c r="AF7" s="135">
        <v>0</v>
      </c>
      <c r="AG7" s="135">
        <v>0</v>
      </c>
      <c r="AH7" s="135">
        <v>0</v>
      </c>
      <c r="AI7" s="135">
        <v>0</v>
      </c>
      <c r="AJ7" s="135">
        <v>0</v>
      </c>
      <c r="AK7" s="135">
        <v>0</v>
      </c>
      <c r="AL7" s="135">
        <v>0</v>
      </c>
      <c r="AM7" s="135">
        <v>0</v>
      </c>
      <c r="AN7" s="135">
        <v>0</v>
      </c>
      <c r="AO7" s="135">
        <v>0</v>
      </c>
      <c r="AP7" s="135">
        <v>0</v>
      </c>
      <c r="AQ7" s="135">
        <v>0</v>
      </c>
      <c r="AR7" s="136">
        <v>0</v>
      </c>
    </row>
    <row r="8" spans="2:44" ht="12" customHeight="1" x14ac:dyDescent="0.25">
      <c r="B8" s="134" t="s">
        <v>38</v>
      </c>
      <c r="C8" s="135" t="s">
        <v>50</v>
      </c>
      <c r="D8" s="135" t="s">
        <v>25</v>
      </c>
      <c r="E8" s="135" t="s">
        <v>25</v>
      </c>
      <c r="F8" s="135" t="s">
        <v>25</v>
      </c>
      <c r="G8" s="135" t="s">
        <v>33</v>
      </c>
      <c r="H8" s="135" t="s">
        <v>78</v>
      </c>
      <c r="I8" s="135" t="s">
        <v>25</v>
      </c>
      <c r="J8" s="135">
        <v>95.82</v>
      </c>
      <c r="K8" s="135">
        <v>398.02</v>
      </c>
      <c r="L8" s="135">
        <v>5.8174665275364204</v>
      </c>
      <c r="M8" s="135">
        <v>0.37480666711286997</v>
      </c>
      <c r="N8" s="135">
        <v>0.12849781771994001</v>
      </c>
      <c r="O8" s="135">
        <v>0</v>
      </c>
      <c r="P8" s="135">
        <v>0</v>
      </c>
      <c r="Q8" s="135">
        <v>83.931024384977306</v>
      </c>
      <c r="R8" s="135">
        <v>16.736115121766598</v>
      </c>
      <c r="S8" s="135">
        <v>0</v>
      </c>
      <c r="T8" s="135">
        <v>0</v>
      </c>
      <c r="U8" s="135">
        <v>0</v>
      </c>
      <c r="V8" s="135">
        <v>0</v>
      </c>
      <c r="W8" s="135">
        <v>0</v>
      </c>
      <c r="X8" s="135">
        <v>0</v>
      </c>
      <c r="Y8" s="135">
        <v>0</v>
      </c>
      <c r="Z8" s="135">
        <v>0</v>
      </c>
      <c r="AA8" s="135">
        <v>0</v>
      </c>
      <c r="AB8" s="135">
        <v>-18.013314834326099</v>
      </c>
      <c r="AC8" s="135">
        <v>0</v>
      </c>
      <c r="AD8" s="135">
        <v>5.9601538210526801</v>
      </c>
      <c r="AE8" s="135">
        <v>0</v>
      </c>
      <c r="AF8" s="135">
        <v>0.55649648678054697</v>
      </c>
      <c r="AG8" s="135">
        <v>0.32420210999115001</v>
      </c>
      <c r="AH8" s="135">
        <v>8.53575915819148</v>
      </c>
      <c r="AI8" s="135">
        <v>0</v>
      </c>
      <c r="AJ8" s="135">
        <v>2.9404386364919501</v>
      </c>
      <c r="AK8" s="135">
        <v>0</v>
      </c>
      <c r="AL8" s="135">
        <v>0</v>
      </c>
      <c r="AM8" s="135">
        <v>468.812721009825</v>
      </c>
      <c r="AN8" s="135">
        <v>0</v>
      </c>
      <c r="AO8" s="135">
        <v>0</v>
      </c>
      <c r="AP8" s="135">
        <v>0</v>
      </c>
      <c r="AQ8" s="135">
        <v>-82.272278343634795</v>
      </c>
      <c r="AR8" s="136">
        <v>0</v>
      </c>
    </row>
    <row r="9" spans="2:44" ht="12" customHeight="1" x14ac:dyDescent="0.25">
      <c r="B9" s="134" t="s">
        <v>38</v>
      </c>
      <c r="C9" s="135" t="s">
        <v>50</v>
      </c>
      <c r="D9" s="135" t="s">
        <v>25</v>
      </c>
      <c r="E9" s="135" t="s">
        <v>25</v>
      </c>
      <c r="F9" s="135" t="s">
        <v>25</v>
      </c>
      <c r="G9" s="135" t="s">
        <v>33</v>
      </c>
      <c r="H9" s="135" t="s">
        <v>83</v>
      </c>
      <c r="I9" s="135" t="s">
        <v>25</v>
      </c>
      <c r="J9" s="135">
        <v>21.87</v>
      </c>
      <c r="K9" s="135">
        <v>0</v>
      </c>
      <c r="L9" s="135">
        <v>0</v>
      </c>
      <c r="M9" s="135">
        <v>0</v>
      </c>
      <c r="N9" s="135">
        <v>0</v>
      </c>
      <c r="O9" s="135">
        <v>0</v>
      </c>
      <c r="P9" s="135">
        <v>0</v>
      </c>
      <c r="Q9" s="135">
        <v>0</v>
      </c>
      <c r="R9" s="135">
        <v>0</v>
      </c>
      <c r="S9" s="135">
        <v>0</v>
      </c>
      <c r="T9" s="135">
        <v>6.84848770480298</v>
      </c>
      <c r="U9" s="135">
        <v>6.1541709190194904</v>
      </c>
      <c r="V9" s="135">
        <v>1.03749036904458</v>
      </c>
      <c r="W9" s="135">
        <v>0</v>
      </c>
      <c r="X9" s="135">
        <v>0</v>
      </c>
      <c r="Y9" s="135">
        <v>0</v>
      </c>
      <c r="Z9" s="135">
        <v>0</v>
      </c>
      <c r="AA9" s="135">
        <v>12.574961708155101</v>
      </c>
      <c r="AB9" s="135">
        <v>-4.7425810949930103</v>
      </c>
      <c r="AC9" s="135">
        <v>0</v>
      </c>
      <c r="AD9" s="135">
        <v>0</v>
      </c>
      <c r="AE9" s="135">
        <v>0</v>
      </c>
      <c r="AF9" s="135">
        <v>0</v>
      </c>
      <c r="AG9" s="135">
        <v>0</v>
      </c>
      <c r="AH9" s="135">
        <v>0</v>
      </c>
      <c r="AI9" s="135">
        <v>0</v>
      </c>
      <c r="AJ9" s="135">
        <v>0</v>
      </c>
      <c r="AK9" s="135">
        <v>0</v>
      </c>
      <c r="AL9" s="135">
        <v>0</v>
      </c>
      <c r="AM9" s="135">
        <v>0</v>
      </c>
      <c r="AN9" s="135">
        <v>0</v>
      </c>
      <c r="AO9" s="135">
        <v>0</v>
      </c>
      <c r="AP9" s="135">
        <v>0</v>
      </c>
      <c r="AQ9" s="135">
        <v>0</v>
      </c>
      <c r="AR9" s="136">
        <v>0</v>
      </c>
    </row>
    <row r="10" spans="2:44" ht="12" customHeight="1" x14ac:dyDescent="0.25">
      <c r="B10" s="134" t="s">
        <v>38</v>
      </c>
      <c r="C10" s="135" t="s">
        <v>50</v>
      </c>
      <c r="D10" s="135" t="s">
        <v>25</v>
      </c>
      <c r="E10" s="135" t="s">
        <v>25</v>
      </c>
      <c r="F10" s="135" t="s">
        <v>25</v>
      </c>
      <c r="G10" s="135" t="s">
        <v>34</v>
      </c>
      <c r="H10" s="135" t="s">
        <v>78</v>
      </c>
      <c r="I10" s="135" t="s">
        <v>25</v>
      </c>
      <c r="J10" s="135">
        <v>95.82</v>
      </c>
      <c r="K10" s="135">
        <v>235.34</v>
      </c>
      <c r="L10" s="135">
        <v>5.8174665275364204</v>
      </c>
      <c r="M10" s="135">
        <v>0.37480666711286997</v>
      </c>
      <c r="N10" s="135">
        <v>0.12849781771994001</v>
      </c>
      <c r="O10" s="135">
        <v>0</v>
      </c>
      <c r="P10" s="135">
        <v>0</v>
      </c>
      <c r="Q10" s="135">
        <v>83.931024384977306</v>
      </c>
      <c r="R10" s="135">
        <v>16.736115121766598</v>
      </c>
      <c r="S10" s="135">
        <v>0</v>
      </c>
      <c r="T10" s="135">
        <v>0</v>
      </c>
      <c r="U10" s="135">
        <v>0</v>
      </c>
      <c r="V10" s="135">
        <v>0</v>
      </c>
      <c r="W10" s="135">
        <v>0</v>
      </c>
      <c r="X10" s="135">
        <v>0</v>
      </c>
      <c r="Y10" s="135">
        <v>0</v>
      </c>
      <c r="Z10" s="135">
        <v>0</v>
      </c>
      <c r="AA10" s="135">
        <v>0</v>
      </c>
      <c r="AB10" s="135">
        <v>-18.013314834326099</v>
      </c>
      <c r="AC10" s="135">
        <v>0</v>
      </c>
      <c r="AD10" s="135">
        <v>5.9601538210526801</v>
      </c>
      <c r="AE10" s="135">
        <v>0</v>
      </c>
      <c r="AF10" s="135">
        <v>0.55649648678054697</v>
      </c>
      <c r="AG10" s="135">
        <v>0.32420210999115001</v>
      </c>
      <c r="AH10" s="135">
        <v>8.53575915819148</v>
      </c>
      <c r="AI10" s="135">
        <v>0</v>
      </c>
      <c r="AJ10" s="135">
        <v>2.9404386364919501</v>
      </c>
      <c r="AK10" s="135">
        <v>0</v>
      </c>
      <c r="AL10" s="135">
        <v>0</v>
      </c>
      <c r="AM10" s="135">
        <v>272.56553547082899</v>
      </c>
      <c r="AN10" s="135">
        <v>0</v>
      </c>
      <c r="AO10" s="135">
        <v>0</v>
      </c>
      <c r="AP10" s="135">
        <v>0</v>
      </c>
      <c r="AQ10" s="135">
        <v>-48.701842090632297</v>
      </c>
      <c r="AR10" s="136">
        <v>0</v>
      </c>
    </row>
    <row r="11" spans="2:44" ht="12" customHeight="1" x14ac:dyDescent="0.25">
      <c r="B11" s="134" t="s">
        <v>38</v>
      </c>
      <c r="C11" s="135" t="s">
        <v>50</v>
      </c>
      <c r="D11" s="135" t="s">
        <v>25</v>
      </c>
      <c r="E11" s="135" t="s">
        <v>25</v>
      </c>
      <c r="F11" s="135" t="s">
        <v>25</v>
      </c>
      <c r="G11" s="135" t="s">
        <v>34</v>
      </c>
      <c r="H11" s="135" t="s">
        <v>83</v>
      </c>
      <c r="I11" s="135" t="s">
        <v>25</v>
      </c>
      <c r="J11" s="135">
        <v>21.14</v>
      </c>
      <c r="K11" s="135">
        <v>0</v>
      </c>
      <c r="L11" s="135">
        <v>0</v>
      </c>
      <c r="M11" s="135">
        <v>0</v>
      </c>
      <c r="N11" s="135">
        <v>0</v>
      </c>
      <c r="O11" s="135">
        <v>0</v>
      </c>
      <c r="P11" s="135">
        <v>0</v>
      </c>
      <c r="Q11" s="135">
        <v>0</v>
      </c>
      <c r="R11" s="135">
        <v>0</v>
      </c>
      <c r="S11" s="135">
        <v>0</v>
      </c>
      <c r="T11" s="135">
        <v>6.8496949388253796</v>
      </c>
      <c r="U11" s="135">
        <v>5.3127035338215904</v>
      </c>
      <c r="V11" s="135">
        <v>0.99056366607593405</v>
      </c>
      <c r="W11" s="135">
        <v>0</v>
      </c>
      <c r="X11" s="135">
        <v>0</v>
      </c>
      <c r="Y11" s="135">
        <v>0</v>
      </c>
      <c r="Z11" s="135">
        <v>0</v>
      </c>
      <c r="AA11" s="135">
        <v>12.574961708155101</v>
      </c>
      <c r="AB11" s="135">
        <v>-4.5883503212995498</v>
      </c>
      <c r="AC11" s="135">
        <v>0</v>
      </c>
      <c r="AD11" s="135">
        <v>0</v>
      </c>
      <c r="AE11" s="135">
        <v>0</v>
      </c>
      <c r="AF11" s="135">
        <v>0</v>
      </c>
      <c r="AG11" s="135">
        <v>0</v>
      </c>
      <c r="AH11" s="135">
        <v>0</v>
      </c>
      <c r="AI11" s="135">
        <v>0</v>
      </c>
      <c r="AJ11" s="135">
        <v>0</v>
      </c>
      <c r="AK11" s="135">
        <v>0</v>
      </c>
      <c r="AL11" s="135">
        <v>0</v>
      </c>
      <c r="AM11" s="135">
        <v>0</v>
      </c>
      <c r="AN11" s="135">
        <v>0</v>
      </c>
      <c r="AO11" s="135">
        <v>0</v>
      </c>
      <c r="AP11" s="135">
        <v>0</v>
      </c>
      <c r="AQ11" s="135">
        <v>0</v>
      </c>
      <c r="AR11" s="136">
        <v>0</v>
      </c>
    </row>
    <row r="12" spans="2:44" ht="12" customHeight="1" x14ac:dyDescent="0.25">
      <c r="B12" s="134" t="s">
        <v>38</v>
      </c>
      <c r="C12" s="135" t="s">
        <v>23</v>
      </c>
      <c r="D12" s="135" t="s">
        <v>25</v>
      </c>
      <c r="E12" s="135" t="s">
        <v>25</v>
      </c>
      <c r="F12" s="135" t="s">
        <v>25</v>
      </c>
      <c r="G12" s="135" t="s">
        <v>25</v>
      </c>
      <c r="H12" s="135" t="s">
        <v>78</v>
      </c>
      <c r="I12" s="135" t="s">
        <v>25</v>
      </c>
      <c r="J12" s="135">
        <v>0</v>
      </c>
      <c r="K12" s="135">
        <v>248.9</v>
      </c>
      <c r="L12" s="135">
        <v>0</v>
      </c>
      <c r="M12" s="135">
        <v>0</v>
      </c>
      <c r="N12" s="135">
        <v>0</v>
      </c>
      <c r="O12" s="135">
        <v>0</v>
      </c>
      <c r="P12" s="135">
        <v>0</v>
      </c>
      <c r="Q12" s="135">
        <v>0</v>
      </c>
      <c r="R12" s="135">
        <v>0</v>
      </c>
      <c r="S12" s="135">
        <v>0</v>
      </c>
      <c r="T12" s="135">
        <v>0</v>
      </c>
      <c r="U12" s="135">
        <v>0</v>
      </c>
      <c r="V12" s="135">
        <v>0</v>
      </c>
      <c r="W12" s="135">
        <v>0</v>
      </c>
      <c r="X12" s="135">
        <v>0</v>
      </c>
      <c r="Y12" s="135">
        <v>0</v>
      </c>
      <c r="Z12" s="135">
        <v>0</v>
      </c>
      <c r="AA12" s="135">
        <v>0</v>
      </c>
      <c r="AB12" s="135">
        <v>0</v>
      </c>
      <c r="AC12" s="135">
        <v>0</v>
      </c>
      <c r="AD12" s="135">
        <v>0</v>
      </c>
      <c r="AE12" s="135">
        <v>0</v>
      </c>
      <c r="AF12" s="135">
        <v>0</v>
      </c>
      <c r="AG12" s="135">
        <v>0</v>
      </c>
      <c r="AH12" s="135">
        <v>8.53575915819148</v>
      </c>
      <c r="AI12" s="135">
        <v>0</v>
      </c>
      <c r="AJ12" s="135">
        <v>2.9404386364919501</v>
      </c>
      <c r="AK12" s="135">
        <v>0</v>
      </c>
      <c r="AL12" s="135">
        <v>0</v>
      </c>
      <c r="AM12" s="135">
        <v>288.91946759907802</v>
      </c>
      <c r="AN12" s="135">
        <v>0</v>
      </c>
      <c r="AO12" s="135">
        <v>0</v>
      </c>
      <c r="AP12" s="135">
        <v>0</v>
      </c>
      <c r="AQ12" s="135">
        <v>-51.499378445049203</v>
      </c>
      <c r="AR12" s="136">
        <v>0</v>
      </c>
    </row>
    <row r="13" spans="2:44" ht="12" customHeight="1" x14ac:dyDescent="0.25">
      <c r="B13" s="134" t="s">
        <v>38</v>
      </c>
      <c r="C13" s="135" t="s">
        <v>58</v>
      </c>
      <c r="D13" s="135" t="s">
        <v>25</v>
      </c>
      <c r="E13" s="135" t="s">
        <v>25</v>
      </c>
      <c r="F13" s="135" t="s">
        <v>25</v>
      </c>
      <c r="G13" s="135" t="s">
        <v>25</v>
      </c>
      <c r="H13" s="135" t="s">
        <v>83</v>
      </c>
      <c r="I13" s="135" t="s">
        <v>25</v>
      </c>
      <c r="J13" s="135">
        <v>5.58</v>
      </c>
      <c r="K13" s="135">
        <v>0</v>
      </c>
      <c r="L13" s="135">
        <v>0</v>
      </c>
      <c r="M13" s="135">
        <v>2.6138271459538499E-2</v>
      </c>
      <c r="N13" s="135">
        <v>6.0222023955825203E-2</v>
      </c>
      <c r="O13" s="135">
        <v>0</v>
      </c>
      <c r="P13" s="135">
        <v>0</v>
      </c>
      <c r="Q13" s="135">
        <v>0</v>
      </c>
      <c r="R13" s="135">
        <v>0</v>
      </c>
      <c r="S13" s="135">
        <v>0</v>
      </c>
      <c r="T13" s="135">
        <v>0</v>
      </c>
      <c r="U13" s="135">
        <v>0</v>
      </c>
      <c r="V13" s="135">
        <v>0</v>
      </c>
      <c r="W13" s="135">
        <v>0</v>
      </c>
      <c r="X13" s="135">
        <v>0</v>
      </c>
      <c r="Y13" s="135">
        <v>0</v>
      </c>
      <c r="Z13" s="135">
        <v>0</v>
      </c>
      <c r="AA13" s="135">
        <v>6.7355399951127897</v>
      </c>
      <c r="AB13" s="135">
        <v>-1.2439832558100199</v>
      </c>
      <c r="AC13" s="135">
        <v>0</v>
      </c>
      <c r="AD13" s="135">
        <v>0</v>
      </c>
      <c r="AE13" s="135">
        <v>0</v>
      </c>
      <c r="AF13" s="135">
        <v>0</v>
      </c>
      <c r="AG13" s="135">
        <v>0</v>
      </c>
      <c r="AH13" s="135">
        <v>0</v>
      </c>
      <c r="AI13" s="135">
        <v>0</v>
      </c>
      <c r="AJ13" s="135">
        <v>0</v>
      </c>
      <c r="AK13" s="135">
        <v>0</v>
      </c>
      <c r="AL13" s="135">
        <v>0</v>
      </c>
      <c r="AM13" s="135">
        <v>0</v>
      </c>
      <c r="AN13" s="135">
        <v>0</v>
      </c>
      <c r="AO13" s="135">
        <v>0</v>
      </c>
      <c r="AP13" s="135">
        <v>0</v>
      </c>
      <c r="AQ13" s="135">
        <v>0</v>
      </c>
      <c r="AR13" s="136">
        <v>0</v>
      </c>
    </row>
    <row r="14" spans="2:44" ht="12" customHeight="1" x14ac:dyDescent="0.25">
      <c r="B14" s="134" t="s">
        <v>38</v>
      </c>
      <c r="C14" s="135" t="s">
        <v>39</v>
      </c>
      <c r="D14" s="135" t="s">
        <v>25</v>
      </c>
      <c r="E14" s="135" t="s">
        <v>25</v>
      </c>
      <c r="F14" s="135" t="s">
        <v>86</v>
      </c>
      <c r="G14" s="135" t="s">
        <v>33</v>
      </c>
      <c r="H14" s="135" t="s">
        <v>78</v>
      </c>
      <c r="I14" s="135" t="s">
        <v>25</v>
      </c>
      <c r="J14" s="135">
        <v>535.94000000000005</v>
      </c>
      <c r="K14" s="135">
        <v>0</v>
      </c>
      <c r="L14" s="135">
        <v>0</v>
      </c>
      <c r="M14" s="135">
        <v>0.37480666711286997</v>
      </c>
      <c r="N14" s="135">
        <v>4.7741393273992898</v>
      </c>
      <c r="O14" s="135">
        <v>0</v>
      </c>
      <c r="P14" s="135">
        <v>0</v>
      </c>
      <c r="Q14" s="135">
        <v>0</v>
      </c>
      <c r="R14" s="135">
        <v>0</v>
      </c>
      <c r="S14" s="135">
        <v>0</v>
      </c>
      <c r="T14" s="135">
        <v>164.70474852659899</v>
      </c>
      <c r="U14" s="135">
        <v>148.00846906775101</v>
      </c>
      <c r="V14" s="135">
        <v>24.951698406837</v>
      </c>
      <c r="W14" s="135">
        <v>0</v>
      </c>
      <c r="X14" s="135">
        <v>0</v>
      </c>
      <c r="Y14" s="135">
        <v>0</v>
      </c>
      <c r="Z14" s="135">
        <v>0</v>
      </c>
      <c r="AA14" s="135">
        <v>302.42736058770203</v>
      </c>
      <c r="AB14" s="135">
        <v>-116.138094751279</v>
      </c>
      <c r="AC14" s="135">
        <v>0</v>
      </c>
      <c r="AD14" s="135">
        <v>5.9601538210526801</v>
      </c>
      <c r="AE14" s="135">
        <v>0</v>
      </c>
      <c r="AF14" s="135">
        <v>0.55649648678054697</v>
      </c>
      <c r="AG14" s="135">
        <v>0.32420210999115001</v>
      </c>
      <c r="AH14" s="135">
        <v>0</v>
      </c>
      <c r="AI14" s="135">
        <v>0</v>
      </c>
      <c r="AJ14" s="135">
        <v>0</v>
      </c>
      <c r="AK14" s="135">
        <v>0</v>
      </c>
      <c r="AL14" s="135">
        <v>0</v>
      </c>
      <c r="AM14" s="135">
        <v>0</v>
      </c>
      <c r="AN14" s="135">
        <v>0</v>
      </c>
      <c r="AO14" s="135">
        <v>0</v>
      </c>
      <c r="AP14" s="135">
        <v>0</v>
      </c>
      <c r="AQ14" s="135">
        <v>0</v>
      </c>
      <c r="AR14" s="136">
        <v>0</v>
      </c>
    </row>
    <row r="15" spans="2:44" ht="12" customHeight="1" x14ac:dyDescent="0.25">
      <c r="B15" s="134" t="s">
        <v>38</v>
      </c>
      <c r="C15" s="135" t="s">
        <v>39</v>
      </c>
      <c r="D15" s="135" t="s">
        <v>25</v>
      </c>
      <c r="E15" s="135" t="s">
        <v>25</v>
      </c>
      <c r="F15" s="135" t="s">
        <v>86</v>
      </c>
      <c r="G15" s="135" t="s">
        <v>25</v>
      </c>
      <c r="H15" s="135" t="s">
        <v>83</v>
      </c>
      <c r="I15" s="135" t="s">
        <v>25</v>
      </c>
      <c r="J15" s="135">
        <v>21.14</v>
      </c>
      <c r="K15" s="135">
        <v>0</v>
      </c>
      <c r="L15" s="135">
        <v>0</v>
      </c>
      <c r="M15" s="135">
        <v>0</v>
      </c>
      <c r="N15" s="135">
        <v>0</v>
      </c>
      <c r="O15" s="135">
        <v>0</v>
      </c>
      <c r="P15" s="135">
        <v>0</v>
      </c>
      <c r="Q15" s="135">
        <v>0</v>
      </c>
      <c r="R15" s="135">
        <v>0</v>
      </c>
      <c r="S15" s="135">
        <v>0</v>
      </c>
      <c r="T15" s="135">
        <v>6.8496949388253796</v>
      </c>
      <c r="U15" s="135">
        <v>5.3127035338215904</v>
      </c>
      <c r="V15" s="135">
        <v>0.99056366607593405</v>
      </c>
      <c r="W15" s="135">
        <v>0</v>
      </c>
      <c r="X15" s="135">
        <v>0</v>
      </c>
      <c r="Y15" s="135">
        <v>0</v>
      </c>
      <c r="Z15" s="135">
        <v>0</v>
      </c>
      <c r="AA15" s="135">
        <v>12.574961708155101</v>
      </c>
      <c r="AB15" s="135">
        <v>-4.5883503212995498</v>
      </c>
      <c r="AC15" s="135">
        <v>0</v>
      </c>
      <c r="AD15" s="135">
        <v>0</v>
      </c>
      <c r="AE15" s="135">
        <v>0</v>
      </c>
      <c r="AF15" s="135">
        <v>0</v>
      </c>
      <c r="AG15" s="135">
        <v>0</v>
      </c>
      <c r="AH15" s="135">
        <v>0</v>
      </c>
      <c r="AI15" s="135">
        <v>0</v>
      </c>
      <c r="AJ15" s="135">
        <v>0</v>
      </c>
      <c r="AK15" s="135">
        <v>0</v>
      </c>
      <c r="AL15" s="135">
        <v>0</v>
      </c>
      <c r="AM15" s="135">
        <v>0</v>
      </c>
      <c r="AN15" s="135">
        <v>0</v>
      </c>
      <c r="AO15" s="135">
        <v>0</v>
      </c>
      <c r="AP15" s="135">
        <v>0</v>
      </c>
      <c r="AQ15" s="135">
        <v>0</v>
      </c>
      <c r="AR15" s="136">
        <v>0</v>
      </c>
    </row>
    <row r="16" spans="2:44" ht="12" customHeight="1" x14ac:dyDescent="0.25">
      <c r="B16" s="134" t="s">
        <v>38</v>
      </c>
      <c r="C16" s="135" t="s">
        <v>39</v>
      </c>
      <c r="D16" s="135" t="s">
        <v>25</v>
      </c>
      <c r="E16" s="135" t="s">
        <v>25</v>
      </c>
      <c r="F16" s="135" t="s">
        <v>86</v>
      </c>
      <c r="G16" s="135" t="s">
        <v>34</v>
      </c>
      <c r="H16" s="135" t="s">
        <v>78</v>
      </c>
      <c r="I16" s="135" t="s">
        <v>25</v>
      </c>
      <c r="J16" s="135">
        <v>6.09</v>
      </c>
      <c r="K16" s="135">
        <v>0</v>
      </c>
      <c r="L16" s="135">
        <v>0</v>
      </c>
      <c r="M16" s="135">
        <v>0.37480666711286997</v>
      </c>
      <c r="N16" s="135">
        <v>0.119615513301676</v>
      </c>
      <c r="O16" s="135">
        <v>0</v>
      </c>
      <c r="P16" s="135">
        <v>0</v>
      </c>
      <c r="Q16" s="135">
        <v>0</v>
      </c>
      <c r="R16" s="135">
        <v>0</v>
      </c>
      <c r="S16" s="135">
        <v>0</v>
      </c>
      <c r="T16" s="135">
        <v>0</v>
      </c>
      <c r="U16" s="135">
        <v>0</v>
      </c>
      <c r="V16" s="135">
        <v>0</v>
      </c>
      <c r="W16" s="135">
        <v>0</v>
      </c>
      <c r="X16" s="135">
        <v>0</v>
      </c>
      <c r="Y16" s="135">
        <v>0</v>
      </c>
      <c r="Z16" s="135">
        <v>0</v>
      </c>
      <c r="AA16" s="135">
        <v>0</v>
      </c>
      <c r="AB16" s="135">
        <v>-1.24618571008695</v>
      </c>
      <c r="AC16" s="135">
        <v>0</v>
      </c>
      <c r="AD16" s="135">
        <v>5.9601538210526801</v>
      </c>
      <c r="AE16" s="135">
        <v>0</v>
      </c>
      <c r="AF16" s="135">
        <v>0.55649648678054697</v>
      </c>
      <c r="AG16" s="135">
        <v>0.32420210999115001</v>
      </c>
      <c r="AH16" s="135">
        <v>0</v>
      </c>
      <c r="AI16" s="135">
        <v>0</v>
      </c>
      <c r="AJ16" s="135">
        <v>0</v>
      </c>
      <c r="AK16" s="135">
        <v>0</v>
      </c>
      <c r="AL16" s="135">
        <v>0</v>
      </c>
      <c r="AM16" s="135">
        <v>0</v>
      </c>
      <c r="AN16" s="135">
        <v>0</v>
      </c>
      <c r="AO16" s="135">
        <v>0</v>
      </c>
      <c r="AP16" s="135">
        <v>0</v>
      </c>
      <c r="AQ16" s="135">
        <v>0</v>
      </c>
      <c r="AR16" s="136">
        <v>0</v>
      </c>
    </row>
    <row r="17" spans="2:44" ht="12" customHeight="1" x14ac:dyDescent="0.25">
      <c r="B17" s="134" t="s">
        <v>38</v>
      </c>
      <c r="C17" s="135" t="s">
        <v>39</v>
      </c>
      <c r="D17" s="135" t="s">
        <v>25</v>
      </c>
      <c r="E17" s="135" t="s">
        <v>25</v>
      </c>
      <c r="F17" s="135" t="s">
        <v>25</v>
      </c>
      <c r="G17" s="135" t="s">
        <v>33</v>
      </c>
      <c r="H17" s="135" t="s">
        <v>78</v>
      </c>
      <c r="I17" s="135" t="s">
        <v>25</v>
      </c>
      <c r="J17" s="135">
        <v>625.66999999999996</v>
      </c>
      <c r="K17" s="135">
        <v>398.02</v>
      </c>
      <c r="L17" s="135">
        <v>5.8174665275364204</v>
      </c>
      <c r="M17" s="135">
        <v>0.37480666711286997</v>
      </c>
      <c r="N17" s="135">
        <v>4.7830216318175598</v>
      </c>
      <c r="O17" s="135">
        <v>0</v>
      </c>
      <c r="P17" s="135">
        <v>0</v>
      </c>
      <c r="Q17" s="135">
        <v>83.931024384977306</v>
      </c>
      <c r="R17" s="135">
        <v>16.736115121766598</v>
      </c>
      <c r="S17" s="135">
        <v>0</v>
      </c>
      <c r="T17" s="135">
        <v>164.70474852659899</v>
      </c>
      <c r="U17" s="135">
        <v>148.00846906775101</v>
      </c>
      <c r="V17" s="135">
        <v>24.951698406837</v>
      </c>
      <c r="W17" s="135">
        <v>0</v>
      </c>
      <c r="X17" s="135">
        <v>0</v>
      </c>
      <c r="Y17" s="135">
        <v>0</v>
      </c>
      <c r="Z17" s="135">
        <v>0</v>
      </c>
      <c r="AA17" s="135">
        <v>302.42736058770203</v>
      </c>
      <c r="AB17" s="135">
        <v>-132.905223875518</v>
      </c>
      <c r="AC17" s="135">
        <v>0</v>
      </c>
      <c r="AD17" s="135">
        <v>5.9601538210526801</v>
      </c>
      <c r="AE17" s="135">
        <v>0</v>
      </c>
      <c r="AF17" s="135">
        <v>0.55649648678054697</v>
      </c>
      <c r="AG17" s="135">
        <v>0.32420210999115001</v>
      </c>
      <c r="AH17" s="135">
        <v>8.53575915819148</v>
      </c>
      <c r="AI17" s="135">
        <v>0</v>
      </c>
      <c r="AJ17" s="135">
        <v>2.9404386364919501</v>
      </c>
      <c r="AK17" s="135">
        <v>0</v>
      </c>
      <c r="AL17" s="135">
        <v>0</v>
      </c>
      <c r="AM17" s="135">
        <v>468.812721009825</v>
      </c>
      <c r="AN17" s="135">
        <v>0</v>
      </c>
      <c r="AO17" s="135">
        <v>0</v>
      </c>
      <c r="AP17" s="135">
        <v>0</v>
      </c>
      <c r="AQ17" s="135">
        <v>-82.272278343634795</v>
      </c>
      <c r="AR17" s="136">
        <v>0</v>
      </c>
    </row>
    <row r="18" spans="2:44" ht="12" customHeight="1" x14ac:dyDescent="0.25">
      <c r="B18" s="134" t="s">
        <v>38</v>
      </c>
      <c r="C18" s="135" t="s">
        <v>39</v>
      </c>
      <c r="D18" s="135" t="s">
        <v>25</v>
      </c>
      <c r="E18" s="135" t="s">
        <v>25</v>
      </c>
      <c r="F18" s="135" t="s">
        <v>25</v>
      </c>
      <c r="G18" s="135" t="s">
        <v>25</v>
      </c>
      <c r="H18" s="135" t="s">
        <v>83</v>
      </c>
      <c r="I18" s="135" t="s">
        <v>25</v>
      </c>
      <c r="J18" s="135">
        <v>21.14</v>
      </c>
      <c r="K18" s="135">
        <v>0</v>
      </c>
      <c r="L18" s="135">
        <v>0</v>
      </c>
      <c r="M18" s="135">
        <v>0</v>
      </c>
      <c r="N18" s="135">
        <v>0</v>
      </c>
      <c r="O18" s="135">
        <v>0</v>
      </c>
      <c r="P18" s="135">
        <v>0</v>
      </c>
      <c r="Q18" s="135">
        <v>0</v>
      </c>
      <c r="R18" s="135">
        <v>0</v>
      </c>
      <c r="S18" s="135">
        <v>0</v>
      </c>
      <c r="T18" s="135">
        <v>6.8496949388253796</v>
      </c>
      <c r="U18" s="135">
        <v>5.3127035338215904</v>
      </c>
      <c r="V18" s="135">
        <v>0.99056366607593405</v>
      </c>
      <c r="W18" s="135">
        <v>0</v>
      </c>
      <c r="X18" s="135">
        <v>0</v>
      </c>
      <c r="Y18" s="135">
        <v>0</v>
      </c>
      <c r="Z18" s="135">
        <v>0</v>
      </c>
      <c r="AA18" s="135">
        <v>12.574961708155101</v>
      </c>
      <c r="AB18" s="135">
        <v>-4.5883503212995498</v>
      </c>
      <c r="AC18" s="135">
        <v>0</v>
      </c>
      <c r="AD18" s="135">
        <v>0</v>
      </c>
      <c r="AE18" s="135">
        <v>0</v>
      </c>
      <c r="AF18" s="135">
        <v>0</v>
      </c>
      <c r="AG18" s="135">
        <v>0</v>
      </c>
      <c r="AH18" s="135">
        <v>0</v>
      </c>
      <c r="AI18" s="135">
        <v>0</v>
      </c>
      <c r="AJ18" s="135">
        <v>0</v>
      </c>
      <c r="AK18" s="135">
        <v>0</v>
      </c>
      <c r="AL18" s="135">
        <v>0</v>
      </c>
      <c r="AM18" s="135">
        <v>0</v>
      </c>
      <c r="AN18" s="135">
        <v>0</v>
      </c>
      <c r="AO18" s="135">
        <v>0</v>
      </c>
      <c r="AP18" s="135">
        <v>0</v>
      </c>
      <c r="AQ18" s="135">
        <v>0</v>
      </c>
      <c r="AR18" s="136">
        <v>0</v>
      </c>
    </row>
    <row r="19" spans="2:44" ht="12" customHeight="1" x14ac:dyDescent="0.25">
      <c r="B19" s="134" t="s">
        <v>38</v>
      </c>
      <c r="C19" s="135" t="s">
        <v>39</v>
      </c>
      <c r="D19" s="135" t="s">
        <v>25</v>
      </c>
      <c r="E19" s="135" t="s">
        <v>25</v>
      </c>
      <c r="F19" s="135" t="s">
        <v>25</v>
      </c>
      <c r="G19" s="135" t="s">
        <v>34</v>
      </c>
      <c r="H19" s="135" t="s">
        <v>78</v>
      </c>
      <c r="I19" s="135" t="s">
        <v>25</v>
      </c>
      <c r="J19" s="135">
        <v>95.82</v>
      </c>
      <c r="K19" s="135">
        <v>235.34</v>
      </c>
      <c r="L19" s="135">
        <v>5.8174665275364204</v>
      </c>
      <c r="M19" s="135">
        <v>0.37480666711286997</v>
      </c>
      <c r="N19" s="135">
        <v>0.12849781771994001</v>
      </c>
      <c r="O19" s="135">
        <v>0</v>
      </c>
      <c r="P19" s="135">
        <v>0</v>
      </c>
      <c r="Q19" s="135">
        <v>83.931024384977306</v>
      </c>
      <c r="R19" s="135">
        <v>16.736115121766598</v>
      </c>
      <c r="S19" s="135">
        <v>0</v>
      </c>
      <c r="T19" s="135">
        <v>0</v>
      </c>
      <c r="U19" s="135">
        <v>0</v>
      </c>
      <c r="V19" s="135">
        <v>0</v>
      </c>
      <c r="W19" s="135">
        <v>0</v>
      </c>
      <c r="X19" s="135">
        <v>0</v>
      </c>
      <c r="Y19" s="135">
        <v>0</v>
      </c>
      <c r="Z19" s="135">
        <v>0</v>
      </c>
      <c r="AA19" s="135">
        <v>0</v>
      </c>
      <c r="AB19" s="135">
        <v>-18.013314834326099</v>
      </c>
      <c r="AC19" s="135">
        <v>0</v>
      </c>
      <c r="AD19" s="135">
        <v>5.9601538210526801</v>
      </c>
      <c r="AE19" s="135">
        <v>0</v>
      </c>
      <c r="AF19" s="135">
        <v>0.55649648678054697</v>
      </c>
      <c r="AG19" s="135">
        <v>0.32420210999115001</v>
      </c>
      <c r="AH19" s="135">
        <v>8.53575915819148</v>
      </c>
      <c r="AI19" s="135">
        <v>0</v>
      </c>
      <c r="AJ19" s="135">
        <v>2.9404386364919501</v>
      </c>
      <c r="AK19" s="135">
        <v>0</v>
      </c>
      <c r="AL19" s="135">
        <v>0</v>
      </c>
      <c r="AM19" s="135">
        <v>272.56553547082899</v>
      </c>
      <c r="AN19" s="135">
        <v>0</v>
      </c>
      <c r="AO19" s="135">
        <v>0</v>
      </c>
      <c r="AP19" s="135">
        <v>0</v>
      </c>
      <c r="AQ19" s="135">
        <v>-48.701842090632297</v>
      </c>
      <c r="AR19" s="136">
        <v>0</v>
      </c>
    </row>
    <row r="20" spans="2:44" ht="12" customHeight="1" x14ac:dyDescent="0.25">
      <c r="B20" s="134" t="s">
        <v>89</v>
      </c>
      <c r="C20" s="135" t="s">
        <v>58</v>
      </c>
      <c r="D20" s="135" t="s">
        <v>25</v>
      </c>
      <c r="E20" s="135" t="s">
        <v>25</v>
      </c>
      <c r="F20" s="135" t="s">
        <v>90</v>
      </c>
      <c r="G20" s="135" t="s">
        <v>25</v>
      </c>
      <c r="H20" s="135" t="s">
        <v>83</v>
      </c>
      <c r="I20" s="135" t="s">
        <v>25</v>
      </c>
      <c r="J20" s="135">
        <v>4.71</v>
      </c>
      <c r="K20" s="135">
        <v>0</v>
      </c>
      <c r="L20" s="135">
        <v>0</v>
      </c>
      <c r="M20" s="135">
        <v>2.2072318121388001E-2</v>
      </c>
      <c r="N20" s="135">
        <v>5.0895604316648801E-2</v>
      </c>
      <c r="O20" s="135">
        <v>0</v>
      </c>
      <c r="P20" s="135">
        <v>0</v>
      </c>
      <c r="Q20" s="135">
        <v>0</v>
      </c>
      <c r="R20" s="135">
        <v>0</v>
      </c>
      <c r="S20" s="135">
        <v>0</v>
      </c>
      <c r="T20" s="135">
        <v>0</v>
      </c>
      <c r="U20" s="135">
        <v>0</v>
      </c>
      <c r="V20" s="135">
        <v>0</v>
      </c>
      <c r="W20" s="135">
        <v>0</v>
      </c>
      <c r="X20" s="135">
        <v>0</v>
      </c>
      <c r="Y20" s="135">
        <v>0</v>
      </c>
      <c r="Z20" s="135">
        <v>0</v>
      </c>
      <c r="AA20" s="135">
        <v>5.6878092650969503</v>
      </c>
      <c r="AB20" s="135">
        <v>-1.0504858034219</v>
      </c>
      <c r="AC20" s="135">
        <v>0</v>
      </c>
      <c r="AD20" s="135">
        <v>0</v>
      </c>
      <c r="AE20" s="135">
        <v>0</v>
      </c>
      <c r="AF20" s="135">
        <v>0</v>
      </c>
      <c r="AG20" s="135">
        <v>0</v>
      </c>
      <c r="AH20" s="135">
        <v>0</v>
      </c>
      <c r="AI20" s="135">
        <v>0</v>
      </c>
      <c r="AJ20" s="135">
        <v>0</v>
      </c>
      <c r="AK20" s="135">
        <v>0</v>
      </c>
      <c r="AL20" s="135">
        <v>0</v>
      </c>
      <c r="AM20" s="135">
        <v>0</v>
      </c>
      <c r="AN20" s="135">
        <v>0</v>
      </c>
      <c r="AO20" s="135">
        <v>0</v>
      </c>
      <c r="AP20" s="135">
        <v>0</v>
      </c>
      <c r="AQ20" s="135">
        <v>0</v>
      </c>
      <c r="AR20" s="136">
        <v>0</v>
      </c>
    </row>
    <row r="21" spans="2:44" ht="12" customHeight="1" x14ac:dyDescent="0.25">
      <c r="B21" s="134" t="s">
        <v>89</v>
      </c>
      <c r="C21" s="135" t="s">
        <v>58</v>
      </c>
      <c r="D21" s="135" t="s">
        <v>25</v>
      </c>
      <c r="E21" s="135" t="s">
        <v>25</v>
      </c>
      <c r="F21" s="135" t="s">
        <v>91</v>
      </c>
      <c r="G21" s="135" t="s">
        <v>25</v>
      </c>
      <c r="H21" s="135" t="s">
        <v>83</v>
      </c>
      <c r="I21" s="135" t="s">
        <v>25</v>
      </c>
      <c r="J21" s="135">
        <v>7.84</v>
      </c>
      <c r="K21" s="135">
        <v>0</v>
      </c>
      <c r="L21" s="135">
        <v>0</v>
      </c>
      <c r="M21" s="135">
        <v>2.2072318121388001E-2</v>
      </c>
      <c r="N21" s="135">
        <v>5.0895604316648801E-2</v>
      </c>
      <c r="O21" s="135">
        <v>0</v>
      </c>
      <c r="P21" s="135">
        <v>0</v>
      </c>
      <c r="Q21" s="135">
        <v>0</v>
      </c>
      <c r="R21" s="135">
        <v>0</v>
      </c>
      <c r="S21" s="135">
        <v>0</v>
      </c>
      <c r="T21" s="135">
        <v>0</v>
      </c>
      <c r="U21" s="135">
        <v>0</v>
      </c>
      <c r="V21" s="135">
        <v>0</v>
      </c>
      <c r="W21" s="135">
        <v>0</v>
      </c>
      <c r="X21" s="135">
        <v>0</v>
      </c>
      <c r="Y21" s="135">
        <v>0</v>
      </c>
      <c r="Z21" s="135">
        <v>0</v>
      </c>
      <c r="AA21" s="135">
        <v>9.5104166064895406</v>
      </c>
      <c r="AB21" s="135">
        <v>-1.7475731078938599</v>
      </c>
      <c r="AC21" s="135">
        <v>0</v>
      </c>
      <c r="AD21" s="135">
        <v>0</v>
      </c>
      <c r="AE21" s="135">
        <v>0</v>
      </c>
      <c r="AF21" s="135">
        <v>0</v>
      </c>
      <c r="AG21" s="135">
        <v>0</v>
      </c>
      <c r="AH21" s="135">
        <v>0</v>
      </c>
      <c r="AI21" s="135">
        <v>0</v>
      </c>
      <c r="AJ21" s="135">
        <v>0</v>
      </c>
      <c r="AK21" s="135">
        <v>0</v>
      </c>
      <c r="AL21" s="135">
        <v>0</v>
      </c>
      <c r="AM21" s="135">
        <v>0</v>
      </c>
      <c r="AN21" s="135">
        <v>0</v>
      </c>
      <c r="AO21" s="135">
        <v>0</v>
      </c>
      <c r="AP21" s="135">
        <v>0</v>
      </c>
      <c r="AQ21" s="135">
        <v>0</v>
      </c>
      <c r="AR21" s="136">
        <v>0</v>
      </c>
    </row>
    <row r="22" spans="2:44" ht="12" customHeight="1" x14ac:dyDescent="0.25">
      <c r="B22" s="134" t="s">
        <v>22</v>
      </c>
      <c r="C22" s="135" t="s">
        <v>32</v>
      </c>
      <c r="D22" s="135" t="s">
        <v>24</v>
      </c>
      <c r="E22" s="135" t="s">
        <v>24</v>
      </c>
      <c r="F22" s="135" t="s">
        <v>25</v>
      </c>
      <c r="G22" s="135" t="s">
        <v>33</v>
      </c>
      <c r="H22" s="135" t="s">
        <v>78</v>
      </c>
      <c r="I22" s="135" t="s">
        <v>25</v>
      </c>
      <c r="J22" s="135">
        <v>751.67</v>
      </c>
      <c r="K22" s="135">
        <v>398.02</v>
      </c>
      <c r="L22" s="135">
        <v>6.9255553899243099</v>
      </c>
      <c r="M22" s="135">
        <v>0.84363362321217295</v>
      </c>
      <c r="N22" s="135">
        <v>6.5313897525276596</v>
      </c>
      <c r="O22" s="135">
        <v>0</v>
      </c>
      <c r="P22" s="135">
        <v>0</v>
      </c>
      <c r="Q22" s="135">
        <v>99.917886172592105</v>
      </c>
      <c r="R22" s="135">
        <v>16.736115121766598</v>
      </c>
      <c r="S22" s="135">
        <v>0</v>
      </c>
      <c r="T22" s="135">
        <v>101.607907824778</v>
      </c>
      <c r="U22" s="135">
        <v>85.607505376898303</v>
      </c>
      <c r="V22" s="135">
        <v>15.0736774604046</v>
      </c>
      <c r="W22" s="135">
        <v>0</v>
      </c>
      <c r="X22" s="135">
        <v>0</v>
      </c>
      <c r="Y22" s="135">
        <v>0</v>
      </c>
      <c r="Z22" s="135">
        <v>0</v>
      </c>
      <c r="AA22" s="135">
        <v>557.75099632235003</v>
      </c>
      <c r="AB22" s="135">
        <v>-161.60830589734101</v>
      </c>
      <c r="AC22" s="135">
        <v>0</v>
      </c>
      <c r="AD22" s="135">
        <v>21.080320800855102</v>
      </c>
      <c r="AE22" s="135">
        <v>0</v>
      </c>
      <c r="AF22" s="135">
        <v>0.75859136189690102</v>
      </c>
      <c r="AG22" s="135">
        <v>0.44193795646551798</v>
      </c>
      <c r="AH22" s="135">
        <v>8.53575915819148</v>
      </c>
      <c r="AI22" s="135">
        <v>0</v>
      </c>
      <c r="AJ22" s="135">
        <v>2.9404386364919501</v>
      </c>
      <c r="AK22" s="135">
        <v>0</v>
      </c>
      <c r="AL22" s="135">
        <v>0</v>
      </c>
      <c r="AM22" s="135">
        <v>468.812721009825</v>
      </c>
      <c r="AN22" s="135">
        <v>0</v>
      </c>
      <c r="AO22" s="135">
        <v>0</v>
      </c>
      <c r="AP22" s="135">
        <v>0</v>
      </c>
      <c r="AQ22" s="135">
        <v>-82.272278343634795</v>
      </c>
      <c r="AR22" s="136">
        <v>0</v>
      </c>
    </row>
    <row r="23" spans="2:44" ht="12" customHeight="1" x14ac:dyDescent="0.25">
      <c r="B23" s="134" t="s">
        <v>22</v>
      </c>
      <c r="C23" s="135" t="s">
        <v>32</v>
      </c>
      <c r="D23" s="135" t="s">
        <v>24</v>
      </c>
      <c r="E23" s="135" t="s">
        <v>24</v>
      </c>
      <c r="F23" s="135" t="s">
        <v>25</v>
      </c>
      <c r="G23" s="135" t="s">
        <v>35</v>
      </c>
      <c r="H23" s="135" t="s">
        <v>78</v>
      </c>
      <c r="I23" s="135" t="s">
        <v>25</v>
      </c>
      <c r="J23" s="135">
        <v>437.63</v>
      </c>
      <c r="K23" s="135">
        <v>235.34</v>
      </c>
      <c r="L23" s="135">
        <v>6.9255553899243099</v>
      </c>
      <c r="M23" s="135">
        <v>0.84363362321217295</v>
      </c>
      <c r="N23" s="135">
        <v>3.4581284119564999</v>
      </c>
      <c r="O23" s="135">
        <v>0</v>
      </c>
      <c r="P23" s="135">
        <v>0</v>
      </c>
      <c r="Q23" s="135">
        <v>99.917886172592105</v>
      </c>
      <c r="R23" s="135">
        <v>16.736115121766598</v>
      </c>
      <c r="S23" s="135">
        <v>0</v>
      </c>
      <c r="T23" s="135">
        <v>50.804029364515202</v>
      </c>
      <c r="U23" s="135">
        <v>42.803667173470998</v>
      </c>
      <c r="V23" s="135">
        <v>7.5368887586702797</v>
      </c>
      <c r="W23" s="135">
        <v>0</v>
      </c>
      <c r="X23" s="135">
        <v>0</v>
      </c>
      <c r="Y23" s="135">
        <v>0</v>
      </c>
      <c r="Z23" s="135">
        <v>0</v>
      </c>
      <c r="AA23" s="135">
        <v>278.87549816117502</v>
      </c>
      <c r="AB23" s="135">
        <v>-92.555427717865896</v>
      </c>
      <c r="AC23" s="135">
        <v>0</v>
      </c>
      <c r="AD23" s="135">
        <v>21.080320800855102</v>
      </c>
      <c r="AE23" s="135">
        <v>0</v>
      </c>
      <c r="AF23" s="135">
        <v>0.75859136189690102</v>
      </c>
      <c r="AG23" s="135">
        <v>0.44193795646551798</v>
      </c>
      <c r="AH23" s="135">
        <v>8.53575915819148</v>
      </c>
      <c r="AI23" s="135">
        <v>0</v>
      </c>
      <c r="AJ23" s="135">
        <v>2.9404386364919501</v>
      </c>
      <c r="AK23" s="135">
        <v>0</v>
      </c>
      <c r="AL23" s="135">
        <v>0</v>
      </c>
      <c r="AM23" s="135">
        <v>272.56553547082899</v>
      </c>
      <c r="AN23" s="135">
        <v>0</v>
      </c>
      <c r="AO23" s="135">
        <v>0</v>
      </c>
      <c r="AP23" s="135">
        <v>0</v>
      </c>
      <c r="AQ23" s="135">
        <v>-48.701842090632297</v>
      </c>
      <c r="AR23" s="136">
        <v>0</v>
      </c>
    </row>
    <row r="24" spans="2:44" ht="12" customHeight="1" x14ac:dyDescent="0.25">
      <c r="B24" s="134" t="s">
        <v>22</v>
      </c>
      <c r="C24" s="135" t="s">
        <v>32</v>
      </c>
      <c r="D24" s="135" t="s">
        <v>24</v>
      </c>
      <c r="E24" s="135" t="s">
        <v>24</v>
      </c>
      <c r="F24" s="135" t="s">
        <v>25</v>
      </c>
      <c r="G24" s="135" t="s">
        <v>34</v>
      </c>
      <c r="H24" s="135" t="s">
        <v>78</v>
      </c>
      <c r="I24" s="135" t="s">
        <v>25</v>
      </c>
      <c r="J24" s="135">
        <v>186.39</v>
      </c>
      <c r="K24" s="135">
        <v>235.34</v>
      </c>
      <c r="L24" s="135">
        <v>6.9255553899243099</v>
      </c>
      <c r="M24" s="135">
        <v>0.84363362321217295</v>
      </c>
      <c r="N24" s="135">
        <v>0.99951898420740604</v>
      </c>
      <c r="O24" s="135">
        <v>0</v>
      </c>
      <c r="P24" s="135">
        <v>0</v>
      </c>
      <c r="Q24" s="135">
        <v>99.917886172592105</v>
      </c>
      <c r="R24" s="135">
        <v>16.736115121766598</v>
      </c>
      <c r="S24" s="135">
        <v>0</v>
      </c>
      <c r="T24" s="135">
        <v>10.1608360537536</v>
      </c>
      <c r="U24" s="135">
        <v>8.5607334346941997</v>
      </c>
      <c r="V24" s="135">
        <v>1.5073577403468601</v>
      </c>
      <c r="W24" s="135">
        <v>0</v>
      </c>
      <c r="X24" s="135">
        <v>0</v>
      </c>
      <c r="Y24" s="135">
        <v>0</v>
      </c>
      <c r="Z24" s="135">
        <v>0</v>
      </c>
      <c r="AA24" s="135">
        <v>55.775139504016202</v>
      </c>
      <c r="AB24" s="135">
        <v>-37.313122159108701</v>
      </c>
      <c r="AC24" s="135">
        <v>0</v>
      </c>
      <c r="AD24" s="135">
        <v>21.080320800855102</v>
      </c>
      <c r="AE24" s="135">
        <v>0</v>
      </c>
      <c r="AF24" s="135">
        <v>0.75859136189690102</v>
      </c>
      <c r="AG24" s="135">
        <v>0.44193795646551798</v>
      </c>
      <c r="AH24" s="135">
        <v>8.53575915819148</v>
      </c>
      <c r="AI24" s="135">
        <v>0</v>
      </c>
      <c r="AJ24" s="135">
        <v>2.9404386364919501</v>
      </c>
      <c r="AK24" s="135">
        <v>0</v>
      </c>
      <c r="AL24" s="135">
        <v>0</v>
      </c>
      <c r="AM24" s="135">
        <v>272.56553547082899</v>
      </c>
      <c r="AN24" s="135">
        <v>0</v>
      </c>
      <c r="AO24" s="135">
        <v>0</v>
      </c>
      <c r="AP24" s="135">
        <v>0</v>
      </c>
      <c r="AQ24" s="135">
        <v>-48.701842090632297</v>
      </c>
      <c r="AR24" s="136">
        <v>0</v>
      </c>
    </row>
    <row r="25" spans="2:44" ht="12" customHeight="1" x14ac:dyDescent="0.25">
      <c r="B25" s="134" t="s">
        <v>22</v>
      </c>
      <c r="C25" s="135" t="s">
        <v>23</v>
      </c>
      <c r="D25" s="135" t="s">
        <v>24</v>
      </c>
      <c r="E25" s="135" t="s">
        <v>1245</v>
      </c>
      <c r="F25" s="135" t="s">
        <v>25</v>
      </c>
      <c r="G25" s="135" t="s">
        <v>25</v>
      </c>
      <c r="H25" s="135" t="s">
        <v>78</v>
      </c>
      <c r="I25" s="135" t="s">
        <v>25</v>
      </c>
      <c r="J25" s="135">
        <v>209.81</v>
      </c>
      <c r="K25" s="135">
        <v>248.9</v>
      </c>
      <c r="L25" s="135">
        <v>0</v>
      </c>
      <c r="M25" s="135">
        <v>0.84363362321217295</v>
      </c>
      <c r="N25" s="135">
        <v>2.2385666977983498</v>
      </c>
      <c r="O25" s="135">
        <v>0</v>
      </c>
      <c r="P25" s="135">
        <v>0</v>
      </c>
      <c r="Q25" s="135">
        <v>0</v>
      </c>
      <c r="R25" s="135">
        <v>0</v>
      </c>
      <c r="S25" s="135">
        <v>0</v>
      </c>
      <c r="T25" s="135">
        <v>30.7902019327191</v>
      </c>
      <c r="U25" s="135">
        <v>25.941652747851901</v>
      </c>
      <c r="V25" s="135">
        <v>4.5677992407776298</v>
      </c>
      <c r="W25" s="135">
        <v>0</v>
      </c>
      <c r="X25" s="135">
        <v>0</v>
      </c>
      <c r="Y25" s="135">
        <v>0</v>
      </c>
      <c r="Z25" s="135">
        <v>0</v>
      </c>
      <c r="AA25" s="135">
        <v>169.01548363691001</v>
      </c>
      <c r="AB25" s="135">
        <v>-45.865910380805602</v>
      </c>
      <c r="AC25" s="135">
        <v>0</v>
      </c>
      <c r="AD25" s="135">
        <v>21.080320800855102</v>
      </c>
      <c r="AE25" s="135">
        <v>0</v>
      </c>
      <c r="AF25" s="135">
        <v>0.75859136189690102</v>
      </c>
      <c r="AG25" s="135">
        <v>0.44193795646551798</v>
      </c>
      <c r="AH25" s="135">
        <v>8.53575915819148</v>
      </c>
      <c r="AI25" s="135">
        <v>0</v>
      </c>
      <c r="AJ25" s="135">
        <v>2.9404386364919501</v>
      </c>
      <c r="AK25" s="135">
        <v>0</v>
      </c>
      <c r="AL25" s="135">
        <v>0</v>
      </c>
      <c r="AM25" s="135">
        <v>288.91946759907802</v>
      </c>
      <c r="AN25" s="135">
        <v>0</v>
      </c>
      <c r="AO25" s="135">
        <v>0</v>
      </c>
      <c r="AP25" s="135">
        <v>0</v>
      </c>
      <c r="AQ25" s="135">
        <v>-51.499378445049203</v>
      </c>
      <c r="AR25" s="136">
        <v>0</v>
      </c>
    </row>
    <row r="26" spans="2:44" ht="12" customHeight="1" x14ac:dyDescent="0.25">
      <c r="B26" s="134" t="s">
        <v>22</v>
      </c>
      <c r="C26" s="135" t="s">
        <v>23</v>
      </c>
      <c r="D26" s="135" t="s">
        <v>24</v>
      </c>
      <c r="E26" s="135" t="s">
        <v>24</v>
      </c>
      <c r="F26" s="135" t="s">
        <v>25</v>
      </c>
      <c r="G26" s="135" t="s">
        <v>25</v>
      </c>
      <c r="H26" s="135" t="s">
        <v>78</v>
      </c>
      <c r="I26" s="135" t="s">
        <v>25</v>
      </c>
      <c r="J26" s="135">
        <v>313.91000000000003</v>
      </c>
      <c r="K26" s="135">
        <v>248.9</v>
      </c>
      <c r="L26" s="135">
        <v>6.9255553899243099</v>
      </c>
      <c r="M26" s="135">
        <v>0.84363362321217295</v>
      </c>
      <c r="N26" s="135">
        <v>2.24744900221661</v>
      </c>
      <c r="O26" s="135">
        <v>0</v>
      </c>
      <c r="P26" s="135">
        <v>0</v>
      </c>
      <c r="Q26" s="135">
        <v>99.917886172592105</v>
      </c>
      <c r="R26" s="135">
        <v>16.736115121766598</v>
      </c>
      <c r="S26" s="135">
        <v>0</v>
      </c>
      <c r="T26" s="135">
        <v>30.7902019327191</v>
      </c>
      <c r="U26" s="135">
        <v>25.941652747851901</v>
      </c>
      <c r="V26" s="135">
        <v>4.5677992407776298</v>
      </c>
      <c r="W26" s="135">
        <v>0</v>
      </c>
      <c r="X26" s="135">
        <v>0</v>
      </c>
      <c r="Y26" s="135">
        <v>0</v>
      </c>
      <c r="Z26" s="135">
        <v>0</v>
      </c>
      <c r="AA26" s="135">
        <v>169.01548363691001</v>
      </c>
      <c r="AB26" s="135">
        <v>-65.352761649010205</v>
      </c>
      <c r="AC26" s="135">
        <v>0</v>
      </c>
      <c r="AD26" s="135">
        <v>21.080320800855102</v>
      </c>
      <c r="AE26" s="135">
        <v>0</v>
      </c>
      <c r="AF26" s="135">
        <v>0.75859136189690102</v>
      </c>
      <c r="AG26" s="135">
        <v>0.44193795646551798</v>
      </c>
      <c r="AH26" s="135">
        <v>8.53575915819148</v>
      </c>
      <c r="AI26" s="135">
        <v>0</v>
      </c>
      <c r="AJ26" s="135">
        <v>2.9404386364919501</v>
      </c>
      <c r="AK26" s="135">
        <v>0</v>
      </c>
      <c r="AL26" s="135">
        <v>0</v>
      </c>
      <c r="AM26" s="135">
        <v>288.91946759907802</v>
      </c>
      <c r="AN26" s="135">
        <v>0</v>
      </c>
      <c r="AO26" s="135">
        <v>0</v>
      </c>
      <c r="AP26" s="135">
        <v>0</v>
      </c>
      <c r="AQ26" s="135">
        <v>-51.499378445049203</v>
      </c>
      <c r="AR26" s="136">
        <v>0</v>
      </c>
    </row>
    <row r="27" spans="2:44" ht="12" customHeight="1" x14ac:dyDescent="0.25">
      <c r="B27" s="134" t="s">
        <v>22</v>
      </c>
      <c r="C27" s="135" t="s">
        <v>94</v>
      </c>
      <c r="D27" s="135" t="s">
        <v>24</v>
      </c>
      <c r="E27" s="135" t="s">
        <v>1245</v>
      </c>
      <c r="F27" s="135" t="s">
        <v>25</v>
      </c>
      <c r="G27" s="135" t="s">
        <v>25</v>
      </c>
      <c r="H27" s="135" t="s">
        <v>78</v>
      </c>
      <c r="I27" s="135" t="s">
        <v>25</v>
      </c>
      <c r="J27" s="135">
        <v>209.81</v>
      </c>
      <c r="K27" s="135">
        <v>248.9</v>
      </c>
      <c r="L27" s="135">
        <v>0</v>
      </c>
      <c r="M27" s="135">
        <v>0.84363362321217295</v>
      </c>
      <c r="N27" s="135">
        <v>2.2385666977983498</v>
      </c>
      <c r="O27" s="135">
        <v>0</v>
      </c>
      <c r="P27" s="135">
        <v>0</v>
      </c>
      <c r="Q27" s="135">
        <v>0</v>
      </c>
      <c r="R27" s="135">
        <v>0</v>
      </c>
      <c r="S27" s="135">
        <v>0</v>
      </c>
      <c r="T27" s="135">
        <v>30.7902019327191</v>
      </c>
      <c r="U27" s="135">
        <v>25.941652747851901</v>
      </c>
      <c r="V27" s="135">
        <v>4.5677992407776298</v>
      </c>
      <c r="W27" s="135">
        <v>0</v>
      </c>
      <c r="X27" s="135">
        <v>0</v>
      </c>
      <c r="Y27" s="135">
        <v>0</v>
      </c>
      <c r="Z27" s="135">
        <v>0</v>
      </c>
      <c r="AA27" s="135">
        <v>169.01548363691001</v>
      </c>
      <c r="AB27" s="135">
        <v>-45.865910380805602</v>
      </c>
      <c r="AC27" s="135">
        <v>0</v>
      </c>
      <c r="AD27" s="135">
        <v>21.080320800855102</v>
      </c>
      <c r="AE27" s="135">
        <v>0</v>
      </c>
      <c r="AF27" s="135">
        <v>0.75859136189690102</v>
      </c>
      <c r="AG27" s="135">
        <v>0.44193795646551798</v>
      </c>
      <c r="AH27" s="135">
        <v>8.53575915819148</v>
      </c>
      <c r="AI27" s="135">
        <v>0</v>
      </c>
      <c r="AJ27" s="135">
        <v>2.9404386364919501</v>
      </c>
      <c r="AK27" s="135">
        <v>0</v>
      </c>
      <c r="AL27" s="135">
        <v>0</v>
      </c>
      <c r="AM27" s="135">
        <v>288.91946759907802</v>
      </c>
      <c r="AN27" s="135">
        <v>0</v>
      </c>
      <c r="AO27" s="135">
        <v>0</v>
      </c>
      <c r="AP27" s="135">
        <v>0</v>
      </c>
      <c r="AQ27" s="135">
        <v>-51.499378445049203</v>
      </c>
      <c r="AR27" s="136">
        <v>0</v>
      </c>
    </row>
    <row r="28" spans="2:44" ht="12" customHeight="1" x14ac:dyDescent="0.25">
      <c r="B28" s="134" t="s">
        <v>22</v>
      </c>
      <c r="C28" s="135" t="s">
        <v>94</v>
      </c>
      <c r="D28" s="135" t="s">
        <v>24</v>
      </c>
      <c r="E28" s="135" t="s">
        <v>24</v>
      </c>
      <c r="F28" s="135" t="s">
        <v>25</v>
      </c>
      <c r="G28" s="135" t="s">
        <v>25</v>
      </c>
      <c r="H28" s="135" t="s">
        <v>78</v>
      </c>
      <c r="I28" s="135" t="s">
        <v>25</v>
      </c>
      <c r="J28" s="135">
        <v>313.91000000000003</v>
      </c>
      <c r="K28" s="135">
        <v>248.9</v>
      </c>
      <c r="L28" s="135">
        <v>6.9255553899243099</v>
      </c>
      <c r="M28" s="135">
        <v>0.84363362321217295</v>
      </c>
      <c r="N28" s="135">
        <v>2.24744900221661</v>
      </c>
      <c r="O28" s="135">
        <v>0</v>
      </c>
      <c r="P28" s="135">
        <v>0</v>
      </c>
      <c r="Q28" s="135">
        <v>99.917886172592105</v>
      </c>
      <c r="R28" s="135">
        <v>16.736115121766598</v>
      </c>
      <c r="S28" s="135">
        <v>0</v>
      </c>
      <c r="T28" s="135">
        <v>30.7902019327191</v>
      </c>
      <c r="U28" s="135">
        <v>25.941652747851901</v>
      </c>
      <c r="V28" s="135">
        <v>4.5677992407776298</v>
      </c>
      <c r="W28" s="135">
        <v>0</v>
      </c>
      <c r="X28" s="135">
        <v>0</v>
      </c>
      <c r="Y28" s="135">
        <v>0</v>
      </c>
      <c r="Z28" s="135">
        <v>0</v>
      </c>
      <c r="AA28" s="135">
        <v>169.01548363691001</v>
      </c>
      <c r="AB28" s="135">
        <v>-65.352761649010205</v>
      </c>
      <c r="AC28" s="135">
        <v>0</v>
      </c>
      <c r="AD28" s="135">
        <v>21.080320800855102</v>
      </c>
      <c r="AE28" s="135">
        <v>0</v>
      </c>
      <c r="AF28" s="135">
        <v>0.75859136189690102</v>
      </c>
      <c r="AG28" s="135">
        <v>0.44193795646551798</v>
      </c>
      <c r="AH28" s="135">
        <v>8.53575915819148</v>
      </c>
      <c r="AI28" s="135">
        <v>0</v>
      </c>
      <c r="AJ28" s="135">
        <v>2.9404386364919501</v>
      </c>
      <c r="AK28" s="135">
        <v>0</v>
      </c>
      <c r="AL28" s="135">
        <v>0</v>
      </c>
      <c r="AM28" s="135">
        <v>288.91946759907802</v>
      </c>
      <c r="AN28" s="135">
        <v>0</v>
      </c>
      <c r="AO28" s="135">
        <v>0</v>
      </c>
      <c r="AP28" s="135">
        <v>0</v>
      </c>
      <c r="AQ28" s="135">
        <v>-51.499378445049203</v>
      </c>
      <c r="AR28" s="136">
        <v>0</v>
      </c>
    </row>
    <row r="29" spans="2:44" ht="12" customHeight="1" x14ac:dyDescent="0.25">
      <c r="B29" s="134" t="s">
        <v>42</v>
      </c>
      <c r="C29" s="135" t="s">
        <v>32</v>
      </c>
      <c r="D29" s="135" t="s">
        <v>43</v>
      </c>
      <c r="E29" s="135" t="s">
        <v>95</v>
      </c>
      <c r="F29" s="135" t="s">
        <v>25</v>
      </c>
      <c r="G29" s="135" t="s">
        <v>33</v>
      </c>
      <c r="H29" s="135" t="s">
        <v>78</v>
      </c>
      <c r="I29" s="135" t="s">
        <v>25</v>
      </c>
      <c r="J29" s="135">
        <v>706.57</v>
      </c>
      <c r="K29" s="135">
        <v>374.14</v>
      </c>
      <c r="L29" s="135">
        <v>6.51002206652886</v>
      </c>
      <c r="M29" s="135">
        <v>0.79301560581944297</v>
      </c>
      <c r="N29" s="135">
        <v>6.1395063673759998</v>
      </c>
      <c r="O29" s="135">
        <v>0</v>
      </c>
      <c r="P29" s="135">
        <v>0</v>
      </c>
      <c r="Q29" s="135">
        <v>93.922813002236595</v>
      </c>
      <c r="R29" s="135">
        <v>15.7319482144606</v>
      </c>
      <c r="S29" s="135">
        <v>0</v>
      </c>
      <c r="T29" s="135">
        <v>95.511433355290905</v>
      </c>
      <c r="U29" s="135">
        <v>80.471055054284406</v>
      </c>
      <c r="V29" s="135">
        <v>14.169256812780301</v>
      </c>
      <c r="W29" s="135">
        <v>0</v>
      </c>
      <c r="X29" s="135">
        <v>0</v>
      </c>
      <c r="Y29" s="135">
        <v>0</v>
      </c>
      <c r="Z29" s="135">
        <v>0</v>
      </c>
      <c r="AA29" s="135">
        <v>524.28593654300903</v>
      </c>
      <c r="AB29" s="135">
        <v>-151.911807543501</v>
      </c>
      <c r="AC29" s="135">
        <v>0</v>
      </c>
      <c r="AD29" s="135">
        <v>19.815501552803799</v>
      </c>
      <c r="AE29" s="135">
        <v>0</v>
      </c>
      <c r="AF29" s="135">
        <v>0.71307588018308699</v>
      </c>
      <c r="AG29" s="135">
        <v>0.41542167907758698</v>
      </c>
      <c r="AH29" s="135">
        <v>8.0236136086999892</v>
      </c>
      <c r="AI29" s="135">
        <v>0</v>
      </c>
      <c r="AJ29" s="135">
        <v>2.7640123183024299</v>
      </c>
      <c r="AK29" s="135">
        <v>0</v>
      </c>
      <c r="AL29" s="135">
        <v>0</v>
      </c>
      <c r="AM29" s="135">
        <v>440.68395774923601</v>
      </c>
      <c r="AN29" s="135">
        <v>0</v>
      </c>
      <c r="AO29" s="135">
        <v>0</v>
      </c>
      <c r="AP29" s="135">
        <v>0</v>
      </c>
      <c r="AQ29" s="135">
        <v>-77.335941643016696</v>
      </c>
      <c r="AR29" s="136">
        <v>0</v>
      </c>
    </row>
    <row r="30" spans="2:44" ht="12" customHeight="1" x14ac:dyDescent="0.25">
      <c r="B30" s="134" t="s">
        <v>42</v>
      </c>
      <c r="C30" s="135" t="s">
        <v>32</v>
      </c>
      <c r="D30" s="135" t="s">
        <v>43</v>
      </c>
      <c r="E30" s="135" t="s">
        <v>95</v>
      </c>
      <c r="F30" s="135" t="s">
        <v>25</v>
      </c>
      <c r="G30" s="135" t="s">
        <v>35</v>
      </c>
      <c r="H30" s="135" t="s">
        <v>78</v>
      </c>
      <c r="I30" s="135" t="s">
        <v>25</v>
      </c>
      <c r="J30" s="135">
        <v>352.33</v>
      </c>
      <c r="K30" s="135">
        <v>221.22</v>
      </c>
      <c r="L30" s="135">
        <v>6.51002206652886</v>
      </c>
      <c r="M30" s="135">
        <v>0.79301560581944297</v>
      </c>
      <c r="N30" s="135">
        <v>2.67286707424977</v>
      </c>
      <c r="O30" s="135">
        <v>0</v>
      </c>
      <c r="P30" s="135">
        <v>0</v>
      </c>
      <c r="Q30" s="135">
        <v>93.922813002236595</v>
      </c>
      <c r="R30" s="135">
        <v>15.7319482144606</v>
      </c>
      <c r="S30" s="135">
        <v>0</v>
      </c>
      <c r="T30" s="135">
        <v>38.204601712115903</v>
      </c>
      <c r="U30" s="135">
        <v>32.188357714450198</v>
      </c>
      <c r="V30" s="135">
        <v>5.66775915722401</v>
      </c>
      <c r="W30" s="135">
        <v>0</v>
      </c>
      <c r="X30" s="135">
        <v>0</v>
      </c>
      <c r="Y30" s="135">
        <v>0</v>
      </c>
      <c r="Z30" s="135">
        <v>0</v>
      </c>
      <c r="AA30" s="135">
        <v>209.71433713772899</v>
      </c>
      <c r="AB30" s="135">
        <v>-74.020149717466794</v>
      </c>
      <c r="AC30" s="135">
        <v>0</v>
      </c>
      <c r="AD30" s="135">
        <v>19.815501552803799</v>
      </c>
      <c r="AE30" s="135">
        <v>0</v>
      </c>
      <c r="AF30" s="135">
        <v>0.71307588018308699</v>
      </c>
      <c r="AG30" s="135">
        <v>0.41542167907758698</v>
      </c>
      <c r="AH30" s="135">
        <v>8.0236136086999892</v>
      </c>
      <c r="AI30" s="135">
        <v>0</v>
      </c>
      <c r="AJ30" s="135">
        <v>2.7640123183024299</v>
      </c>
      <c r="AK30" s="135">
        <v>0</v>
      </c>
      <c r="AL30" s="135">
        <v>0</v>
      </c>
      <c r="AM30" s="135">
        <v>256.211603342579</v>
      </c>
      <c r="AN30" s="135">
        <v>0</v>
      </c>
      <c r="AO30" s="135">
        <v>0</v>
      </c>
      <c r="AP30" s="135">
        <v>0</v>
      </c>
      <c r="AQ30" s="135">
        <v>-45.779731565194403</v>
      </c>
      <c r="AR30" s="136">
        <v>0</v>
      </c>
    </row>
    <row r="31" spans="2:44" ht="12" customHeight="1" x14ac:dyDescent="0.25">
      <c r="B31" s="134" t="s">
        <v>42</v>
      </c>
      <c r="C31" s="135" t="s">
        <v>32</v>
      </c>
      <c r="D31" s="135" t="s">
        <v>43</v>
      </c>
      <c r="E31" s="135" t="s">
        <v>95</v>
      </c>
      <c r="F31" s="135" t="s">
        <v>25</v>
      </c>
      <c r="G31" s="135" t="s">
        <v>34</v>
      </c>
      <c r="H31" s="135" t="s">
        <v>78</v>
      </c>
      <c r="I31" s="135" t="s">
        <v>25</v>
      </c>
      <c r="J31" s="135">
        <v>234.25</v>
      </c>
      <c r="K31" s="135">
        <v>221.22</v>
      </c>
      <c r="L31" s="135">
        <v>6.51002206652886</v>
      </c>
      <c r="M31" s="135">
        <v>0.79301560581944297</v>
      </c>
      <c r="N31" s="135">
        <v>1.5173198082710799</v>
      </c>
      <c r="O31" s="135">
        <v>0</v>
      </c>
      <c r="P31" s="135">
        <v>0</v>
      </c>
      <c r="Q31" s="135">
        <v>93.922813002236595</v>
      </c>
      <c r="R31" s="135">
        <v>15.7319482144606</v>
      </c>
      <c r="S31" s="135">
        <v>0</v>
      </c>
      <c r="T31" s="135">
        <v>19.102229931059099</v>
      </c>
      <c r="U31" s="135">
        <v>16.094178857225099</v>
      </c>
      <c r="V31" s="135">
        <v>2.8338325518521001</v>
      </c>
      <c r="W31" s="135">
        <v>0</v>
      </c>
      <c r="X31" s="135">
        <v>0</v>
      </c>
      <c r="Y31" s="135">
        <v>0</v>
      </c>
      <c r="Z31" s="135">
        <v>0</v>
      </c>
      <c r="AA31" s="135">
        <v>104.85716856886501</v>
      </c>
      <c r="AB31" s="135">
        <v>-48.056245053566997</v>
      </c>
      <c r="AC31" s="135">
        <v>0</v>
      </c>
      <c r="AD31" s="135">
        <v>19.815501552803799</v>
      </c>
      <c r="AE31" s="135">
        <v>0</v>
      </c>
      <c r="AF31" s="135">
        <v>0.71307588018308699</v>
      </c>
      <c r="AG31" s="135">
        <v>0.41542167907758698</v>
      </c>
      <c r="AH31" s="135">
        <v>8.0236136086999892</v>
      </c>
      <c r="AI31" s="135">
        <v>0</v>
      </c>
      <c r="AJ31" s="135">
        <v>2.7640123183024299</v>
      </c>
      <c r="AK31" s="135">
        <v>0</v>
      </c>
      <c r="AL31" s="135">
        <v>0</v>
      </c>
      <c r="AM31" s="135">
        <v>256.211603342579</v>
      </c>
      <c r="AN31" s="135">
        <v>0</v>
      </c>
      <c r="AO31" s="135">
        <v>0</v>
      </c>
      <c r="AP31" s="135">
        <v>0</v>
      </c>
      <c r="AQ31" s="135">
        <v>-45.779731565194403</v>
      </c>
      <c r="AR31" s="136">
        <v>0</v>
      </c>
    </row>
    <row r="32" spans="2:44" ht="12" customHeight="1" x14ac:dyDescent="0.25">
      <c r="B32" s="134" t="s">
        <v>42</v>
      </c>
      <c r="C32" s="135" t="s">
        <v>32</v>
      </c>
      <c r="D32" s="135" t="s">
        <v>43</v>
      </c>
      <c r="E32" s="135" t="s">
        <v>25</v>
      </c>
      <c r="F32" s="135" t="s">
        <v>25</v>
      </c>
      <c r="G32" s="135" t="s">
        <v>33</v>
      </c>
      <c r="H32" s="135" t="s">
        <v>78</v>
      </c>
      <c r="I32" s="135" t="s">
        <v>25</v>
      </c>
      <c r="J32" s="135">
        <v>706.57</v>
      </c>
      <c r="K32" s="135">
        <v>374.14</v>
      </c>
      <c r="L32" s="135">
        <v>6.51002206652886</v>
      </c>
      <c r="M32" s="135">
        <v>0.79301560581944297</v>
      </c>
      <c r="N32" s="135">
        <v>6.1395063673759998</v>
      </c>
      <c r="O32" s="135">
        <v>0</v>
      </c>
      <c r="P32" s="135">
        <v>0</v>
      </c>
      <c r="Q32" s="135">
        <v>93.922813002236595</v>
      </c>
      <c r="R32" s="135">
        <v>15.7319482144606</v>
      </c>
      <c r="S32" s="135">
        <v>0</v>
      </c>
      <c r="T32" s="135">
        <v>95.511433355290905</v>
      </c>
      <c r="U32" s="135">
        <v>80.471055054284406</v>
      </c>
      <c r="V32" s="135">
        <v>14.169256812780301</v>
      </c>
      <c r="W32" s="135">
        <v>0</v>
      </c>
      <c r="X32" s="135">
        <v>0</v>
      </c>
      <c r="Y32" s="135">
        <v>0</v>
      </c>
      <c r="Z32" s="135">
        <v>0</v>
      </c>
      <c r="AA32" s="135">
        <v>524.28593654300903</v>
      </c>
      <c r="AB32" s="135">
        <v>-151.911807543501</v>
      </c>
      <c r="AC32" s="135">
        <v>0</v>
      </c>
      <c r="AD32" s="135">
        <v>19.815501552803799</v>
      </c>
      <c r="AE32" s="135">
        <v>0</v>
      </c>
      <c r="AF32" s="135">
        <v>0.71307588018308699</v>
      </c>
      <c r="AG32" s="135">
        <v>0.41542167907758698</v>
      </c>
      <c r="AH32" s="135">
        <v>8.0236136086999892</v>
      </c>
      <c r="AI32" s="135">
        <v>0</v>
      </c>
      <c r="AJ32" s="135">
        <v>2.7640123183024299</v>
      </c>
      <c r="AK32" s="135">
        <v>0</v>
      </c>
      <c r="AL32" s="135">
        <v>0</v>
      </c>
      <c r="AM32" s="135">
        <v>440.68395774923601</v>
      </c>
      <c r="AN32" s="135">
        <v>0</v>
      </c>
      <c r="AO32" s="135">
        <v>0</v>
      </c>
      <c r="AP32" s="135">
        <v>0</v>
      </c>
      <c r="AQ32" s="135">
        <v>-77.335941643016696</v>
      </c>
      <c r="AR32" s="136">
        <v>0</v>
      </c>
    </row>
    <row r="33" spans="2:44" ht="12" customHeight="1" x14ac:dyDescent="0.25">
      <c r="B33" s="134" t="s">
        <v>42</v>
      </c>
      <c r="C33" s="135" t="s">
        <v>32</v>
      </c>
      <c r="D33" s="135" t="s">
        <v>43</v>
      </c>
      <c r="E33" s="135" t="s">
        <v>25</v>
      </c>
      <c r="F33" s="135" t="s">
        <v>25</v>
      </c>
      <c r="G33" s="135" t="s">
        <v>35</v>
      </c>
      <c r="H33" s="135" t="s">
        <v>78</v>
      </c>
      <c r="I33" s="135" t="s">
        <v>25</v>
      </c>
      <c r="J33" s="135">
        <v>352.33</v>
      </c>
      <c r="K33" s="135">
        <v>221.22</v>
      </c>
      <c r="L33" s="135">
        <v>6.51002206652886</v>
      </c>
      <c r="M33" s="135">
        <v>0.79301560581944297</v>
      </c>
      <c r="N33" s="135">
        <v>2.67286707424977</v>
      </c>
      <c r="O33" s="135">
        <v>0</v>
      </c>
      <c r="P33" s="135">
        <v>0</v>
      </c>
      <c r="Q33" s="135">
        <v>93.922813002236595</v>
      </c>
      <c r="R33" s="135">
        <v>15.7319482144606</v>
      </c>
      <c r="S33" s="135">
        <v>0</v>
      </c>
      <c r="T33" s="135">
        <v>38.204601712115903</v>
      </c>
      <c r="U33" s="135">
        <v>32.188357714450198</v>
      </c>
      <c r="V33" s="135">
        <v>5.66775915722401</v>
      </c>
      <c r="W33" s="135">
        <v>0</v>
      </c>
      <c r="X33" s="135">
        <v>0</v>
      </c>
      <c r="Y33" s="135">
        <v>0</v>
      </c>
      <c r="Z33" s="135">
        <v>0</v>
      </c>
      <c r="AA33" s="135">
        <v>209.71433713772899</v>
      </c>
      <c r="AB33" s="135">
        <v>-74.020149717466794</v>
      </c>
      <c r="AC33" s="135">
        <v>0</v>
      </c>
      <c r="AD33" s="135">
        <v>19.815501552803799</v>
      </c>
      <c r="AE33" s="135">
        <v>0</v>
      </c>
      <c r="AF33" s="135">
        <v>0.71307588018308699</v>
      </c>
      <c r="AG33" s="135">
        <v>0.41542167907758698</v>
      </c>
      <c r="AH33" s="135">
        <v>8.0236136086999892</v>
      </c>
      <c r="AI33" s="135">
        <v>0</v>
      </c>
      <c r="AJ33" s="135">
        <v>2.7640123183024299</v>
      </c>
      <c r="AK33" s="135">
        <v>0</v>
      </c>
      <c r="AL33" s="135">
        <v>0</v>
      </c>
      <c r="AM33" s="135">
        <v>256.211603342579</v>
      </c>
      <c r="AN33" s="135">
        <v>0</v>
      </c>
      <c r="AO33" s="135">
        <v>0</v>
      </c>
      <c r="AP33" s="135">
        <v>0</v>
      </c>
      <c r="AQ33" s="135">
        <v>-45.779731565194403</v>
      </c>
      <c r="AR33" s="136">
        <v>0</v>
      </c>
    </row>
    <row r="34" spans="2:44" ht="12" customHeight="1" x14ac:dyDescent="0.25">
      <c r="B34" s="134" t="s">
        <v>42</v>
      </c>
      <c r="C34" s="135" t="s">
        <v>32</v>
      </c>
      <c r="D34" s="135" t="s">
        <v>43</v>
      </c>
      <c r="E34" s="135" t="s">
        <v>25</v>
      </c>
      <c r="F34" s="135" t="s">
        <v>25</v>
      </c>
      <c r="G34" s="135" t="s">
        <v>34</v>
      </c>
      <c r="H34" s="135" t="s">
        <v>78</v>
      </c>
      <c r="I34" s="135" t="s">
        <v>25</v>
      </c>
      <c r="J34" s="135">
        <v>234.25</v>
      </c>
      <c r="K34" s="135">
        <v>221.22</v>
      </c>
      <c r="L34" s="135">
        <v>6.51002206652886</v>
      </c>
      <c r="M34" s="135">
        <v>0.79301560581944297</v>
      </c>
      <c r="N34" s="135">
        <v>1.5173198082710799</v>
      </c>
      <c r="O34" s="135">
        <v>0</v>
      </c>
      <c r="P34" s="135">
        <v>0</v>
      </c>
      <c r="Q34" s="135">
        <v>93.922813002236595</v>
      </c>
      <c r="R34" s="135">
        <v>15.7319482144606</v>
      </c>
      <c r="S34" s="135">
        <v>0</v>
      </c>
      <c r="T34" s="135">
        <v>19.102229931059099</v>
      </c>
      <c r="U34" s="135">
        <v>16.094178857225099</v>
      </c>
      <c r="V34" s="135">
        <v>2.8338325518521001</v>
      </c>
      <c r="W34" s="135">
        <v>0</v>
      </c>
      <c r="X34" s="135">
        <v>0</v>
      </c>
      <c r="Y34" s="135">
        <v>0</v>
      </c>
      <c r="Z34" s="135">
        <v>0</v>
      </c>
      <c r="AA34" s="135">
        <v>104.85716856886501</v>
      </c>
      <c r="AB34" s="135">
        <v>-48.056245053566997</v>
      </c>
      <c r="AC34" s="135">
        <v>0</v>
      </c>
      <c r="AD34" s="135">
        <v>19.815501552803799</v>
      </c>
      <c r="AE34" s="135">
        <v>0</v>
      </c>
      <c r="AF34" s="135">
        <v>0.71307588018308699</v>
      </c>
      <c r="AG34" s="135">
        <v>0.41542167907758698</v>
      </c>
      <c r="AH34" s="135">
        <v>8.0236136086999892</v>
      </c>
      <c r="AI34" s="135">
        <v>0</v>
      </c>
      <c r="AJ34" s="135">
        <v>2.7640123183024299</v>
      </c>
      <c r="AK34" s="135">
        <v>0</v>
      </c>
      <c r="AL34" s="135">
        <v>0</v>
      </c>
      <c r="AM34" s="135">
        <v>256.211603342579</v>
      </c>
      <c r="AN34" s="135">
        <v>0</v>
      </c>
      <c r="AO34" s="135">
        <v>0</v>
      </c>
      <c r="AP34" s="135">
        <v>0</v>
      </c>
      <c r="AQ34" s="135">
        <v>-45.779731565194403</v>
      </c>
      <c r="AR34" s="136">
        <v>0</v>
      </c>
    </row>
    <row r="35" spans="2:44" ht="12" customHeight="1" x14ac:dyDescent="0.25">
      <c r="B35" s="134" t="s">
        <v>42</v>
      </c>
      <c r="C35" s="135" t="s">
        <v>32</v>
      </c>
      <c r="D35" s="135" t="s">
        <v>43</v>
      </c>
      <c r="E35" s="135" t="s">
        <v>96</v>
      </c>
      <c r="F35" s="135" t="s">
        <v>25</v>
      </c>
      <c r="G35" s="135" t="s">
        <v>33</v>
      </c>
      <c r="H35" s="135" t="s">
        <v>78</v>
      </c>
      <c r="I35" s="135" t="s">
        <v>25</v>
      </c>
      <c r="J35" s="135">
        <v>691.53</v>
      </c>
      <c r="K35" s="135">
        <v>366.18</v>
      </c>
      <c r="L35" s="135">
        <v>6.3715109587303704</v>
      </c>
      <c r="M35" s="135">
        <v>0.77614293335519902</v>
      </c>
      <c r="N35" s="135">
        <v>6.0088785723254396</v>
      </c>
      <c r="O35" s="135">
        <v>0</v>
      </c>
      <c r="P35" s="135">
        <v>0</v>
      </c>
      <c r="Q35" s="135">
        <v>91.924455278784706</v>
      </c>
      <c r="R35" s="135">
        <v>15.3972259120253</v>
      </c>
      <c r="S35" s="135">
        <v>0</v>
      </c>
      <c r="T35" s="135">
        <v>93.479275198795307</v>
      </c>
      <c r="U35" s="135">
        <v>78.758904946746497</v>
      </c>
      <c r="V35" s="135">
        <v>13.8677832635722</v>
      </c>
      <c r="W35" s="135">
        <v>0</v>
      </c>
      <c r="X35" s="135">
        <v>0</v>
      </c>
      <c r="Y35" s="135">
        <v>0</v>
      </c>
      <c r="Z35" s="135">
        <v>0</v>
      </c>
      <c r="AA35" s="135">
        <v>513.13091661656199</v>
      </c>
      <c r="AB35" s="135">
        <v>-148.679641425554</v>
      </c>
      <c r="AC35" s="135">
        <v>0</v>
      </c>
      <c r="AD35" s="135">
        <v>19.3938951367867</v>
      </c>
      <c r="AE35" s="135">
        <v>0</v>
      </c>
      <c r="AF35" s="135">
        <v>0.69790405294514901</v>
      </c>
      <c r="AG35" s="135">
        <v>0.406582919948277</v>
      </c>
      <c r="AH35" s="135">
        <v>7.8528984255361696</v>
      </c>
      <c r="AI35" s="135">
        <v>0</v>
      </c>
      <c r="AJ35" s="135">
        <v>2.7052035455725898</v>
      </c>
      <c r="AK35" s="135">
        <v>0</v>
      </c>
      <c r="AL35" s="135">
        <v>0</v>
      </c>
      <c r="AM35" s="135">
        <v>431.30770332903899</v>
      </c>
      <c r="AN35" s="135">
        <v>0</v>
      </c>
      <c r="AO35" s="135">
        <v>0</v>
      </c>
      <c r="AP35" s="135">
        <v>0</v>
      </c>
      <c r="AQ35" s="135">
        <v>-75.6904960761441</v>
      </c>
      <c r="AR35" s="136">
        <v>0</v>
      </c>
    </row>
    <row r="36" spans="2:44" ht="12" customHeight="1" x14ac:dyDescent="0.25">
      <c r="B36" s="134" t="s">
        <v>42</v>
      </c>
      <c r="C36" s="135" t="s">
        <v>32</v>
      </c>
      <c r="D36" s="135" t="s">
        <v>43</v>
      </c>
      <c r="E36" s="135" t="s">
        <v>96</v>
      </c>
      <c r="F36" s="135" t="s">
        <v>25</v>
      </c>
      <c r="G36" s="135" t="s">
        <v>35</v>
      </c>
      <c r="H36" s="135" t="s">
        <v>78</v>
      </c>
      <c r="I36" s="135" t="s">
        <v>25</v>
      </c>
      <c r="J36" s="135">
        <v>344.83</v>
      </c>
      <c r="K36" s="135">
        <v>216.51</v>
      </c>
      <c r="L36" s="135">
        <v>6.3715109587303704</v>
      </c>
      <c r="M36" s="135">
        <v>0.77614293335519902</v>
      </c>
      <c r="N36" s="135">
        <v>2.6159975620316902</v>
      </c>
      <c r="O36" s="135">
        <v>0</v>
      </c>
      <c r="P36" s="135">
        <v>0</v>
      </c>
      <c r="Q36" s="135">
        <v>91.924455278784706</v>
      </c>
      <c r="R36" s="135">
        <v>15.3972259120253</v>
      </c>
      <c r="S36" s="135">
        <v>0</v>
      </c>
      <c r="T36" s="135">
        <v>37.3917378459006</v>
      </c>
      <c r="U36" s="135">
        <v>31.503499039674701</v>
      </c>
      <c r="V36" s="135">
        <v>5.5471685368575496</v>
      </c>
      <c r="W36" s="135">
        <v>0</v>
      </c>
      <c r="X36" s="135">
        <v>0</v>
      </c>
      <c r="Y36" s="135">
        <v>0</v>
      </c>
      <c r="Z36" s="135">
        <v>0</v>
      </c>
      <c r="AA36" s="135">
        <v>205.25232996458601</v>
      </c>
      <c r="AB36" s="135">
        <v>-72.445252914967497</v>
      </c>
      <c r="AC36" s="135">
        <v>0</v>
      </c>
      <c r="AD36" s="135">
        <v>19.3938951367867</v>
      </c>
      <c r="AE36" s="135">
        <v>0</v>
      </c>
      <c r="AF36" s="135">
        <v>0.69790405294514901</v>
      </c>
      <c r="AG36" s="135">
        <v>0.406582919948277</v>
      </c>
      <c r="AH36" s="135">
        <v>7.8528984255361696</v>
      </c>
      <c r="AI36" s="135">
        <v>0</v>
      </c>
      <c r="AJ36" s="135">
        <v>2.7052035455725898</v>
      </c>
      <c r="AK36" s="135">
        <v>0</v>
      </c>
      <c r="AL36" s="135">
        <v>0</v>
      </c>
      <c r="AM36" s="135">
        <v>250.76029263316201</v>
      </c>
      <c r="AN36" s="135">
        <v>0</v>
      </c>
      <c r="AO36" s="135">
        <v>0</v>
      </c>
      <c r="AP36" s="135">
        <v>0</v>
      </c>
      <c r="AQ36" s="135">
        <v>-44.805694723381798</v>
      </c>
      <c r="AR36" s="136">
        <v>0</v>
      </c>
    </row>
    <row r="37" spans="2:44" ht="12" customHeight="1" x14ac:dyDescent="0.25">
      <c r="B37" s="134" t="s">
        <v>42</v>
      </c>
      <c r="C37" s="135" t="s">
        <v>32</v>
      </c>
      <c r="D37" s="135" t="s">
        <v>43</v>
      </c>
      <c r="E37" s="135" t="s">
        <v>96</v>
      </c>
      <c r="F37" s="135" t="s">
        <v>25</v>
      </c>
      <c r="G37" s="135" t="s">
        <v>34</v>
      </c>
      <c r="H37" s="135" t="s">
        <v>78</v>
      </c>
      <c r="I37" s="135" t="s">
        <v>25</v>
      </c>
      <c r="J37" s="135">
        <v>229.27</v>
      </c>
      <c r="K37" s="135">
        <v>216.51</v>
      </c>
      <c r="L37" s="135">
        <v>6.3715109587303704</v>
      </c>
      <c r="M37" s="135">
        <v>0.77614293335519902</v>
      </c>
      <c r="N37" s="135">
        <v>1.4850364080951</v>
      </c>
      <c r="O37" s="135">
        <v>0</v>
      </c>
      <c r="P37" s="135">
        <v>0</v>
      </c>
      <c r="Q37" s="135">
        <v>91.924455278784706</v>
      </c>
      <c r="R37" s="135">
        <v>15.3972259120253</v>
      </c>
      <c r="S37" s="135">
        <v>0</v>
      </c>
      <c r="T37" s="135">
        <v>18.695799506994</v>
      </c>
      <c r="U37" s="135">
        <v>15.751749519837301</v>
      </c>
      <c r="V37" s="135">
        <v>2.7735382422382302</v>
      </c>
      <c r="W37" s="135">
        <v>0</v>
      </c>
      <c r="X37" s="135">
        <v>0</v>
      </c>
      <c r="Y37" s="135">
        <v>0</v>
      </c>
      <c r="Z37" s="135">
        <v>0</v>
      </c>
      <c r="AA37" s="135">
        <v>102.62616498229301</v>
      </c>
      <c r="AB37" s="135">
        <v>-47.033771754554998</v>
      </c>
      <c r="AC37" s="135">
        <v>0</v>
      </c>
      <c r="AD37" s="135">
        <v>19.3938951367867</v>
      </c>
      <c r="AE37" s="135">
        <v>0</v>
      </c>
      <c r="AF37" s="135">
        <v>0.69790405294514901</v>
      </c>
      <c r="AG37" s="135">
        <v>0.406582919948277</v>
      </c>
      <c r="AH37" s="135">
        <v>7.8528984255361696</v>
      </c>
      <c r="AI37" s="135">
        <v>0</v>
      </c>
      <c r="AJ37" s="135">
        <v>2.7052035455725898</v>
      </c>
      <c r="AK37" s="135">
        <v>0</v>
      </c>
      <c r="AL37" s="135">
        <v>0</v>
      </c>
      <c r="AM37" s="135">
        <v>250.76029263316201</v>
      </c>
      <c r="AN37" s="135">
        <v>0</v>
      </c>
      <c r="AO37" s="135">
        <v>0</v>
      </c>
      <c r="AP37" s="135">
        <v>0</v>
      </c>
      <c r="AQ37" s="135">
        <v>-44.805694723381798</v>
      </c>
      <c r="AR37" s="136">
        <v>0</v>
      </c>
    </row>
    <row r="38" spans="2:44" ht="12" customHeight="1" x14ac:dyDescent="0.25">
      <c r="B38" s="134" t="s">
        <v>42</v>
      </c>
      <c r="C38" s="135" t="s">
        <v>23</v>
      </c>
      <c r="D38" s="135" t="s">
        <v>43</v>
      </c>
      <c r="E38" s="135" t="s">
        <v>95</v>
      </c>
      <c r="F38" s="135" t="s">
        <v>25</v>
      </c>
      <c r="G38" s="135" t="s">
        <v>25</v>
      </c>
      <c r="H38" s="135" t="s">
        <v>78</v>
      </c>
      <c r="I38" s="135" t="s">
        <v>25</v>
      </c>
      <c r="J38" s="135">
        <v>295.08</v>
      </c>
      <c r="K38" s="135">
        <v>233.96</v>
      </c>
      <c r="L38" s="135">
        <v>6.51002206652886</v>
      </c>
      <c r="M38" s="135">
        <v>0.79301560581944297</v>
      </c>
      <c r="N38" s="135">
        <v>2.1126020620836199</v>
      </c>
      <c r="O38" s="135">
        <v>0</v>
      </c>
      <c r="P38" s="135">
        <v>0</v>
      </c>
      <c r="Q38" s="135">
        <v>93.922813002236595</v>
      </c>
      <c r="R38" s="135">
        <v>15.7319482144606</v>
      </c>
      <c r="S38" s="135">
        <v>0</v>
      </c>
      <c r="T38" s="135">
        <v>28.942789816756001</v>
      </c>
      <c r="U38" s="135">
        <v>24.385153582980799</v>
      </c>
      <c r="V38" s="135">
        <v>4.2937312863309698</v>
      </c>
      <c r="W38" s="135">
        <v>0</v>
      </c>
      <c r="X38" s="135">
        <v>0</v>
      </c>
      <c r="Y38" s="135">
        <v>0</v>
      </c>
      <c r="Z38" s="135">
        <v>0</v>
      </c>
      <c r="AA38" s="135">
        <v>158.87455461869601</v>
      </c>
      <c r="AB38" s="135">
        <v>-61.4315959500696</v>
      </c>
      <c r="AC38" s="135">
        <v>0</v>
      </c>
      <c r="AD38" s="135">
        <v>19.815501552803799</v>
      </c>
      <c r="AE38" s="135">
        <v>0</v>
      </c>
      <c r="AF38" s="135">
        <v>0.71307588018308699</v>
      </c>
      <c r="AG38" s="135">
        <v>0.41542167907758698</v>
      </c>
      <c r="AH38" s="135">
        <v>8.0236136086999892</v>
      </c>
      <c r="AI38" s="135">
        <v>0</v>
      </c>
      <c r="AJ38" s="135">
        <v>2.7640123183024299</v>
      </c>
      <c r="AK38" s="135">
        <v>0</v>
      </c>
      <c r="AL38" s="135">
        <v>0</v>
      </c>
      <c r="AM38" s="135">
        <v>271.58429954313402</v>
      </c>
      <c r="AN38" s="135">
        <v>0</v>
      </c>
      <c r="AO38" s="135">
        <v>0</v>
      </c>
      <c r="AP38" s="135">
        <v>0</v>
      </c>
      <c r="AQ38" s="135">
        <v>-48.409415738346297</v>
      </c>
      <c r="AR38" s="136">
        <v>0</v>
      </c>
    </row>
    <row r="39" spans="2:44" ht="12" customHeight="1" x14ac:dyDescent="0.25">
      <c r="B39" s="134" t="s">
        <v>42</v>
      </c>
      <c r="C39" s="135" t="s">
        <v>23</v>
      </c>
      <c r="D39" s="135" t="s">
        <v>43</v>
      </c>
      <c r="E39" s="135" t="s">
        <v>25</v>
      </c>
      <c r="F39" s="135" t="s">
        <v>25</v>
      </c>
      <c r="G39" s="135" t="s">
        <v>25</v>
      </c>
      <c r="H39" s="135" t="s">
        <v>78</v>
      </c>
      <c r="I39" s="135" t="s">
        <v>25</v>
      </c>
      <c r="J39" s="135">
        <v>295.08</v>
      </c>
      <c r="K39" s="135">
        <v>233.96</v>
      </c>
      <c r="L39" s="135">
        <v>6.51002206652886</v>
      </c>
      <c r="M39" s="135">
        <v>0.79301560581944297</v>
      </c>
      <c r="N39" s="135">
        <v>2.1126020620836199</v>
      </c>
      <c r="O39" s="135">
        <v>0</v>
      </c>
      <c r="P39" s="135">
        <v>0</v>
      </c>
      <c r="Q39" s="135">
        <v>93.922813002236595</v>
      </c>
      <c r="R39" s="135">
        <v>15.7319482144606</v>
      </c>
      <c r="S39" s="135">
        <v>0</v>
      </c>
      <c r="T39" s="135">
        <v>28.942789816756001</v>
      </c>
      <c r="U39" s="135">
        <v>24.385153582980799</v>
      </c>
      <c r="V39" s="135">
        <v>4.2937312863309698</v>
      </c>
      <c r="W39" s="135">
        <v>0</v>
      </c>
      <c r="X39" s="135">
        <v>0</v>
      </c>
      <c r="Y39" s="135">
        <v>0</v>
      </c>
      <c r="Z39" s="135">
        <v>0</v>
      </c>
      <c r="AA39" s="135">
        <v>158.87455461869601</v>
      </c>
      <c r="AB39" s="135">
        <v>-61.4315959500696</v>
      </c>
      <c r="AC39" s="135">
        <v>0</v>
      </c>
      <c r="AD39" s="135">
        <v>19.815501552803799</v>
      </c>
      <c r="AE39" s="135">
        <v>0</v>
      </c>
      <c r="AF39" s="135">
        <v>0.71307588018308699</v>
      </c>
      <c r="AG39" s="135">
        <v>0.41542167907758698</v>
      </c>
      <c r="AH39" s="135">
        <v>8.0236136086999892</v>
      </c>
      <c r="AI39" s="135">
        <v>0</v>
      </c>
      <c r="AJ39" s="135">
        <v>2.7640123183024299</v>
      </c>
      <c r="AK39" s="135">
        <v>0</v>
      </c>
      <c r="AL39" s="135">
        <v>0</v>
      </c>
      <c r="AM39" s="135">
        <v>271.58429954313402</v>
      </c>
      <c r="AN39" s="135">
        <v>0</v>
      </c>
      <c r="AO39" s="135">
        <v>0</v>
      </c>
      <c r="AP39" s="135">
        <v>0</v>
      </c>
      <c r="AQ39" s="135">
        <v>-48.409415738346297</v>
      </c>
      <c r="AR39" s="136">
        <v>0</v>
      </c>
    </row>
    <row r="40" spans="2:44" ht="12" customHeight="1" x14ac:dyDescent="0.25">
      <c r="B40" s="134" t="s">
        <v>42</v>
      </c>
      <c r="C40" s="135" t="s">
        <v>23</v>
      </c>
      <c r="D40" s="135" t="s">
        <v>43</v>
      </c>
      <c r="E40" s="135" t="s">
        <v>96</v>
      </c>
      <c r="F40" s="135" t="s">
        <v>25</v>
      </c>
      <c r="G40" s="135" t="s">
        <v>25</v>
      </c>
      <c r="H40" s="135" t="s">
        <v>78</v>
      </c>
      <c r="I40" s="135" t="s">
        <v>25</v>
      </c>
      <c r="J40" s="135">
        <v>288.8</v>
      </c>
      <c r="K40" s="135">
        <v>228.98</v>
      </c>
      <c r="L40" s="135">
        <v>6.3715109587303704</v>
      </c>
      <c r="M40" s="135">
        <v>0.77614293335519902</v>
      </c>
      <c r="N40" s="135">
        <v>2.0676530820392802</v>
      </c>
      <c r="O40" s="135">
        <v>0</v>
      </c>
      <c r="P40" s="135">
        <v>0</v>
      </c>
      <c r="Q40" s="135">
        <v>91.924455278784706</v>
      </c>
      <c r="R40" s="135">
        <v>15.3972259120253</v>
      </c>
      <c r="S40" s="135">
        <v>0</v>
      </c>
      <c r="T40" s="135">
        <v>28.326985778101601</v>
      </c>
      <c r="U40" s="135">
        <v>23.866320528023799</v>
      </c>
      <c r="V40" s="135">
        <v>4.2023753015154197</v>
      </c>
      <c r="W40" s="135">
        <v>0</v>
      </c>
      <c r="X40" s="135">
        <v>0</v>
      </c>
      <c r="Y40" s="135">
        <v>0</v>
      </c>
      <c r="Z40" s="135">
        <v>0</v>
      </c>
      <c r="AA40" s="135">
        <v>155.49424494595701</v>
      </c>
      <c r="AB40" s="135">
        <v>-60.124540717089403</v>
      </c>
      <c r="AC40" s="135">
        <v>0</v>
      </c>
      <c r="AD40" s="135">
        <v>19.3938951367867</v>
      </c>
      <c r="AE40" s="135">
        <v>0</v>
      </c>
      <c r="AF40" s="135">
        <v>0.69790405294514901</v>
      </c>
      <c r="AG40" s="135">
        <v>0.406582919948277</v>
      </c>
      <c r="AH40" s="135">
        <v>7.8528984255361696</v>
      </c>
      <c r="AI40" s="135">
        <v>0</v>
      </c>
      <c r="AJ40" s="135">
        <v>2.7052035455725898</v>
      </c>
      <c r="AK40" s="135">
        <v>0</v>
      </c>
      <c r="AL40" s="135">
        <v>0</v>
      </c>
      <c r="AM40" s="135">
        <v>265.80591019115201</v>
      </c>
      <c r="AN40" s="135">
        <v>0</v>
      </c>
      <c r="AO40" s="135">
        <v>0</v>
      </c>
      <c r="AP40" s="135">
        <v>0</v>
      </c>
      <c r="AQ40" s="135">
        <v>-47.379428169445298</v>
      </c>
      <c r="AR40" s="136">
        <v>0</v>
      </c>
    </row>
    <row r="41" spans="2:44" ht="12" customHeight="1" x14ac:dyDescent="0.25">
      <c r="B41" s="134" t="s">
        <v>42</v>
      </c>
      <c r="C41" s="135" t="s">
        <v>94</v>
      </c>
      <c r="D41" s="135" t="s">
        <v>43</v>
      </c>
      <c r="E41" s="135" t="s">
        <v>95</v>
      </c>
      <c r="F41" s="135" t="s">
        <v>25</v>
      </c>
      <c r="G41" s="135" t="s">
        <v>25</v>
      </c>
      <c r="H41" s="135" t="s">
        <v>78</v>
      </c>
      <c r="I41" s="135" t="s">
        <v>25</v>
      </c>
      <c r="J41" s="135">
        <v>295.08</v>
      </c>
      <c r="K41" s="135">
        <v>233.96</v>
      </c>
      <c r="L41" s="135">
        <v>6.51002206652886</v>
      </c>
      <c r="M41" s="135">
        <v>0.79301560581944297</v>
      </c>
      <c r="N41" s="135">
        <v>2.1126020620836199</v>
      </c>
      <c r="O41" s="135">
        <v>0</v>
      </c>
      <c r="P41" s="135">
        <v>0</v>
      </c>
      <c r="Q41" s="135">
        <v>93.922813002236595</v>
      </c>
      <c r="R41" s="135">
        <v>15.7319482144606</v>
      </c>
      <c r="S41" s="135">
        <v>0</v>
      </c>
      <c r="T41" s="135">
        <v>28.942789816756001</v>
      </c>
      <c r="U41" s="135">
        <v>24.385153582980799</v>
      </c>
      <c r="V41" s="135">
        <v>4.2937312863309698</v>
      </c>
      <c r="W41" s="135">
        <v>0</v>
      </c>
      <c r="X41" s="135">
        <v>0</v>
      </c>
      <c r="Y41" s="135">
        <v>0</v>
      </c>
      <c r="Z41" s="135">
        <v>0</v>
      </c>
      <c r="AA41" s="135">
        <v>158.87455461869601</v>
      </c>
      <c r="AB41" s="135">
        <v>-61.4315959500696</v>
      </c>
      <c r="AC41" s="135">
        <v>0</v>
      </c>
      <c r="AD41" s="135">
        <v>19.815501552803799</v>
      </c>
      <c r="AE41" s="135">
        <v>0</v>
      </c>
      <c r="AF41" s="135">
        <v>0.71307588018308699</v>
      </c>
      <c r="AG41" s="135">
        <v>0.41542167907758698</v>
      </c>
      <c r="AH41" s="135">
        <v>8.0236136086999892</v>
      </c>
      <c r="AI41" s="135">
        <v>0</v>
      </c>
      <c r="AJ41" s="135">
        <v>2.7640123183024299</v>
      </c>
      <c r="AK41" s="135">
        <v>0</v>
      </c>
      <c r="AL41" s="135">
        <v>0</v>
      </c>
      <c r="AM41" s="135">
        <v>271.58429954313402</v>
      </c>
      <c r="AN41" s="135">
        <v>0</v>
      </c>
      <c r="AO41" s="135">
        <v>0</v>
      </c>
      <c r="AP41" s="135">
        <v>0</v>
      </c>
      <c r="AQ41" s="135">
        <v>-48.409415738346297</v>
      </c>
      <c r="AR41" s="136">
        <v>0</v>
      </c>
    </row>
    <row r="42" spans="2:44" ht="12" customHeight="1" x14ac:dyDescent="0.25">
      <c r="B42" s="134" t="s">
        <v>42</v>
      </c>
      <c r="C42" s="135" t="s">
        <v>94</v>
      </c>
      <c r="D42" s="135" t="s">
        <v>43</v>
      </c>
      <c r="E42" s="135" t="s">
        <v>25</v>
      </c>
      <c r="F42" s="135" t="s">
        <v>25</v>
      </c>
      <c r="G42" s="135" t="s">
        <v>25</v>
      </c>
      <c r="H42" s="135" t="s">
        <v>78</v>
      </c>
      <c r="I42" s="135" t="s">
        <v>25</v>
      </c>
      <c r="J42" s="135">
        <v>295.08</v>
      </c>
      <c r="K42" s="135">
        <v>233.96</v>
      </c>
      <c r="L42" s="135">
        <v>6.51002206652886</v>
      </c>
      <c r="M42" s="135">
        <v>0.79301560581944297</v>
      </c>
      <c r="N42" s="135">
        <v>2.1126020620836199</v>
      </c>
      <c r="O42" s="135">
        <v>0</v>
      </c>
      <c r="P42" s="135">
        <v>0</v>
      </c>
      <c r="Q42" s="135">
        <v>93.922813002236595</v>
      </c>
      <c r="R42" s="135">
        <v>15.7319482144606</v>
      </c>
      <c r="S42" s="135">
        <v>0</v>
      </c>
      <c r="T42" s="135">
        <v>28.942789816756001</v>
      </c>
      <c r="U42" s="135">
        <v>24.385153582980799</v>
      </c>
      <c r="V42" s="135">
        <v>4.2937312863309698</v>
      </c>
      <c r="W42" s="135">
        <v>0</v>
      </c>
      <c r="X42" s="135">
        <v>0</v>
      </c>
      <c r="Y42" s="135">
        <v>0</v>
      </c>
      <c r="Z42" s="135">
        <v>0</v>
      </c>
      <c r="AA42" s="135">
        <v>158.87455461869601</v>
      </c>
      <c r="AB42" s="135">
        <v>-61.4315959500696</v>
      </c>
      <c r="AC42" s="135">
        <v>0</v>
      </c>
      <c r="AD42" s="135">
        <v>19.815501552803799</v>
      </c>
      <c r="AE42" s="135">
        <v>0</v>
      </c>
      <c r="AF42" s="135">
        <v>0.71307588018308699</v>
      </c>
      <c r="AG42" s="135">
        <v>0.41542167907758698</v>
      </c>
      <c r="AH42" s="135">
        <v>8.0236136086999892</v>
      </c>
      <c r="AI42" s="135">
        <v>0</v>
      </c>
      <c r="AJ42" s="135">
        <v>2.7640123183024299</v>
      </c>
      <c r="AK42" s="135">
        <v>0</v>
      </c>
      <c r="AL42" s="135">
        <v>0</v>
      </c>
      <c r="AM42" s="135">
        <v>271.58429954313402</v>
      </c>
      <c r="AN42" s="135">
        <v>0</v>
      </c>
      <c r="AO42" s="135">
        <v>0</v>
      </c>
      <c r="AP42" s="135">
        <v>0</v>
      </c>
      <c r="AQ42" s="135">
        <v>-48.409415738346297</v>
      </c>
      <c r="AR42" s="136">
        <v>0</v>
      </c>
    </row>
    <row r="43" spans="2:44" ht="12" customHeight="1" x14ac:dyDescent="0.25">
      <c r="B43" s="134" t="s">
        <v>42</v>
      </c>
      <c r="C43" s="135" t="s">
        <v>94</v>
      </c>
      <c r="D43" s="135" t="s">
        <v>43</v>
      </c>
      <c r="E43" s="135" t="s">
        <v>96</v>
      </c>
      <c r="F43" s="135" t="s">
        <v>25</v>
      </c>
      <c r="G43" s="135" t="s">
        <v>25</v>
      </c>
      <c r="H43" s="135" t="s">
        <v>78</v>
      </c>
      <c r="I43" s="135" t="s">
        <v>25</v>
      </c>
      <c r="J43" s="135">
        <v>288.8</v>
      </c>
      <c r="K43" s="135">
        <v>228.98</v>
      </c>
      <c r="L43" s="135">
        <v>6.3715109587303704</v>
      </c>
      <c r="M43" s="135">
        <v>0.77614293335519902</v>
      </c>
      <c r="N43" s="135">
        <v>2.0676530820392802</v>
      </c>
      <c r="O43" s="135">
        <v>0</v>
      </c>
      <c r="P43" s="135">
        <v>0</v>
      </c>
      <c r="Q43" s="135">
        <v>91.924455278784706</v>
      </c>
      <c r="R43" s="135">
        <v>15.3972259120253</v>
      </c>
      <c r="S43" s="135">
        <v>0</v>
      </c>
      <c r="T43" s="135">
        <v>28.326985778101601</v>
      </c>
      <c r="U43" s="135">
        <v>23.866320528023799</v>
      </c>
      <c r="V43" s="135">
        <v>4.2023753015154197</v>
      </c>
      <c r="W43" s="135">
        <v>0</v>
      </c>
      <c r="X43" s="135">
        <v>0</v>
      </c>
      <c r="Y43" s="135">
        <v>0</v>
      </c>
      <c r="Z43" s="135">
        <v>0</v>
      </c>
      <c r="AA43" s="135">
        <v>155.49424494595701</v>
      </c>
      <c r="AB43" s="135">
        <v>-60.124540717089403</v>
      </c>
      <c r="AC43" s="135">
        <v>0</v>
      </c>
      <c r="AD43" s="135">
        <v>19.3938951367867</v>
      </c>
      <c r="AE43" s="135">
        <v>0</v>
      </c>
      <c r="AF43" s="135">
        <v>0.69790405294514901</v>
      </c>
      <c r="AG43" s="135">
        <v>0.406582919948277</v>
      </c>
      <c r="AH43" s="135">
        <v>7.8528984255361696</v>
      </c>
      <c r="AI43" s="135">
        <v>0</v>
      </c>
      <c r="AJ43" s="135">
        <v>2.7052035455725898</v>
      </c>
      <c r="AK43" s="135">
        <v>0</v>
      </c>
      <c r="AL43" s="135">
        <v>0</v>
      </c>
      <c r="AM43" s="135">
        <v>265.80591019115201</v>
      </c>
      <c r="AN43" s="135">
        <v>0</v>
      </c>
      <c r="AO43" s="135">
        <v>0</v>
      </c>
      <c r="AP43" s="135">
        <v>0</v>
      </c>
      <c r="AQ43" s="135">
        <v>-47.379428169445298</v>
      </c>
      <c r="AR43" s="136">
        <v>0</v>
      </c>
    </row>
    <row r="44" spans="2:44" ht="12" customHeight="1" x14ac:dyDescent="0.25">
      <c r="B44" s="134" t="s">
        <v>36</v>
      </c>
      <c r="C44" s="135" t="s">
        <v>32</v>
      </c>
      <c r="D44" s="135" t="s">
        <v>25</v>
      </c>
      <c r="E44" s="135" t="s">
        <v>25</v>
      </c>
      <c r="F44" s="135" t="s">
        <v>25</v>
      </c>
      <c r="G44" s="135" t="s">
        <v>33</v>
      </c>
      <c r="H44" s="135" t="s">
        <v>78</v>
      </c>
      <c r="I44" s="135" t="s">
        <v>25</v>
      </c>
      <c r="J44" s="135">
        <v>827.8</v>
      </c>
      <c r="K44" s="135">
        <v>398.02</v>
      </c>
      <c r="L44" s="135">
        <v>6.9255553899243099</v>
      </c>
      <c r="M44" s="135">
        <v>0.84363362321217295</v>
      </c>
      <c r="N44" s="135">
        <v>7.2764223472140701</v>
      </c>
      <c r="O44" s="135">
        <v>0</v>
      </c>
      <c r="P44" s="135">
        <v>0</v>
      </c>
      <c r="Q44" s="135">
        <v>99.917886172592105</v>
      </c>
      <c r="R44" s="135">
        <v>16.736115121766598</v>
      </c>
      <c r="S44" s="135">
        <v>0</v>
      </c>
      <c r="T44" s="135">
        <v>113.923958417015</v>
      </c>
      <c r="U44" s="135">
        <v>95.984063858065298</v>
      </c>
      <c r="V44" s="135">
        <v>16.900817168102801</v>
      </c>
      <c r="W44" s="135">
        <v>0</v>
      </c>
      <c r="X44" s="135">
        <v>0</v>
      </c>
      <c r="Y44" s="135">
        <v>0</v>
      </c>
      <c r="Z44" s="135">
        <v>0</v>
      </c>
      <c r="AA44" s="135">
        <v>625.35718977711497</v>
      </c>
      <c r="AB44" s="135">
        <v>-178.348377211794</v>
      </c>
      <c r="AC44" s="135">
        <v>0</v>
      </c>
      <c r="AD44" s="135">
        <v>21.080320800855102</v>
      </c>
      <c r="AE44" s="135">
        <v>0</v>
      </c>
      <c r="AF44" s="135">
        <v>0.75859136189690102</v>
      </c>
      <c r="AG44" s="135">
        <v>0.44193795646551798</v>
      </c>
      <c r="AH44" s="135">
        <v>8.53575915819148</v>
      </c>
      <c r="AI44" s="135">
        <v>0</v>
      </c>
      <c r="AJ44" s="135">
        <v>2.9404386364919501</v>
      </c>
      <c r="AK44" s="135">
        <v>0</v>
      </c>
      <c r="AL44" s="135">
        <v>0</v>
      </c>
      <c r="AM44" s="135">
        <v>468.812721009825</v>
      </c>
      <c r="AN44" s="135">
        <v>0</v>
      </c>
      <c r="AO44" s="135">
        <v>0</v>
      </c>
      <c r="AP44" s="135">
        <v>0</v>
      </c>
      <c r="AQ44" s="135">
        <v>-82.272278343634795</v>
      </c>
      <c r="AR44" s="136">
        <v>0</v>
      </c>
    </row>
    <row r="45" spans="2:44" ht="12" customHeight="1" x14ac:dyDescent="0.25">
      <c r="B45" s="134" t="s">
        <v>36</v>
      </c>
      <c r="C45" s="135" t="s">
        <v>32</v>
      </c>
      <c r="D45" s="135" t="s">
        <v>25</v>
      </c>
      <c r="E45" s="135" t="s">
        <v>25</v>
      </c>
      <c r="F45" s="135" t="s">
        <v>25</v>
      </c>
      <c r="G45" s="135" t="s">
        <v>35</v>
      </c>
      <c r="H45" s="135" t="s">
        <v>78</v>
      </c>
      <c r="I45" s="135" t="s">
        <v>25</v>
      </c>
      <c r="J45" s="135">
        <v>264.43</v>
      </c>
      <c r="K45" s="135">
        <v>235.34</v>
      </c>
      <c r="L45" s="135">
        <v>6.9255553899243099</v>
      </c>
      <c r="M45" s="135">
        <v>0.84363362321217295</v>
      </c>
      <c r="N45" s="135">
        <v>1.7631759947980401</v>
      </c>
      <c r="O45" s="135">
        <v>0</v>
      </c>
      <c r="P45" s="135">
        <v>0</v>
      </c>
      <c r="Q45" s="135">
        <v>99.917886172592105</v>
      </c>
      <c r="R45" s="135">
        <v>16.736115121766598</v>
      </c>
      <c r="S45" s="135">
        <v>0</v>
      </c>
      <c r="T45" s="135">
        <v>22.784731321701798</v>
      </c>
      <c r="U45" s="135">
        <v>19.1967443596305</v>
      </c>
      <c r="V45" s="135">
        <v>3.38012341084618</v>
      </c>
      <c r="W45" s="135">
        <v>0</v>
      </c>
      <c r="X45" s="135">
        <v>0</v>
      </c>
      <c r="Y45" s="135">
        <v>0</v>
      </c>
      <c r="Z45" s="135">
        <v>0</v>
      </c>
      <c r="AA45" s="135">
        <v>125.07139808364199</v>
      </c>
      <c r="AB45" s="135">
        <v>-54.471665917654803</v>
      </c>
      <c r="AC45" s="135">
        <v>0</v>
      </c>
      <c r="AD45" s="135">
        <v>21.080320800855102</v>
      </c>
      <c r="AE45" s="135">
        <v>0</v>
      </c>
      <c r="AF45" s="135">
        <v>0.75859136189690102</v>
      </c>
      <c r="AG45" s="135">
        <v>0.44193795646551798</v>
      </c>
      <c r="AH45" s="135">
        <v>8.53575915819148</v>
      </c>
      <c r="AI45" s="135">
        <v>0</v>
      </c>
      <c r="AJ45" s="135">
        <v>2.9404386364919501</v>
      </c>
      <c r="AK45" s="135">
        <v>0</v>
      </c>
      <c r="AL45" s="135">
        <v>0</v>
      </c>
      <c r="AM45" s="135">
        <v>272.56553547082899</v>
      </c>
      <c r="AN45" s="135">
        <v>0</v>
      </c>
      <c r="AO45" s="135">
        <v>0</v>
      </c>
      <c r="AP45" s="135">
        <v>0</v>
      </c>
      <c r="AQ45" s="135">
        <v>-48.701842090632297</v>
      </c>
      <c r="AR45" s="136">
        <v>0</v>
      </c>
    </row>
    <row r="46" spans="2:44" ht="12" customHeight="1" x14ac:dyDescent="0.25">
      <c r="B46" s="134" t="s">
        <v>36</v>
      </c>
      <c r="C46" s="135" t="s">
        <v>32</v>
      </c>
      <c r="D46" s="135" t="s">
        <v>25</v>
      </c>
      <c r="E46" s="135" t="s">
        <v>25</v>
      </c>
      <c r="F46" s="135" t="s">
        <v>25</v>
      </c>
      <c r="G46" s="135" t="s">
        <v>34</v>
      </c>
      <c r="H46" s="135" t="s">
        <v>78</v>
      </c>
      <c r="I46" s="135" t="s">
        <v>25</v>
      </c>
      <c r="J46" s="135">
        <v>264.43</v>
      </c>
      <c r="K46" s="135">
        <v>235.34</v>
      </c>
      <c r="L46" s="135">
        <v>6.9255553899243099</v>
      </c>
      <c r="M46" s="135">
        <v>0.84363362321217295</v>
      </c>
      <c r="N46" s="135">
        <v>1.7631759947980401</v>
      </c>
      <c r="O46" s="135">
        <v>0</v>
      </c>
      <c r="P46" s="135">
        <v>0</v>
      </c>
      <c r="Q46" s="135">
        <v>99.917886172592105</v>
      </c>
      <c r="R46" s="135">
        <v>16.736115121766598</v>
      </c>
      <c r="S46" s="135">
        <v>0</v>
      </c>
      <c r="T46" s="135">
        <v>22.784731321701798</v>
      </c>
      <c r="U46" s="135">
        <v>19.1967443596305</v>
      </c>
      <c r="V46" s="135">
        <v>3.38012341084618</v>
      </c>
      <c r="W46" s="135">
        <v>0</v>
      </c>
      <c r="X46" s="135">
        <v>0</v>
      </c>
      <c r="Y46" s="135">
        <v>0</v>
      </c>
      <c r="Z46" s="135">
        <v>0</v>
      </c>
      <c r="AA46" s="135">
        <v>125.07139808364199</v>
      </c>
      <c r="AB46" s="135">
        <v>-54.471665917654803</v>
      </c>
      <c r="AC46" s="135">
        <v>0</v>
      </c>
      <c r="AD46" s="135">
        <v>21.080320800855102</v>
      </c>
      <c r="AE46" s="135">
        <v>0</v>
      </c>
      <c r="AF46" s="135">
        <v>0.75859136189690102</v>
      </c>
      <c r="AG46" s="135">
        <v>0.44193795646551798</v>
      </c>
      <c r="AH46" s="135">
        <v>8.53575915819148</v>
      </c>
      <c r="AI46" s="135">
        <v>0</v>
      </c>
      <c r="AJ46" s="135">
        <v>2.9404386364919501</v>
      </c>
      <c r="AK46" s="135">
        <v>0</v>
      </c>
      <c r="AL46" s="135">
        <v>0</v>
      </c>
      <c r="AM46" s="135">
        <v>272.56553547082899</v>
      </c>
      <c r="AN46" s="135">
        <v>0</v>
      </c>
      <c r="AO46" s="135">
        <v>0</v>
      </c>
      <c r="AP46" s="135">
        <v>0</v>
      </c>
      <c r="AQ46" s="135">
        <v>-48.701842090632297</v>
      </c>
      <c r="AR46" s="136">
        <v>0</v>
      </c>
    </row>
    <row r="47" spans="2:44" ht="12" customHeight="1" x14ac:dyDescent="0.25">
      <c r="B47" s="134" t="s">
        <v>36</v>
      </c>
      <c r="C47" s="135" t="s">
        <v>23</v>
      </c>
      <c r="D47" s="135" t="s">
        <v>25</v>
      </c>
      <c r="E47" s="135" t="s">
        <v>25</v>
      </c>
      <c r="F47" s="135" t="s">
        <v>25</v>
      </c>
      <c r="G47" s="135" t="s">
        <v>25</v>
      </c>
      <c r="H47" s="135" t="s">
        <v>78</v>
      </c>
      <c r="I47" s="135" t="s">
        <v>25</v>
      </c>
      <c r="J47" s="135">
        <v>313.91000000000003</v>
      </c>
      <c r="K47" s="135">
        <v>248.9</v>
      </c>
      <c r="L47" s="135">
        <v>6.9255553899243099</v>
      </c>
      <c r="M47" s="135">
        <v>0.84363362321217295</v>
      </c>
      <c r="N47" s="135">
        <v>2.24744900221661</v>
      </c>
      <c r="O47" s="135">
        <v>0</v>
      </c>
      <c r="P47" s="135">
        <v>0</v>
      </c>
      <c r="Q47" s="135">
        <v>99.917886172592105</v>
      </c>
      <c r="R47" s="135">
        <v>16.736115121766598</v>
      </c>
      <c r="S47" s="135">
        <v>0</v>
      </c>
      <c r="T47" s="135">
        <v>30.7902019327191</v>
      </c>
      <c r="U47" s="135">
        <v>25.941652747851901</v>
      </c>
      <c r="V47" s="135">
        <v>4.5677992407776298</v>
      </c>
      <c r="W47" s="135">
        <v>0</v>
      </c>
      <c r="X47" s="135">
        <v>0</v>
      </c>
      <c r="Y47" s="135">
        <v>0</v>
      </c>
      <c r="Z47" s="135">
        <v>0</v>
      </c>
      <c r="AA47" s="135">
        <v>169.01548363691001</v>
      </c>
      <c r="AB47" s="135">
        <v>-65.352761649010205</v>
      </c>
      <c r="AC47" s="135">
        <v>0</v>
      </c>
      <c r="AD47" s="135">
        <v>21.080320800855102</v>
      </c>
      <c r="AE47" s="135">
        <v>0</v>
      </c>
      <c r="AF47" s="135">
        <v>0.75859136189690102</v>
      </c>
      <c r="AG47" s="135">
        <v>0.44193795646551798</v>
      </c>
      <c r="AH47" s="135">
        <v>8.53575915819148</v>
      </c>
      <c r="AI47" s="135">
        <v>0</v>
      </c>
      <c r="AJ47" s="135">
        <v>2.9404386364919501</v>
      </c>
      <c r="AK47" s="135">
        <v>0</v>
      </c>
      <c r="AL47" s="135">
        <v>0</v>
      </c>
      <c r="AM47" s="135">
        <v>288.91946759907802</v>
      </c>
      <c r="AN47" s="135">
        <v>0</v>
      </c>
      <c r="AO47" s="135">
        <v>0</v>
      </c>
      <c r="AP47" s="135">
        <v>0</v>
      </c>
      <c r="AQ47" s="135">
        <v>-51.499378445049203</v>
      </c>
      <c r="AR47" s="136">
        <v>0</v>
      </c>
    </row>
    <row r="48" spans="2:44" ht="12" customHeight="1" x14ac:dyDescent="0.25">
      <c r="B48" s="134" t="s">
        <v>36</v>
      </c>
      <c r="C48" s="135" t="s">
        <v>94</v>
      </c>
      <c r="D48" s="135" t="s">
        <v>25</v>
      </c>
      <c r="E48" s="135" t="s">
        <v>25</v>
      </c>
      <c r="F48" s="135" t="s">
        <v>25</v>
      </c>
      <c r="G48" s="135" t="s">
        <v>25</v>
      </c>
      <c r="H48" s="135" t="s">
        <v>78</v>
      </c>
      <c r="I48" s="135" t="s">
        <v>25</v>
      </c>
      <c r="J48" s="135">
        <v>313.91000000000003</v>
      </c>
      <c r="K48" s="135">
        <v>248.9</v>
      </c>
      <c r="L48" s="135">
        <v>6.9255553899243099</v>
      </c>
      <c r="M48" s="135">
        <v>0.84363362321217295</v>
      </c>
      <c r="N48" s="135">
        <v>2.24744900221661</v>
      </c>
      <c r="O48" s="135">
        <v>0</v>
      </c>
      <c r="P48" s="135">
        <v>0</v>
      </c>
      <c r="Q48" s="135">
        <v>99.917886172592105</v>
      </c>
      <c r="R48" s="135">
        <v>16.736115121766598</v>
      </c>
      <c r="S48" s="135">
        <v>0</v>
      </c>
      <c r="T48" s="135">
        <v>30.7902019327191</v>
      </c>
      <c r="U48" s="135">
        <v>25.941652747851901</v>
      </c>
      <c r="V48" s="135">
        <v>4.5677992407776298</v>
      </c>
      <c r="W48" s="135">
        <v>0</v>
      </c>
      <c r="X48" s="135">
        <v>0</v>
      </c>
      <c r="Y48" s="135">
        <v>0</v>
      </c>
      <c r="Z48" s="135">
        <v>0</v>
      </c>
      <c r="AA48" s="135">
        <v>169.01548363691001</v>
      </c>
      <c r="AB48" s="135">
        <v>-65.352761649010205</v>
      </c>
      <c r="AC48" s="135">
        <v>0</v>
      </c>
      <c r="AD48" s="135">
        <v>21.080320800855102</v>
      </c>
      <c r="AE48" s="135">
        <v>0</v>
      </c>
      <c r="AF48" s="135">
        <v>0.75859136189690102</v>
      </c>
      <c r="AG48" s="135">
        <v>0.44193795646551798</v>
      </c>
      <c r="AH48" s="135">
        <v>8.53575915819148</v>
      </c>
      <c r="AI48" s="135">
        <v>0</v>
      </c>
      <c r="AJ48" s="135">
        <v>2.9404386364919501</v>
      </c>
      <c r="AK48" s="135">
        <v>0</v>
      </c>
      <c r="AL48" s="135">
        <v>0</v>
      </c>
      <c r="AM48" s="135">
        <v>288.91946759907802</v>
      </c>
      <c r="AN48" s="135">
        <v>0</v>
      </c>
      <c r="AO48" s="135">
        <v>0</v>
      </c>
      <c r="AP48" s="135">
        <v>0</v>
      </c>
      <c r="AQ48" s="135">
        <v>-51.499378445049203</v>
      </c>
      <c r="AR48" s="136">
        <v>0</v>
      </c>
    </row>
    <row r="49" spans="2:44" ht="12" customHeight="1" x14ac:dyDescent="0.25">
      <c r="B49" s="134" t="s">
        <v>45</v>
      </c>
      <c r="C49" s="135" t="s">
        <v>23</v>
      </c>
      <c r="D49" s="135" t="s">
        <v>46</v>
      </c>
      <c r="E49" s="135" t="s">
        <v>47</v>
      </c>
      <c r="F49" s="135" t="s">
        <v>25</v>
      </c>
      <c r="G49" s="135" t="s">
        <v>25</v>
      </c>
      <c r="H49" s="135" t="s">
        <v>78</v>
      </c>
      <c r="I49" s="135" t="s">
        <v>25</v>
      </c>
      <c r="J49" s="135">
        <v>172.65</v>
      </c>
      <c r="K49" s="135">
        <v>136.88999999999999</v>
      </c>
      <c r="L49" s="135">
        <v>3.8090554644583698</v>
      </c>
      <c r="M49" s="135">
        <v>0.46399849276669503</v>
      </c>
      <c r="N49" s="135">
        <v>1.23609695121914</v>
      </c>
      <c r="O49" s="135">
        <v>0</v>
      </c>
      <c r="P49" s="135">
        <v>0</v>
      </c>
      <c r="Q49" s="135">
        <v>54.954837394925597</v>
      </c>
      <c r="R49" s="135">
        <v>9.2048633169716592</v>
      </c>
      <c r="S49" s="135">
        <v>0</v>
      </c>
      <c r="T49" s="135">
        <v>16.934611062995501</v>
      </c>
      <c r="U49" s="135">
        <v>14.267909011318601</v>
      </c>
      <c r="V49" s="135">
        <v>2.5122895824276998</v>
      </c>
      <c r="W49" s="135">
        <v>0</v>
      </c>
      <c r="X49" s="135">
        <v>0</v>
      </c>
      <c r="Y49" s="135">
        <v>0</v>
      </c>
      <c r="Z49" s="135">
        <v>0</v>
      </c>
      <c r="AA49" s="135">
        <v>92.958516000300605</v>
      </c>
      <c r="AB49" s="135">
        <v>-35.944018906955598</v>
      </c>
      <c r="AC49" s="135">
        <v>0</v>
      </c>
      <c r="AD49" s="135">
        <v>11.594176440470299</v>
      </c>
      <c r="AE49" s="135">
        <v>0</v>
      </c>
      <c r="AF49" s="135">
        <v>0.417225249043296</v>
      </c>
      <c r="AG49" s="135">
        <v>0.243065876056035</v>
      </c>
      <c r="AH49" s="135">
        <v>4.6946675370053201</v>
      </c>
      <c r="AI49" s="135">
        <v>0</v>
      </c>
      <c r="AJ49" s="135">
        <v>1.61724125007057</v>
      </c>
      <c r="AK49" s="135">
        <v>0</v>
      </c>
      <c r="AL49" s="135">
        <v>0</v>
      </c>
      <c r="AM49" s="135">
        <v>158.90570717949299</v>
      </c>
      <c r="AN49" s="135">
        <v>0</v>
      </c>
      <c r="AO49" s="135">
        <v>0</v>
      </c>
      <c r="AP49" s="135">
        <v>0</v>
      </c>
      <c r="AQ49" s="135">
        <v>-28.3246581447771</v>
      </c>
      <c r="AR49" s="136">
        <v>0</v>
      </c>
    </row>
    <row r="50" spans="2:44" ht="12" customHeight="1" x14ac:dyDescent="0.25">
      <c r="B50" s="137" t="s">
        <v>45</v>
      </c>
      <c r="C50" s="138" t="s">
        <v>23</v>
      </c>
      <c r="D50" s="138" t="s">
        <v>46</v>
      </c>
      <c r="E50" s="138" t="s">
        <v>97</v>
      </c>
      <c r="F50" s="138" t="s">
        <v>25</v>
      </c>
      <c r="G50" s="138" t="s">
        <v>25</v>
      </c>
      <c r="H50" s="138" t="s">
        <v>78</v>
      </c>
      <c r="I50" s="138" t="s">
        <v>25</v>
      </c>
      <c r="J50" s="138">
        <v>188.35</v>
      </c>
      <c r="K50" s="138">
        <v>149.34</v>
      </c>
      <c r="L50" s="138">
        <v>4.1553332339545896</v>
      </c>
      <c r="M50" s="138">
        <v>0.50618017392730397</v>
      </c>
      <c r="N50" s="138">
        <v>1.3484694013299701</v>
      </c>
      <c r="O50" s="138">
        <v>0</v>
      </c>
      <c r="P50" s="138">
        <v>0</v>
      </c>
      <c r="Q50" s="138">
        <v>59.950731703555199</v>
      </c>
      <c r="R50" s="138">
        <v>10.04166907306</v>
      </c>
      <c r="S50" s="138">
        <v>0</v>
      </c>
      <c r="T50" s="138">
        <v>18.474121159631501</v>
      </c>
      <c r="U50" s="138">
        <v>15.564991648711199</v>
      </c>
      <c r="V50" s="138">
        <v>2.7406795444665799</v>
      </c>
      <c r="W50" s="138">
        <v>0</v>
      </c>
      <c r="X50" s="138">
        <v>0</v>
      </c>
      <c r="Y50" s="138">
        <v>0</v>
      </c>
      <c r="Z50" s="138">
        <v>0</v>
      </c>
      <c r="AA50" s="138">
        <v>101.40929018214599</v>
      </c>
      <c r="AB50" s="138">
        <v>-39.211656989406102</v>
      </c>
      <c r="AC50" s="138">
        <v>0</v>
      </c>
      <c r="AD50" s="138">
        <v>12.648192480513</v>
      </c>
      <c r="AE50" s="138">
        <v>0</v>
      </c>
      <c r="AF50" s="138">
        <v>0.45515481713814099</v>
      </c>
      <c r="AG50" s="138">
        <v>0.26516277387931098</v>
      </c>
      <c r="AH50" s="138">
        <v>5.1214554949148896</v>
      </c>
      <c r="AI50" s="138">
        <v>0</v>
      </c>
      <c r="AJ50" s="138">
        <v>1.76426318189517</v>
      </c>
      <c r="AK50" s="138">
        <v>0</v>
      </c>
      <c r="AL50" s="138">
        <v>0</v>
      </c>
      <c r="AM50" s="138">
        <v>173.351680559447</v>
      </c>
      <c r="AN50" s="138">
        <v>0</v>
      </c>
      <c r="AO50" s="138">
        <v>0</v>
      </c>
      <c r="AP50" s="138">
        <v>0</v>
      </c>
      <c r="AQ50" s="138">
        <v>-30.899627067029499</v>
      </c>
      <c r="AR50" s="139">
        <v>0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3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DC828-16E2-4D53-BD33-CE8E2E829315}">
  <dimension ref="B1:AR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2" bestFit="1" customWidth="1"/>
    <col min="34" max="34" width="16.5703125" bestFit="1" customWidth="1"/>
    <col min="35" max="35" width="14.5703125" bestFit="1" customWidth="1"/>
    <col min="36" max="36" width="12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89" t="s">
        <v>1247</v>
      </c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  <c r="AD1" s="189"/>
      <c r="AE1" s="189"/>
      <c r="AF1" s="189"/>
      <c r="AG1" s="190"/>
      <c r="AH1" s="189" t="s">
        <v>1248</v>
      </c>
      <c r="AI1" s="189"/>
      <c r="AJ1" s="189"/>
      <c r="AK1" s="189"/>
      <c r="AL1" s="189"/>
      <c r="AM1" s="189"/>
      <c r="AN1" s="189"/>
      <c r="AO1" s="189"/>
      <c r="AP1" s="189"/>
      <c r="AQ1" s="189"/>
      <c r="AR1" s="189"/>
    </row>
    <row r="2" spans="2:44" ht="12" customHeight="1" x14ac:dyDescent="0.25">
      <c r="L2" s="191" t="s">
        <v>484</v>
      </c>
      <c r="M2" s="191"/>
      <c r="N2" s="191"/>
      <c r="O2" s="191"/>
      <c r="P2" s="191"/>
      <c r="Q2" s="191"/>
      <c r="R2" s="191"/>
      <c r="S2" s="192"/>
      <c r="T2" s="191" t="s">
        <v>493</v>
      </c>
      <c r="U2" s="191"/>
      <c r="V2" s="191"/>
      <c r="W2" s="191"/>
      <c r="X2" s="191"/>
      <c r="Y2" s="191"/>
      <c r="Z2" s="192"/>
      <c r="AA2" s="150" t="s">
        <v>501</v>
      </c>
      <c r="AB2" s="191" t="s">
        <v>25</v>
      </c>
      <c r="AC2" s="192"/>
      <c r="AD2" s="191" t="s">
        <v>1246</v>
      </c>
      <c r="AE2" s="191"/>
      <c r="AF2" s="191"/>
      <c r="AG2" s="192"/>
      <c r="AH2" s="191" t="s">
        <v>484</v>
      </c>
      <c r="AI2" s="191"/>
      <c r="AJ2" s="191"/>
      <c r="AK2" s="191"/>
      <c r="AL2" s="192"/>
      <c r="AM2" s="150" t="s">
        <v>515</v>
      </c>
      <c r="AN2" s="191" t="s">
        <v>493</v>
      </c>
      <c r="AO2" s="191"/>
      <c r="AP2" s="191"/>
      <c r="AQ2" s="192"/>
      <c r="AR2" s="149" t="s">
        <v>1246</v>
      </c>
    </row>
    <row r="3" spans="2:44" ht="12" customHeight="1" x14ac:dyDescent="0.25">
      <c r="B3" s="131" t="s">
        <v>68</v>
      </c>
      <c r="C3" s="132" t="s">
        <v>69</v>
      </c>
      <c r="D3" s="132" t="s">
        <v>70</v>
      </c>
      <c r="E3" s="132" t="s">
        <v>71</v>
      </c>
      <c r="F3" s="132" t="s">
        <v>72</v>
      </c>
      <c r="G3" s="132" t="s">
        <v>74</v>
      </c>
      <c r="H3" s="132" t="s">
        <v>75</v>
      </c>
      <c r="I3" s="132" t="s">
        <v>727</v>
      </c>
      <c r="J3" s="132" t="s">
        <v>1210</v>
      </c>
      <c r="K3" s="132" t="s">
        <v>1211</v>
      </c>
      <c r="L3" s="132" t="s">
        <v>1212</v>
      </c>
      <c r="M3" s="132" t="s">
        <v>1213</v>
      </c>
      <c r="N3" s="132" t="s">
        <v>1214</v>
      </c>
      <c r="O3" s="132" t="s">
        <v>1215</v>
      </c>
      <c r="P3" s="132" t="s">
        <v>1216</v>
      </c>
      <c r="Q3" s="132" t="s">
        <v>1217</v>
      </c>
      <c r="R3" s="132" t="s">
        <v>1218</v>
      </c>
      <c r="S3" s="132" t="s">
        <v>1219</v>
      </c>
      <c r="T3" s="132" t="s">
        <v>1220</v>
      </c>
      <c r="U3" s="132" t="s">
        <v>1221</v>
      </c>
      <c r="V3" s="132" t="s">
        <v>1222</v>
      </c>
      <c r="W3" s="132" t="s">
        <v>1223</v>
      </c>
      <c r="X3" s="132" t="s">
        <v>1224</v>
      </c>
      <c r="Y3" s="132" t="s">
        <v>1225</v>
      </c>
      <c r="Z3" s="132" t="s">
        <v>1226</v>
      </c>
      <c r="AA3" s="132" t="s">
        <v>1227</v>
      </c>
      <c r="AB3" s="132" t="s">
        <v>1228</v>
      </c>
      <c r="AC3" s="132" t="s">
        <v>1229</v>
      </c>
      <c r="AD3" s="132" t="s">
        <v>1230</v>
      </c>
      <c r="AE3" s="132" t="s">
        <v>1231</v>
      </c>
      <c r="AF3" s="132" t="s">
        <v>1232</v>
      </c>
      <c r="AG3" s="132" t="s">
        <v>1233</v>
      </c>
      <c r="AH3" s="132" t="s">
        <v>1234</v>
      </c>
      <c r="AI3" s="132" t="s">
        <v>1235</v>
      </c>
      <c r="AJ3" s="132" t="s">
        <v>1236</v>
      </c>
      <c r="AK3" s="132" t="s">
        <v>1237</v>
      </c>
      <c r="AL3" s="132" t="s">
        <v>1238</v>
      </c>
      <c r="AM3" s="132" t="s">
        <v>1239</v>
      </c>
      <c r="AN3" s="132" t="s">
        <v>1240</v>
      </c>
      <c r="AO3" s="132" t="s">
        <v>1241</v>
      </c>
      <c r="AP3" s="132" t="s">
        <v>1242</v>
      </c>
      <c r="AQ3" s="132" t="s">
        <v>1243</v>
      </c>
      <c r="AR3" s="133" t="s">
        <v>1244</v>
      </c>
    </row>
    <row r="4" spans="2:44" ht="12" customHeight="1" x14ac:dyDescent="0.25">
      <c r="B4" s="134" t="s">
        <v>38</v>
      </c>
      <c r="C4" s="135" t="s">
        <v>50</v>
      </c>
      <c r="D4" s="135" t="s">
        <v>25</v>
      </c>
      <c r="E4" s="135" t="s">
        <v>25</v>
      </c>
      <c r="F4" s="135" t="s">
        <v>86</v>
      </c>
      <c r="G4" s="135" t="s">
        <v>33</v>
      </c>
      <c r="H4" s="135" t="s">
        <v>78</v>
      </c>
      <c r="I4" s="135" t="s">
        <v>25</v>
      </c>
      <c r="J4" s="135">
        <v>6.96</v>
      </c>
      <c r="K4" s="135">
        <v>0</v>
      </c>
      <c r="L4" s="135">
        <v>0</v>
      </c>
      <c r="M4" s="135">
        <v>0.394029970177801</v>
      </c>
      <c r="N4" s="135">
        <v>0.119615518192478</v>
      </c>
      <c r="O4" s="135">
        <v>0</v>
      </c>
      <c r="P4" s="135">
        <v>0</v>
      </c>
      <c r="Q4" s="135">
        <v>0</v>
      </c>
      <c r="R4" s="135">
        <v>0</v>
      </c>
      <c r="S4" s="135">
        <v>0</v>
      </c>
      <c r="T4" s="135">
        <v>0</v>
      </c>
      <c r="U4" s="135">
        <v>0</v>
      </c>
      <c r="V4" s="135">
        <v>0</v>
      </c>
      <c r="W4" s="135">
        <v>0</v>
      </c>
      <c r="X4" s="135">
        <v>0</v>
      </c>
      <c r="Y4" s="135">
        <v>0</v>
      </c>
      <c r="Z4" s="135">
        <v>0</v>
      </c>
      <c r="AA4" s="135">
        <v>0</v>
      </c>
      <c r="AB4" s="135">
        <v>0</v>
      </c>
      <c r="AC4" s="135">
        <v>0</v>
      </c>
      <c r="AD4" s="135">
        <v>5.6966914356979803</v>
      </c>
      <c r="AE4" s="135">
        <v>0</v>
      </c>
      <c r="AF4" s="135">
        <v>0.531897139808858</v>
      </c>
      <c r="AG4" s="135">
        <v>0.2207347017745</v>
      </c>
      <c r="AH4" s="135">
        <v>0</v>
      </c>
      <c r="AI4" s="135">
        <v>0</v>
      </c>
      <c r="AJ4" s="135">
        <v>0</v>
      </c>
      <c r="AK4" s="135">
        <v>0</v>
      </c>
      <c r="AL4" s="135">
        <v>0</v>
      </c>
      <c r="AM4" s="135">
        <v>0</v>
      </c>
      <c r="AN4" s="135">
        <v>0</v>
      </c>
      <c r="AO4" s="135">
        <v>0</v>
      </c>
      <c r="AP4" s="135">
        <v>0</v>
      </c>
      <c r="AQ4" s="135">
        <v>0</v>
      </c>
      <c r="AR4" s="136">
        <v>0</v>
      </c>
    </row>
    <row r="5" spans="2:44" ht="12" customHeight="1" x14ac:dyDescent="0.25">
      <c r="B5" s="134" t="s">
        <v>38</v>
      </c>
      <c r="C5" s="135" t="s">
        <v>50</v>
      </c>
      <c r="D5" s="135" t="s">
        <v>25</v>
      </c>
      <c r="E5" s="135" t="s">
        <v>25</v>
      </c>
      <c r="F5" s="135" t="s">
        <v>86</v>
      </c>
      <c r="G5" s="135" t="s">
        <v>33</v>
      </c>
      <c r="H5" s="135" t="s">
        <v>83</v>
      </c>
      <c r="I5" s="135" t="s">
        <v>25</v>
      </c>
      <c r="J5" s="135">
        <v>26.5</v>
      </c>
      <c r="K5" s="135">
        <v>0</v>
      </c>
      <c r="L5" s="135">
        <v>0</v>
      </c>
      <c r="M5" s="135">
        <v>0</v>
      </c>
      <c r="N5" s="135">
        <v>0</v>
      </c>
      <c r="O5" s="135">
        <v>0</v>
      </c>
      <c r="P5" s="135">
        <v>0</v>
      </c>
      <c r="Q5" s="135">
        <v>0</v>
      </c>
      <c r="R5" s="135">
        <v>0</v>
      </c>
      <c r="S5" s="135">
        <v>0</v>
      </c>
      <c r="T5" s="135">
        <v>6.67052275946424</v>
      </c>
      <c r="U5" s="135">
        <v>5.9629726253077697</v>
      </c>
      <c r="V5" s="135">
        <v>1.0524664188077899</v>
      </c>
      <c r="W5" s="135">
        <v>0</v>
      </c>
      <c r="X5" s="135">
        <v>0</v>
      </c>
      <c r="Y5" s="135">
        <v>0</v>
      </c>
      <c r="Z5" s="135">
        <v>0</v>
      </c>
      <c r="AA5" s="135">
        <v>12.8128527516778</v>
      </c>
      <c r="AB5" s="135">
        <v>0</v>
      </c>
      <c r="AC5" s="135">
        <v>0</v>
      </c>
      <c r="AD5" s="135">
        <v>0</v>
      </c>
      <c r="AE5" s="135">
        <v>0</v>
      </c>
      <c r="AF5" s="135">
        <v>0</v>
      </c>
      <c r="AG5" s="135">
        <v>0</v>
      </c>
      <c r="AH5" s="135">
        <v>0</v>
      </c>
      <c r="AI5" s="135">
        <v>0</v>
      </c>
      <c r="AJ5" s="135">
        <v>0</v>
      </c>
      <c r="AK5" s="135">
        <v>0</v>
      </c>
      <c r="AL5" s="135">
        <v>0</v>
      </c>
      <c r="AM5" s="135">
        <v>0</v>
      </c>
      <c r="AN5" s="135">
        <v>0</v>
      </c>
      <c r="AO5" s="135">
        <v>0</v>
      </c>
      <c r="AP5" s="135">
        <v>0</v>
      </c>
      <c r="AQ5" s="135">
        <v>0</v>
      </c>
      <c r="AR5" s="136">
        <v>0</v>
      </c>
    </row>
    <row r="6" spans="2:44" ht="12" customHeight="1" x14ac:dyDescent="0.25">
      <c r="B6" s="134" t="s">
        <v>38</v>
      </c>
      <c r="C6" s="135" t="s">
        <v>50</v>
      </c>
      <c r="D6" s="135" t="s">
        <v>25</v>
      </c>
      <c r="E6" s="135" t="s">
        <v>25</v>
      </c>
      <c r="F6" s="135" t="s">
        <v>86</v>
      </c>
      <c r="G6" s="135" t="s">
        <v>34</v>
      </c>
      <c r="H6" s="135" t="s">
        <v>78</v>
      </c>
      <c r="I6" s="135" t="s">
        <v>25</v>
      </c>
      <c r="J6" s="135">
        <v>6.96</v>
      </c>
      <c r="K6" s="135">
        <v>0</v>
      </c>
      <c r="L6" s="135">
        <v>0</v>
      </c>
      <c r="M6" s="135">
        <v>0.394029970177801</v>
      </c>
      <c r="N6" s="135">
        <v>0.119615518192478</v>
      </c>
      <c r="O6" s="135">
        <v>0</v>
      </c>
      <c r="P6" s="135">
        <v>0</v>
      </c>
      <c r="Q6" s="135">
        <v>0</v>
      </c>
      <c r="R6" s="135">
        <v>0</v>
      </c>
      <c r="S6" s="135">
        <v>0</v>
      </c>
      <c r="T6" s="135">
        <v>0</v>
      </c>
      <c r="U6" s="135">
        <v>0</v>
      </c>
      <c r="V6" s="135">
        <v>0</v>
      </c>
      <c r="W6" s="135">
        <v>0</v>
      </c>
      <c r="X6" s="135">
        <v>0</v>
      </c>
      <c r="Y6" s="135">
        <v>0</v>
      </c>
      <c r="Z6" s="135">
        <v>0</v>
      </c>
      <c r="AA6" s="135">
        <v>0</v>
      </c>
      <c r="AB6" s="135">
        <v>0</v>
      </c>
      <c r="AC6" s="135">
        <v>0</v>
      </c>
      <c r="AD6" s="135">
        <v>5.6966914356979803</v>
      </c>
      <c r="AE6" s="135">
        <v>0</v>
      </c>
      <c r="AF6" s="135">
        <v>0.531897139808858</v>
      </c>
      <c r="AG6" s="135">
        <v>0.2207347017745</v>
      </c>
      <c r="AH6" s="135">
        <v>0</v>
      </c>
      <c r="AI6" s="135">
        <v>0</v>
      </c>
      <c r="AJ6" s="135">
        <v>0</v>
      </c>
      <c r="AK6" s="135">
        <v>0</v>
      </c>
      <c r="AL6" s="135">
        <v>0</v>
      </c>
      <c r="AM6" s="135">
        <v>0</v>
      </c>
      <c r="AN6" s="135">
        <v>0</v>
      </c>
      <c r="AO6" s="135">
        <v>0</v>
      </c>
      <c r="AP6" s="135">
        <v>0</v>
      </c>
      <c r="AQ6" s="135">
        <v>0</v>
      </c>
      <c r="AR6" s="136">
        <v>0</v>
      </c>
    </row>
    <row r="7" spans="2:44" ht="12" customHeight="1" x14ac:dyDescent="0.25">
      <c r="B7" s="134" t="s">
        <v>38</v>
      </c>
      <c r="C7" s="135" t="s">
        <v>50</v>
      </c>
      <c r="D7" s="135" t="s">
        <v>25</v>
      </c>
      <c r="E7" s="135" t="s">
        <v>25</v>
      </c>
      <c r="F7" s="135" t="s">
        <v>86</v>
      </c>
      <c r="G7" s="135" t="s">
        <v>34</v>
      </c>
      <c r="H7" s="135" t="s">
        <v>83</v>
      </c>
      <c r="I7" s="135" t="s">
        <v>25</v>
      </c>
      <c r="J7" s="135">
        <v>25.64</v>
      </c>
      <c r="K7" s="135">
        <v>0</v>
      </c>
      <c r="L7" s="135">
        <v>0</v>
      </c>
      <c r="M7" s="135">
        <v>0</v>
      </c>
      <c r="N7" s="135">
        <v>0</v>
      </c>
      <c r="O7" s="135">
        <v>0</v>
      </c>
      <c r="P7" s="135">
        <v>0</v>
      </c>
      <c r="Q7" s="135">
        <v>0</v>
      </c>
      <c r="R7" s="135">
        <v>0</v>
      </c>
      <c r="S7" s="135">
        <v>0</v>
      </c>
      <c r="T7" s="135">
        <v>6.6716986222779804</v>
      </c>
      <c r="U7" s="135">
        <v>5.1476480187848503</v>
      </c>
      <c r="V7" s="135">
        <v>1.0048623344774901</v>
      </c>
      <c r="W7" s="135">
        <v>0</v>
      </c>
      <c r="X7" s="135">
        <v>0</v>
      </c>
      <c r="Y7" s="135">
        <v>0</v>
      </c>
      <c r="Z7" s="135">
        <v>0</v>
      </c>
      <c r="AA7" s="135">
        <v>12.8128527516778</v>
      </c>
      <c r="AB7" s="135">
        <v>0</v>
      </c>
      <c r="AC7" s="135">
        <v>0</v>
      </c>
      <c r="AD7" s="135">
        <v>0</v>
      </c>
      <c r="AE7" s="135">
        <v>0</v>
      </c>
      <c r="AF7" s="135">
        <v>0</v>
      </c>
      <c r="AG7" s="135">
        <v>0</v>
      </c>
      <c r="AH7" s="135">
        <v>0</v>
      </c>
      <c r="AI7" s="135">
        <v>0</v>
      </c>
      <c r="AJ7" s="135">
        <v>0</v>
      </c>
      <c r="AK7" s="135">
        <v>0</v>
      </c>
      <c r="AL7" s="135">
        <v>0</v>
      </c>
      <c r="AM7" s="135">
        <v>0</v>
      </c>
      <c r="AN7" s="135">
        <v>0</v>
      </c>
      <c r="AO7" s="135">
        <v>0</v>
      </c>
      <c r="AP7" s="135">
        <v>0</v>
      </c>
      <c r="AQ7" s="135">
        <v>0</v>
      </c>
      <c r="AR7" s="136">
        <v>0</v>
      </c>
    </row>
    <row r="8" spans="2:44" ht="12" customHeight="1" x14ac:dyDescent="0.25">
      <c r="B8" s="134" t="s">
        <v>38</v>
      </c>
      <c r="C8" s="135" t="s">
        <v>50</v>
      </c>
      <c r="D8" s="135" t="s">
        <v>25</v>
      </c>
      <c r="E8" s="135" t="s">
        <v>25</v>
      </c>
      <c r="F8" s="135" t="s">
        <v>25</v>
      </c>
      <c r="G8" s="135" t="s">
        <v>33</v>
      </c>
      <c r="H8" s="135" t="s">
        <v>78</v>
      </c>
      <c r="I8" s="135" t="s">
        <v>25</v>
      </c>
      <c r="J8" s="135">
        <v>100.65</v>
      </c>
      <c r="K8" s="135">
        <v>459.69</v>
      </c>
      <c r="L8" s="135">
        <v>5.9430701174943099</v>
      </c>
      <c r="M8" s="135">
        <v>0.394029970177801</v>
      </c>
      <c r="N8" s="135">
        <v>0.12849782297391801</v>
      </c>
      <c r="O8" s="135">
        <v>0</v>
      </c>
      <c r="P8" s="135">
        <v>0</v>
      </c>
      <c r="Q8" s="135">
        <v>73.837203383150893</v>
      </c>
      <c r="R8" s="135">
        <v>13.8959149161587</v>
      </c>
      <c r="S8" s="135">
        <v>0</v>
      </c>
      <c r="T8" s="135">
        <v>0</v>
      </c>
      <c r="U8" s="135">
        <v>0</v>
      </c>
      <c r="V8" s="135">
        <v>0</v>
      </c>
      <c r="W8" s="135">
        <v>0</v>
      </c>
      <c r="X8" s="135">
        <v>0</v>
      </c>
      <c r="Y8" s="135">
        <v>0</v>
      </c>
      <c r="Z8" s="135">
        <v>0</v>
      </c>
      <c r="AA8" s="135">
        <v>0</v>
      </c>
      <c r="AB8" s="135">
        <v>0</v>
      </c>
      <c r="AC8" s="135">
        <v>0</v>
      </c>
      <c r="AD8" s="135">
        <v>5.6966914356979803</v>
      </c>
      <c r="AE8" s="135">
        <v>0</v>
      </c>
      <c r="AF8" s="135">
        <v>0.531897139808858</v>
      </c>
      <c r="AG8" s="135">
        <v>0.2207347017745</v>
      </c>
      <c r="AH8" s="135">
        <v>8.6603744929376596</v>
      </c>
      <c r="AI8" s="135">
        <v>0</v>
      </c>
      <c r="AJ8" s="135">
        <v>2.9404387567196899</v>
      </c>
      <c r="AK8" s="135">
        <v>0</v>
      </c>
      <c r="AL8" s="135">
        <v>0</v>
      </c>
      <c r="AM8" s="135">
        <v>448.08934348128003</v>
      </c>
      <c r="AN8" s="135">
        <v>0</v>
      </c>
      <c r="AO8" s="135">
        <v>0</v>
      </c>
      <c r="AP8" s="135">
        <v>0</v>
      </c>
      <c r="AQ8" s="135">
        <v>0</v>
      </c>
      <c r="AR8" s="136">
        <v>0</v>
      </c>
    </row>
    <row r="9" spans="2:44" ht="12" customHeight="1" x14ac:dyDescent="0.25">
      <c r="B9" s="134" t="s">
        <v>38</v>
      </c>
      <c r="C9" s="135" t="s">
        <v>50</v>
      </c>
      <c r="D9" s="135" t="s">
        <v>25</v>
      </c>
      <c r="E9" s="135" t="s">
        <v>25</v>
      </c>
      <c r="F9" s="135" t="s">
        <v>25</v>
      </c>
      <c r="G9" s="135" t="s">
        <v>33</v>
      </c>
      <c r="H9" s="135" t="s">
        <v>83</v>
      </c>
      <c r="I9" s="135" t="s">
        <v>25</v>
      </c>
      <c r="J9" s="135">
        <v>26.5</v>
      </c>
      <c r="K9" s="135">
        <v>0</v>
      </c>
      <c r="L9" s="135">
        <v>0</v>
      </c>
      <c r="M9" s="135">
        <v>0</v>
      </c>
      <c r="N9" s="135">
        <v>0</v>
      </c>
      <c r="O9" s="135">
        <v>0</v>
      </c>
      <c r="P9" s="135">
        <v>0</v>
      </c>
      <c r="Q9" s="135">
        <v>0</v>
      </c>
      <c r="R9" s="135">
        <v>0</v>
      </c>
      <c r="S9" s="135">
        <v>0</v>
      </c>
      <c r="T9" s="135">
        <v>6.67052275946424</v>
      </c>
      <c r="U9" s="135">
        <v>5.9629726253077697</v>
      </c>
      <c r="V9" s="135">
        <v>1.0524664188077899</v>
      </c>
      <c r="W9" s="135">
        <v>0</v>
      </c>
      <c r="X9" s="135">
        <v>0</v>
      </c>
      <c r="Y9" s="135">
        <v>0</v>
      </c>
      <c r="Z9" s="135">
        <v>0</v>
      </c>
      <c r="AA9" s="135">
        <v>12.8128527516778</v>
      </c>
      <c r="AB9" s="135">
        <v>0</v>
      </c>
      <c r="AC9" s="135">
        <v>0</v>
      </c>
      <c r="AD9" s="135">
        <v>0</v>
      </c>
      <c r="AE9" s="135">
        <v>0</v>
      </c>
      <c r="AF9" s="135">
        <v>0</v>
      </c>
      <c r="AG9" s="135">
        <v>0</v>
      </c>
      <c r="AH9" s="135">
        <v>0</v>
      </c>
      <c r="AI9" s="135">
        <v>0</v>
      </c>
      <c r="AJ9" s="135">
        <v>0</v>
      </c>
      <c r="AK9" s="135">
        <v>0</v>
      </c>
      <c r="AL9" s="135">
        <v>0</v>
      </c>
      <c r="AM9" s="135">
        <v>0</v>
      </c>
      <c r="AN9" s="135">
        <v>0</v>
      </c>
      <c r="AO9" s="135">
        <v>0</v>
      </c>
      <c r="AP9" s="135">
        <v>0</v>
      </c>
      <c r="AQ9" s="135">
        <v>0</v>
      </c>
      <c r="AR9" s="136">
        <v>0</v>
      </c>
    </row>
    <row r="10" spans="2:44" ht="12" customHeight="1" x14ac:dyDescent="0.25">
      <c r="B10" s="134" t="s">
        <v>38</v>
      </c>
      <c r="C10" s="135" t="s">
        <v>50</v>
      </c>
      <c r="D10" s="135" t="s">
        <v>25</v>
      </c>
      <c r="E10" s="135" t="s">
        <v>25</v>
      </c>
      <c r="F10" s="135" t="s">
        <v>25</v>
      </c>
      <c r="G10" s="135" t="s">
        <v>34</v>
      </c>
      <c r="H10" s="135" t="s">
        <v>78</v>
      </c>
      <c r="I10" s="135" t="s">
        <v>25</v>
      </c>
      <c r="J10" s="135">
        <v>100.65</v>
      </c>
      <c r="K10" s="135">
        <v>272.12</v>
      </c>
      <c r="L10" s="135">
        <v>5.9430701174943099</v>
      </c>
      <c r="M10" s="135">
        <v>0.394029970177801</v>
      </c>
      <c r="N10" s="135">
        <v>0.12849782297391801</v>
      </c>
      <c r="O10" s="135">
        <v>0</v>
      </c>
      <c r="P10" s="135">
        <v>0</v>
      </c>
      <c r="Q10" s="135">
        <v>73.837203383150893</v>
      </c>
      <c r="R10" s="135">
        <v>13.8959149161587</v>
      </c>
      <c r="S10" s="135">
        <v>0</v>
      </c>
      <c r="T10" s="135">
        <v>0</v>
      </c>
      <c r="U10" s="135">
        <v>0</v>
      </c>
      <c r="V10" s="135">
        <v>0</v>
      </c>
      <c r="W10" s="135">
        <v>0</v>
      </c>
      <c r="X10" s="135">
        <v>0</v>
      </c>
      <c r="Y10" s="135">
        <v>0</v>
      </c>
      <c r="Z10" s="135">
        <v>0</v>
      </c>
      <c r="AA10" s="135">
        <v>0</v>
      </c>
      <c r="AB10" s="135">
        <v>0</v>
      </c>
      <c r="AC10" s="135">
        <v>0</v>
      </c>
      <c r="AD10" s="135">
        <v>5.6966914356979803</v>
      </c>
      <c r="AE10" s="135">
        <v>0</v>
      </c>
      <c r="AF10" s="135">
        <v>0.531897139808858</v>
      </c>
      <c r="AG10" s="135">
        <v>0.2207347017745</v>
      </c>
      <c r="AH10" s="135">
        <v>8.6603744929376596</v>
      </c>
      <c r="AI10" s="135">
        <v>0</v>
      </c>
      <c r="AJ10" s="135">
        <v>2.9404387567196899</v>
      </c>
      <c r="AK10" s="135">
        <v>0</v>
      </c>
      <c r="AL10" s="135">
        <v>0</v>
      </c>
      <c r="AM10" s="135">
        <v>260.51706016353501</v>
      </c>
      <c r="AN10" s="135">
        <v>0</v>
      </c>
      <c r="AO10" s="135">
        <v>0</v>
      </c>
      <c r="AP10" s="135">
        <v>0</v>
      </c>
      <c r="AQ10" s="135">
        <v>0</v>
      </c>
      <c r="AR10" s="136">
        <v>0</v>
      </c>
    </row>
    <row r="11" spans="2:44" ht="12" customHeight="1" x14ac:dyDescent="0.25">
      <c r="B11" s="134" t="s">
        <v>38</v>
      </c>
      <c r="C11" s="135" t="s">
        <v>50</v>
      </c>
      <c r="D11" s="135" t="s">
        <v>25</v>
      </c>
      <c r="E11" s="135" t="s">
        <v>25</v>
      </c>
      <c r="F11" s="135" t="s">
        <v>25</v>
      </c>
      <c r="G11" s="135" t="s">
        <v>34</v>
      </c>
      <c r="H11" s="135" t="s">
        <v>83</v>
      </c>
      <c r="I11" s="135" t="s">
        <v>25</v>
      </c>
      <c r="J11" s="135">
        <v>25.64</v>
      </c>
      <c r="K11" s="135">
        <v>0</v>
      </c>
      <c r="L11" s="135">
        <v>0</v>
      </c>
      <c r="M11" s="135">
        <v>0</v>
      </c>
      <c r="N11" s="135">
        <v>0</v>
      </c>
      <c r="O11" s="135">
        <v>0</v>
      </c>
      <c r="P11" s="135">
        <v>0</v>
      </c>
      <c r="Q11" s="135">
        <v>0</v>
      </c>
      <c r="R11" s="135">
        <v>0</v>
      </c>
      <c r="S11" s="135">
        <v>0</v>
      </c>
      <c r="T11" s="135">
        <v>6.6716986222779804</v>
      </c>
      <c r="U11" s="135">
        <v>5.1476480187848503</v>
      </c>
      <c r="V11" s="135">
        <v>1.0048623344774901</v>
      </c>
      <c r="W11" s="135">
        <v>0</v>
      </c>
      <c r="X11" s="135">
        <v>0</v>
      </c>
      <c r="Y11" s="135">
        <v>0</v>
      </c>
      <c r="Z11" s="135">
        <v>0</v>
      </c>
      <c r="AA11" s="135">
        <v>12.8128527516778</v>
      </c>
      <c r="AB11" s="135">
        <v>0</v>
      </c>
      <c r="AC11" s="135">
        <v>0</v>
      </c>
      <c r="AD11" s="135">
        <v>0</v>
      </c>
      <c r="AE11" s="135">
        <v>0</v>
      </c>
      <c r="AF11" s="135">
        <v>0</v>
      </c>
      <c r="AG11" s="135">
        <v>0</v>
      </c>
      <c r="AH11" s="135">
        <v>0</v>
      </c>
      <c r="AI11" s="135">
        <v>0</v>
      </c>
      <c r="AJ11" s="135">
        <v>0</v>
      </c>
      <c r="AK11" s="135">
        <v>0</v>
      </c>
      <c r="AL11" s="135">
        <v>0</v>
      </c>
      <c r="AM11" s="135">
        <v>0</v>
      </c>
      <c r="AN11" s="135">
        <v>0</v>
      </c>
      <c r="AO11" s="135">
        <v>0</v>
      </c>
      <c r="AP11" s="135">
        <v>0</v>
      </c>
      <c r="AQ11" s="135">
        <v>0</v>
      </c>
      <c r="AR11" s="136">
        <v>0</v>
      </c>
    </row>
    <row r="12" spans="2:44" ht="12" customHeight="1" x14ac:dyDescent="0.25">
      <c r="B12" s="134" t="s">
        <v>38</v>
      </c>
      <c r="C12" s="135" t="s">
        <v>23</v>
      </c>
      <c r="D12" s="135" t="s">
        <v>25</v>
      </c>
      <c r="E12" s="135" t="s">
        <v>25</v>
      </c>
      <c r="F12" s="135" t="s">
        <v>25</v>
      </c>
      <c r="G12" s="135" t="s">
        <v>25</v>
      </c>
      <c r="H12" s="135" t="s">
        <v>78</v>
      </c>
      <c r="I12" s="135" t="s">
        <v>25</v>
      </c>
      <c r="J12" s="135">
        <v>0</v>
      </c>
      <c r="K12" s="135">
        <v>287.75</v>
      </c>
      <c r="L12" s="135">
        <v>0</v>
      </c>
      <c r="M12" s="135">
        <v>0</v>
      </c>
      <c r="N12" s="135">
        <v>0</v>
      </c>
      <c r="O12" s="135">
        <v>0</v>
      </c>
      <c r="P12" s="135">
        <v>0</v>
      </c>
      <c r="Q12" s="135">
        <v>0</v>
      </c>
      <c r="R12" s="135">
        <v>0</v>
      </c>
      <c r="S12" s="135">
        <v>0</v>
      </c>
      <c r="T12" s="135">
        <v>0</v>
      </c>
      <c r="U12" s="135">
        <v>0</v>
      </c>
      <c r="V12" s="135">
        <v>0</v>
      </c>
      <c r="W12" s="135">
        <v>0</v>
      </c>
      <c r="X12" s="135">
        <v>0</v>
      </c>
      <c r="Y12" s="135">
        <v>0</v>
      </c>
      <c r="Z12" s="135">
        <v>0</v>
      </c>
      <c r="AA12" s="135">
        <v>0</v>
      </c>
      <c r="AB12" s="135">
        <v>0</v>
      </c>
      <c r="AC12" s="135">
        <v>0</v>
      </c>
      <c r="AD12" s="135">
        <v>0</v>
      </c>
      <c r="AE12" s="135">
        <v>0</v>
      </c>
      <c r="AF12" s="135">
        <v>0</v>
      </c>
      <c r="AG12" s="135">
        <v>0</v>
      </c>
      <c r="AH12" s="135">
        <v>8.6603744929376596</v>
      </c>
      <c r="AI12" s="135">
        <v>0</v>
      </c>
      <c r="AJ12" s="135">
        <v>2.9404387567196899</v>
      </c>
      <c r="AK12" s="135">
        <v>0</v>
      </c>
      <c r="AL12" s="135">
        <v>0</v>
      </c>
      <c r="AM12" s="135">
        <v>276.14808377334703</v>
      </c>
      <c r="AN12" s="135">
        <v>0</v>
      </c>
      <c r="AO12" s="135">
        <v>0</v>
      </c>
      <c r="AP12" s="135">
        <v>0</v>
      </c>
      <c r="AQ12" s="135">
        <v>0</v>
      </c>
      <c r="AR12" s="136">
        <v>0</v>
      </c>
    </row>
    <row r="13" spans="2:44" ht="12" customHeight="1" x14ac:dyDescent="0.25">
      <c r="B13" s="134" t="s">
        <v>38</v>
      </c>
      <c r="C13" s="135" t="s">
        <v>58</v>
      </c>
      <c r="D13" s="135" t="s">
        <v>25</v>
      </c>
      <c r="E13" s="135" t="s">
        <v>25</v>
      </c>
      <c r="F13" s="135" t="s">
        <v>25</v>
      </c>
      <c r="G13" s="135" t="s">
        <v>25</v>
      </c>
      <c r="H13" s="135" t="s">
        <v>83</v>
      </c>
      <c r="I13" s="135" t="s">
        <v>25</v>
      </c>
      <c r="J13" s="135">
        <v>6.95</v>
      </c>
      <c r="K13" s="135">
        <v>0</v>
      </c>
      <c r="L13" s="135">
        <v>0</v>
      </c>
      <c r="M13" s="135">
        <v>2.74788663793957E-2</v>
      </c>
      <c r="N13" s="135">
        <v>6.0222026418164598E-2</v>
      </c>
      <c r="O13" s="135">
        <v>0</v>
      </c>
      <c r="P13" s="135">
        <v>0</v>
      </c>
      <c r="Q13" s="135">
        <v>0</v>
      </c>
      <c r="R13" s="135">
        <v>0</v>
      </c>
      <c r="S13" s="135">
        <v>0</v>
      </c>
      <c r="T13" s="135">
        <v>0</v>
      </c>
      <c r="U13" s="135">
        <v>0</v>
      </c>
      <c r="V13" s="135">
        <v>0</v>
      </c>
      <c r="W13" s="135">
        <v>0</v>
      </c>
      <c r="X13" s="135">
        <v>0</v>
      </c>
      <c r="Y13" s="135">
        <v>0</v>
      </c>
      <c r="Z13" s="135">
        <v>0</v>
      </c>
      <c r="AA13" s="135">
        <v>6.8629618255178197</v>
      </c>
      <c r="AB13" s="135">
        <v>0</v>
      </c>
      <c r="AC13" s="135">
        <v>0</v>
      </c>
      <c r="AD13" s="135">
        <v>0</v>
      </c>
      <c r="AE13" s="135">
        <v>0</v>
      </c>
      <c r="AF13" s="135">
        <v>0</v>
      </c>
      <c r="AG13" s="135">
        <v>0</v>
      </c>
      <c r="AH13" s="135">
        <v>0</v>
      </c>
      <c r="AI13" s="135">
        <v>0</v>
      </c>
      <c r="AJ13" s="135">
        <v>0</v>
      </c>
      <c r="AK13" s="135">
        <v>0</v>
      </c>
      <c r="AL13" s="135">
        <v>0</v>
      </c>
      <c r="AM13" s="135">
        <v>0</v>
      </c>
      <c r="AN13" s="135">
        <v>0</v>
      </c>
      <c r="AO13" s="135">
        <v>0</v>
      </c>
      <c r="AP13" s="135">
        <v>0</v>
      </c>
      <c r="AQ13" s="135">
        <v>0</v>
      </c>
      <c r="AR13" s="136">
        <v>0</v>
      </c>
    </row>
    <row r="14" spans="2:44" ht="12" customHeight="1" x14ac:dyDescent="0.25">
      <c r="B14" s="134" t="s">
        <v>38</v>
      </c>
      <c r="C14" s="135" t="s">
        <v>39</v>
      </c>
      <c r="D14" s="135" t="s">
        <v>25</v>
      </c>
      <c r="E14" s="135" t="s">
        <v>25</v>
      </c>
      <c r="F14" s="135" t="s">
        <v>86</v>
      </c>
      <c r="G14" s="135" t="s">
        <v>33</v>
      </c>
      <c r="H14" s="135" t="s">
        <v>78</v>
      </c>
      <c r="I14" s="135" t="s">
        <v>25</v>
      </c>
      <c r="J14" s="135">
        <v>648.91</v>
      </c>
      <c r="K14" s="135">
        <v>0</v>
      </c>
      <c r="L14" s="135">
        <v>0</v>
      </c>
      <c r="M14" s="135">
        <v>0.394029970177801</v>
      </c>
      <c r="N14" s="135">
        <v>4.7741395226028196</v>
      </c>
      <c r="O14" s="135">
        <v>0</v>
      </c>
      <c r="P14" s="135">
        <v>0</v>
      </c>
      <c r="Q14" s="135">
        <v>0</v>
      </c>
      <c r="R14" s="135">
        <v>0</v>
      </c>
      <c r="S14" s="135">
        <v>0</v>
      </c>
      <c r="T14" s="135">
        <v>160.424727472022</v>
      </c>
      <c r="U14" s="135">
        <v>143.410129646728</v>
      </c>
      <c r="V14" s="135">
        <v>25.311873198012499</v>
      </c>
      <c r="W14" s="135">
        <v>0</v>
      </c>
      <c r="X14" s="135">
        <v>0</v>
      </c>
      <c r="Y14" s="135">
        <v>0</v>
      </c>
      <c r="Z14" s="135">
        <v>0</v>
      </c>
      <c r="AA14" s="135">
        <v>308.14863132154198</v>
      </c>
      <c r="AB14" s="135">
        <v>0</v>
      </c>
      <c r="AC14" s="135">
        <v>0</v>
      </c>
      <c r="AD14" s="135">
        <v>5.6966914356979803</v>
      </c>
      <c r="AE14" s="135">
        <v>0</v>
      </c>
      <c r="AF14" s="135">
        <v>0.531897139808858</v>
      </c>
      <c r="AG14" s="135">
        <v>0.2207347017745</v>
      </c>
      <c r="AH14" s="135">
        <v>0</v>
      </c>
      <c r="AI14" s="135">
        <v>0</v>
      </c>
      <c r="AJ14" s="135">
        <v>0</v>
      </c>
      <c r="AK14" s="135">
        <v>0</v>
      </c>
      <c r="AL14" s="135">
        <v>0</v>
      </c>
      <c r="AM14" s="135">
        <v>0</v>
      </c>
      <c r="AN14" s="135">
        <v>0</v>
      </c>
      <c r="AO14" s="135">
        <v>0</v>
      </c>
      <c r="AP14" s="135">
        <v>0</v>
      </c>
      <c r="AQ14" s="135">
        <v>0</v>
      </c>
      <c r="AR14" s="136">
        <v>0</v>
      </c>
    </row>
    <row r="15" spans="2:44" ht="12" customHeight="1" x14ac:dyDescent="0.25">
      <c r="B15" s="134" t="s">
        <v>38</v>
      </c>
      <c r="C15" s="135" t="s">
        <v>39</v>
      </c>
      <c r="D15" s="135" t="s">
        <v>25</v>
      </c>
      <c r="E15" s="135" t="s">
        <v>25</v>
      </c>
      <c r="F15" s="135" t="s">
        <v>86</v>
      </c>
      <c r="G15" s="135" t="s">
        <v>25</v>
      </c>
      <c r="H15" s="135" t="s">
        <v>83</v>
      </c>
      <c r="I15" s="135" t="s">
        <v>25</v>
      </c>
      <c r="J15" s="135">
        <v>25.64</v>
      </c>
      <c r="K15" s="135">
        <v>0</v>
      </c>
      <c r="L15" s="135">
        <v>0</v>
      </c>
      <c r="M15" s="135">
        <v>0</v>
      </c>
      <c r="N15" s="135">
        <v>0</v>
      </c>
      <c r="O15" s="135">
        <v>0</v>
      </c>
      <c r="P15" s="135">
        <v>0</v>
      </c>
      <c r="Q15" s="135">
        <v>0</v>
      </c>
      <c r="R15" s="135">
        <v>0</v>
      </c>
      <c r="S15" s="135">
        <v>0</v>
      </c>
      <c r="T15" s="135">
        <v>6.6716986222779804</v>
      </c>
      <c r="U15" s="135">
        <v>5.1476480187848503</v>
      </c>
      <c r="V15" s="135">
        <v>1.0048623344774901</v>
      </c>
      <c r="W15" s="135">
        <v>0</v>
      </c>
      <c r="X15" s="135">
        <v>0</v>
      </c>
      <c r="Y15" s="135">
        <v>0</v>
      </c>
      <c r="Z15" s="135">
        <v>0</v>
      </c>
      <c r="AA15" s="135">
        <v>12.8128527516778</v>
      </c>
      <c r="AB15" s="135">
        <v>0</v>
      </c>
      <c r="AC15" s="135">
        <v>0</v>
      </c>
      <c r="AD15" s="135">
        <v>0</v>
      </c>
      <c r="AE15" s="135">
        <v>0</v>
      </c>
      <c r="AF15" s="135">
        <v>0</v>
      </c>
      <c r="AG15" s="135">
        <v>0</v>
      </c>
      <c r="AH15" s="135">
        <v>0</v>
      </c>
      <c r="AI15" s="135">
        <v>0</v>
      </c>
      <c r="AJ15" s="135">
        <v>0</v>
      </c>
      <c r="AK15" s="135">
        <v>0</v>
      </c>
      <c r="AL15" s="135">
        <v>0</v>
      </c>
      <c r="AM15" s="135">
        <v>0</v>
      </c>
      <c r="AN15" s="135">
        <v>0</v>
      </c>
      <c r="AO15" s="135">
        <v>0</v>
      </c>
      <c r="AP15" s="135">
        <v>0</v>
      </c>
      <c r="AQ15" s="135">
        <v>0</v>
      </c>
      <c r="AR15" s="136">
        <v>0</v>
      </c>
    </row>
    <row r="16" spans="2:44" ht="12" customHeight="1" x14ac:dyDescent="0.25">
      <c r="B16" s="134" t="s">
        <v>38</v>
      </c>
      <c r="C16" s="135" t="s">
        <v>39</v>
      </c>
      <c r="D16" s="135" t="s">
        <v>25</v>
      </c>
      <c r="E16" s="135" t="s">
        <v>25</v>
      </c>
      <c r="F16" s="135" t="s">
        <v>86</v>
      </c>
      <c r="G16" s="135" t="s">
        <v>34</v>
      </c>
      <c r="H16" s="135" t="s">
        <v>78</v>
      </c>
      <c r="I16" s="135" t="s">
        <v>25</v>
      </c>
      <c r="J16" s="135">
        <v>6.96</v>
      </c>
      <c r="K16" s="135">
        <v>0</v>
      </c>
      <c r="L16" s="135">
        <v>0</v>
      </c>
      <c r="M16" s="135">
        <v>0.394029970177801</v>
      </c>
      <c r="N16" s="135">
        <v>0.119615518192478</v>
      </c>
      <c r="O16" s="135">
        <v>0</v>
      </c>
      <c r="P16" s="135">
        <v>0</v>
      </c>
      <c r="Q16" s="135">
        <v>0</v>
      </c>
      <c r="R16" s="135">
        <v>0</v>
      </c>
      <c r="S16" s="135">
        <v>0</v>
      </c>
      <c r="T16" s="135">
        <v>0</v>
      </c>
      <c r="U16" s="135">
        <v>0</v>
      </c>
      <c r="V16" s="135">
        <v>0</v>
      </c>
      <c r="W16" s="135">
        <v>0</v>
      </c>
      <c r="X16" s="135">
        <v>0</v>
      </c>
      <c r="Y16" s="135">
        <v>0</v>
      </c>
      <c r="Z16" s="135">
        <v>0</v>
      </c>
      <c r="AA16" s="135">
        <v>0</v>
      </c>
      <c r="AB16" s="135">
        <v>0</v>
      </c>
      <c r="AC16" s="135">
        <v>0</v>
      </c>
      <c r="AD16" s="135">
        <v>5.6966914356979803</v>
      </c>
      <c r="AE16" s="135">
        <v>0</v>
      </c>
      <c r="AF16" s="135">
        <v>0.531897139808858</v>
      </c>
      <c r="AG16" s="135">
        <v>0.2207347017745</v>
      </c>
      <c r="AH16" s="135">
        <v>0</v>
      </c>
      <c r="AI16" s="135">
        <v>0</v>
      </c>
      <c r="AJ16" s="135">
        <v>0</v>
      </c>
      <c r="AK16" s="135">
        <v>0</v>
      </c>
      <c r="AL16" s="135">
        <v>0</v>
      </c>
      <c r="AM16" s="135">
        <v>0</v>
      </c>
      <c r="AN16" s="135">
        <v>0</v>
      </c>
      <c r="AO16" s="135">
        <v>0</v>
      </c>
      <c r="AP16" s="135">
        <v>0</v>
      </c>
      <c r="AQ16" s="135">
        <v>0</v>
      </c>
      <c r="AR16" s="136">
        <v>0</v>
      </c>
    </row>
    <row r="17" spans="2:44" ht="12" customHeight="1" x14ac:dyDescent="0.25">
      <c r="B17" s="134" t="s">
        <v>38</v>
      </c>
      <c r="C17" s="135" t="s">
        <v>39</v>
      </c>
      <c r="D17" s="135" t="s">
        <v>25</v>
      </c>
      <c r="E17" s="135" t="s">
        <v>25</v>
      </c>
      <c r="F17" s="135" t="s">
        <v>25</v>
      </c>
      <c r="G17" s="135" t="s">
        <v>33</v>
      </c>
      <c r="H17" s="135" t="s">
        <v>78</v>
      </c>
      <c r="I17" s="135" t="s">
        <v>25</v>
      </c>
      <c r="J17" s="135">
        <v>742.6</v>
      </c>
      <c r="K17" s="135">
        <v>459.69</v>
      </c>
      <c r="L17" s="135">
        <v>5.9430701174943099</v>
      </c>
      <c r="M17" s="135">
        <v>0.394029970177801</v>
      </c>
      <c r="N17" s="135">
        <v>4.7830218273842604</v>
      </c>
      <c r="O17" s="135">
        <v>0</v>
      </c>
      <c r="P17" s="135">
        <v>0</v>
      </c>
      <c r="Q17" s="135">
        <v>73.837203383150893</v>
      </c>
      <c r="R17" s="135">
        <v>13.8959149161587</v>
      </c>
      <c r="S17" s="135">
        <v>0</v>
      </c>
      <c r="T17" s="135">
        <v>160.424727472022</v>
      </c>
      <c r="U17" s="135">
        <v>143.410129646728</v>
      </c>
      <c r="V17" s="135">
        <v>25.311873198012499</v>
      </c>
      <c r="W17" s="135">
        <v>0</v>
      </c>
      <c r="X17" s="135">
        <v>0</v>
      </c>
      <c r="Y17" s="135">
        <v>0</v>
      </c>
      <c r="Z17" s="135">
        <v>0</v>
      </c>
      <c r="AA17" s="135">
        <v>308.14863132154198</v>
      </c>
      <c r="AB17" s="135">
        <v>0</v>
      </c>
      <c r="AC17" s="135">
        <v>0</v>
      </c>
      <c r="AD17" s="135">
        <v>5.6966914356979803</v>
      </c>
      <c r="AE17" s="135">
        <v>0</v>
      </c>
      <c r="AF17" s="135">
        <v>0.531897139808858</v>
      </c>
      <c r="AG17" s="135">
        <v>0.2207347017745</v>
      </c>
      <c r="AH17" s="135">
        <v>8.6603744929376596</v>
      </c>
      <c r="AI17" s="135">
        <v>0</v>
      </c>
      <c r="AJ17" s="135">
        <v>2.9404387567196899</v>
      </c>
      <c r="AK17" s="135">
        <v>0</v>
      </c>
      <c r="AL17" s="135">
        <v>0</v>
      </c>
      <c r="AM17" s="135">
        <v>448.08934348128003</v>
      </c>
      <c r="AN17" s="135">
        <v>0</v>
      </c>
      <c r="AO17" s="135">
        <v>0</v>
      </c>
      <c r="AP17" s="135">
        <v>0</v>
      </c>
      <c r="AQ17" s="135">
        <v>0</v>
      </c>
      <c r="AR17" s="136">
        <v>0</v>
      </c>
    </row>
    <row r="18" spans="2:44" ht="12" customHeight="1" x14ac:dyDescent="0.25">
      <c r="B18" s="134" t="s">
        <v>38</v>
      </c>
      <c r="C18" s="135" t="s">
        <v>39</v>
      </c>
      <c r="D18" s="135" t="s">
        <v>25</v>
      </c>
      <c r="E18" s="135" t="s">
        <v>25</v>
      </c>
      <c r="F18" s="135" t="s">
        <v>25</v>
      </c>
      <c r="G18" s="135" t="s">
        <v>25</v>
      </c>
      <c r="H18" s="135" t="s">
        <v>83</v>
      </c>
      <c r="I18" s="135" t="s">
        <v>25</v>
      </c>
      <c r="J18" s="135">
        <v>25.64</v>
      </c>
      <c r="K18" s="135">
        <v>0</v>
      </c>
      <c r="L18" s="135">
        <v>0</v>
      </c>
      <c r="M18" s="135">
        <v>0</v>
      </c>
      <c r="N18" s="135">
        <v>0</v>
      </c>
      <c r="O18" s="135">
        <v>0</v>
      </c>
      <c r="P18" s="135">
        <v>0</v>
      </c>
      <c r="Q18" s="135">
        <v>0</v>
      </c>
      <c r="R18" s="135">
        <v>0</v>
      </c>
      <c r="S18" s="135">
        <v>0</v>
      </c>
      <c r="T18" s="135">
        <v>6.6716986222779804</v>
      </c>
      <c r="U18" s="135">
        <v>5.1476480187848503</v>
      </c>
      <c r="V18" s="135">
        <v>1.0048623344774901</v>
      </c>
      <c r="W18" s="135">
        <v>0</v>
      </c>
      <c r="X18" s="135">
        <v>0</v>
      </c>
      <c r="Y18" s="135">
        <v>0</v>
      </c>
      <c r="Z18" s="135">
        <v>0</v>
      </c>
      <c r="AA18" s="135">
        <v>12.8128527516778</v>
      </c>
      <c r="AB18" s="135">
        <v>0</v>
      </c>
      <c r="AC18" s="135">
        <v>0</v>
      </c>
      <c r="AD18" s="135">
        <v>0</v>
      </c>
      <c r="AE18" s="135">
        <v>0</v>
      </c>
      <c r="AF18" s="135">
        <v>0</v>
      </c>
      <c r="AG18" s="135">
        <v>0</v>
      </c>
      <c r="AH18" s="135">
        <v>0</v>
      </c>
      <c r="AI18" s="135">
        <v>0</v>
      </c>
      <c r="AJ18" s="135">
        <v>0</v>
      </c>
      <c r="AK18" s="135">
        <v>0</v>
      </c>
      <c r="AL18" s="135">
        <v>0</v>
      </c>
      <c r="AM18" s="135">
        <v>0</v>
      </c>
      <c r="AN18" s="135">
        <v>0</v>
      </c>
      <c r="AO18" s="135">
        <v>0</v>
      </c>
      <c r="AP18" s="135">
        <v>0</v>
      </c>
      <c r="AQ18" s="135">
        <v>0</v>
      </c>
      <c r="AR18" s="136">
        <v>0</v>
      </c>
    </row>
    <row r="19" spans="2:44" ht="12" customHeight="1" x14ac:dyDescent="0.25">
      <c r="B19" s="134" t="s">
        <v>38</v>
      </c>
      <c r="C19" s="135" t="s">
        <v>39</v>
      </c>
      <c r="D19" s="135" t="s">
        <v>25</v>
      </c>
      <c r="E19" s="135" t="s">
        <v>25</v>
      </c>
      <c r="F19" s="135" t="s">
        <v>25</v>
      </c>
      <c r="G19" s="135" t="s">
        <v>34</v>
      </c>
      <c r="H19" s="135" t="s">
        <v>78</v>
      </c>
      <c r="I19" s="135" t="s">
        <v>25</v>
      </c>
      <c r="J19" s="135">
        <v>100.65</v>
      </c>
      <c r="K19" s="135">
        <v>272.12</v>
      </c>
      <c r="L19" s="135">
        <v>5.9430701174943099</v>
      </c>
      <c r="M19" s="135">
        <v>0.394029970177801</v>
      </c>
      <c r="N19" s="135">
        <v>0.12849782297391801</v>
      </c>
      <c r="O19" s="135">
        <v>0</v>
      </c>
      <c r="P19" s="135">
        <v>0</v>
      </c>
      <c r="Q19" s="135">
        <v>73.837203383150893</v>
      </c>
      <c r="R19" s="135">
        <v>13.8959149161587</v>
      </c>
      <c r="S19" s="135">
        <v>0</v>
      </c>
      <c r="T19" s="135">
        <v>0</v>
      </c>
      <c r="U19" s="135">
        <v>0</v>
      </c>
      <c r="V19" s="135">
        <v>0</v>
      </c>
      <c r="W19" s="135">
        <v>0</v>
      </c>
      <c r="X19" s="135">
        <v>0</v>
      </c>
      <c r="Y19" s="135">
        <v>0</v>
      </c>
      <c r="Z19" s="135">
        <v>0</v>
      </c>
      <c r="AA19" s="135">
        <v>0</v>
      </c>
      <c r="AB19" s="135">
        <v>0</v>
      </c>
      <c r="AC19" s="135">
        <v>0</v>
      </c>
      <c r="AD19" s="135">
        <v>5.6966914356979803</v>
      </c>
      <c r="AE19" s="135">
        <v>0</v>
      </c>
      <c r="AF19" s="135">
        <v>0.531897139808858</v>
      </c>
      <c r="AG19" s="135">
        <v>0.2207347017745</v>
      </c>
      <c r="AH19" s="135">
        <v>8.6603744929376596</v>
      </c>
      <c r="AI19" s="135">
        <v>0</v>
      </c>
      <c r="AJ19" s="135">
        <v>2.9404387567196899</v>
      </c>
      <c r="AK19" s="135">
        <v>0</v>
      </c>
      <c r="AL19" s="135">
        <v>0</v>
      </c>
      <c r="AM19" s="135">
        <v>260.51706016353501</v>
      </c>
      <c r="AN19" s="135">
        <v>0</v>
      </c>
      <c r="AO19" s="135">
        <v>0</v>
      </c>
      <c r="AP19" s="135">
        <v>0</v>
      </c>
      <c r="AQ19" s="135">
        <v>0</v>
      </c>
      <c r="AR19" s="136">
        <v>0</v>
      </c>
    </row>
    <row r="20" spans="2:44" ht="12" customHeight="1" x14ac:dyDescent="0.25">
      <c r="B20" s="134" t="s">
        <v>89</v>
      </c>
      <c r="C20" s="135" t="s">
        <v>58</v>
      </c>
      <c r="D20" s="135" t="s">
        <v>25</v>
      </c>
      <c r="E20" s="135" t="s">
        <v>25</v>
      </c>
      <c r="F20" s="135" t="s">
        <v>90</v>
      </c>
      <c r="G20" s="135" t="s">
        <v>25</v>
      </c>
      <c r="H20" s="135" t="s">
        <v>83</v>
      </c>
      <c r="I20" s="135" t="s">
        <v>25</v>
      </c>
      <c r="J20" s="135">
        <v>5.87</v>
      </c>
      <c r="K20" s="135">
        <v>0</v>
      </c>
      <c r="L20" s="135">
        <v>0</v>
      </c>
      <c r="M20" s="135">
        <v>2.3204376053711898E-2</v>
      </c>
      <c r="N20" s="135">
        <v>5.08956063976524E-2</v>
      </c>
      <c r="O20" s="135">
        <v>0</v>
      </c>
      <c r="P20" s="135">
        <v>0</v>
      </c>
      <c r="Q20" s="135">
        <v>0</v>
      </c>
      <c r="R20" s="135">
        <v>0</v>
      </c>
      <c r="S20" s="135">
        <v>0</v>
      </c>
      <c r="T20" s="135">
        <v>0</v>
      </c>
      <c r="U20" s="135">
        <v>0</v>
      </c>
      <c r="V20" s="135">
        <v>0</v>
      </c>
      <c r="W20" s="135">
        <v>0</v>
      </c>
      <c r="X20" s="135">
        <v>0</v>
      </c>
      <c r="Y20" s="135">
        <v>0</v>
      </c>
      <c r="Z20" s="135">
        <v>0</v>
      </c>
      <c r="AA20" s="135">
        <v>5.7954102990272904</v>
      </c>
      <c r="AB20" s="135">
        <v>0</v>
      </c>
      <c r="AC20" s="135">
        <v>0</v>
      </c>
      <c r="AD20" s="135">
        <v>0</v>
      </c>
      <c r="AE20" s="135">
        <v>0</v>
      </c>
      <c r="AF20" s="135">
        <v>0</v>
      </c>
      <c r="AG20" s="135">
        <v>0</v>
      </c>
      <c r="AH20" s="135">
        <v>0</v>
      </c>
      <c r="AI20" s="135">
        <v>0</v>
      </c>
      <c r="AJ20" s="135">
        <v>0</v>
      </c>
      <c r="AK20" s="135">
        <v>0</v>
      </c>
      <c r="AL20" s="135">
        <v>0</v>
      </c>
      <c r="AM20" s="135">
        <v>0</v>
      </c>
      <c r="AN20" s="135">
        <v>0</v>
      </c>
      <c r="AO20" s="135">
        <v>0</v>
      </c>
      <c r="AP20" s="135">
        <v>0</v>
      </c>
      <c r="AQ20" s="135">
        <v>0</v>
      </c>
      <c r="AR20" s="136">
        <v>0</v>
      </c>
    </row>
    <row r="21" spans="2:44" ht="12" customHeight="1" x14ac:dyDescent="0.25">
      <c r="B21" s="134" t="s">
        <v>89</v>
      </c>
      <c r="C21" s="135" t="s">
        <v>58</v>
      </c>
      <c r="D21" s="135" t="s">
        <v>25</v>
      </c>
      <c r="E21" s="135" t="s">
        <v>25</v>
      </c>
      <c r="F21" s="135" t="s">
        <v>91</v>
      </c>
      <c r="G21" s="135" t="s">
        <v>25</v>
      </c>
      <c r="H21" s="135" t="s">
        <v>83</v>
      </c>
      <c r="I21" s="135" t="s">
        <v>25</v>
      </c>
      <c r="J21" s="135">
        <v>9.76</v>
      </c>
      <c r="K21" s="135">
        <v>0</v>
      </c>
      <c r="L21" s="135">
        <v>0</v>
      </c>
      <c r="M21" s="135">
        <v>2.3204376053711898E-2</v>
      </c>
      <c r="N21" s="135">
        <v>5.08956063976524E-2</v>
      </c>
      <c r="O21" s="135">
        <v>0</v>
      </c>
      <c r="P21" s="135">
        <v>0</v>
      </c>
      <c r="Q21" s="135">
        <v>0</v>
      </c>
      <c r="R21" s="135">
        <v>0</v>
      </c>
      <c r="S21" s="135">
        <v>0</v>
      </c>
      <c r="T21" s="135">
        <v>0</v>
      </c>
      <c r="U21" s="135">
        <v>0</v>
      </c>
      <c r="V21" s="135">
        <v>0</v>
      </c>
      <c r="W21" s="135">
        <v>0</v>
      </c>
      <c r="X21" s="135">
        <v>0</v>
      </c>
      <c r="Y21" s="135">
        <v>0</v>
      </c>
      <c r="Z21" s="135">
        <v>0</v>
      </c>
      <c r="AA21" s="135">
        <v>9.6903330931843907</v>
      </c>
      <c r="AB21" s="135">
        <v>0</v>
      </c>
      <c r="AC21" s="135">
        <v>0</v>
      </c>
      <c r="AD21" s="135">
        <v>0</v>
      </c>
      <c r="AE21" s="135">
        <v>0</v>
      </c>
      <c r="AF21" s="135">
        <v>0</v>
      </c>
      <c r="AG21" s="135">
        <v>0</v>
      </c>
      <c r="AH21" s="135">
        <v>0</v>
      </c>
      <c r="AI21" s="135">
        <v>0</v>
      </c>
      <c r="AJ21" s="135">
        <v>0</v>
      </c>
      <c r="AK21" s="135">
        <v>0</v>
      </c>
      <c r="AL21" s="135">
        <v>0</v>
      </c>
      <c r="AM21" s="135">
        <v>0</v>
      </c>
      <c r="AN21" s="135">
        <v>0</v>
      </c>
      <c r="AO21" s="135">
        <v>0</v>
      </c>
      <c r="AP21" s="135">
        <v>0</v>
      </c>
      <c r="AQ21" s="135">
        <v>0</v>
      </c>
      <c r="AR21" s="136">
        <v>0</v>
      </c>
    </row>
    <row r="22" spans="2:44" ht="12" customHeight="1" x14ac:dyDescent="0.25">
      <c r="B22" s="134" t="s">
        <v>22</v>
      </c>
      <c r="C22" s="135" t="s">
        <v>32</v>
      </c>
      <c r="D22" s="135" t="s">
        <v>24</v>
      </c>
      <c r="E22" s="135" t="s">
        <v>24</v>
      </c>
      <c r="F22" s="135" t="s">
        <v>25</v>
      </c>
      <c r="G22" s="135" t="s">
        <v>33</v>
      </c>
      <c r="H22" s="135" t="s">
        <v>78</v>
      </c>
      <c r="I22" s="135" t="s">
        <v>25</v>
      </c>
      <c r="J22" s="135">
        <v>902.97</v>
      </c>
      <c r="K22" s="135">
        <v>459.69</v>
      </c>
      <c r="L22" s="135">
        <v>7.0750834732075099</v>
      </c>
      <c r="M22" s="135">
        <v>0.88690239679001703</v>
      </c>
      <c r="N22" s="135">
        <v>6.5313900195810897</v>
      </c>
      <c r="O22" s="135">
        <v>0</v>
      </c>
      <c r="P22" s="135">
        <v>0</v>
      </c>
      <c r="Q22" s="135">
        <v>87.901432598989103</v>
      </c>
      <c r="R22" s="135">
        <v>13.8959149161587</v>
      </c>
      <c r="S22" s="135">
        <v>0</v>
      </c>
      <c r="T22" s="135">
        <v>98.967522597928294</v>
      </c>
      <c r="U22" s="135">
        <v>82.947844283249793</v>
      </c>
      <c r="V22" s="135">
        <v>15.2912641971079</v>
      </c>
      <c r="W22" s="135">
        <v>0</v>
      </c>
      <c r="X22" s="135">
        <v>0</v>
      </c>
      <c r="Y22" s="135">
        <v>0</v>
      </c>
      <c r="Z22" s="135">
        <v>0</v>
      </c>
      <c r="AA22" s="135">
        <v>568.30243732235795</v>
      </c>
      <c r="AB22" s="135">
        <v>0</v>
      </c>
      <c r="AC22" s="135">
        <v>0</v>
      </c>
      <c r="AD22" s="135">
        <v>20.1484871990749</v>
      </c>
      <c r="AE22" s="135">
        <v>0</v>
      </c>
      <c r="AF22" s="135">
        <v>0.72505862168323898</v>
      </c>
      <c r="AG22" s="135">
        <v>0.30089576846341598</v>
      </c>
      <c r="AH22" s="135">
        <v>8.6603744929376596</v>
      </c>
      <c r="AI22" s="135">
        <v>0</v>
      </c>
      <c r="AJ22" s="135">
        <v>2.9404387567196899</v>
      </c>
      <c r="AK22" s="135">
        <v>0</v>
      </c>
      <c r="AL22" s="135">
        <v>0</v>
      </c>
      <c r="AM22" s="135">
        <v>448.08934348128003</v>
      </c>
      <c r="AN22" s="135">
        <v>0</v>
      </c>
      <c r="AO22" s="135">
        <v>0</v>
      </c>
      <c r="AP22" s="135">
        <v>0</v>
      </c>
      <c r="AQ22" s="135">
        <v>0</v>
      </c>
      <c r="AR22" s="136">
        <v>0</v>
      </c>
    </row>
    <row r="23" spans="2:44" ht="12" customHeight="1" x14ac:dyDescent="0.25">
      <c r="B23" s="134" t="s">
        <v>22</v>
      </c>
      <c r="C23" s="135" t="s">
        <v>32</v>
      </c>
      <c r="D23" s="135" t="s">
        <v>24</v>
      </c>
      <c r="E23" s="135" t="s">
        <v>24</v>
      </c>
      <c r="F23" s="135" t="s">
        <v>25</v>
      </c>
      <c r="G23" s="135" t="s">
        <v>35</v>
      </c>
      <c r="H23" s="135" t="s">
        <v>78</v>
      </c>
      <c r="I23" s="135" t="s">
        <v>25</v>
      </c>
      <c r="J23" s="135">
        <v>517.15</v>
      </c>
      <c r="K23" s="135">
        <v>272.12</v>
      </c>
      <c r="L23" s="135">
        <v>7.0750834732075099</v>
      </c>
      <c r="M23" s="135">
        <v>0.88690239679001703</v>
      </c>
      <c r="N23" s="135">
        <v>3.4581285533513801</v>
      </c>
      <c r="O23" s="135">
        <v>0</v>
      </c>
      <c r="P23" s="135">
        <v>0</v>
      </c>
      <c r="Q23" s="135">
        <v>87.901432598989103</v>
      </c>
      <c r="R23" s="135">
        <v>13.8959149161587</v>
      </c>
      <c r="S23" s="135">
        <v>0</v>
      </c>
      <c r="T23" s="135">
        <v>49.483834790389999</v>
      </c>
      <c r="U23" s="135">
        <v>41.4738392834332</v>
      </c>
      <c r="V23" s="135">
        <v>7.64568284917691</v>
      </c>
      <c r="W23" s="135">
        <v>0</v>
      </c>
      <c r="X23" s="135">
        <v>0</v>
      </c>
      <c r="Y23" s="135">
        <v>0</v>
      </c>
      <c r="Z23" s="135">
        <v>0</v>
      </c>
      <c r="AA23" s="135">
        <v>284.15121866117897</v>
      </c>
      <c r="AB23" s="135">
        <v>0</v>
      </c>
      <c r="AC23" s="135">
        <v>0</v>
      </c>
      <c r="AD23" s="135">
        <v>20.1484871990749</v>
      </c>
      <c r="AE23" s="135">
        <v>0</v>
      </c>
      <c r="AF23" s="135">
        <v>0.72505862168323898</v>
      </c>
      <c r="AG23" s="135">
        <v>0.30089576846341598</v>
      </c>
      <c r="AH23" s="135">
        <v>8.6603744929376596</v>
      </c>
      <c r="AI23" s="135">
        <v>0</v>
      </c>
      <c r="AJ23" s="135">
        <v>2.9404387567196899</v>
      </c>
      <c r="AK23" s="135">
        <v>0</v>
      </c>
      <c r="AL23" s="135">
        <v>0</v>
      </c>
      <c r="AM23" s="135">
        <v>260.51706016353501</v>
      </c>
      <c r="AN23" s="135">
        <v>0</v>
      </c>
      <c r="AO23" s="135">
        <v>0</v>
      </c>
      <c r="AP23" s="135">
        <v>0</v>
      </c>
      <c r="AQ23" s="135">
        <v>0</v>
      </c>
      <c r="AR23" s="136">
        <v>0</v>
      </c>
    </row>
    <row r="24" spans="2:44" ht="12" customHeight="1" x14ac:dyDescent="0.25">
      <c r="B24" s="134" t="s">
        <v>22</v>
      </c>
      <c r="C24" s="135" t="s">
        <v>32</v>
      </c>
      <c r="D24" s="135" t="s">
        <v>24</v>
      </c>
      <c r="E24" s="135" t="s">
        <v>24</v>
      </c>
      <c r="F24" s="135" t="s">
        <v>25</v>
      </c>
      <c r="G24" s="135" t="s">
        <v>34</v>
      </c>
      <c r="H24" s="135" t="s">
        <v>78</v>
      </c>
      <c r="I24" s="135" t="s">
        <v>25</v>
      </c>
      <c r="J24" s="135">
        <v>208.48</v>
      </c>
      <c r="K24" s="135">
        <v>272.12</v>
      </c>
      <c r="L24" s="135">
        <v>7.0750834732075099</v>
      </c>
      <c r="M24" s="135">
        <v>0.88690239679001703</v>
      </c>
      <c r="N24" s="135">
        <v>0.999519025075428</v>
      </c>
      <c r="O24" s="135">
        <v>0</v>
      </c>
      <c r="P24" s="135">
        <v>0</v>
      </c>
      <c r="Q24" s="135">
        <v>87.901432598989103</v>
      </c>
      <c r="R24" s="135">
        <v>13.8959149161587</v>
      </c>
      <c r="S24" s="135">
        <v>0</v>
      </c>
      <c r="T24" s="135">
        <v>9.8967963546483393</v>
      </c>
      <c r="U24" s="135">
        <v>8.2947678566866294</v>
      </c>
      <c r="V24" s="135">
        <v>1.5291162695861999</v>
      </c>
      <c r="W24" s="135">
        <v>0</v>
      </c>
      <c r="X24" s="135">
        <v>0</v>
      </c>
      <c r="Y24" s="135">
        <v>0</v>
      </c>
      <c r="Z24" s="135">
        <v>0</v>
      </c>
      <c r="AA24" s="135">
        <v>56.830284358304802</v>
      </c>
      <c r="AB24" s="135">
        <v>0</v>
      </c>
      <c r="AC24" s="135">
        <v>0</v>
      </c>
      <c r="AD24" s="135">
        <v>20.1484871990749</v>
      </c>
      <c r="AE24" s="135">
        <v>0</v>
      </c>
      <c r="AF24" s="135">
        <v>0.72505862168323898</v>
      </c>
      <c r="AG24" s="135">
        <v>0.30089576846341598</v>
      </c>
      <c r="AH24" s="135">
        <v>8.6603744929376596</v>
      </c>
      <c r="AI24" s="135">
        <v>0</v>
      </c>
      <c r="AJ24" s="135">
        <v>2.9404387567196899</v>
      </c>
      <c r="AK24" s="135">
        <v>0</v>
      </c>
      <c r="AL24" s="135">
        <v>0</v>
      </c>
      <c r="AM24" s="135">
        <v>260.51706016353501</v>
      </c>
      <c r="AN24" s="135">
        <v>0</v>
      </c>
      <c r="AO24" s="135">
        <v>0</v>
      </c>
      <c r="AP24" s="135">
        <v>0</v>
      </c>
      <c r="AQ24" s="135">
        <v>0</v>
      </c>
      <c r="AR24" s="136">
        <v>0</v>
      </c>
    </row>
    <row r="25" spans="2:44" ht="12" customHeight="1" x14ac:dyDescent="0.25">
      <c r="B25" s="134" t="s">
        <v>22</v>
      </c>
      <c r="C25" s="135" t="s">
        <v>23</v>
      </c>
      <c r="D25" s="135" t="s">
        <v>24</v>
      </c>
      <c r="E25" s="135" t="s">
        <v>1245</v>
      </c>
      <c r="F25" s="135" t="s">
        <v>25</v>
      </c>
      <c r="G25" s="135" t="s">
        <v>25</v>
      </c>
      <c r="H25" s="135" t="s">
        <v>78</v>
      </c>
      <c r="I25" s="135" t="s">
        <v>25</v>
      </c>
      <c r="J25" s="135">
        <v>256.27</v>
      </c>
      <c r="K25" s="135">
        <v>287.75</v>
      </c>
      <c r="L25" s="135">
        <v>0</v>
      </c>
      <c r="M25" s="135">
        <v>0.88690239679001703</v>
      </c>
      <c r="N25" s="135">
        <v>2.23856678932817</v>
      </c>
      <c r="O25" s="135">
        <v>0</v>
      </c>
      <c r="P25" s="135">
        <v>0</v>
      </c>
      <c r="Q25" s="135">
        <v>0</v>
      </c>
      <c r="R25" s="135">
        <v>0</v>
      </c>
      <c r="S25" s="135">
        <v>0</v>
      </c>
      <c r="T25" s="135">
        <v>29.990087098595598</v>
      </c>
      <c r="U25" s="135">
        <v>25.135695323737799</v>
      </c>
      <c r="V25" s="135">
        <v>4.6337348781380197</v>
      </c>
      <c r="W25" s="135">
        <v>0</v>
      </c>
      <c r="X25" s="135">
        <v>0</v>
      </c>
      <c r="Y25" s="135">
        <v>0</v>
      </c>
      <c r="Z25" s="135">
        <v>0</v>
      </c>
      <c r="AA25" s="135">
        <v>172.21289057197899</v>
      </c>
      <c r="AB25" s="135">
        <v>0</v>
      </c>
      <c r="AC25" s="135">
        <v>0</v>
      </c>
      <c r="AD25" s="135">
        <v>20.1484871990749</v>
      </c>
      <c r="AE25" s="135">
        <v>0</v>
      </c>
      <c r="AF25" s="135">
        <v>0.72505862168323898</v>
      </c>
      <c r="AG25" s="135">
        <v>0.30089576846341598</v>
      </c>
      <c r="AH25" s="135">
        <v>8.6603744929376596</v>
      </c>
      <c r="AI25" s="135">
        <v>0</v>
      </c>
      <c r="AJ25" s="135">
        <v>2.9404387567196899</v>
      </c>
      <c r="AK25" s="135">
        <v>0</v>
      </c>
      <c r="AL25" s="135">
        <v>0</v>
      </c>
      <c r="AM25" s="135">
        <v>276.14808377334703</v>
      </c>
      <c r="AN25" s="135">
        <v>0</v>
      </c>
      <c r="AO25" s="135">
        <v>0</v>
      </c>
      <c r="AP25" s="135">
        <v>0</v>
      </c>
      <c r="AQ25" s="135">
        <v>0</v>
      </c>
      <c r="AR25" s="136">
        <v>0</v>
      </c>
    </row>
    <row r="26" spans="2:44" ht="12" customHeight="1" x14ac:dyDescent="0.25">
      <c r="B26" s="134" t="s">
        <v>22</v>
      </c>
      <c r="C26" s="135" t="s">
        <v>23</v>
      </c>
      <c r="D26" s="135" t="s">
        <v>24</v>
      </c>
      <c r="E26" s="135" t="s">
        <v>24</v>
      </c>
      <c r="F26" s="135" t="s">
        <v>25</v>
      </c>
      <c r="G26" s="135" t="s">
        <v>25</v>
      </c>
      <c r="H26" s="135" t="s">
        <v>78</v>
      </c>
      <c r="I26" s="135" t="s">
        <v>25</v>
      </c>
      <c r="J26" s="135">
        <v>365.15</v>
      </c>
      <c r="K26" s="135">
        <v>287.75</v>
      </c>
      <c r="L26" s="135">
        <v>7.0750834732075099</v>
      </c>
      <c r="M26" s="135">
        <v>0.88690239679001703</v>
      </c>
      <c r="N26" s="135">
        <v>2.2474490941096099</v>
      </c>
      <c r="O26" s="135">
        <v>0</v>
      </c>
      <c r="P26" s="135">
        <v>0</v>
      </c>
      <c r="Q26" s="135">
        <v>87.901432598989103</v>
      </c>
      <c r="R26" s="135">
        <v>13.8959149161587</v>
      </c>
      <c r="S26" s="135">
        <v>0</v>
      </c>
      <c r="T26" s="135">
        <v>29.990087098595598</v>
      </c>
      <c r="U26" s="135">
        <v>25.135695323737799</v>
      </c>
      <c r="V26" s="135">
        <v>4.6337348781380197</v>
      </c>
      <c r="W26" s="135">
        <v>0</v>
      </c>
      <c r="X26" s="135">
        <v>0</v>
      </c>
      <c r="Y26" s="135">
        <v>0</v>
      </c>
      <c r="Z26" s="135">
        <v>0</v>
      </c>
      <c r="AA26" s="135">
        <v>172.21289057197899</v>
      </c>
      <c r="AB26" s="135">
        <v>0</v>
      </c>
      <c r="AC26" s="135">
        <v>0</v>
      </c>
      <c r="AD26" s="135">
        <v>20.1484871990749</v>
      </c>
      <c r="AE26" s="135">
        <v>0</v>
      </c>
      <c r="AF26" s="135">
        <v>0.72505862168323898</v>
      </c>
      <c r="AG26" s="135">
        <v>0.30089576846341598</v>
      </c>
      <c r="AH26" s="135">
        <v>8.6603744929376596</v>
      </c>
      <c r="AI26" s="135">
        <v>0</v>
      </c>
      <c r="AJ26" s="135">
        <v>2.9404387567196899</v>
      </c>
      <c r="AK26" s="135">
        <v>0</v>
      </c>
      <c r="AL26" s="135">
        <v>0</v>
      </c>
      <c r="AM26" s="135">
        <v>276.14808377334703</v>
      </c>
      <c r="AN26" s="135">
        <v>0</v>
      </c>
      <c r="AO26" s="135">
        <v>0</v>
      </c>
      <c r="AP26" s="135">
        <v>0</v>
      </c>
      <c r="AQ26" s="135">
        <v>0</v>
      </c>
      <c r="AR26" s="136">
        <v>0</v>
      </c>
    </row>
    <row r="27" spans="2:44" ht="12" customHeight="1" x14ac:dyDescent="0.25">
      <c r="B27" s="134" t="s">
        <v>22</v>
      </c>
      <c r="C27" s="135" t="s">
        <v>94</v>
      </c>
      <c r="D27" s="135" t="s">
        <v>24</v>
      </c>
      <c r="E27" s="135" t="s">
        <v>1245</v>
      </c>
      <c r="F27" s="135" t="s">
        <v>25</v>
      </c>
      <c r="G27" s="135" t="s">
        <v>25</v>
      </c>
      <c r="H27" s="135" t="s">
        <v>78</v>
      </c>
      <c r="I27" s="135" t="s">
        <v>25</v>
      </c>
      <c r="J27" s="135">
        <v>256.27</v>
      </c>
      <c r="K27" s="135">
        <v>287.75</v>
      </c>
      <c r="L27" s="135">
        <v>0</v>
      </c>
      <c r="M27" s="135">
        <v>0.88690239679001703</v>
      </c>
      <c r="N27" s="135">
        <v>2.23856678932817</v>
      </c>
      <c r="O27" s="135">
        <v>0</v>
      </c>
      <c r="P27" s="135">
        <v>0</v>
      </c>
      <c r="Q27" s="135">
        <v>0</v>
      </c>
      <c r="R27" s="135">
        <v>0</v>
      </c>
      <c r="S27" s="135">
        <v>0</v>
      </c>
      <c r="T27" s="135">
        <v>29.990087098595598</v>
      </c>
      <c r="U27" s="135">
        <v>25.135695323737799</v>
      </c>
      <c r="V27" s="135">
        <v>4.6337348781380197</v>
      </c>
      <c r="W27" s="135">
        <v>0</v>
      </c>
      <c r="X27" s="135">
        <v>0</v>
      </c>
      <c r="Y27" s="135">
        <v>0</v>
      </c>
      <c r="Z27" s="135">
        <v>0</v>
      </c>
      <c r="AA27" s="135">
        <v>172.21289057197899</v>
      </c>
      <c r="AB27" s="135">
        <v>0</v>
      </c>
      <c r="AC27" s="135">
        <v>0</v>
      </c>
      <c r="AD27" s="135">
        <v>20.1484871990749</v>
      </c>
      <c r="AE27" s="135">
        <v>0</v>
      </c>
      <c r="AF27" s="135">
        <v>0.72505862168323898</v>
      </c>
      <c r="AG27" s="135">
        <v>0.30089576846341598</v>
      </c>
      <c r="AH27" s="135">
        <v>8.6603744929376596</v>
      </c>
      <c r="AI27" s="135">
        <v>0</v>
      </c>
      <c r="AJ27" s="135">
        <v>2.9404387567196899</v>
      </c>
      <c r="AK27" s="135">
        <v>0</v>
      </c>
      <c r="AL27" s="135">
        <v>0</v>
      </c>
      <c r="AM27" s="135">
        <v>276.14808377334703</v>
      </c>
      <c r="AN27" s="135">
        <v>0</v>
      </c>
      <c r="AO27" s="135">
        <v>0</v>
      </c>
      <c r="AP27" s="135">
        <v>0</v>
      </c>
      <c r="AQ27" s="135">
        <v>0</v>
      </c>
      <c r="AR27" s="136">
        <v>0</v>
      </c>
    </row>
    <row r="28" spans="2:44" ht="12" customHeight="1" x14ac:dyDescent="0.25">
      <c r="B28" s="134" t="s">
        <v>22</v>
      </c>
      <c r="C28" s="135" t="s">
        <v>94</v>
      </c>
      <c r="D28" s="135" t="s">
        <v>24</v>
      </c>
      <c r="E28" s="135" t="s">
        <v>24</v>
      </c>
      <c r="F28" s="135" t="s">
        <v>25</v>
      </c>
      <c r="G28" s="135" t="s">
        <v>25</v>
      </c>
      <c r="H28" s="135" t="s">
        <v>78</v>
      </c>
      <c r="I28" s="135" t="s">
        <v>25</v>
      </c>
      <c r="J28" s="135">
        <v>365.15</v>
      </c>
      <c r="K28" s="135">
        <v>287.75</v>
      </c>
      <c r="L28" s="135">
        <v>7.0750834732075099</v>
      </c>
      <c r="M28" s="135">
        <v>0.88690239679001703</v>
      </c>
      <c r="N28" s="135">
        <v>2.2474490941096099</v>
      </c>
      <c r="O28" s="135">
        <v>0</v>
      </c>
      <c r="P28" s="135">
        <v>0</v>
      </c>
      <c r="Q28" s="135">
        <v>87.901432598989103</v>
      </c>
      <c r="R28" s="135">
        <v>13.8959149161587</v>
      </c>
      <c r="S28" s="135">
        <v>0</v>
      </c>
      <c r="T28" s="135">
        <v>29.990087098595598</v>
      </c>
      <c r="U28" s="135">
        <v>25.135695323737799</v>
      </c>
      <c r="V28" s="135">
        <v>4.6337348781380197</v>
      </c>
      <c r="W28" s="135">
        <v>0</v>
      </c>
      <c r="X28" s="135">
        <v>0</v>
      </c>
      <c r="Y28" s="135">
        <v>0</v>
      </c>
      <c r="Z28" s="135">
        <v>0</v>
      </c>
      <c r="AA28" s="135">
        <v>172.21289057197899</v>
      </c>
      <c r="AB28" s="135">
        <v>0</v>
      </c>
      <c r="AC28" s="135">
        <v>0</v>
      </c>
      <c r="AD28" s="135">
        <v>20.1484871990749</v>
      </c>
      <c r="AE28" s="135">
        <v>0</v>
      </c>
      <c r="AF28" s="135">
        <v>0.72505862168323898</v>
      </c>
      <c r="AG28" s="135">
        <v>0.30089576846341598</v>
      </c>
      <c r="AH28" s="135">
        <v>8.6603744929376596</v>
      </c>
      <c r="AI28" s="135">
        <v>0</v>
      </c>
      <c r="AJ28" s="135">
        <v>2.9404387567196899</v>
      </c>
      <c r="AK28" s="135">
        <v>0</v>
      </c>
      <c r="AL28" s="135">
        <v>0</v>
      </c>
      <c r="AM28" s="135">
        <v>276.14808377334703</v>
      </c>
      <c r="AN28" s="135">
        <v>0</v>
      </c>
      <c r="AO28" s="135">
        <v>0</v>
      </c>
      <c r="AP28" s="135">
        <v>0</v>
      </c>
      <c r="AQ28" s="135">
        <v>0</v>
      </c>
      <c r="AR28" s="136">
        <v>0</v>
      </c>
    </row>
    <row r="29" spans="2:44" ht="12" customHeight="1" x14ac:dyDescent="0.25">
      <c r="B29" s="134" t="s">
        <v>42</v>
      </c>
      <c r="C29" s="135" t="s">
        <v>32</v>
      </c>
      <c r="D29" s="135" t="s">
        <v>43</v>
      </c>
      <c r="E29" s="135" t="s">
        <v>95</v>
      </c>
      <c r="F29" s="135" t="s">
        <v>25</v>
      </c>
      <c r="G29" s="135" t="s">
        <v>33</v>
      </c>
      <c r="H29" s="135" t="s">
        <v>78</v>
      </c>
      <c r="I29" s="135" t="s">
        <v>25</v>
      </c>
      <c r="J29" s="135">
        <v>848.8</v>
      </c>
      <c r="K29" s="135">
        <v>432.11</v>
      </c>
      <c r="L29" s="135">
        <v>6.6505784648150597</v>
      </c>
      <c r="M29" s="135">
        <v>0.83368825298261595</v>
      </c>
      <c r="N29" s="135">
        <v>6.1395066184062301</v>
      </c>
      <c r="O29" s="135">
        <v>0</v>
      </c>
      <c r="P29" s="135">
        <v>0</v>
      </c>
      <c r="Q29" s="135">
        <v>82.627346643049805</v>
      </c>
      <c r="R29" s="135">
        <v>13.0621600211892</v>
      </c>
      <c r="S29" s="135">
        <v>0</v>
      </c>
      <c r="T29" s="135">
        <v>93.029471242052594</v>
      </c>
      <c r="U29" s="135">
        <v>77.970973626254803</v>
      </c>
      <c r="V29" s="135">
        <v>14.373788345281399</v>
      </c>
      <c r="W29" s="135">
        <v>0</v>
      </c>
      <c r="X29" s="135">
        <v>0</v>
      </c>
      <c r="Y29" s="135">
        <v>0</v>
      </c>
      <c r="Z29" s="135">
        <v>0</v>
      </c>
      <c r="AA29" s="135">
        <v>534.20429108301698</v>
      </c>
      <c r="AB29" s="135">
        <v>0</v>
      </c>
      <c r="AC29" s="135">
        <v>0</v>
      </c>
      <c r="AD29" s="135">
        <v>18.939577967130401</v>
      </c>
      <c r="AE29" s="135">
        <v>0</v>
      </c>
      <c r="AF29" s="135">
        <v>0.68155510438224398</v>
      </c>
      <c r="AG29" s="135">
        <v>0.28284202235561101</v>
      </c>
      <c r="AH29" s="135">
        <v>8.1407520233614008</v>
      </c>
      <c r="AI29" s="135">
        <v>0</v>
      </c>
      <c r="AJ29" s="135">
        <v>2.7640124313165102</v>
      </c>
      <c r="AK29" s="135">
        <v>0</v>
      </c>
      <c r="AL29" s="135">
        <v>0</v>
      </c>
      <c r="AM29" s="135">
        <v>421.203982872403</v>
      </c>
      <c r="AN29" s="135">
        <v>0</v>
      </c>
      <c r="AO29" s="135">
        <v>0</v>
      </c>
      <c r="AP29" s="135">
        <v>0</v>
      </c>
      <c r="AQ29" s="135">
        <v>0</v>
      </c>
      <c r="AR29" s="136">
        <v>0</v>
      </c>
    </row>
    <row r="30" spans="2:44" ht="12" customHeight="1" x14ac:dyDescent="0.25">
      <c r="B30" s="134" t="s">
        <v>42</v>
      </c>
      <c r="C30" s="135" t="s">
        <v>32</v>
      </c>
      <c r="D30" s="135" t="s">
        <v>43</v>
      </c>
      <c r="E30" s="135" t="s">
        <v>95</v>
      </c>
      <c r="F30" s="135" t="s">
        <v>25</v>
      </c>
      <c r="G30" s="135" t="s">
        <v>35</v>
      </c>
      <c r="H30" s="135" t="s">
        <v>78</v>
      </c>
      <c r="I30" s="135" t="s">
        <v>25</v>
      </c>
      <c r="J30" s="135">
        <v>413.58</v>
      </c>
      <c r="K30" s="135">
        <v>255.79</v>
      </c>
      <c r="L30" s="135">
        <v>6.6505784648150597</v>
      </c>
      <c r="M30" s="135">
        <v>0.83368825298261595</v>
      </c>
      <c r="N30" s="135">
        <v>2.67286718353713</v>
      </c>
      <c r="O30" s="135">
        <v>0</v>
      </c>
      <c r="P30" s="135">
        <v>0</v>
      </c>
      <c r="Q30" s="135">
        <v>82.627346643049805</v>
      </c>
      <c r="R30" s="135">
        <v>13.0621600211892</v>
      </c>
      <c r="S30" s="135">
        <v>0</v>
      </c>
      <c r="T30" s="135">
        <v>37.211816129597103</v>
      </c>
      <c r="U30" s="135">
        <v>31.188327141141698</v>
      </c>
      <c r="V30" s="135">
        <v>5.7495725848152697</v>
      </c>
      <c r="W30" s="135">
        <v>0</v>
      </c>
      <c r="X30" s="135">
        <v>0</v>
      </c>
      <c r="Y30" s="135">
        <v>0</v>
      </c>
      <c r="Z30" s="135">
        <v>0</v>
      </c>
      <c r="AA30" s="135">
        <v>213.681678244702</v>
      </c>
      <c r="AB30" s="135">
        <v>0</v>
      </c>
      <c r="AC30" s="135">
        <v>0</v>
      </c>
      <c r="AD30" s="135">
        <v>18.939577967130401</v>
      </c>
      <c r="AE30" s="135">
        <v>0</v>
      </c>
      <c r="AF30" s="135">
        <v>0.68155510438224398</v>
      </c>
      <c r="AG30" s="135">
        <v>0.28284202235561101</v>
      </c>
      <c r="AH30" s="135">
        <v>8.1407520233614008</v>
      </c>
      <c r="AI30" s="135">
        <v>0</v>
      </c>
      <c r="AJ30" s="135">
        <v>2.7640124313165102</v>
      </c>
      <c r="AK30" s="135">
        <v>0</v>
      </c>
      <c r="AL30" s="135">
        <v>0</v>
      </c>
      <c r="AM30" s="135">
        <v>244.88603655372299</v>
      </c>
      <c r="AN30" s="135">
        <v>0</v>
      </c>
      <c r="AO30" s="135">
        <v>0</v>
      </c>
      <c r="AP30" s="135">
        <v>0</v>
      </c>
      <c r="AQ30" s="135">
        <v>0</v>
      </c>
      <c r="AR30" s="136">
        <v>0</v>
      </c>
    </row>
    <row r="31" spans="2:44" ht="12" customHeight="1" x14ac:dyDescent="0.25">
      <c r="B31" s="134" t="s">
        <v>42</v>
      </c>
      <c r="C31" s="135" t="s">
        <v>32</v>
      </c>
      <c r="D31" s="135" t="s">
        <v>43</v>
      </c>
      <c r="E31" s="135" t="s">
        <v>95</v>
      </c>
      <c r="F31" s="135" t="s">
        <v>25</v>
      </c>
      <c r="G31" s="135" t="s">
        <v>34</v>
      </c>
      <c r="H31" s="135" t="s">
        <v>78</v>
      </c>
      <c r="I31" s="135" t="s">
        <v>25</v>
      </c>
      <c r="J31" s="135">
        <v>268.51</v>
      </c>
      <c r="K31" s="135">
        <v>255.79</v>
      </c>
      <c r="L31" s="135">
        <v>6.6505784648150597</v>
      </c>
      <c r="M31" s="135">
        <v>0.83368825298261595</v>
      </c>
      <c r="N31" s="135">
        <v>1.51731987031078</v>
      </c>
      <c r="O31" s="135">
        <v>0</v>
      </c>
      <c r="P31" s="135">
        <v>0</v>
      </c>
      <c r="Q31" s="135">
        <v>82.627346643049805</v>
      </c>
      <c r="R31" s="135">
        <v>13.0621600211892</v>
      </c>
      <c r="S31" s="135">
        <v>0</v>
      </c>
      <c r="T31" s="135">
        <v>18.605838982858302</v>
      </c>
      <c r="U31" s="135">
        <v>15.594163570570901</v>
      </c>
      <c r="V31" s="135">
        <v>2.8747385868220601</v>
      </c>
      <c r="W31" s="135">
        <v>0</v>
      </c>
      <c r="X31" s="135">
        <v>0</v>
      </c>
      <c r="Y31" s="135">
        <v>0</v>
      </c>
      <c r="Z31" s="135">
        <v>0</v>
      </c>
      <c r="AA31" s="135">
        <v>106.840839122351</v>
      </c>
      <c r="AB31" s="135">
        <v>0</v>
      </c>
      <c r="AC31" s="135">
        <v>0</v>
      </c>
      <c r="AD31" s="135">
        <v>18.939577967130401</v>
      </c>
      <c r="AE31" s="135">
        <v>0</v>
      </c>
      <c r="AF31" s="135">
        <v>0.68155510438224398</v>
      </c>
      <c r="AG31" s="135">
        <v>0.28284202235561101</v>
      </c>
      <c r="AH31" s="135">
        <v>8.1407520233614008</v>
      </c>
      <c r="AI31" s="135">
        <v>0</v>
      </c>
      <c r="AJ31" s="135">
        <v>2.7640124313165102</v>
      </c>
      <c r="AK31" s="135">
        <v>0</v>
      </c>
      <c r="AL31" s="135">
        <v>0</v>
      </c>
      <c r="AM31" s="135">
        <v>244.88603655372299</v>
      </c>
      <c r="AN31" s="135">
        <v>0</v>
      </c>
      <c r="AO31" s="135">
        <v>0</v>
      </c>
      <c r="AP31" s="135">
        <v>0</v>
      </c>
      <c r="AQ31" s="135">
        <v>0</v>
      </c>
      <c r="AR31" s="136">
        <v>0</v>
      </c>
    </row>
    <row r="32" spans="2:44" ht="12" customHeight="1" x14ac:dyDescent="0.25">
      <c r="B32" s="134" t="s">
        <v>42</v>
      </c>
      <c r="C32" s="135" t="s">
        <v>32</v>
      </c>
      <c r="D32" s="135" t="s">
        <v>43</v>
      </c>
      <c r="E32" s="135" t="s">
        <v>25</v>
      </c>
      <c r="F32" s="135" t="s">
        <v>25</v>
      </c>
      <c r="G32" s="135" t="s">
        <v>33</v>
      </c>
      <c r="H32" s="135" t="s">
        <v>78</v>
      </c>
      <c r="I32" s="135" t="s">
        <v>25</v>
      </c>
      <c r="J32" s="135">
        <v>848.8</v>
      </c>
      <c r="K32" s="135">
        <v>432.11</v>
      </c>
      <c r="L32" s="135">
        <v>6.6505784648150597</v>
      </c>
      <c r="M32" s="135">
        <v>0.83368825298261595</v>
      </c>
      <c r="N32" s="135">
        <v>6.1395066184062301</v>
      </c>
      <c r="O32" s="135">
        <v>0</v>
      </c>
      <c r="P32" s="135">
        <v>0</v>
      </c>
      <c r="Q32" s="135">
        <v>82.627346643049805</v>
      </c>
      <c r="R32" s="135">
        <v>13.0621600211892</v>
      </c>
      <c r="S32" s="135">
        <v>0</v>
      </c>
      <c r="T32" s="135">
        <v>93.029471242052594</v>
      </c>
      <c r="U32" s="135">
        <v>77.970973626254803</v>
      </c>
      <c r="V32" s="135">
        <v>14.373788345281399</v>
      </c>
      <c r="W32" s="135">
        <v>0</v>
      </c>
      <c r="X32" s="135">
        <v>0</v>
      </c>
      <c r="Y32" s="135">
        <v>0</v>
      </c>
      <c r="Z32" s="135">
        <v>0</v>
      </c>
      <c r="AA32" s="135">
        <v>534.20429108301698</v>
      </c>
      <c r="AB32" s="135">
        <v>0</v>
      </c>
      <c r="AC32" s="135">
        <v>0</v>
      </c>
      <c r="AD32" s="135">
        <v>18.939577967130401</v>
      </c>
      <c r="AE32" s="135">
        <v>0</v>
      </c>
      <c r="AF32" s="135">
        <v>0.68155510438224398</v>
      </c>
      <c r="AG32" s="135">
        <v>0.28284202235561101</v>
      </c>
      <c r="AH32" s="135">
        <v>8.1407520233614008</v>
      </c>
      <c r="AI32" s="135">
        <v>0</v>
      </c>
      <c r="AJ32" s="135">
        <v>2.7640124313165102</v>
      </c>
      <c r="AK32" s="135">
        <v>0</v>
      </c>
      <c r="AL32" s="135">
        <v>0</v>
      </c>
      <c r="AM32" s="135">
        <v>421.203982872403</v>
      </c>
      <c r="AN32" s="135">
        <v>0</v>
      </c>
      <c r="AO32" s="135">
        <v>0</v>
      </c>
      <c r="AP32" s="135">
        <v>0</v>
      </c>
      <c r="AQ32" s="135">
        <v>0</v>
      </c>
      <c r="AR32" s="136">
        <v>0</v>
      </c>
    </row>
    <row r="33" spans="2:44" ht="12" customHeight="1" x14ac:dyDescent="0.25">
      <c r="B33" s="134" t="s">
        <v>42</v>
      </c>
      <c r="C33" s="135" t="s">
        <v>32</v>
      </c>
      <c r="D33" s="135" t="s">
        <v>43</v>
      </c>
      <c r="E33" s="135" t="s">
        <v>25</v>
      </c>
      <c r="F33" s="135" t="s">
        <v>25</v>
      </c>
      <c r="G33" s="135" t="s">
        <v>35</v>
      </c>
      <c r="H33" s="135" t="s">
        <v>78</v>
      </c>
      <c r="I33" s="135" t="s">
        <v>25</v>
      </c>
      <c r="J33" s="135">
        <v>413.58</v>
      </c>
      <c r="K33" s="135">
        <v>255.79</v>
      </c>
      <c r="L33" s="135">
        <v>6.6505784648150597</v>
      </c>
      <c r="M33" s="135">
        <v>0.83368825298261595</v>
      </c>
      <c r="N33" s="135">
        <v>2.67286718353713</v>
      </c>
      <c r="O33" s="135">
        <v>0</v>
      </c>
      <c r="P33" s="135">
        <v>0</v>
      </c>
      <c r="Q33" s="135">
        <v>82.627346643049805</v>
      </c>
      <c r="R33" s="135">
        <v>13.0621600211892</v>
      </c>
      <c r="S33" s="135">
        <v>0</v>
      </c>
      <c r="T33" s="135">
        <v>37.211816129597103</v>
      </c>
      <c r="U33" s="135">
        <v>31.188327141141698</v>
      </c>
      <c r="V33" s="135">
        <v>5.7495725848152697</v>
      </c>
      <c r="W33" s="135">
        <v>0</v>
      </c>
      <c r="X33" s="135">
        <v>0</v>
      </c>
      <c r="Y33" s="135">
        <v>0</v>
      </c>
      <c r="Z33" s="135">
        <v>0</v>
      </c>
      <c r="AA33" s="135">
        <v>213.681678244702</v>
      </c>
      <c r="AB33" s="135">
        <v>0</v>
      </c>
      <c r="AC33" s="135">
        <v>0</v>
      </c>
      <c r="AD33" s="135">
        <v>18.939577967130401</v>
      </c>
      <c r="AE33" s="135">
        <v>0</v>
      </c>
      <c r="AF33" s="135">
        <v>0.68155510438224398</v>
      </c>
      <c r="AG33" s="135">
        <v>0.28284202235561101</v>
      </c>
      <c r="AH33" s="135">
        <v>8.1407520233614008</v>
      </c>
      <c r="AI33" s="135">
        <v>0</v>
      </c>
      <c r="AJ33" s="135">
        <v>2.7640124313165102</v>
      </c>
      <c r="AK33" s="135">
        <v>0</v>
      </c>
      <c r="AL33" s="135">
        <v>0</v>
      </c>
      <c r="AM33" s="135">
        <v>244.88603655372299</v>
      </c>
      <c r="AN33" s="135">
        <v>0</v>
      </c>
      <c r="AO33" s="135">
        <v>0</v>
      </c>
      <c r="AP33" s="135">
        <v>0</v>
      </c>
      <c r="AQ33" s="135">
        <v>0</v>
      </c>
      <c r="AR33" s="136">
        <v>0</v>
      </c>
    </row>
    <row r="34" spans="2:44" ht="12" customHeight="1" x14ac:dyDescent="0.25">
      <c r="B34" s="134" t="s">
        <v>42</v>
      </c>
      <c r="C34" s="135" t="s">
        <v>32</v>
      </c>
      <c r="D34" s="135" t="s">
        <v>43</v>
      </c>
      <c r="E34" s="135" t="s">
        <v>25</v>
      </c>
      <c r="F34" s="135" t="s">
        <v>25</v>
      </c>
      <c r="G34" s="135" t="s">
        <v>34</v>
      </c>
      <c r="H34" s="135" t="s">
        <v>78</v>
      </c>
      <c r="I34" s="135" t="s">
        <v>25</v>
      </c>
      <c r="J34" s="135">
        <v>268.51</v>
      </c>
      <c r="K34" s="135">
        <v>255.79</v>
      </c>
      <c r="L34" s="135">
        <v>6.6505784648150597</v>
      </c>
      <c r="M34" s="135">
        <v>0.83368825298261595</v>
      </c>
      <c r="N34" s="135">
        <v>1.51731987031078</v>
      </c>
      <c r="O34" s="135">
        <v>0</v>
      </c>
      <c r="P34" s="135">
        <v>0</v>
      </c>
      <c r="Q34" s="135">
        <v>82.627346643049805</v>
      </c>
      <c r="R34" s="135">
        <v>13.0621600211892</v>
      </c>
      <c r="S34" s="135">
        <v>0</v>
      </c>
      <c r="T34" s="135">
        <v>18.605838982858302</v>
      </c>
      <c r="U34" s="135">
        <v>15.594163570570901</v>
      </c>
      <c r="V34" s="135">
        <v>2.8747385868220601</v>
      </c>
      <c r="W34" s="135">
        <v>0</v>
      </c>
      <c r="X34" s="135">
        <v>0</v>
      </c>
      <c r="Y34" s="135">
        <v>0</v>
      </c>
      <c r="Z34" s="135">
        <v>0</v>
      </c>
      <c r="AA34" s="135">
        <v>106.840839122351</v>
      </c>
      <c r="AB34" s="135">
        <v>0</v>
      </c>
      <c r="AC34" s="135">
        <v>0</v>
      </c>
      <c r="AD34" s="135">
        <v>18.939577967130401</v>
      </c>
      <c r="AE34" s="135">
        <v>0</v>
      </c>
      <c r="AF34" s="135">
        <v>0.68155510438224398</v>
      </c>
      <c r="AG34" s="135">
        <v>0.28284202235561101</v>
      </c>
      <c r="AH34" s="135">
        <v>8.1407520233614008</v>
      </c>
      <c r="AI34" s="135">
        <v>0</v>
      </c>
      <c r="AJ34" s="135">
        <v>2.7640124313165102</v>
      </c>
      <c r="AK34" s="135">
        <v>0</v>
      </c>
      <c r="AL34" s="135">
        <v>0</v>
      </c>
      <c r="AM34" s="135">
        <v>244.88603655372299</v>
      </c>
      <c r="AN34" s="135">
        <v>0</v>
      </c>
      <c r="AO34" s="135">
        <v>0</v>
      </c>
      <c r="AP34" s="135">
        <v>0</v>
      </c>
      <c r="AQ34" s="135">
        <v>0</v>
      </c>
      <c r="AR34" s="136">
        <v>0</v>
      </c>
    </row>
    <row r="35" spans="2:44" ht="12" customHeight="1" x14ac:dyDescent="0.25">
      <c r="B35" s="134" t="s">
        <v>42</v>
      </c>
      <c r="C35" s="135" t="s">
        <v>32</v>
      </c>
      <c r="D35" s="135" t="s">
        <v>43</v>
      </c>
      <c r="E35" s="135" t="s">
        <v>96</v>
      </c>
      <c r="F35" s="135" t="s">
        <v>25</v>
      </c>
      <c r="G35" s="135" t="s">
        <v>33</v>
      </c>
      <c r="H35" s="135" t="s">
        <v>78</v>
      </c>
      <c r="I35" s="135" t="s">
        <v>25</v>
      </c>
      <c r="J35" s="135">
        <v>830.74</v>
      </c>
      <c r="K35" s="135">
        <v>422.91</v>
      </c>
      <c r="L35" s="135">
        <v>6.5090767953509099</v>
      </c>
      <c r="M35" s="135">
        <v>0.81595020504681604</v>
      </c>
      <c r="N35" s="135">
        <v>6.0088788180146002</v>
      </c>
      <c r="O35" s="135">
        <v>0</v>
      </c>
      <c r="P35" s="135">
        <v>0</v>
      </c>
      <c r="Q35" s="135">
        <v>80.869317991070005</v>
      </c>
      <c r="R35" s="135">
        <v>12.784241722866</v>
      </c>
      <c r="S35" s="135">
        <v>0</v>
      </c>
      <c r="T35" s="135">
        <v>91.050120790093999</v>
      </c>
      <c r="U35" s="135">
        <v>76.312016740589797</v>
      </c>
      <c r="V35" s="135">
        <v>14.067963061339301</v>
      </c>
      <c r="W35" s="135">
        <v>0</v>
      </c>
      <c r="X35" s="135">
        <v>0</v>
      </c>
      <c r="Y35" s="135">
        <v>0</v>
      </c>
      <c r="Z35" s="135">
        <v>0</v>
      </c>
      <c r="AA35" s="135">
        <v>522.83824233657003</v>
      </c>
      <c r="AB35" s="135">
        <v>0</v>
      </c>
      <c r="AC35" s="135">
        <v>0</v>
      </c>
      <c r="AD35" s="135">
        <v>18.5366082231489</v>
      </c>
      <c r="AE35" s="135">
        <v>0</v>
      </c>
      <c r="AF35" s="135">
        <v>0.66705393194857998</v>
      </c>
      <c r="AG35" s="135">
        <v>0.27682410698634302</v>
      </c>
      <c r="AH35" s="135">
        <v>7.9675445335026502</v>
      </c>
      <c r="AI35" s="135">
        <v>0</v>
      </c>
      <c r="AJ35" s="135">
        <v>2.70520365618211</v>
      </c>
      <c r="AK35" s="135">
        <v>0</v>
      </c>
      <c r="AL35" s="135">
        <v>0</v>
      </c>
      <c r="AM35" s="135">
        <v>412.24219600277797</v>
      </c>
      <c r="AN35" s="135">
        <v>0</v>
      </c>
      <c r="AO35" s="135">
        <v>0</v>
      </c>
      <c r="AP35" s="135">
        <v>0</v>
      </c>
      <c r="AQ35" s="135">
        <v>0</v>
      </c>
      <c r="AR35" s="136">
        <v>0</v>
      </c>
    </row>
    <row r="36" spans="2:44" ht="12" customHeight="1" x14ac:dyDescent="0.25">
      <c r="B36" s="134" t="s">
        <v>42</v>
      </c>
      <c r="C36" s="135" t="s">
        <v>32</v>
      </c>
      <c r="D36" s="135" t="s">
        <v>43</v>
      </c>
      <c r="E36" s="135" t="s">
        <v>96</v>
      </c>
      <c r="F36" s="135" t="s">
        <v>25</v>
      </c>
      <c r="G36" s="135" t="s">
        <v>35</v>
      </c>
      <c r="H36" s="135" t="s">
        <v>78</v>
      </c>
      <c r="I36" s="135" t="s">
        <v>25</v>
      </c>
      <c r="J36" s="135">
        <v>404.78</v>
      </c>
      <c r="K36" s="135">
        <v>250.35</v>
      </c>
      <c r="L36" s="135">
        <v>6.5090767953509099</v>
      </c>
      <c r="M36" s="135">
        <v>0.81595020504681604</v>
      </c>
      <c r="N36" s="135">
        <v>2.6159976689937801</v>
      </c>
      <c r="O36" s="135">
        <v>0</v>
      </c>
      <c r="P36" s="135">
        <v>0</v>
      </c>
      <c r="Q36" s="135">
        <v>80.869317991070005</v>
      </c>
      <c r="R36" s="135">
        <v>12.784241722866</v>
      </c>
      <c r="S36" s="135">
        <v>0</v>
      </c>
      <c r="T36" s="135">
        <v>36.420075360882301</v>
      </c>
      <c r="U36" s="135">
        <v>30.524745712606801</v>
      </c>
      <c r="V36" s="135">
        <v>5.6272412532234499</v>
      </c>
      <c r="W36" s="135">
        <v>0</v>
      </c>
      <c r="X36" s="135">
        <v>0</v>
      </c>
      <c r="Y36" s="135">
        <v>0</v>
      </c>
      <c r="Z36" s="135">
        <v>0</v>
      </c>
      <c r="AA36" s="135">
        <v>209.13525955864401</v>
      </c>
      <c r="AB36" s="135">
        <v>0</v>
      </c>
      <c r="AC36" s="135">
        <v>0</v>
      </c>
      <c r="AD36" s="135">
        <v>18.5366082231489</v>
      </c>
      <c r="AE36" s="135">
        <v>0</v>
      </c>
      <c r="AF36" s="135">
        <v>0.66705393194857998</v>
      </c>
      <c r="AG36" s="135">
        <v>0.27682410698634302</v>
      </c>
      <c r="AH36" s="135">
        <v>7.9675445335026502</v>
      </c>
      <c r="AI36" s="135">
        <v>0</v>
      </c>
      <c r="AJ36" s="135">
        <v>2.70520365618211</v>
      </c>
      <c r="AK36" s="135">
        <v>0</v>
      </c>
      <c r="AL36" s="135">
        <v>0</v>
      </c>
      <c r="AM36" s="135">
        <v>239.675695350452</v>
      </c>
      <c r="AN36" s="135">
        <v>0</v>
      </c>
      <c r="AO36" s="135">
        <v>0</v>
      </c>
      <c r="AP36" s="135">
        <v>0</v>
      </c>
      <c r="AQ36" s="135">
        <v>0</v>
      </c>
      <c r="AR36" s="136">
        <v>0</v>
      </c>
    </row>
    <row r="37" spans="2:44" ht="12" customHeight="1" x14ac:dyDescent="0.25">
      <c r="B37" s="134" t="s">
        <v>42</v>
      </c>
      <c r="C37" s="135" t="s">
        <v>32</v>
      </c>
      <c r="D37" s="135" t="s">
        <v>43</v>
      </c>
      <c r="E37" s="135" t="s">
        <v>96</v>
      </c>
      <c r="F37" s="135" t="s">
        <v>25</v>
      </c>
      <c r="G37" s="135" t="s">
        <v>34</v>
      </c>
      <c r="H37" s="135" t="s">
        <v>78</v>
      </c>
      <c r="I37" s="135" t="s">
        <v>25</v>
      </c>
      <c r="J37" s="135">
        <v>262.8</v>
      </c>
      <c r="K37" s="135">
        <v>250.35</v>
      </c>
      <c r="L37" s="135">
        <v>6.5090767953509099</v>
      </c>
      <c r="M37" s="135">
        <v>0.81595020504681604</v>
      </c>
      <c r="N37" s="135">
        <v>1.4850364688147999</v>
      </c>
      <c r="O37" s="135">
        <v>0</v>
      </c>
      <c r="P37" s="135">
        <v>0</v>
      </c>
      <c r="Q37" s="135">
        <v>80.869317991070005</v>
      </c>
      <c r="R37" s="135">
        <v>12.784241722866</v>
      </c>
      <c r="S37" s="135">
        <v>0</v>
      </c>
      <c r="T37" s="135">
        <v>18.209970068329401</v>
      </c>
      <c r="U37" s="135">
        <v>15.262372856303401</v>
      </c>
      <c r="V37" s="135">
        <v>2.8135739360386101</v>
      </c>
      <c r="W37" s="135">
        <v>0</v>
      </c>
      <c r="X37" s="135">
        <v>0</v>
      </c>
      <c r="Y37" s="135">
        <v>0</v>
      </c>
      <c r="Z37" s="135">
        <v>0</v>
      </c>
      <c r="AA37" s="135">
        <v>104.567629779322</v>
      </c>
      <c r="AB37" s="135">
        <v>0</v>
      </c>
      <c r="AC37" s="135">
        <v>0</v>
      </c>
      <c r="AD37" s="135">
        <v>18.5366082231489</v>
      </c>
      <c r="AE37" s="135">
        <v>0</v>
      </c>
      <c r="AF37" s="135">
        <v>0.66705393194857998</v>
      </c>
      <c r="AG37" s="135">
        <v>0.27682410698634302</v>
      </c>
      <c r="AH37" s="135">
        <v>7.9675445335026502</v>
      </c>
      <c r="AI37" s="135">
        <v>0</v>
      </c>
      <c r="AJ37" s="135">
        <v>2.70520365618211</v>
      </c>
      <c r="AK37" s="135">
        <v>0</v>
      </c>
      <c r="AL37" s="135">
        <v>0</v>
      </c>
      <c r="AM37" s="135">
        <v>239.675695350452</v>
      </c>
      <c r="AN37" s="135">
        <v>0</v>
      </c>
      <c r="AO37" s="135">
        <v>0</v>
      </c>
      <c r="AP37" s="135">
        <v>0</v>
      </c>
      <c r="AQ37" s="135">
        <v>0</v>
      </c>
      <c r="AR37" s="136">
        <v>0</v>
      </c>
    </row>
    <row r="38" spans="2:44" ht="12" customHeight="1" x14ac:dyDescent="0.25">
      <c r="B38" s="134" t="s">
        <v>42</v>
      </c>
      <c r="C38" s="135" t="s">
        <v>23</v>
      </c>
      <c r="D38" s="135" t="s">
        <v>43</v>
      </c>
      <c r="E38" s="135" t="s">
        <v>95</v>
      </c>
      <c r="F38" s="135" t="s">
        <v>25</v>
      </c>
      <c r="G38" s="135" t="s">
        <v>25</v>
      </c>
      <c r="H38" s="135" t="s">
        <v>78</v>
      </c>
      <c r="I38" s="135" t="s">
        <v>25</v>
      </c>
      <c r="J38" s="135">
        <v>343.24</v>
      </c>
      <c r="K38" s="135">
        <v>270.48</v>
      </c>
      <c r="L38" s="135">
        <v>6.6505784648150597</v>
      </c>
      <c r="M38" s="135">
        <v>0.83368825298261595</v>
      </c>
      <c r="N38" s="135">
        <v>2.1126021484630302</v>
      </c>
      <c r="O38" s="135">
        <v>0</v>
      </c>
      <c r="P38" s="135">
        <v>0</v>
      </c>
      <c r="Q38" s="135">
        <v>82.627346643049805</v>
      </c>
      <c r="R38" s="135">
        <v>13.0621600211892</v>
      </c>
      <c r="S38" s="135">
        <v>0</v>
      </c>
      <c r="T38" s="135">
        <v>28.1906818726799</v>
      </c>
      <c r="U38" s="135">
        <v>23.627553604313501</v>
      </c>
      <c r="V38" s="135">
        <v>4.3557107854497401</v>
      </c>
      <c r="W38" s="135">
        <v>0</v>
      </c>
      <c r="X38" s="135">
        <v>0</v>
      </c>
      <c r="Y38" s="135">
        <v>0</v>
      </c>
      <c r="Z38" s="135">
        <v>0</v>
      </c>
      <c r="AA38" s="135">
        <v>161.88011713765999</v>
      </c>
      <c r="AB38" s="135">
        <v>0</v>
      </c>
      <c r="AC38" s="135">
        <v>0</v>
      </c>
      <c r="AD38" s="135">
        <v>18.939577967130401</v>
      </c>
      <c r="AE38" s="135">
        <v>0</v>
      </c>
      <c r="AF38" s="135">
        <v>0.68155510438224398</v>
      </c>
      <c r="AG38" s="135">
        <v>0.28284202235561101</v>
      </c>
      <c r="AH38" s="135">
        <v>8.1407520233614008</v>
      </c>
      <c r="AI38" s="135">
        <v>0</v>
      </c>
      <c r="AJ38" s="135">
        <v>2.7640124313165102</v>
      </c>
      <c r="AK38" s="135">
        <v>0</v>
      </c>
      <c r="AL38" s="135">
        <v>0</v>
      </c>
      <c r="AM38" s="135">
        <v>259.57919874694602</v>
      </c>
      <c r="AN38" s="135">
        <v>0</v>
      </c>
      <c r="AO38" s="135">
        <v>0</v>
      </c>
      <c r="AP38" s="135">
        <v>0</v>
      </c>
      <c r="AQ38" s="135">
        <v>0</v>
      </c>
      <c r="AR38" s="136">
        <v>0</v>
      </c>
    </row>
    <row r="39" spans="2:44" ht="12" customHeight="1" x14ac:dyDescent="0.25">
      <c r="B39" s="134" t="s">
        <v>42</v>
      </c>
      <c r="C39" s="135" t="s">
        <v>23</v>
      </c>
      <c r="D39" s="135" t="s">
        <v>43</v>
      </c>
      <c r="E39" s="135" t="s">
        <v>25</v>
      </c>
      <c r="F39" s="135" t="s">
        <v>25</v>
      </c>
      <c r="G39" s="135" t="s">
        <v>25</v>
      </c>
      <c r="H39" s="135" t="s">
        <v>78</v>
      </c>
      <c r="I39" s="135" t="s">
        <v>25</v>
      </c>
      <c r="J39" s="135">
        <v>343.24</v>
      </c>
      <c r="K39" s="135">
        <v>270.48</v>
      </c>
      <c r="L39" s="135">
        <v>6.6505784648150597</v>
      </c>
      <c r="M39" s="135">
        <v>0.83368825298261595</v>
      </c>
      <c r="N39" s="135">
        <v>2.1126021484630302</v>
      </c>
      <c r="O39" s="135">
        <v>0</v>
      </c>
      <c r="P39" s="135">
        <v>0</v>
      </c>
      <c r="Q39" s="135">
        <v>82.627346643049805</v>
      </c>
      <c r="R39" s="135">
        <v>13.0621600211892</v>
      </c>
      <c r="S39" s="135">
        <v>0</v>
      </c>
      <c r="T39" s="135">
        <v>28.1906818726799</v>
      </c>
      <c r="U39" s="135">
        <v>23.627553604313501</v>
      </c>
      <c r="V39" s="135">
        <v>4.3557107854497401</v>
      </c>
      <c r="W39" s="135">
        <v>0</v>
      </c>
      <c r="X39" s="135">
        <v>0</v>
      </c>
      <c r="Y39" s="135">
        <v>0</v>
      </c>
      <c r="Z39" s="135">
        <v>0</v>
      </c>
      <c r="AA39" s="135">
        <v>161.88011713765999</v>
      </c>
      <c r="AB39" s="135">
        <v>0</v>
      </c>
      <c r="AC39" s="135">
        <v>0</v>
      </c>
      <c r="AD39" s="135">
        <v>18.939577967130401</v>
      </c>
      <c r="AE39" s="135">
        <v>0</v>
      </c>
      <c r="AF39" s="135">
        <v>0.68155510438224398</v>
      </c>
      <c r="AG39" s="135">
        <v>0.28284202235561101</v>
      </c>
      <c r="AH39" s="135">
        <v>8.1407520233614008</v>
      </c>
      <c r="AI39" s="135">
        <v>0</v>
      </c>
      <c r="AJ39" s="135">
        <v>2.7640124313165102</v>
      </c>
      <c r="AK39" s="135">
        <v>0</v>
      </c>
      <c r="AL39" s="135">
        <v>0</v>
      </c>
      <c r="AM39" s="135">
        <v>259.57919874694602</v>
      </c>
      <c r="AN39" s="135">
        <v>0</v>
      </c>
      <c r="AO39" s="135">
        <v>0</v>
      </c>
      <c r="AP39" s="135">
        <v>0</v>
      </c>
      <c r="AQ39" s="135">
        <v>0</v>
      </c>
      <c r="AR39" s="136">
        <v>0</v>
      </c>
    </row>
    <row r="40" spans="2:44" ht="12" customHeight="1" x14ac:dyDescent="0.25">
      <c r="B40" s="134" t="s">
        <v>42</v>
      </c>
      <c r="C40" s="135" t="s">
        <v>23</v>
      </c>
      <c r="D40" s="135" t="s">
        <v>43</v>
      </c>
      <c r="E40" s="135" t="s">
        <v>96</v>
      </c>
      <c r="F40" s="135" t="s">
        <v>25</v>
      </c>
      <c r="G40" s="135" t="s">
        <v>25</v>
      </c>
      <c r="H40" s="135" t="s">
        <v>78</v>
      </c>
      <c r="I40" s="135" t="s">
        <v>25</v>
      </c>
      <c r="J40" s="135">
        <v>335.94</v>
      </c>
      <c r="K40" s="135">
        <v>264.73</v>
      </c>
      <c r="L40" s="135">
        <v>6.5090767953509099</v>
      </c>
      <c r="M40" s="135">
        <v>0.81595020504681604</v>
      </c>
      <c r="N40" s="135">
        <v>2.0676531665808402</v>
      </c>
      <c r="O40" s="135">
        <v>0</v>
      </c>
      <c r="P40" s="135">
        <v>0</v>
      </c>
      <c r="Q40" s="135">
        <v>80.869317991070005</v>
      </c>
      <c r="R40" s="135">
        <v>12.784241722866</v>
      </c>
      <c r="S40" s="135">
        <v>0</v>
      </c>
      <c r="T40" s="135">
        <v>27.590880130708001</v>
      </c>
      <c r="U40" s="135">
        <v>23.124839697838802</v>
      </c>
      <c r="V40" s="135">
        <v>4.26303608788698</v>
      </c>
      <c r="W40" s="135">
        <v>0</v>
      </c>
      <c r="X40" s="135">
        <v>0</v>
      </c>
      <c r="Y40" s="135">
        <v>0</v>
      </c>
      <c r="Z40" s="135">
        <v>0</v>
      </c>
      <c r="AA40" s="135">
        <v>158.43585932622099</v>
      </c>
      <c r="AB40" s="135">
        <v>0</v>
      </c>
      <c r="AC40" s="135">
        <v>0</v>
      </c>
      <c r="AD40" s="135">
        <v>18.5366082231489</v>
      </c>
      <c r="AE40" s="135">
        <v>0</v>
      </c>
      <c r="AF40" s="135">
        <v>0.66705393194857998</v>
      </c>
      <c r="AG40" s="135">
        <v>0.27682410698634302</v>
      </c>
      <c r="AH40" s="135">
        <v>7.9675445335026502</v>
      </c>
      <c r="AI40" s="135">
        <v>0</v>
      </c>
      <c r="AJ40" s="135">
        <v>2.70520365618211</v>
      </c>
      <c r="AK40" s="135">
        <v>0</v>
      </c>
      <c r="AL40" s="135">
        <v>0</v>
      </c>
      <c r="AM40" s="135">
        <v>254.05623707147899</v>
      </c>
      <c r="AN40" s="135">
        <v>0</v>
      </c>
      <c r="AO40" s="135">
        <v>0</v>
      </c>
      <c r="AP40" s="135">
        <v>0</v>
      </c>
      <c r="AQ40" s="135">
        <v>0</v>
      </c>
      <c r="AR40" s="136">
        <v>0</v>
      </c>
    </row>
    <row r="41" spans="2:44" ht="12" customHeight="1" x14ac:dyDescent="0.25">
      <c r="B41" s="134" t="s">
        <v>42</v>
      </c>
      <c r="C41" s="135" t="s">
        <v>94</v>
      </c>
      <c r="D41" s="135" t="s">
        <v>43</v>
      </c>
      <c r="E41" s="135" t="s">
        <v>95</v>
      </c>
      <c r="F41" s="135" t="s">
        <v>25</v>
      </c>
      <c r="G41" s="135" t="s">
        <v>25</v>
      </c>
      <c r="H41" s="135" t="s">
        <v>78</v>
      </c>
      <c r="I41" s="135" t="s">
        <v>25</v>
      </c>
      <c r="J41" s="135">
        <v>343.24</v>
      </c>
      <c r="K41" s="135">
        <v>270.48</v>
      </c>
      <c r="L41" s="135">
        <v>6.6505784648150597</v>
      </c>
      <c r="M41" s="135">
        <v>0.83368825298261595</v>
      </c>
      <c r="N41" s="135">
        <v>2.1126021484630302</v>
      </c>
      <c r="O41" s="135">
        <v>0</v>
      </c>
      <c r="P41" s="135">
        <v>0</v>
      </c>
      <c r="Q41" s="135">
        <v>82.627346643049805</v>
      </c>
      <c r="R41" s="135">
        <v>13.0621600211892</v>
      </c>
      <c r="S41" s="135">
        <v>0</v>
      </c>
      <c r="T41" s="135">
        <v>28.1906818726799</v>
      </c>
      <c r="U41" s="135">
        <v>23.627553604313501</v>
      </c>
      <c r="V41" s="135">
        <v>4.3557107854497401</v>
      </c>
      <c r="W41" s="135">
        <v>0</v>
      </c>
      <c r="X41" s="135">
        <v>0</v>
      </c>
      <c r="Y41" s="135">
        <v>0</v>
      </c>
      <c r="Z41" s="135">
        <v>0</v>
      </c>
      <c r="AA41" s="135">
        <v>161.88011713765999</v>
      </c>
      <c r="AB41" s="135">
        <v>0</v>
      </c>
      <c r="AC41" s="135">
        <v>0</v>
      </c>
      <c r="AD41" s="135">
        <v>18.939577967130401</v>
      </c>
      <c r="AE41" s="135">
        <v>0</v>
      </c>
      <c r="AF41" s="135">
        <v>0.68155510438224398</v>
      </c>
      <c r="AG41" s="135">
        <v>0.28284202235561101</v>
      </c>
      <c r="AH41" s="135">
        <v>8.1407520233614008</v>
      </c>
      <c r="AI41" s="135">
        <v>0</v>
      </c>
      <c r="AJ41" s="135">
        <v>2.7640124313165102</v>
      </c>
      <c r="AK41" s="135">
        <v>0</v>
      </c>
      <c r="AL41" s="135">
        <v>0</v>
      </c>
      <c r="AM41" s="135">
        <v>259.57919874694602</v>
      </c>
      <c r="AN41" s="135">
        <v>0</v>
      </c>
      <c r="AO41" s="135">
        <v>0</v>
      </c>
      <c r="AP41" s="135">
        <v>0</v>
      </c>
      <c r="AQ41" s="135">
        <v>0</v>
      </c>
      <c r="AR41" s="136">
        <v>0</v>
      </c>
    </row>
    <row r="42" spans="2:44" ht="12" customHeight="1" x14ac:dyDescent="0.25">
      <c r="B42" s="134" t="s">
        <v>42</v>
      </c>
      <c r="C42" s="135" t="s">
        <v>94</v>
      </c>
      <c r="D42" s="135" t="s">
        <v>43</v>
      </c>
      <c r="E42" s="135" t="s">
        <v>25</v>
      </c>
      <c r="F42" s="135" t="s">
        <v>25</v>
      </c>
      <c r="G42" s="135" t="s">
        <v>25</v>
      </c>
      <c r="H42" s="135" t="s">
        <v>78</v>
      </c>
      <c r="I42" s="135" t="s">
        <v>25</v>
      </c>
      <c r="J42" s="135">
        <v>343.24</v>
      </c>
      <c r="K42" s="135">
        <v>270.48</v>
      </c>
      <c r="L42" s="135">
        <v>6.6505784648150597</v>
      </c>
      <c r="M42" s="135">
        <v>0.83368825298261595</v>
      </c>
      <c r="N42" s="135">
        <v>2.1126021484630302</v>
      </c>
      <c r="O42" s="135">
        <v>0</v>
      </c>
      <c r="P42" s="135">
        <v>0</v>
      </c>
      <c r="Q42" s="135">
        <v>82.627346643049805</v>
      </c>
      <c r="R42" s="135">
        <v>13.0621600211892</v>
      </c>
      <c r="S42" s="135">
        <v>0</v>
      </c>
      <c r="T42" s="135">
        <v>28.1906818726799</v>
      </c>
      <c r="U42" s="135">
        <v>23.627553604313501</v>
      </c>
      <c r="V42" s="135">
        <v>4.3557107854497401</v>
      </c>
      <c r="W42" s="135">
        <v>0</v>
      </c>
      <c r="X42" s="135">
        <v>0</v>
      </c>
      <c r="Y42" s="135">
        <v>0</v>
      </c>
      <c r="Z42" s="135">
        <v>0</v>
      </c>
      <c r="AA42" s="135">
        <v>161.88011713765999</v>
      </c>
      <c r="AB42" s="135">
        <v>0</v>
      </c>
      <c r="AC42" s="135">
        <v>0</v>
      </c>
      <c r="AD42" s="135">
        <v>18.939577967130401</v>
      </c>
      <c r="AE42" s="135">
        <v>0</v>
      </c>
      <c r="AF42" s="135">
        <v>0.68155510438224398</v>
      </c>
      <c r="AG42" s="135">
        <v>0.28284202235561101</v>
      </c>
      <c r="AH42" s="135">
        <v>8.1407520233614008</v>
      </c>
      <c r="AI42" s="135">
        <v>0</v>
      </c>
      <c r="AJ42" s="135">
        <v>2.7640124313165102</v>
      </c>
      <c r="AK42" s="135">
        <v>0</v>
      </c>
      <c r="AL42" s="135">
        <v>0</v>
      </c>
      <c r="AM42" s="135">
        <v>259.57919874694602</v>
      </c>
      <c r="AN42" s="135">
        <v>0</v>
      </c>
      <c r="AO42" s="135">
        <v>0</v>
      </c>
      <c r="AP42" s="135">
        <v>0</v>
      </c>
      <c r="AQ42" s="135">
        <v>0</v>
      </c>
      <c r="AR42" s="136">
        <v>0</v>
      </c>
    </row>
    <row r="43" spans="2:44" ht="12" customHeight="1" x14ac:dyDescent="0.25">
      <c r="B43" s="134" t="s">
        <v>42</v>
      </c>
      <c r="C43" s="135" t="s">
        <v>94</v>
      </c>
      <c r="D43" s="135" t="s">
        <v>43</v>
      </c>
      <c r="E43" s="135" t="s">
        <v>96</v>
      </c>
      <c r="F43" s="135" t="s">
        <v>25</v>
      </c>
      <c r="G43" s="135" t="s">
        <v>25</v>
      </c>
      <c r="H43" s="135" t="s">
        <v>78</v>
      </c>
      <c r="I43" s="135" t="s">
        <v>25</v>
      </c>
      <c r="J43" s="135">
        <v>335.94</v>
      </c>
      <c r="K43" s="135">
        <v>264.73</v>
      </c>
      <c r="L43" s="135">
        <v>6.5090767953509099</v>
      </c>
      <c r="M43" s="135">
        <v>0.81595020504681604</v>
      </c>
      <c r="N43" s="135">
        <v>2.0676531665808402</v>
      </c>
      <c r="O43" s="135">
        <v>0</v>
      </c>
      <c r="P43" s="135">
        <v>0</v>
      </c>
      <c r="Q43" s="135">
        <v>80.869317991070005</v>
      </c>
      <c r="R43" s="135">
        <v>12.784241722866</v>
      </c>
      <c r="S43" s="135">
        <v>0</v>
      </c>
      <c r="T43" s="135">
        <v>27.590880130708001</v>
      </c>
      <c r="U43" s="135">
        <v>23.124839697838802</v>
      </c>
      <c r="V43" s="135">
        <v>4.26303608788698</v>
      </c>
      <c r="W43" s="135">
        <v>0</v>
      </c>
      <c r="X43" s="135">
        <v>0</v>
      </c>
      <c r="Y43" s="135">
        <v>0</v>
      </c>
      <c r="Z43" s="135">
        <v>0</v>
      </c>
      <c r="AA43" s="135">
        <v>158.43585932622099</v>
      </c>
      <c r="AB43" s="135">
        <v>0</v>
      </c>
      <c r="AC43" s="135">
        <v>0</v>
      </c>
      <c r="AD43" s="135">
        <v>18.5366082231489</v>
      </c>
      <c r="AE43" s="135">
        <v>0</v>
      </c>
      <c r="AF43" s="135">
        <v>0.66705393194857998</v>
      </c>
      <c r="AG43" s="135">
        <v>0.27682410698634302</v>
      </c>
      <c r="AH43" s="135">
        <v>7.9675445335026502</v>
      </c>
      <c r="AI43" s="135">
        <v>0</v>
      </c>
      <c r="AJ43" s="135">
        <v>2.70520365618211</v>
      </c>
      <c r="AK43" s="135">
        <v>0</v>
      </c>
      <c r="AL43" s="135">
        <v>0</v>
      </c>
      <c r="AM43" s="135">
        <v>254.05623707147899</v>
      </c>
      <c r="AN43" s="135">
        <v>0</v>
      </c>
      <c r="AO43" s="135">
        <v>0</v>
      </c>
      <c r="AP43" s="135">
        <v>0</v>
      </c>
      <c r="AQ43" s="135">
        <v>0</v>
      </c>
      <c r="AR43" s="136">
        <v>0</v>
      </c>
    </row>
    <row r="44" spans="2:44" ht="12" customHeight="1" x14ac:dyDescent="0.25">
      <c r="B44" s="134" t="s">
        <v>36</v>
      </c>
      <c r="C44" s="135" t="s">
        <v>32</v>
      </c>
      <c r="D44" s="135" t="s">
        <v>25</v>
      </c>
      <c r="E44" s="135" t="s">
        <v>25</v>
      </c>
      <c r="F44" s="135" t="s">
        <v>25</v>
      </c>
      <c r="G44" s="135" t="s">
        <v>33</v>
      </c>
      <c r="H44" s="135" t="s">
        <v>78</v>
      </c>
      <c r="I44" s="135" t="s">
        <v>25</v>
      </c>
      <c r="J44" s="135">
        <v>996.51</v>
      </c>
      <c r="K44" s="135">
        <v>459.69</v>
      </c>
      <c r="L44" s="135">
        <v>7.0750834732075099</v>
      </c>
      <c r="M44" s="135">
        <v>0.88690239679001703</v>
      </c>
      <c r="N44" s="135">
        <v>7.2764226447301699</v>
      </c>
      <c r="O44" s="135">
        <v>0</v>
      </c>
      <c r="P44" s="135">
        <v>0</v>
      </c>
      <c r="Q44" s="135">
        <v>87.901432598989103</v>
      </c>
      <c r="R44" s="135">
        <v>13.8959149161587</v>
      </c>
      <c r="S44" s="135">
        <v>0</v>
      </c>
      <c r="T44" s="135">
        <v>110.96352804079601</v>
      </c>
      <c r="U44" s="135">
        <v>93.002022982914795</v>
      </c>
      <c r="V44" s="135">
        <v>17.1447784486123</v>
      </c>
      <c r="W44" s="135">
        <v>0</v>
      </c>
      <c r="X44" s="135">
        <v>0</v>
      </c>
      <c r="Y44" s="135">
        <v>0</v>
      </c>
      <c r="Z44" s="135">
        <v>0</v>
      </c>
      <c r="AA44" s="135">
        <v>637.18759355115003</v>
      </c>
      <c r="AB44" s="135">
        <v>0</v>
      </c>
      <c r="AC44" s="135">
        <v>0</v>
      </c>
      <c r="AD44" s="135">
        <v>20.1484871990749</v>
      </c>
      <c r="AE44" s="135">
        <v>0</v>
      </c>
      <c r="AF44" s="135">
        <v>0.72505862168323898</v>
      </c>
      <c r="AG44" s="135">
        <v>0.30089576846341598</v>
      </c>
      <c r="AH44" s="135">
        <v>8.6603744929376596</v>
      </c>
      <c r="AI44" s="135">
        <v>0</v>
      </c>
      <c r="AJ44" s="135">
        <v>2.9404387567196899</v>
      </c>
      <c r="AK44" s="135">
        <v>0</v>
      </c>
      <c r="AL44" s="135">
        <v>0</v>
      </c>
      <c r="AM44" s="135">
        <v>448.08934348128003</v>
      </c>
      <c r="AN44" s="135">
        <v>0</v>
      </c>
      <c r="AO44" s="135">
        <v>0</v>
      </c>
      <c r="AP44" s="135">
        <v>0</v>
      </c>
      <c r="AQ44" s="135">
        <v>0</v>
      </c>
      <c r="AR44" s="136">
        <v>0</v>
      </c>
    </row>
    <row r="45" spans="2:44" ht="12" customHeight="1" x14ac:dyDescent="0.25">
      <c r="B45" s="134" t="s">
        <v>36</v>
      </c>
      <c r="C45" s="135" t="s">
        <v>32</v>
      </c>
      <c r="D45" s="135" t="s">
        <v>25</v>
      </c>
      <c r="E45" s="135" t="s">
        <v>25</v>
      </c>
      <c r="F45" s="135" t="s">
        <v>25</v>
      </c>
      <c r="G45" s="135" t="s">
        <v>35</v>
      </c>
      <c r="H45" s="135" t="s">
        <v>78</v>
      </c>
      <c r="I45" s="135" t="s">
        <v>25</v>
      </c>
      <c r="J45" s="135">
        <v>304.36</v>
      </c>
      <c r="K45" s="135">
        <v>272.12</v>
      </c>
      <c r="L45" s="135">
        <v>7.0750834732075099</v>
      </c>
      <c r="M45" s="135">
        <v>0.88690239679001703</v>
      </c>
      <c r="N45" s="135">
        <v>1.7631760668902301</v>
      </c>
      <c r="O45" s="135">
        <v>0</v>
      </c>
      <c r="P45" s="135">
        <v>0</v>
      </c>
      <c r="Q45" s="135">
        <v>87.901432598989103</v>
      </c>
      <c r="R45" s="135">
        <v>13.8959149161587</v>
      </c>
      <c r="S45" s="135">
        <v>0</v>
      </c>
      <c r="T45" s="135">
        <v>22.192646815018499</v>
      </c>
      <c r="U45" s="135">
        <v>18.600338310029599</v>
      </c>
      <c r="V45" s="135">
        <v>3.4289150892241</v>
      </c>
      <c r="W45" s="135">
        <v>0</v>
      </c>
      <c r="X45" s="135">
        <v>0</v>
      </c>
      <c r="Y45" s="135">
        <v>0</v>
      </c>
      <c r="Z45" s="135">
        <v>0</v>
      </c>
      <c r="AA45" s="135">
        <v>127.437478084161</v>
      </c>
      <c r="AB45" s="135">
        <v>0</v>
      </c>
      <c r="AC45" s="135">
        <v>0</v>
      </c>
      <c r="AD45" s="135">
        <v>20.1484871990749</v>
      </c>
      <c r="AE45" s="135">
        <v>0</v>
      </c>
      <c r="AF45" s="135">
        <v>0.72505862168323898</v>
      </c>
      <c r="AG45" s="135">
        <v>0.30089576846341598</v>
      </c>
      <c r="AH45" s="135">
        <v>8.6603744929376596</v>
      </c>
      <c r="AI45" s="135">
        <v>0</v>
      </c>
      <c r="AJ45" s="135">
        <v>2.9404387567196899</v>
      </c>
      <c r="AK45" s="135">
        <v>0</v>
      </c>
      <c r="AL45" s="135">
        <v>0</v>
      </c>
      <c r="AM45" s="135">
        <v>260.51706016353501</v>
      </c>
      <c r="AN45" s="135">
        <v>0</v>
      </c>
      <c r="AO45" s="135">
        <v>0</v>
      </c>
      <c r="AP45" s="135">
        <v>0</v>
      </c>
      <c r="AQ45" s="135">
        <v>0</v>
      </c>
      <c r="AR45" s="136">
        <v>0</v>
      </c>
    </row>
    <row r="46" spans="2:44" ht="12" customHeight="1" x14ac:dyDescent="0.25">
      <c r="B46" s="134" t="s">
        <v>36</v>
      </c>
      <c r="C46" s="135" t="s">
        <v>32</v>
      </c>
      <c r="D46" s="135" t="s">
        <v>25</v>
      </c>
      <c r="E46" s="135" t="s">
        <v>25</v>
      </c>
      <c r="F46" s="135" t="s">
        <v>25</v>
      </c>
      <c r="G46" s="135" t="s">
        <v>34</v>
      </c>
      <c r="H46" s="135" t="s">
        <v>78</v>
      </c>
      <c r="I46" s="135" t="s">
        <v>25</v>
      </c>
      <c r="J46" s="135">
        <v>304.36</v>
      </c>
      <c r="K46" s="135">
        <v>272.12</v>
      </c>
      <c r="L46" s="135">
        <v>7.0750834732075099</v>
      </c>
      <c r="M46" s="135">
        <v>0.88690239679001703</v>
      </c>
      <c r="N46" s="135">
        <v>1.7631760668902301</v>
      </c>
      <c r="O46" s="135">
        <v>0</v>
      </c>
      <c r="P46" s="135">
        <v>0</v>
      </c>
      <c r="Q46" s="135">
        <v>87.901432598989103</v>
      </c>
      <c r="R46" s="135">
        <v>13.8959149161587</v>
      </c>
      <c r="S46" s="135">
        <v>0</v>
      </c>
      <c r="T46" s="135">
        <v>22.192646815018499</v>
      </c>
      <c r="U46" s="135">
        <v>18.600338310029599</v>
      </c>
      <c r="V46" s="135">
        <v>3.4289150892241</v>
      </c>
      <c r="W46" s="135">
        <v>0</v>
      </c>
      <c r="X46" s="135">
        <v>0</v>
      </c>
      <c r="Y46" s="135">
        <v>0</v>
      </c>
      <c r="Z46" s="135">
        <v>0</v>
      </c>
      <c r="AA46" s="135">
        <v>127.437478084161</v>
      </c>
      <c r="AB46" s="135">
        <v>0</v>
      </c>
      <c r="AC46" s="135">
        <v>0</v>
      </c>
      <c r="AD46" s="135">
        <v>20.1484871990749</v>
      </c>
      <c r="AE46" s="135">
        <v>0</v>
      </c>
      <c r="AF46" s="135">
        <v>0.72505862168323898</v>
      </c>
      <c r="AG46" s="135">
        <v>0.30089576846341598</v>
      </c>
      <c r="AH46" s="135">
        <v>8.6603744929376596</v>
      </c>
      <c r="AI46" s="135">
        <v>0</v>
      </c>
      <c r="AJ46" s="135">
        <v>2.9404387567196899</v>
      </c>
      <c r="AK46" s="135">
        <v>0</v>
      </c>
      <c r="AL46" s="135">
        <v>0</v>
      </c>
      <c r="AM46" s="135">
        <v>260.51706016353501</v>
      </c>
      <c r="AN46" s="135">
        <v>0</v>
      </c>
      <c r="AO46" s="135">
        <v>0</v>
      </c>
      <c r="AP46" s="135">
        <v>0</v>
      </c>
      <c r="AQ46" s="135">
        <v>0</v>
      </c>
      <c r="AR46" s="136">
        <v>0</v>
      </c>
    </row>
    <row r="47" spans="2:44" ht="12" customHeight="1" x14ac:dyDescent="0.25">
      <c r="B47" s="134" t="s">
        <v>36</v>
      </c>
      <c r="C47" s="135" t="s">
        <v>23</v>
      </c>
      <c r="D47" s="135" t="s">
        <v>25</v>
      </c>
      <c r="E47" s="135" t="s">
        <v>25</v>
      </c>
      <c r="F47" s="135" t="s">
        <v>25</v>
      </c>
      <c r="G47" s="135" t="s">
        <v>25</v>
      </c>
      <c r="H47" s="135" t="s">
        <v>78</v>
      </c>
      <c r="I47" s="135" t="s">
        <v>25</v>
      </c>
      <c r="J47" s="135">
        <v>365.15</v>
      </c>
      <c r="K47" s="135">
        <v>287.75</v>
      </c>
      <c r="L47" s="135">
        <v>7.0750834732075099</v>
      </c>
      <c r="M47" s="135">
        <v>0.88690239679001703</v>
      </c>
      <c r="N47" s="135">
        <v>2.2474490941096099</v>
      </c>
      <c r="O47" s="135">
        <v>0</v>
      </c>
      <c r="P47" s="135">
        <v>0</v>
      </c>
      <c r="Q47" s="135">
        <v>87.901432598989103</v>
      </c>
      <c r="R47" s="135">
        <v>13.8959149161587</v>
      </c>
      <c r="S47" s="135">
        <v>0</v>
      </c>
      <c r="T47" s="135">
        <v>29.990087098595598</v>
      </c>
      <c r="U47" s="135">
        <v>25.135695323737799</v>
      </c>
      <c r="V47" s="135">
        <v>4.6337348781380197</v>
      </c>
      <c r="W47" s="135">
        <v>0</v>
      </c>
      <c r="X47" s="135">
        <v>0</v>
      </c>
      <c r="Y47" s="135">
        <v>0</v>
      </c>
      <c r="Z47" s="135">
        <v>0</v>
      </c>
      <c r="AA47" s="135">
        <v>172.21289057197899</v>
      </c>
      <c r="AB47" s="135">
        <v>0</v>
      </c>
      <c r="AC47" s="135">
        <v>0</v>
      </c>
      <c r="AD47" s="135">
        <v>20.1484871990749</v>
      </c>
      <c r="AE47" s="135">
        <v>0</v>
      </c>
      <c r="AF47" s="135">
        <v>0.72505862168323898</v>
      </c>
      <c r="AG47" s="135">
        <v>0.30089576846341598</v>
      </c>
      <c r="AH47" s="135">
        <v>8.6603744929376596</v>
      </c>
      <c r="AI47" s="135">
        <v>0</v>
      </c>
      <c r="AJ47" s="135">
        <v>2.9404387567196899</v>
      </c>
      <c r="AK47" s="135">
        <v>0</v>
      </c>
      <c r="AL47" s="135">
        <v>0</v>
      </c>
      <c r="AM47" s="135">
        <v>276.14808377334703</v>
      </c>
      <c r="AN47" s="135">
        <v>0</v>
      </c>
      <c r="AO47" s="135">
        <v>0</v>
      </c>
      <c r="AP47" s="135">
        <v>0</v>
      </c>
      <c r="AQ47" s="135">
        <v>0</v>
      </c>
      <c r="AR47" s="136">
        <v>0</v>
      </c>
    </row>
    <row r="48" spans="2:44" ht="12" customHeight="1" x14ac:dyDescent="0.25">
      <c r="B48" s="134" t="s">
        <v>36</v>
      </c>
      <c r="C48" s="135" t="s">
        <v>94</v>
      </c>
      <c r="D48" s="135" t="s">
        <v>25</v>
      </c>
      <c r="E48" s="135" t="s">
        <v>25</v>
      </c>
      <c r="F48" s="135" t="s">
        <v>25</v>
      </c>
      <c r="G48" s="135" t="s">
        <v>25</v>
      </c>
      <c r="H48" s="135" t="s">
        <v>78</v>
      </c>
      <c r="I48" s="135" t="s">
        <v>25</v>
      </c>
      <c r="J48" s="135">
        <v>365.15</v>
      </c>
      <c r="K48" s="135">
        <v>287.75</v>
      </c>
      <c r="L48" s="135">
        <v>7.0750834732075099</v>
      </c>
      <c r="M48" s="135">
        <v>0.88690239679001703</v>
      </c>
      <c r="N48" s="135">
        <v>2.2474490941096099</v>
      </c>
      <c r="O48" s="135">
        <v>0</v>
      </c>
      <c r="P48" s="135">
        <v>0</v>
      </c>
      <c r="Q48" s="135">
        <v>87.901432598989103</v>
      </c>
      <c r="R48" s="135">
        <v>13.8959149161587</v>
      </c>
      <c r="S48" s="135">
        <v>0</v>
      </c>
      <c r="T48" s="135">
        <v>29.990087098595598</v>
      </c>
      <c r="U48" s="135">
        <v>25.135695323737799</v>
      </c>
      <c r="V48" s="135">
        <v>4.6337348781380197</v>
      </c>
      <c r="W48" s="135">
        <v>0</v>
      </c>
      <c r="X48" s="135">
        <v>0</v>
      </c>
      <c r="Y48" s="135">
        <v>0</v>
      </c>
      <c r="Z48" s="135">
        <v>0</v>
      </c>
      <c r="AA48" s="135">
        <v>172.21289057197899</v>
      </c>
      <c r="AB48" s="135">
        <v>0</v>
      </c>
      <c r="AC48" s="135">
        <v>0</v>
      </c>
      <c r="AD48" s="135">
        <v>20.1484871990749</v>
      </c>
      <c r="AE48" s="135">
        <v>0</v>
      </c>
      <c r="AF48" s="135">
        <v>0.72505862168323898</v>
      </c>
      <c r="AG48" s="135">
        <v>0.30089576846341598</v>
      </c>
      <c r="AH48" s="135">
        <v>8.6603744929376596</v>
      </c>
      <c r="AI48" s="135">
        <v>0</v>
      </c>
      <c r="AJ48" s="135">
        <v>2.9404387567196899</v>
      </c>
      <c r="AK48" s="135">
        <v>0</v>
      </c>
      <c r="AL48" s="135">
        <v>0</v>
      </c>
      <c r="AM48" s="135">
        <v>276.14808377334703</v>
      </c>
      <c r="AN48" s="135">
        <v>0</v>
      </c>
      <c r="AO48" s="135">
        <v>0</v>
      </c>
      <c r="AP48" s="135">
        <v>0</v>
      </c>
      <c r="AQ48" s="135">
        <v>0</v>
      </c>
      <c r="AR48" s="136">
        <v>0</v>
      </c>
    </row>
    <row r="49" spans="2:44" ht="12" customHeight="1" x14ac:dyDescent="0.25">
      <c r="B49" s="134" t="s">
        <v>45</v>
      </c>
      <c r="C49" s="135" t="s">
        <v>23</v>
      </c>
      <c r="D49" s="135" t="s">
        <v>46</v>
      </c>
      <c r="E49" s="135" t="s">
        <v>47</v>
      </c>
      <c r="F49" s="135" t="s">
        <v>25</v>
      </c>
      <c r="G49" s="135" t="s">
        <v>25</v>
      </c>
      <c r="H49" s="135" t="s">
        <v>78</v>
      </c>
      <c r="I49" s="135" t="s">
        <v>25</v>
      </c>
      <c r="J49" s="135">
        <v>200.83</v>
      </c>
      <c r="K49" s="135">
        <v>158.26</v>
      </c>
      <c r="L49" s="135">
        <v>3.8912959102641298</v>
      </c>
      <c r="M49" s="135">
        <v>0.48779631823450897</v>
      </c>
      <c r="N49" s="135">
        <v>1.2360970017602799</v>
      </c>
      <c r="O49" s="135">
        <v>0</v>
      </c>
      <c r="P49" s="135">
        <v>0</v>
      </c>
      <c r="Q49" s="135">
        <v>48.345787929444</v>
      </c>
      <c r="R49" s="135">
        <v>7.6427532038872803</v>
      </c>
      <c r="S49" s="135">
        <v>0</v>
      </c>
      <c r="T49" s="135">
        <v>16.494547904227598</v>
      </c>
      <c r="U49" s="135">
        <v>13.8246324280558</v>
      </c>
      <c r="V49" s="135">
        <v>2.5485541829759102</v>
      </c>
      <c r="W49" s="135">
        <v>0</v>
      </c>
      <c r="X49" s="135">
        <v>0</v>
      </c>
      <c r="Y49" s="135">
        <v>0</v>
      </c>
      <c r="Z49" s="135">
        <v>0</v>
      </c>
      <c r="AA49" s="135">
        <v>94.717089814588405</v>
      </c>
      <c r="AB49" s="135">
        <v>0</v>
      </c>
      <c r="AC49" s="135">
        <v>0</v>
      </c>
      <c r="AD49" s="135">
        <v>11.081667959491201</v>
      </c>
      <c r="AE49" s="135">
        <v>0</v>
      </c>
      <c r="AF49" s="135">
        <v>0.39878224192578099</v>
      </c>
      <c r="AG49" s="135">
        <v>0.16549267265487899</v>
      </c>
      <c r="AH49" s="135">
        <v>4.7632059711157098</v>
      </c>
      <c r="AI49" s="135">
        <v>0</v>
      </c>
      <c r="AJ49" s="135">
        <v>1.6172413161958299</v>
      </c>
      <c r="AK49" s="135">
        <v>0</v>
      </c>
      <c r="AL49" s="135">
        <v>0</v>
      </c>
      <c r="AM49" s="135">
        <v>151.88144607534099</v>
      </c>
      <c r="AN49" s="135">
        <v>0</v>
      </c>
      <c r="AO49" s="135">
        <v>0</v>
      </c>
      <c r="AP49" s="135">
        <v>0</v>
      </c>
      <c r="AQ49" s="135">
        <v>0</v>
      </c>
      <c r="AR49" s="136">
        <v>0</v>
      </c>
    </row>
    <row r="50" spans="2:44" ht="12" customHeight="1" x14ac:dyDescent="0.25">
      <c r="B50" s="137" t="s">
        <v>45</v>
      </c>
      <c r="C50" s="138" t="s">
        <v>23</v>
      </c>
      <c r="D50" s="138" t="s">
        <v>46</v>
      </c>
      <c r="E50" s="138" t="s">
        <v>97</v>
      </c>
      <c r="F50" s="138" t="s">
        <v>25</v>
      </c>
      <c r="G50" s="138" t="s">
        <v>25</v>
      </c>
      <c r="H50" s="138" t="s">
        <v>78</v>
      </c>
      <c r="I50" s="138" t="s">
        <v>25</v>
      </c>
      <c r="J50" s="138">
        <v>219.09</v>
      </c>
      <c r="K50" s="138">
        <v>172.65</v>
      </c>
      <c r="L50" s="138">
        <v>4.24505008392451</v>
      </c>
      <c r="M50" s="138">
        <v>0.53214143807401004</v>
      </c>
      <c r="N50" s="138">
        <v>1.34846945646576</v>
      </c>
      <c r="O50" s="138">
        <v>0</v>
      </c>
      <c r="P50" s="138">
        <v>0</v>
      </c>
      <c r="Q50" s="138">
        <v>52.740859559393499</v>
      </c>
      <c r="R50" s="138">
        <v>8.3375489496952095</v>
      </c>
      <c r="S50" s="138">
        <v>0</v>
      </c>
      <c r="T50" s="138">
        <v>17.994052259157399</v>
      </c>
      <c r="U50" s="138">
        <v>15.0814171942427</v>
      </c>
      <c r="V50" s="138">
        <v>2.7802409268828101</v>
      </c>
      <c r="W50" s="138">
        <v>0</v>
      </c>
      <c r="X50" s="138">
        <v>0</v>
      </c>
      <c r="Y50" s="138">
        <v>0</v>
      </c>
      <c r="Z50" s="138">
        <v>0</v>
      </c>
      <c r="AA50" s="138">
        <v>103.327734343187</v>
      </c>
      <c r="AB50" s="138">
        <v>0</v>
      </c>
      <c r="AC50" s="138">
        <v>0</v>
      </c>
      <c r="AD50" s="138">
        <v>12.0890923194449</v>
      </c>
      <c r="AE50" s="138">
        <v>0</v>
      </c>
      <c r="AF50" s="138">
        <v>0.43503517300994299</v>
      </c>
      <c r="AG50" s="138">
        <v>0.18053746107804999</v>
      </c>
      <c r="AH50" s="138">
        <v>5.1962246957625897</v>
      </c>
      <c r="AI50" s="138">
        <v>0</v>
      </c>
      <c r="AJ50" s="138">
        <v>1.7642632540318099</v>
      </c>
      <c r="AK50" s="138">
        <v>0</v>
      </c>
      <c r="AL50" s="138">
        <v>0</v>
      </c>
      <c r="AM50" s="138">
        <v>165.68885026400801</v>
      </c>
      <c r="AN50" s="138">
        <v>0</v>
      </c>
      <c r="AO50" s="138">
        <v>0</v>
      </c>
      <c r="AP50" s="138">
        <v>0</v>
      </c>
      <c r="AQ50" s="138">
        <v>0</v>
      </c>
      <c r="AR50" s="139">
        <v>0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3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F95C3-0456-45C5-90A3-4A19B91D6E86}">
  <dimension ref="B1:AR50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89" t="s">
        <v>1247</v>
      </c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  <c r="AD1" s="189"/>
      <c r="AE1" s="189"/>
      <c r="AF1" s="189"/>
      <c r="AG1" s="190"/>
      <c r="AH1" s="189" t="s">
        <v>1248</v>
      </c>
      <c r="AI1" s="189"/>
      <c r="AJ1" s="189"/>
      <c r="AK1" s="189"/>
      <c r="AL1" s="189"/>
      <c r="AM1" s="189"/>
      <c r="AN1" s="189"/>
      <c r="AO1" s="189"/>
      <c r="AP1" s="189"/>
      <c r="AQ1" s="189"/>
      <c r="AR1" s="189"/>
    </row>
    <row r="2" spans="2:44" ht="12" customHeight="1" x14ac:dyDescent="0.25">
      <c r="L2" s="191" t="s">
        <v>484</v>
      </c>
      <c r="M2" s="191"/>
      <c r="N2" s="191"/>
      <c r="O2" s="191"/>
      <c r="P2" s="191"/>
      <c r="Q2" s="191"/>
      <c r="R2" s="191"/>
      <c r="S2" s="192"/>
      <c r="T2" s="191" t="s">
        <v>493</v>
      </c>
      <c r="U2" s="191"/>
      <c r="V2" s="191"/>
      <c r="W2" s="191"/>
      <c r="X2" s="191"/>
      <c r="Y2" s="191"/>
      <c r="Z2" s="192"/>
      <c r="AA2" s="150" t="s">
        <v>501</v>
      </c>
      <c r="AB2" s="191" t="s">
        <v>25</v>
      </c>
      <c r="AC2" s="192"/>
      <c r="AD2" s="191" t="s">
        <v>1246</v>
      </c>
      <c r="AE2" s="191"/>
      <c r="AF2" s="191"/>
      <c r="AG2" s="192"/>
      <c r="AH2" s="191" t="s">
        <v>484</v>
      </c>
      <c r="AI2" s="191"/>
      <c r="AJ2" s="191"/>
      <c r="AK2" s="191"/>
      <c r="AL2" s="192"/>
      <c r="AM2" s="150" t="s">
        <v>515</v>
      </c>
      <c r="AN2" s="191" t="s">
        <v>493</v>
      </c>
      <c r="AO2" s="191"/>
      <c r="AP2" s="191"/>
      <c r="AQ2" s="192"/>
      <c r="AR2" s="149" t="s">
        <v>1246</v>
      </c>
    </row>
    <row r="3" spans="2:44" ht="12" customHeight="1" x14ac:dyDescent="0.25">
      <c r="B3" s="131" t="s">
        <v>68</v>
      </c>
      <c r="C3" s="132" t="s">
        <v>69</v>
      </c>
      <c r="D3" s="132" t="s">
        <v>70</v>
      </c>
      <c r="E3" s="132" t="s">
        <v>71</v>
      </c>
      <c r="F3" s="132" t="s">
        <v>72</v>
      </c>
      <c r="G3" s="132" t="s">
        <v>74</v>
      </c>
      <c r="H3" s="132" t="s">
        <v>75</v>
      </c>
      <c r="I3" s="132" t="s">
        <v>727</v>
      </c>
      <c r="J3" s="132" t="s">
        <v>1210</v>
      </c>
      <c r="K3" s="132" t="s">
        <v>1211</v>
      </c>
      <c r="L3" s="132" t="s">
        <v>1212</v>
      </c>
      <c r="M3" s="132" t="s">
        <v>1213</v>
      </c>
      <c r="N3" s="132" t="s">
        <v>1214</v>
      </c>
      <c r="O3" s="132" t="s">
        <v>1215</v>
      </c>
      <c r="P3" s="132" t="s">
        <v>1216</v>
      </c>
      <c r="Q3" s="132" t="s">
        <v>1217</v>
      </c>
      <c r="R3" s="132" t="s">
        <v>1218</v>
      </c>
      <c r="S3" s="132" t="s">
        <v>1219</v>
      </c>
      <c r="T3" s="132" t="s">
        <v>1220</v>
      </c>
      <c r="U3" s="132" t="s">
        <v>1221</v>
      </c>
      <c r="V3" s="132" t="s">
        <v>1222</v>
      </c>
      <c r="W3" s="132" t="s">
        <v>1223</v>
      </c>
      <c r="X3" s="132" t="s">
        <v>1224</v>
      </c>
      <c r="Y3" s="132" t="s">
        <v>1225</v>
      </c>
      <c r="Z3" s="132" t="s">
        <v>1226</v>
      </c>
      <c r="AA3" s="132" t="s">
        <v>1227</v>
      </c>
      <c r="AB3" s="132" t="s">
        <v>1228</v>
      </c>
      <c r="AC3" s="132" t="s">
        <v>1229</v>
      </c>
      <c r="AD3" s="132" t="s">
        <v>1230</v>
      </c>
      <c r="AE3" s="132" t="s">
        <v>1231</v>
      </c>
      <c r="AF3" s="132" t="s">
        <v>1232</v>
      </c>
      <c r="AG3" s="132" t="s">
        <v>1233</v>
      </c>
      <c r="AH3" s="132" t="s">
        <v>1234</v>
      </c>
      <c r="AI3" s="132" t="s">
        <v>1235</v>
      </c>
      <c r="AJ3" s="132" t="s">
        <v>1236</v>
      </c>
      <c r="AK3" s="132" t="s">
        <v>1237</v>
      </c>
      <c r="AL3" s="132" t="s">
        <v>1238</v>
      </c>
      <c r="AM3" s="132" t="s">
        <v>1239</v>
      </c>
      <c r="AN3" s="132" t="s">
        <v>1240</v>
      </c>
      <c r="AO3" s="132" t="s">
        <v>1241</v>
      </c>
      <c r="AP3" s="132" t="s">
        <v>1242</v>
      </c>
      <c r="AQ3" s="132" t="s">
        <v>1243</v>
      </c>
      <c r="AR3" s="133" t="s">
        <v>1244</v>
      </c>
    </row>
    <row r="4" spans="2:44" ht="12" customHeight="1" x14ac:dyDescent="0.25">
      <c r="B4" s="134" t="s">
        <v>38</v>
      </c>
      <c r="C4" s="135" t="s">
        <v>50</v>
      </c>
      <c r="D4" s="135" t="s">
        <v>25</v>
      </c>
      <c r="E4" s="135" t="s">
        <v>25</v>
      </c>
      <c r="F4" s="135" t="s">
        <v>86</v>
      </c>
      <c r="G4" s="135" t="s">
        <v>33</v>
      </c>
      <c r="H4" s="135" t="s">
        <v>78</v>
      </c>
      <c r="I4" s="135" t="s">
        <v>25</v>
      </c>
      <c r="J4" s="135">
        <v>0.27</v>
      </c>
      <c r="K4" s="135">
        <v>0</v>
      </c>
      <c r="L4" s="135">
        <v>0</v>
      </c>
      <c r="M4" s="135">
        <v>0</v>
      </c>
      <c r="N4" s="135">
        <v>0</v>
      </c>
      <c r="O4" s="135">
        <v>0</v>
      </c>
      <c r="P4" s="135">
        <v>0</v>
      </c>
      <c r="Q4" s="135">
        <v>0</v>
      </c>
      <c r="R4" s="135">
        <v>0</v>
      </c>
      <c r="S4" s="135">
        <v>0</v>
      </c>
      <c r="T4" s="135">
        <v>0</v>
      </c>
      <c r="U4" s="135">
        <v>0</v>
      </c>
      <c r="V4" s="135">
        <v>0</v>
      </c>
      <c r="W4" s="135">
        <v>0</v>
      </c>
      <c r="X4" s="135">
        <v>0</v>
      </c>
      <c r="Y4" s="135">
        <v>0</v>
      </c>
      <c r="Z4" s="135">
        <v>0</v>
      </c>
      <c r="AA4" s="135">
        <v>0</v>
      </c>
      <c r="AB4" s="135">
        <v>0</v>
      </c>
      <c r="AC4" s="135">
        <v>0</v>
      </c>
      <c r="AD4" s="135">
        <v>0.24255242839058999</v>
      </c>
      <c r="AE4" s="135">
        <v>0</v>
      </c>
      <c r="AF4" s="135">
        <v>2.26469950796695E-2</v>
      </c>
      <c r="AG4" s="135">
        <v>0</v>
      </c>
      <c r="AH4" s="135">
        <v>0</v>
      </c>
      <c r="AI4" s="135">
        <v>0</v>
      </c>
      <c r="AJ4" s="135">
        <v>0</v>
      </c>
      <c r="AK4" s="135">
        <v>0</v>
      </c>
      <c r="AL4" s="135">
        <v>0</v>
      </c>
      <c r="AM4" s="135">
        <v>0</v>
      </c>
      <c r="AN4" s="135">
        <v>0</v>
      </c>
      <c r="AO4" s="135">
        <v>0</v>
      </c>
      <c r="AP4" s="135">
        <v>0</v>
      </c>
      <c r="AQ4" s="135">
        <v>0</v>
      </c>
      <c r="AR4" s="136">
        <v>0</v>
      </c>
    </row>
    <row r="5" spans="2:44" ht="12" customHeight="1" x14ac:dyDescent="0.25">
      <c r="B5" s="134" t="s">
        <v>38</v>
      </c>
      <c r="C5" s="135" t="s">
        <v>50</v>
      </c>
      <c r="D5" s="135" t="s">
        <v>25</v>
      </c>
      <c r="E5" s="135" t="s">
        <v>25</v>
      </c>
      <c r="F5" s="135" t="s">
        <v>86</v>
      </c>
      <c r="G5" s="135" t="s">
        <v>33</v>
      </c>
      <c r="H5" s="135" t="s">
        <v>83</v>
      </c>
      <c r="I5" s="135" t="s">
        <v>25</v>
      </c>
      <c r="J5" s="135">
        <v>0.73</v>
      </c>
      <c r="K5" s="135">
        <v>0</v>
      </c>
      <c r="L5" s="135">
        <v>0</v>
      </c>
      <c r="M5" s="135">
        <v>0</v>
      </c>
      <c r="N5" s="135">
        <v>0</v>
      </c>
      <c r="O5" s="135">
        <v>0</v>
      </c>
      <c r="P5" s="135">
        <v>0</v>
      </c>
      <c r="Q5" s="135">
        <v>0</v>
      </c>
      <c r="R5" s="135">
        <v>0</v>
      </c>
      <c r="S5" s="135">
        <v>0</v>
      </c>
      <c r="T5" s="135">
        <v>0.38707860471567901</v>
      </c>
      <c r="U5" s="135">
        <v>0.34602072536025702</v>
      </c>
      <c r="V5" s="135">
        <v>0</v>
      </c>
      <c r="W5" s="135">
        <v>0</v>
      </c>
      <c r="X5" s="135">
        <v>0</v>
      </c>
      <c r="Y5" s="135">
        <v>0</v>
      </c>
      <c r="Z5" s="135">
        <v>0</v>
      </c>
      <c r="AA5" s="135">
        <v>0</v>
      </c>
      <c r="AB5" s="135">
        <v>0</v>
      </c>
      <c r="AC5" s="135">
        <v>0</v>
      </c>
      <c r="AD5" s="135">
        <v>0</v>
      </c>
      <c r="AE5" s="135">
        <v>0</v>
      </c>
      <c r="AF5" s="135">
        <v>0</v>
      </c>
      <c r="AG5" s="135">
        <v>0</v>
      </c>
      <c r="AH5" s="135">
        <v>0</v>
      </c>
      <c r="AI5" s="135">
        <v>0</v>
      </c>
      <c r="AJ5" s="135">
        <v>0</v>
      </c>
      <c r="AK5" s="135">
        <v>0</v>
      </c>
      <c r="AL5" s="135">
        <v>0</v>
      </c>
      <c r="AM5" s="135">
        <v>0</v>
      </c>
      <c r="AN5" s="135">
        <v>0</v>
      </c>
      <c r="AO5" s="135">
        <v>0</v>
      </c>
      <c r="AP5" s="135">
        <v>0</v>
      </c>
      <c r="AQ5" s="135">
        <v>0</v>
      </c>
      <c r="AR5" s="136">
        <v>0</v>
      </c>
    </row>
    <row r="6" spans="2:44" ht="12" customHeight="1" x14ac:dyDescent="0.25">
      <c r="B6" s="134" t="s">
        <v>38</v>
      </c>
      <c r="C6" s="135" t="s">
        <v>50</v>
      </c>
      <c r="D6" s="135" t="s">
        <v>25</v>
      </c>
      <c r="E6" s="135" t="s">
        <v>25</v>
      </c>
      <c r="F6" s="135" t="s">
        <v>86</v>
      </c>
      <c r="G6" s="135" t="s">
        <v>34</v>
      </c>
      <c r="H6" s="135" t="s">
        <v>78</v>
      </c>
      <c r="I6" s="135" t="s">
        <v>25</v>
      </c>
      <c r="J6" s="135">
        <v>0.27</v>
      </c>
      <c r="K6" s="135">
        <v>0</v>
      </c>
      <c r="L6" s="135">
        <v>0</v>
      </c>
      <c r="M6" s="135">
        <v>0</v>
      </c>
      <c r="N6" s="135">
        <v>0</v>
      </c>
      <c r="O6" s="135">
        <v>0</v>
      </c>
      <c r="P6" s="135">
        <v>0</v>
      </c>
      <c r="Q6" s="135">
        <v>0</v>
      </c>
      <c r="R6" s="135">
        <v>0</v>
      </c>
      <c r="S6" s="135">
        <v>0</v>
      </c>
      <c r="T6" s="135">
        <v>0</v>
      </c>
      <c r="U6" s="135">
        <v>0</v>
      </c>
      <c r="V6" s="135">
        <v>0</v>
      </c>
      <c r="W6" s="135">
        <v>0</v>
      </c>
      <c r="X6" s="135">
        <v>0</v>
      </c>
      <c r="Y6" s="135">
        <v>0</v>
      </c>
      <c r="Z6" s="135">
        <v>0</v>
      </c>
      <c r="AA6" s="135">
        <v>0</v>
      </c>
      <c r="AB6" s="135">
        <v>0</v>
      </c>
      <c r="AC6" s="135">
        <v>0</v>
      </c>
      <c r="AD6" s="135">
        <v>0.24255242839058999</v>
      </c>
      <c r="AE6" s="135">
        <v>0</v>
      </c>
      <c r="AF6" s="135">
        <v>2.26469950796695E-2</v>
      </c>
      <c r="AG6" s="135">
        <v>0</v>
      </c>
      <c r="AH6" s="135">
        <v>0</v>
      </c>
      <c r="AI6" s="135">
        <v>0</v>
      </c>
      <c r="AJ6" s="135">
        <v>0</v>
      </c>
      <c r="AK6" s="135">
        <v>0</v>
      </c>
      <c r="AL6" s="135">
        <v>0</v>
      </c>
      <c r="AM6" s="135">
        <v>0</v>
      </c>
      <c r="AN6" s="135">
        <v>0</v>
      </c>
      <c r="AO6" s="135">
        <v>0</v>
      </c>
      <c r="AP6" s="135">
        <v>0</v>
      </c>
      <c r="AQ6" s="135">
        <v>0</v>
      </c>
      <c r="AR6" s="136">
        <v>0</v>
      </c>
    </row>
    <row r="7" spans="2:44" ht="12" customHeight="1" x14ac:dyDescent="0.25">
      <c r="B7" s="134" t="s">
        <v>38</v>
      </c>
      <c r="C7" s="135" t="s">
        <v>50</v>
      </c>
      <c r="D7" s="135" t="s">
        <v>25</v>
      </c>
      <c r="E7" s="135" t="s">
        <v>25</v>
      </c>
      <c r="F7" s="135" t="s">
        <v>86</v>
      </c>
      <c r="G7" s="135" t="s">
        <v>34</v>
      </c>
      <c r="H7" s="135" t="s">
        <v>83</v>
      </c>
      <c r="I7" s="135" t="s">
        <v>25</v>
      </c>
      <c r="J7" s="135">
        <v>0.69</v>
      </c>
      <c r="K7" s="135">
        <v>0</v>
      </c>
      <c r="L7" s="135">
        <v>0</v>
      </c>
      <c r="M7" s="135">
        <v>0</v>
      </c>
      <c r="N7" s="135">
        <v>0</v>
      </c>
      <c r="O7" s="135">
        <v>0</v>
      </c>
      <c r="P7" s="135">
        <v>0</v>
      </c>
      <c r="Q7" s="135">
        <v>0</v>
      </c>
      <c r="R7" s="135">
        <v>0</v>
      </c>
      <c r="S7" s="135">
        <v>0</v>
      </c>
      <c r="T7" s="135">
        <v>0.387146837949218</v>
      </c>
      <c r="U7" s="135">
        <v>0.29870888452507199</v>
      </c>
      <c r="V7" s="135">
        <v>0</v>
      </c>
      <c r="W7" s="135">
        <v>0</v>
      </c>
      <c r="X7" s="135">
        <v>0</v>
      </c>
      <c r="Y7" s="135">
        <v>0</v>
      </c>
      <c r="Z7" s="135">
        <v>0</v>
      </c>
      <c r="AA7" s="135">
        <v>0</v>
      </c>
      <c r="AB7" s="135">
        <v>0</v>
      </c>
      <c r="AC7" s="135">
        <v>0</v>
      </c>
      <c r="AD7" s="135">
        <v>0</v>
      </c>
      <c r="AE7" s="135">
        <v>0</v>
      </c>
      <c r="AF7" s="135">
        <v>0</v>
      </c>
      <c r="AG7" s="135">
        <v>0</v>
      </c>
      <c r="AH7" s="135">
        <v>0</v>
      </c>
      <c r="AI7" s="135">
        <v>0</v>
      </c>
      <c r="AJ7" s="135">
        <v>0</v>
      </c>
      <c r="AK7" s="135">
        <v>0</v>
      </c>
      <c r="AL7" s="135">
        <v>0</v>
      </c>
      <c r="AM7" s="135">
        <v>0</v>
      </c>
      <c r="AN7" s="135">
        <v>0</v>
      </c>
      <c r="AO7" s="135">
        <v>0</v>
      </c>
      <c r="AP7" s="135">
        <v>0</v>
      </c>
      <c r="AQ7" s="135">
        <v>0</v>
      </c>
      <c r="AR7" s="136">
        <v>0</v>
      </c>
    </row>
    <row r="8" spans="2:44" ht="12" customHeight="1" x14ac:dyDescent="0.25">
      <c r="B8" s="134" t="s">
        <v>38</v>
      </c>
      <c r="C8" s="135" t="s">
        <v>50</v>
      </c>
      <c r="D8" s="135" t="s">
        <v>25</v>
      </c>
      <c r="E8" s="135" t="s">
        <v>25</v>
      </c>
      <c r="F8" s="135" t="s">
        <v>25</v>
      </c>
      <c r="G8" s="135" t="s">
        <v>33</v>
      </c>
      <c r="H8" s="135" t="s">
        <v>78</v>
      </c>
      <c r="I8" s="135" t="s">
        <v>25</v>
      </c>
      <c r="J8" s="135">
        <v>16.899999999999999</v>
      </c>
      <c r="K8" s="135">
        <v>19.649999999999999</v>
      </c>
      <c r="L8" s="135">
        <v>0.38986435571844702</v>
      </c>
      <c r="M8" s="135">
        <v>0</v>
      </c>
      <c r="N8" s="135">
        <v>0</v>
      </c>
      <c r="O8" s="135">
        <v>0</v>
      </c>
      <c r="P8" s="135">
        <v>0</v>
      </c>
      <c r="Q8" s="135">
        <v>12.8760823865665</v>
      </c>
      <c r="R8" s="135">
        <v>3.3692861785590602</v>
      </c>
      <c r="S8" s="135">
        <v>0</v>
      </c>
      <c r="T8" s="135">
        <v>0</v>
      </c>
      <c r="U8" s="135">
        <v>0</v>
      </c>
      <c r="V8" s="135">
        <v>0</v>
      </c>
      <c r="W8" s="135">
        <v>0</v>
      </c>
      <c r="X8" s="135">
        <v>0</v>
      </c>
      <c r="Y8" s="135">
        <v>0</v>
      </c>
      <c r="Z8" s="135">
        <v>0</v>
      </c>
      <c r="AA8" s="135">
        <v>0</v>
      </c>
      <c r="AB8" s="135">
        <v>0</v>
      </c>
      <c r="AC8" s="135">
        <v>0</v>
      </c>
      <c r="AD8" s="135">
        <v>0.24255242839058999</v>
      </c>
      <c r="AE8" s="135">
        <v>0</v>
      </c>
      <c r="AF8" s="135">
        <v>2.26469950796695E-2</v>
      </c>
      <c r="AG8" s="135">
        <v>0</v>
      </c>
      <c r="AH8" s="135">
        <v>0.56811904541236402</v>
      </c>
      <c r="AI8" s="135">
        <v>0</v>
      </c>
      <c r="AJ8" s="135">
        <v>0</v>
      </c>
      <c r="AK8" s="135">
        <v>0</v>
      </c>
      <c r="AL8" s="135">
        <v>0</v>
      </c>
      <c r="AM8" s="135">
        <v>19.078645846299601</v>
      </c>
      <c r="AN8" s="135">
        <v>0</v>
      </c>
      <c r="AO8" s="135">
        <v>0</v>
      </c>
      <c r="AP8" s="135">
        <v>0</v>
      </c>
      <c r="AQ8" s="135">
        <v>0</v>
      </c>
      <c r="AR8" s="136">
        <v>0</v>
      </c>
    </row>
    <row r="9" spans="2:44" ht="12" customHeight="1" x14ac:dyDescent="0.25">
      <c r="B9" s="134" t="s">
        <v>38</v>
      </c>
      <c r="C9" s="135" t="s">
        <v>50</v>
      </c>
      <c r="D9" s="135" t="s">
        <v>25</v>
      </c>
      <c r="E9" s="135" t="s">
        <v>25</v>
      </c>
      <c r="F9" s="135" t="s">
        <v>25</v>
      </c>
      <c r="G9" s="135" t="s">
        <v>33</v>
      </c>
      <c r="H9" s="135" t="s">
        <v>83</v>
      </c>
      <c r="I9" s="135" t="s">
        <v>25</v>
      </c>
      <c r="J9" s="135">
        <v>0.73</v>
      </c>
      <c r="K9" s="135">
        <v>0</v>
      </c>
      <c r="L9" s="135">
        <v>0</v>
      </c>
      <c r="M9" s="135">
        <v>0</v>
      </c>
      <c r="N9" s="135">
        <v>0</v>
      </c>
      <c r="O9" s="135">
        <v>0</v>
      </c>
      <c r="P9" s="135">
        <v>0</v>
      </c>
      <c r="Q9" s="135">
        <v>0</v>
      </c>
      <c r="R9" s="135">
        <v>0</v>
      </c>
      <c r="S9" s="135">
        <v>0</v>
      </c>
      <c r="T9" s="135">
        <v>0.38707860471567901</v>
      </c>
      <c r="U9" s="135">
        <v>0.34602072536025702</v>
      </c>
      <c r="V9" s="135">
        <v>0</v>
      </c>
      <c r="W9" s="135">
        <v>0</v>
      </c>
      <c r="X9" s="135">
        <v>0</v>
      </c>
      <c r="Y9" s="135">
        <v>0</v>
      </c>
      <c r="Z9" s="135">
        <v>0</v>
      </c>
      <c r="AA9" s="135">
        <v>0</v>
      </c>
      <c r="AB9" s="135">
        <v>0</v>
      </c>
      <c r="AC9" s="135">
        <v>0</v>
      </c>
      <c r="AD9" s="135">
        <v>0</v>
      </c>
      <c r="AE9" s="135">
        <v>0</v>
      </c>
      <c r="AF9" s="135">
        <v>0</v>
      </c>
      <c r="AG9" s="135">
        <v>0</v>
      </c>
      <c r="AH9" s="135">
        <v>0</v>
      </c>
      <c r="AI9" s="135">
        <v>0</v>
      </c>
      <c r="AJ9" s="135">
        <v>0</v>
      </c>
      <c r="AK9" s="135">
        <v>0</v>
      </c>
      <c r="AL9" s="135">
        <v>0</v>
      </c>
      <c r="AM9" s="135">
        <v>0</v>
      </c>
      <c r="AN9" s="135">
        <v>0</v>
      </c>
      <c r="AO9" s="135">
        <v>0</v>
      </c>
      <c r="AP9" s="135">
        <v>0</v>
      </c>
      <c r="AQ9" s="135">
        <v>0</v>
      </c>
      <c r="AR9" s="136">
        <v>0</v>
      </c>
    </row>
    <row r="10" spans="2:44" ht="12" customHeight="1" x14ac:dyDescent="0.25">
      <c r="B10" s="134" t="s">
        <v>38</v>
      </c>
      <c r="C10" s="135" t="s">
        <v>50</v>
      </c>
      <c r="D10" s="135" t="s">
        <v>25</v>
      </c>
      <c r="E10" s="135" t="s">
        <v>25</v>
      </c>
      <c r="F10" s="135" t="s">
        <v>25</v>
      </c>
      <c r="G10" s="135" t="s">
        <v>34</v>
      </c>
      <c r="H10" s="135" t="s">
        <v>78</v>
      </c>
      <c r="I10" s="135" t="s">
        <v>25</v>
      </c>
      <c r="J10" s="135">
        <v>16.899999999999999</v>
      </c>
      <c r="K10" s="135">
        <v>11.66</v>
      </c>
      <c r="L10" s="135">
        <v>0.38986435571844702</v>
      </c>
      <c r="M10" s="135">
        <v>0</v>
      </c>
      <c r="N10" s="135">
        <v>0</v>
      </c>
      <c r="O10" s="135">
        <v>0</v>
      </c>
      <c r="P10" s="135">
        <v>0</v>
      </c>
      <c r="Q10" s="135">
        <v>12.8760823865665</v>
      </c>
      <c r="R10" s="135">
        <v>3.3692861785590602</v>
      </c>
      <c r="S10" s="135">
        <v>0</v>
      </c>
      <c r="T10" s="135">
        <v>0</v>
      </c>
      <c r="U10" s="135">
        <v>0</v>
      </c>
      <c r="V10" s="135">
        <v>0</v>
      </c>
      <c r="W10" s="135">
        <v>0</v>
      </c>
      <c r="X10" s="135">
        <v>0</v>
      </c>
      <c r="Y10" s="135">
        <v>0</v>
      </c>
      <c r="Z10" s="135">
        <v>0</v>
      </c>
      <c r="AA10" s="135">
        <v>0</v>
      </c>
      <c r="AB10" s="135">
        <v>0</v>
      </c>
      <c r="AC10" s="135">
        <v>0</v>
      </c>
      <c r="AD10" s="135">
        <v>0.24255242839058999</v>
      </c>
      <c r="AE10" s="135">
        <v>0</v>
      </c>
      <c r="AF10" s="135">
        <v>2.26469950796695E-2</v>
      </c>
      <c r="AG10" s="135">
        <v>0</v>
      </c>
      <c r="AH10" s="135">
        <v>0.56811904541236402</v>
      </c>
      <c r="AI10" s="135">
        <v>0</v>
      </c>
      <c r="AJ10" s="135">
        <v>0</v>
      </c>
      <c r="AK10" s="135">
        <v>0</v>
      </c>
      <c r="AL10" s="135">
        <v>0</v>
      </c>
      <c r="AM10" s="135">
        <v>11.092235957150899</v>
      </c>
      <c r="AN10" s="135">
        <v>0</v>
      </c>
      <c r="AO10" s="135">
        <v>0</v>
      </c>
      <c r="AP10" s="135">
        <v>0</v>
      </c>
      <c r="AQ10" s="135">
        <v>0</v>
      </c>
      <c r="AR10" s="136">
        <v>0</v>
      </c>
    </row>
    <row r="11" spans="2:44" ht="12" customHeight="1" x14ac:dyDescent="0.25">
      <c r="B11" s="134" t="s">
        <v>38</v>
      </c>
      <c r="C11" s="135" t="s">
        <v>50</v>
      </c>
      <c r="D11" s="135" t="s">
        <v>25</v>
      </c>
      <c r="E11" s="135" t="s">
        <v>25</v>
      </c>
      <c r="F11" s="135" t="s">
        <v>25</v>
      </c>
      <c r="G11" s="135" t="s">
        <v>34</v>
      </c>
      <c r="H11" s="135" t="s">
        <v>83</v>
      </c>
      <c r="I11" s="135" t="s">
        <v>25</v>
      </c>
      <c r="J11" s="135">
        <v>0.69</v>
      </c>
      <c r="K11" s="135">
        <v>0</v>
      </c>
      <c r="L11" s="135">
        <v>0</v>
      </c>
      <c r="M11" s="135">
        <v>0</v>
      </c>
      <c r="N11" s="135">
        <v>0</v>
      </c>
      <c r="O11" s="135">
        <v>0</v>
      </c>
      <c r="P11" s="135">
        <v>0</v>
      </c>
      <c r="Q11" s="135">
        <v>0</v>
      </c>
      <c r="R11" s="135">
        <v>0</v>
      </c>
      <c r="S11" s="135">
        <v>0</v>
      </c>
      <c r="T11" s="135">
        <v>0.387146837949218</v>
      </c>
      <c r="U11" s="135">
        <v>0.29870888452507199</v>
      </c>
      <c r="V11" s="135">
        <v>0</v>
      </c>
      <c r="W11" s="135">
        <v>0</v>
      </c>
      <c r="X11" s="135">
        <v>0</v>
      </c>
      <c r="Y11" s="135">
        <v>0</v>
      </c>
      <c r="Z11" s="135">
        <v>0</v>
      </c>
      <c r="AA11" s="135">
        <v>0</v>
      </c>
      <c r="AB11" s="135">
        <v>0</v>
      </c>
      <c r="AC11" s="135">
        <v>0</v>
      </c>
      <c r="AD11" s="135">
        <v>0</v>
      </c>
      <c r="AE11" s="135">
        <v>0</v>
      </c>
      <c r="AF11" s="135">
        <v>0</v>
      </c>
      <c r="AG11" s="135">
        <v>0</v>
      </c>
      <c r="AH11" s="135">
        <v>0</v>
      </c>
      <c r="AI11" s="135">
        <v>0</v>
      </c>
      <c r="AJ11" s="135">
        <v>0</v>
      </c>
      <c r="AK11" s="135">
        <v>0</v>
      </c>
      <c r="AL11" s="135">
        <v>0</v>
      </c>
      <c r="AM11" s="135">
        <v>0</v>
      </c>
      <c r="AN11" s="135">
        <v>0</v>
      </c>
      <c r="AO11" s="135">
        <v>0</v>
      </c>
      <c r="AP11" s="135">
        <v>0</v>
      </c>
      <c r="AQ11" s="135">
        <v>0</v>
      </c>
      <c r="AR11" s="136">
        <v>0</v>
      </c>
    </row>
    <row r="12" spans="2:44" ht="12" customHeight="1" x14ac:dyDescent="0.25">
      <c r="B12" s="134" t="s">
        <v>38</v>
      </c>
      <c r="C12" s="135" t="s">
        <v>23</v>
      </c>
      <c r="D12" s="135" t="s">
        <v>25</v>
      </c>
      <c r="E12" s="135" t="s">
        <v>25</v>
      </c>
      <c r="F12" s="135" t="s">
        <v>25</v>
      </c>
      <c r="G12" s="135" t="s">
        <v>25</v>
      </c>
      <c r="H12" s="135" t="s">
        <v>78</v>
      </c>
      <c r="I12" s="135" t="s">
        <v>25</v>
      </c>
      <c r="J12" s="135">
        <v>0</v>
      </c>
      <c r="K12" s="135">
        <v>12.33</v>
      </c>
      <c r="L12" s="135">
        <v>0</v>
      </c>
      <c r="M12" s="135">
        <v>0</v>
      </c>
      <c r="N12" s="135">
        <v>0</v>
      </c>
      <c r="O12" s="135">
        <v>0</v>
      </c>
      <c r="P12" s="135">
        <v>0</v>
      </c>
      <c r="Q12" s="135">
        <v>0</v>
      </c>
      <c r="R12" s="135">
        <v>0</v>
      </c>
      <c r="S12" s="135">
        <v>0</v>
      </c>
      <c r="T12" s="135">
        <v>0</v>
      </c>
      <c r="U12" s="135">
        <v>0</v>
      </c>
      <c r="V12" s="135">
        <v>0</v>
      </c>
      <c r="W12" s="135">
        <v>0</v>
      </c>
      <c r="X12" s="135">
        <v>0</v>
      </c>
      <c r="Y12" s="135">
        <v>0</v>
      </c>
      <c r="Z12" s="135">
        <v>0</v>
      </c>
      <c r="AA12" s="135">
        <v>0</v>
      </c>
      <c r="AB12" s="135">
        <v>0</v>
      </c>
      <c r="AC12" s="135">
        <v>0</v>
      </c>
      <c r="AD12" s="135">
        <v>0</v>
      </c>
      <c r="AE12" s="135">
        <v>0</v>
      </c>
      <c r="AF12" s="135">
        <v>0</v>
      </c>
      <c r="AG12" s="135">
        <v>0</v>
      </c>
      <c r="AH12" s="135">
        <v>0.56811904541236402</v>
      </c>
      <c r="AI12" s="135">
        <v>0</v>
      </c>
      <c r="AJ12" s="135">
        <v>0</v>
      </c>
      <c r="AK12" s="135">
        <v>0</v>
      </c>
      <c r="AL12" s="135">
        <v>0</v>
      </c>
      <c r="AM12" s="135">
        <v>11.75777011458</v>
      </c>
      <c r="AN12" s="135">
        <v>0</v>
      </c>
      <c r="AO12" s="135">
        <v>0</v>
      </c>
      <c r="AP12" s="135">
        <v>0</v>
      </c>
      <c r="AQ12" s="135">
        <v>0</v>
      </c>
      <c r="AR12" s="136">
        <v>0</v>
      </c>
    </row>
    <row r="13" spans="2:44" ht="12" customHeight="1" x14ac:dyDescent="0.25">
      <c r="B13" s="134" t="s">
        <v>38</v>
      </c>
      <c r="C13" s="135" t="s">
        <v>58</v>
      </c>
      <c r="D13" s="135" t="s">
        <v>25</v>
      </c>
      <c r="E13" s="135" t="s">
        <v>25</v>
      </c>
      <c r="F13" s="135" t="s">
        <v>25</v>
      </c>
      <c r="G13" s="135" t="s">
        <v>25</v>
      </c>
      <c r="H13" s="135" t="s">
        <v>83</v>
      </c>
      <c r="I13" s="135" t="s">
        <v>25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5">
        <v>0</v>
      </c>
      <c r="R13" s="135">
        <v>0</v>
      </c>
      <c r="S13" s="135">
        <v>0</v>
      </c>
      <c r="T13" s="135">
        <v>0</v>
      </c>
      <c r="U13" s="135">
        <v>0</v>
      </c>
      <c r="V13" s="135">
        <v>0</v>
      </c>
      <c r="W13" s="135">
        <v>0</v>
      </c>
      <c r="X13" s="135">
        <v>0</v>
      </c>
      <c r="Y13" s="135">
        <v>0</v>
      </c>
      <c r="Z13" s="135">
        <v>0</v>
      </c>
      <c r="AA13" s="135">
        <v>0</v>
      </c>
      <c r="AB13" s="135">
        <v>0</v>
      </c>
      <c r="AC13" s="135">
        <v>0</v>
      </c>
      <c r="AD13" s="135">
        <v>0</v>
      </c>
      <c r="AE13" s="135">
        <v>0</v>
      </c>
      <c r="AF13" s="135">
        <v>0</v>
      </c>
      <c r="AG13" s="135">
        <v>0</v>
      </c>
      <c r="AH13" s="135">
        <v>0</v>
      </c>
      <c r="AI13" s="135">
        <v>0</v>
      </c>
      <c r="AJ13" s="135">
        <v>0</v>
      </c>
      <c r="AK13" s="135">
        <v>0</v>
      </c>
      <c r="AL13" s="135">
        <v>0</v>
      </c>
      <c r="AM13" s="135">
        <v>0</v>
      </c>
      <c r="AN13" s="135">
        <v>0</v>
      </c>
      <c r="AO13" s="135">
        <v>0</v>
      </c>
      <c r="AP13" s="135">
        <v>0</v>
      </c>
      <c r="AQ13" s="135">
        <v>0</v>
      </c>
      <c r="AR13" s="136">
        <v>0</v>
      </c>
    </row>
    <row r="14" spans="2:44" ht="12" customHeight="1" x14ac:dyDescent="0.25">
      <c r="B14" s="134" t="s">
        <v>38</v>
      </c>
      <c r="C14" s="135" t="s">
        <v>39</v>
      </c>
      <c r="D14" s="135" t="s">
        <v>25</v>
      </c>
      <c r="E14" s="135" t="s">
        <v>25</v>
      </c>
      <c r="F14" s="135" t="s">
        <v>86</v>
      </c>
      <c r="G14" s="135" t="s">
        <v>33</v>
      </c>
      <c r="H14" s="135" t="s">
        <v>78</v>
      </c>
      <c r="I14" s="135" t="s">
        <v>25</v>
      </c>
      <c r="J14" s="135">
        <v>17.899999999999999</v>
      </c>
      <c r="K14" s="135">
        <v>0</v>
      </c>
      <c r="L14" s="135">
        <v>0</v>
      </c>
      <c r="M14" s="135">
        <v>0</v>
      </c>
      <c r="N14" s="135">
        <v>0</v>
      </c>
      <c r="O14" s="135">
        <v>0</v>
      </c>
      <c r="P14" s="135">
        <v>0</v>
      </c>
      <c r="Q14" s="135">
        <v>0</v>
      </c>
      <c r="R14" s="135">
        <v>0</v>
      </c>
      <c r="S14" s="135">
        <v>0</v>
      </c>
      <c r="T14" s="135">
        <v>9.3091624016512107</v>
      </c>
      <c r="U14" s="135">
        <v>8.32183546739126</v>
      </c>
      <c r="V14" s="135">
        <v>0</v>
      </c>
      <c r="W14" s="135">
        <v>0</v>
      </c>
      <c r="X14" s="135">
        <v>0</v>
      </c>
      <c r="Y14" s="135">
        <v>0</v>
      </c>
      <c r="Z14" s="135">
        <v>0</v>
      </c>
      <c r="AA14" s="135">
        <v>0</v>
      </c>
      <c r="AB14" s="135">
        <v>0</v>
      </c>
      <c r="AC14" s="135">
        <v>0</v>
      </c>
      <c r="AD14" s="135">
        <v>0.24255242839058999</v>
      </c>
      <c r="AE14" s="135">
        <v>0</v>
      </c>
      <c r="AF14" s="135">
        <v>2.26469950796695E-2</v>
      </c>
      <c r="AG14" s="135">
        <v>0</v>
      </c>
      <c r="AH14" s="135">
        <v>0</v>
      </c>
      <c r="AI14" s="135">
        <v>0</v>
      </c>
      <c r="AJ14" s="135">
        <v>0</v>
      </c>
      <c r="AK14" s="135">
        <v>0</v>
      </c>
      <c r="AL14" s="135">
        <v>0</v>
      </c>
      <c r="AM14" s="135">
        <v>0</v>
      </c>
      <c r="AN14" s="135">
        <v>0</v>
      </c>
      <c r="AO14" s="135">
        <v>0</v>
      </c>
      <c r="AP14" s="135">
        <v>0</v>
      </c>
      <c r="AQ14" s="135">
        <v>0</v>
      </c>
      <c r="AR14" s="136">
        <v>0</v>
      </c>
    </row>
    <row r="15" spans="2:44" ht="12" customHeight="1" x14ac:dyDescent="0.25">
      <c r="B15" s="134" t="s">
        <v>38</v>
      </c>
      <c r="C15" s="135" t="s">
        <v>39</v>
      </c>
      <c r="D15" s="135" t="s">
        <v>25</v>
      </c>
      <c r="E15" s="135" t="s">
        <v>25</v>
      </c>
      <c r="F15" s="135" t="s">
        <v>86</v>
      </c>
      <c r="G15" s="135" t="s">
        <v>25</v>
      </c>
      <c r="H15" s="135" t="s">
        <v>83</v>
      </c>
      <c r="I15" s="135" t="s">
        <v>25</v>
      </c>
      <c r="J15" s="135">
        <v>0.69</v>
      </c>
      <c r="K15" s="135">
        <v>0</v>
      </c>
      <c r="L15" s="135">
        <v>0</v>
      </c>
      <c r="M15" s="135">
        <v>0</v>
      </c>
      <c r="N15" s="135">
        <v>0</v>
      </c>
      <c r="O15" s="135">
        <v>0</v>
      </c>
      <c r="P15" s="135">
        <v>0</v>
      </c>
      <c r="Q15" s="135">
        <v>0</v>
      </c>
      <c r="R15" s="135">
        <v>0</v>
      </c>
      <c r="S15" s="135">
        <v>0</v>
      </c>
      <c r="T15" s="135">
        <v>0.387146837949218</v>
      </c>
      <c r="U15" s="135">
        <v>0.29870888452507199</v>
      </c>
      <c r="V15" s="135">
        <v>0</v>
      </c>
      <c r="W15" s="135">
        <v>0</v>
      </c>
      <c r="X15" s="135">
        <v>0</v>
      </c>
      <c r="Y15" s="135">
        <v>0</v>
      </c>
      <c r="Z15" s="135">
        <v>0</v>
      </c>
      <c r="AA15" s="135">
        <v>0</v>
      </c>
      <c r="AB15" s="135">
        <v>0</v>
      </c>
      <c r="AC15" s="135">
        <v>0</v>
      </c>
      <c r="AD15" s="135">
        <v>0</v>
      </c>
      <c r="AE15" s="135">
        <v>0</v>
      </c>
      <c r="AF15" s="135">
        <v>0</v>
      </c>
      <c r="AG15" s="135">
        <v>0</v>
      </c>
      <c r="AH15" s="135">
        <v>0</v>
      </c>
      <c r="AI15" s="135">
        <v>0</v>
      </c>
      <c r="AJ15" s="135">
        <v>0</v>
      </c>
      <c r="AK15" s="135">
        <v>0</v>
      </c>
      <c r="AL15" s="135">
        <v>0</v>
      </c>
      <c r="AM15" s="135">
        <v>0</v>
      </c>
      <c r="AN15" s="135">
        <v>0</v>
      </c>
      <c r="AO15" s="135">
        <v>0</v>
      </c>
      <c r="AP15" s="135">
        <v>0</v>
      </c>
      <c r="AQ15" s="135">
        <v>0</v>
      </c>
      <c r="AR15" s="136">
        <v>0</v>
      </c>
    </row>
    <row r="16" spans="2:44" ht="12" customHeight="1" x14ac:dyDescent="0.25">
      <c r="B16" s="134" t="s">
        <v>38</v>
      </c>
      <c r="C16" s="135" t="s">
        <v>39</v>
      </c>
      <c r="D16" s="135" t="s">
        <v>25</v>
      </c>
      <c r="E16" s="135" t="s">
        <v>25</v>
      </c>
      <c r="F16" s="135" t="s">
        <v>86</v>
      </c>
      <c r="G16" s="135" t="s">
        <v>34</v>
      </c>
      <c r="H16" s="135" t="s">
        <v>78</v>
      </c>
      <c r="I16" s="135" t="s">
        <v>25</v>
      </c>
      <c r="J16" s="135">
        <v>0.27</v>
      </c>
      <c r="K16" s="135">
        <v>0</v>
      </c>
      <c r="L16" s="135">
        <v>0</v>
      </c>
      <c r="M16" s="135">
        <v>0</v>
      </c>
      <c r="N16" s="135">
        <v>0</v>
      </c>
      <c r="O16" s="135">
        <v>0</v>
      </c>
      <c r="P16" s="135">
        <v>0</v>
      </c>
      <c r="Q16" s="135">
        <v>0</v>
      </c>
      <c r="R16" s="135">
        <v>0</v>
      </c>
      <c r="S16" s="135">
        <v>0</v>
      </c>
      <c r="T16" s="135">
        <v>0</v>
      </c>
      <c r="U16" s="135">
        <v>0</v>
      </c>
      <c r="V16" s="135">
        <v>0</v>
      </c>
      <c r="W16" s="135">
        <v>0</v>
      </c>
      <c r="X16" s="135">
        <v>0</v>
      </c>
      <c r="Y16" s="135">
        <v>0</v>
      </c>
      <c r="Z16" s="135">
        <v>0</v>
      </c>
      <c r="AA16" s="135">
        <v>0</v>
      </c>
      <c r="AB16" s="135">
        <v>0</v>
      </c>
      <c r="AC16" s="135">
        <v>0</v>
      </c>
      <c r="AD16" s="135">
        <v>0.24255242839058999</v>
      </c>
      <c r="AE16" s="135">
        <v>0</v>
      </c>
      <c r="AF16" s="135">
        <v>2.26469950796695E-2</v>
      </c>
      <c r="AG16" s="135">
        <v>0</v>
      </c>
      <c r="AH16" s="135">
        <v>0</v>
      </c>
      <c r="AI16" s="135">
        <v>0</v>
      </c>
      <c r="AJ16" s="135">
        <v>0</v>
      </c>
      <c r="AK16" s="135">
        <v>0</v>
      </c>
      <c r="AL16" s="135">
        <v>0</v>
      </c>
      <c r="AM16" s="135">
        <v>0</v>
      </c>
      <c r="AN16" s="135">
        <v>0</v>
      </c>
      <c r="AO16" s="135">
        <v>0</v>
      </c>
      <c r="AP16" s="135">
        <v>0</v>
      </c>
      <c r="AQ16" s="135">
        <v>0</v>
      </c>
      <c r="AR16" s="136">
        <v>0</v>
      </c>
    </row>
    <row r="17" spans="2:44" ht="12" customHeight="1" x14ac:dyDescent="0.25">
      <c r="B17" s="134" t="s">
        <v>38</v>
      </c>
      <c r="C17" s="135" t="s">
        <v>39</v>
      </c>
      <c r="D17" s="135" t="s">
        <v>25</v>
      </c>
      <c r="E17" s="135" t="s">
        <v>25</v>
      </c>
      <c r="F17" s="135" t="s">
        <v>25</v>
      </c>
      <c r="G17" s="135" t="s">
        <v>33</v>
      </c>
      <c r="H17" s="135" t="s">
        <v>78</v>
      </c>
      <c r="I17" s="135" t="s">
        <v>25</v>
      </c>
      <c r="J17" s="135">
        <v>34.53</v>
      </c>
      <c r="K17" s="135">
        <v>19.649999999999999</v>
      </c>
      <c r="L17" s="135">
        <v>0.38986435571844702</v>
      </c>
      <c r="M17" s="135">
        <v>0</v>
      </c>
      <c r="N17" s="135">
        <v>0</v>
      </c>
      <c r="O17" s="135">
        <v>0</v>
      </c>
      <c r="P17" s="135">
        <v>0</v>
      </c>
      <c r="Q17" s="135">
        <v>12.8760823865665</v>
      </c>
      <c r="R17" s="135">
        <v>3.3692861785590602</v>
      </c>
      <c r="S17" s="135">
        <v>0</v>
      </c>
      <c r="T17" s="135">
        <v>9.3091624016512107</v>
      </c>
      <c r="U17" s="135">
        <v>8.32183546739126</v>
      </c>
      <c r="V17" s="135">
        <v>0</v>
      </c>
      <c r="W17" s="135">
        <v>0</v>
      </c>
      <c r="X17" s="135">
        <v>0</v>
      </c>
      <c r="Y17" s="135">
        <v>0</v>
      </c>
      <c r="Z17" s="135">
        <v>0</v>
      </c>
      <c r="AA17" s="135">
        <v>0</v>
      </c>
      <c r="AB17" s="135">
        <v>0</v>
      </c>
      <c r="AC17" s="135">
        <v>0</v>
      </c>
      <c r="AD17" s="135">
        <v>0.24255242839058999</v>
      </c>
      <c r="AE17" s="135">
        <v>0</v>
      </c>
      <c r="AF17" s="135">
        <v>2.26469950796695E-2</v>
      </c>
      <c r="AG17" s="135">
        <v>0</v>
      </c>
      <c r="AH17" s="135">
        <v>0.56811904541236402</v>
      </c>
      <c r="AI17" s="135">
        <v>0</v>
      </c>
      <c r="AJ17" s="135">
        <v>0</v>
      </c>
      <c r="AK17" s="135">
        <v>0</v>
      </c>
      <c r="AL17" s="135">
        <v>0</v>
      </c>
      <c r="AM17" s="135">
        <v>19.078645846299601</v>
      </c>
      <c r="AN17" s="135">
        <v>0</v>
      </c>
      <c r="AO17" s="135">
        <v>0</v>
      </c>
      <c r="AP17" s="135">
        <v>0</v>
      </c>
      <c r="AQ17" s="135">
        <v>0</v>
      </c>
      <c r="AR17" s="136">
        <v>0</v>
      </c>
    </row>
    <row r="18" spans="2:44" ht="12" customHeight="1" x14ac:dyDescent="0.25">
      <c r="B18" s="134" t="s">
        <v>38</v>
      </c>
      <c r="C18" s="135" t="s">
        <v>39</v>
      </c>
      <c r="D18" s="135" t="s">
        <v>25</v>
      </c>
      <c r="E18" s="135" t="s">
        <v>25</v>
      </c>
      <c r="F18" s="135" t="s">
        <v>25</v>
      </c>
      <c r="G18" s="135" t="s">
        <v>25</v>
      </c>
      <c r="H18" s="135" t="s">
        <v>83</v>
      </c>
      <c r="I18" s="135" t="s">
        <v>25</v>
      </c>
      <c r="J18" s="135">
        <v>0.69</v>
      </c>
      <c r="K18" s="135">
        <v>0</v>
      </c>
      <c r="L18" s="135">
        <v>0</v>
      </c>
      <c r="M18" s="135">
        <v>0</v>
      </c>
      <c r="N18" s="135">
        <v>0</v>
      </c>
      <c r="O18" s="135">
        <v>0</v>
      </c>
      <c r="P18" s="135">
        <v>0</v>
      </c>
      <c r="Q18" s="135">
        <v>0</v>
      </c>
      <c r="R18" s="135">
        <v>0</v>
      </c>
      <c r="S18" s="135">
        <v>0</v>
      </c>
      <c r="T18" s="135">
        <v>0.387146837949218</v>
      </c>
      <c r="U18" s="135">
        <v>0.29870888452507199</v>
      </c>
      <c r="V18" s="135">
        <v>0</v>
      </c>
      <c r="W18" s="135">
        <v>0</v>
      </c>
      <c r="X18" s="135">
        <v>0</v>
      </c>
      <c r="Y18" s="135">
        <v>0</v>
      </c>
      <c r="Z18" s="135">
        <v>0</v>
      </c>
      <c r="AA18" s="135">
        <v>0</v>
      </c>
      <c r="AB18" s="135">
        <v>0</v>
      </c>
      <c r="AC18" s="135">
        <v>0</v>
      </c>
      <c r="AD18" s="135">
        <v>0</v>
      </c>
      <c r="AE18" s="135">
        <v>0</v>
      </c>
      <c r="AF18" s="135">
        <v>0</v>
      </c>
      <c r="AG18" s="135">
        <v>0</v>
      </c>
      <c r="AH18" s="135">
        <v>0</v>
      </c>
      <c r="AI18" s="135">
        <v>0</v>
      </c>
      <c r="AJ18" s="135">
        <v>0</v>
      </c>
      <c r="AK18" s="135">
        <v>0</v>
      </c>
      <c r="AL18" s="135">
        <v>0</v>
      </c>
      <c r="AM18" s="135">
        <v>0</v>
      </c>
      <c r="AN18" s="135">
        <v>0</v>
      </c>
      <c r="AO18" s="135">
        <v>0</v>
      </c>
      <c r="AP18" s="135">
        <v>0</v>
      </c>
      <c r="AQ18" s="135">
        <v>0</v>
      </c>
      <c r="AR18" s="136">
        <v>0</v>
      </c>
    </row>
    <row r="19" spans="2:44" ht="12" customHeight="1" x14ac:dyDescent="0.25">
      <c r="B19" s="134" t="s">
        <v>38</v>
      </c>
      <c r="C19" s="135" t="s">
        <v>39</v>
      </c>
      <c r="D19" s="135" t="s">
        <v>25</v>
      </c>
      <c r="E19" s="135" t="s">
        <v>25</v>
      </c>
      <c r="F19" s="135" t="s">
        <v>25</v>
      </c>
      <c r="G19" s="135" t="s">
        <v>34</v>
      </c>
      <c r="H19" s="135" t="s">
        <v>78</v>
      </c>
      <c r="I19" s="135" t="s">
        <v>25</v>
      </c>
      <c r="J19" s="135">
        <v>16.899999999999999</v>
      </c>
      <c r="K19" s="135">
        <v>11.66</v>
      </c>
      <c r="L19" s="135">
        <v>0.38986435571844702</v>
      </c>
      <c r="M19" s="135">
        <v>0</v>
      </c>
      <c r="N19" s="135">
        <v>0</v>
      </c>
      <c r="O19" s="135">
        <v>0</v>
      </c>
      <c r="P19" s="135">
        <v>0</v>
      </c>
      <c r="Q19" s="135">
        <v>12.8760823865665</v>
      </c>
      <c r="R19" s="135">
        <v>3.3692861785590602</v>
      </c>
      <c r="S19" s="135">
        <v>0</v>
      </c>
      <c r="T19" s="135">
        <v>0</v>
      </c>
      <c r="U19" s="135">
        <v>0</v>
      </c>
      <c r="V19" s="135">
        <v>0</v>
      </c>
      <c r="W19" s="135">
        <v>0</v>
      </c>
      <c r="X19" s="135">
        <v>0</v>
      </c>
      <c r="Y19" s="135">
        <v>0</v>
      </c>
      <c r="Z19" s="135">
        <v>0</v>
      </c>
      <c r="AA19" s="135">
        <v>0</v>
      </c>
      <c r="AB19" s="135">
        <v>0</v>
      </c>
      <c r="AC19" s="135">
        <v>0</v>
      </c>
      <c r="AD19" s="135">
        <v>0.24255242839058999</v>
      </c>
      <c r="AE19" s="135">
        <v>0</v>
      </c>
      <c r="AF19" s="135">
        <v>2.26469950796695E-2</v>
      </c>
      <c r="AG19" s="135">
        <v>0</v>
      </c>
      <c r="AH19" s="135">
        <v>0.56811904541236402</v>
      </c>
      <c r="AI19" s="135">
        <v>0</v>
      </c>
      <c r="AJ19" s="135">
        <v>0</v>
      </c>
      <c r="AK19" s="135">
        <v>0</v>
      </c>
      <c r="AL19" s="135">
        <v>0</v>
      </c>
      <c r="AM19" s="135">
        <v>11.092235957150899</v>
      </c>
      <c r="AN19" s="135">
        <v>0</v>
      </c>
      <c r="AO19" s="135">
        <v>0</v>
      </c>
      <c r="AP19" s="135">
        <v>0</v>
      </c>
      <c r="AQ19" s="135">
        <v>0</v>
      </c>
      <c r="AR19" s="136">
        <v>0</v>
      </c>
    </row>
    <row r="20" spans="2:44" ht="12" customHeight="1" x14ac:dyDescent="0.25">
      <c r="B20" s="134" t="s">
        <v>89</v>
      </c>
      <c r="C20" s="135" t="s">
        <v>58</v>
      </c>
      <c r="D20" s="135" t="s">
        <v>25</v>
      </c>
      <c r="E20" s="135" t="s">
        <v>25</v>
      </c>
      <c r="F20" s="135" t="s">
        <v>90</v>
      </c>
      <c r="G20" s="135" t="s">
        <v>25</v>
      </c>
      <c r="H20" s="135" t="s">
        <v>83</v>
      </c>
      <c r="I20" s="135" t="s">
        <v>25</v>
      </c>
      <c r="J20" s="135">
        <v>0</v>
      </c>
      <c r="K20" s="135">
        <v>0</v>
      </c>
      <c r="L20" s="135">
        <v>0</v>
      </c>
      <c r="M20" s="135">
        <v>0</v>
      </c>
      <c r="N20" s="135">
        <v>0</v>
      </c>
      <c r="O20" s="135">
        <v>0</v>
      </c>
      <c r="P20" s="135">
        <v>0</v>
      </c>
      <c r="Q20" s="135">
        <v>0</v>
      </c>
      <c r="R20" s="135">
        <v>0</v>
      </c>
      <c r="S20" s="135">
        <v>0</v>
      </c>
      <c r="T20" s="135">
        <v>0</v>
      </c>
      <c r="U20" s="135">
        <v>0</v>
      </c>
      <c r="V20" s="135">
        <v>0</v>
      </c>
      <c r="W20" s="135">
        <v>0</v>
      </c>
      <c r="X20" s="135">
        <v>0</v>
      </c>
      <c r="Y20" s="135">
        <v>0</v>
      </c>
      <c r="Z20" s="135">
        <v>0</v>
      </c>
      <c r="AA20" s="135">
        <v>0</v>
      </c>
      <c r="AB20" s="135">
        <v>0</v>
      </c>
      <c r="AC20" s="135">
        <v>0</v>
      </c>
      <c r="AD20" s="135">
        <v>0</v>
      </c>
      <c r="AE20" s="135">
        <v>0</v>
      </c>
      <c r="AF20" s="135">
        <v>0</v>
      </c>
      <c r="AG20" s="135">
        <v>0</v>
      </c>
      <c r="AH20" s="135">
        <v>0</v>
      </c>
      <c r="AI20" s="135">
        <v>0</v>
      </c>
      <c r="AJ20" s="135">
        <v>0</v>
      </c>
      <c r="AK20" s="135">
        <v>0</v>
      </c>
      <c r="AL20" s="135">
        <v>0</v>
      </c>
      <c r="AM20" s="135">
        <v>0</v>
      </c>
      <c r="AN20" s="135">
        <v>0</v>
      </c>
      <c r="AO20" s="135">
        <v>0</v>
      </c>
      <c r="AP20" s="135">
        <v>0</v>
      </c>
      <c r="AQ20" s="135">
        <v>0</v>
      </c>
      <c r="AR20" s="136">
        <v>0</v>
      </c>
    </row>
    <row r="21" spans="2:44" ht="12" customHeight="1" x14ac:dyDescent="0.25">
      <c r="B21" s="134" t="s">
        <v>89</v>
      </c>
      <c r="C21" s="135" t="s">
        <v>58</v>
      </c>
      <c r="D21" s="135" t="s">
        <v>25</v>
      </c>
      <c r="E21" s="135" t="s">
        <v>25</v>
      </c>
      <c r="F21" s="135" t="s">
        <v>91</v>
      </c>
      <c r="G21" s="135" t="s">
        <v>25</v>
      </c>
      <c r="H21" s="135" t="s">
        <v>83</v>
      </c>
      <c r="I21" s="135" t="s">
        <v>25</v>
      </c>
      <c r="J21" s="135">
        <v>0</v>
      </c>
      <c r="K21" s="135">
        <v>0</v>
      </c>
      <c r="L21" s="135">
        <v>0</v>
      </c>
      <c r="M21" s="135">
        <v>0</v>
      </c>
      <c r="N21" s="135">
        <v>0</v>
      </c>
      <c r="O21" s="135">
        <v>0</v>
      </c>
      <c r="P21" s="135">
        <v>0</v>
      </c>
      <c r="Q21" s="135">
        <v>0</v>
      </c>
      <c r="R21" s="135">
        <v>0</v>
      </c>
      <c r="S21" s="135">
        <v>0</v>
      </c>
      <c r="T21" s="135">
        <v>0</v>
      </c>
      <c r="U21" s="135">
        <v>0</v>
      </c>
      <c r="V21" s="135">
        <v>0</v>
      </c>
      <c r="W21" s="135">
        <v>0</v>
      </c>
      <c r="X21" s="135">
        <v>0</v>
      </c>
      <c r="Y21" s="135">
        <v>0</v>
      </c>
      <c r="Z21" s="135">
        <v>0</v>
      </c>
      <c r="AA21" s="135">
        <v>0</v>
      </c>
      <c r="AB21" s="135">
        <v>0</v>
      </c>
      <c r="AC21" s="135">
        <v>0</v>
      </c>
      <c r="AD21" s="135">
        <v>0</v>
      </c>
      <c r="AE21" s="135">
        <v>0</v>
      </c>
      <c r="AF21" s="135">
        <v>0</v>
      </c>
      <c r="AG21" s="135">
        <v>0</v>
      </c>
      <c r="AH21" s="135">
        <v>0</v>
      </c>
      <c r="AI21" s="135">
        <v>0</v>
      </c>
      <c r="AJ21" s="135">
        <v>0</v>
      </c>
      <c r="AK21" s="135">
        <v>0</v>
      </c>
      <c r="AL21" s="135">
        <v>0</v>
      </c>
      <c r="AM21" s="135">
        <v>0</v>
      </c>
      <c r="AN21" s="135">
        <v>0</v>
      </c>
      <c r="AO21" s="135">
        <v>0</v>
      </c>
      <c r="AP21" s="135">
        <v>0</v>
      </c>
      <c r="AQ21" s="135">
        <v>0</v>
      </c>
      <c r="AR21" s="136">
        <v>0</v>
      </c>
    </row>
    <row r="22" spans="2:44" ht="12" customHeight="1" x14ac:dyDescent="0.25">
      <c r="B22" s="134" t="s">
        <v>22</v>
      </c>
      <c r="C22" s="135" t="s">
        <v>32</v>
      </c>
      <c r="D22" s="135" t="s">
        <v>24</v>
      </c>
      <c r="E22" s="135" t="s">
        <v>24</v>
      </c>
      <c r="F22" s="135" t="s">
        <v>25</v>
      </c>
      <c r="G22" s="135" t="s">
        <v>33</v>
      </c>
      <c r="H22" s="135" t="s">
        <v>78</v>
      </c>
      <c r="I22" s="135" t="s">
        <v>25</v>
      </c>
      <c r="J22" s="135">
        <v>30.61</v>
      </c>
      <c r="K22" s="135">
        <v>19.649999999999999</v>
      </c>
      <c r="L22" s="135">
        <v>0.46412423299815098</v>
      </c>
      <c r="M22" s="135">
        <v>0</v>
      </c>
      <c r="N22" s="135">
        <v>0</v>
      </c>
      <c r="O22" s="135">
        <v>0</v>
      </c>
      <c r="P22" s="135">
        <v>0</v>
      </c>
      <c r="Q22" s="135">
        <v>15.3286695078172</v>
      </c>
      <c r="R22" s="135">
        <v>3.3692861785590602</v>
      </c>
      <c r="S22" s="135">
        <v>0</v>
      </c>
      <c r="T22" s="135">
        <v>5.7429098049356302</v>
      </c>
      <c r="U22" s="135">
        <v>4.8133162852610498</v>
      </c>
      <c r="V22" s="135">
        <v>0</v>
      </c>
      <c r="W22" s="135">
        <v>0</v>
      </c>
      <c r="X22" s="135">
        <v>0</v>
      </c>
      <c r="Y22" s="135">
        <v>0</v>
      </c>
      <c r="Z22" s="135">
        <v>0</v>
      </c>
      <c r="AA22" s="135">
        <v>0</v>
      </c>
      <c r="AB22" s="135">
        <v>0</v>
      </c>
      <c r="AC22" s="135">
        <v>0</v>
      </c>
      <c r="AD22" s="135">
        <v>0.85787769158564997</v>
      </c>
      <c r="AE22" s="135">
        <v>0</v>
      </c>
      <c r="AF22" s="135">
        <v>3.08713805899259E-2</v>
      </c>
      <c r="AG22" s="135">
        <v>0</v>
      </c>
      <c r="AH22" s="135">
        <v>0.56811904541236402</v>
      </c>
      <c r="AI22" s="135">
        <v>0</v>
      </c>
      <c r="AJ22" s="135">
        <v>0</v>
      </c>
      <c r="AK22" s="135">
        <v>0</v>
      </c>
      <c r="AL22" s="135">
        <v>0</v>
      </c>
      <c r="AM22" s="135">
        <v>19.078645846299601</v>
      </c>
      <c r="AN22" s="135">
        <v>0</v>
      </c>
      <c r="AO22" s="135">
        <v>0</v>
      </c>
      <c r="AP22" s="135">
        <v>0</v>
      </c>
      <c r="AQ22" s="135">
        <v>0</v>
      </c>
      <c r="AR22" s="136">
        <v>0</v>
      </c>
    </row>
    <row r="23" spans="2:44" ht="12" customHeight="1" x14ac:dyDescent="0.25">
      <c r="B23" s="134" t="s">
        <v>22</v>
      </c>
      <c r="C23" s="135" t="s">
        <v>32</v>
      </c>
      <c r="D23" s="135" t="s">
        <v>24</v>
      </c>
      <c r="E23" s="135" t="s">
        <v>24</v>
      </c>
      <c r="F23" s="135" t="s">
        <v>25</v>
      </c>
      <c r="G23" s="135" t="s">
        <v>35</v>
      </c>
      <c r="H23" s="135" t="s">
        <v>78</v>
      </c>
      <c r="I23" s="135" t="s">
        <v>25</v>
      </c>
      <c r="J23" s="135">
        <v>25.33</v>
      </c>
      <c r="K23" s="135">
        <v>11.66</v>
      </c>
      <c r="L23" s="135">
        <v>0.46412423299815098</v>
      </c>
      <c r="M23" s="135">
        <v>0</v>
      </c>
      <c r="N23" s="135">
        <v>0</v>
      </c>
      <c r="O23" s="135">
        <v>0</v>
      </c>
      <c r="P23" s="135">
        <v>0</v>
      </c>
      <c r="Q23" s="135">
        <v>15.3286695078172</v>
      </c>
      <c r="R23" s="135">
        <v>3.3692861785590602</v>
      </c>
      <c r="S23" s="135">
        <v>0</v>
      </c>
      <c r="T23" s="135">
        <v>2.8714591670449101</v>
      </c>
      <c r="U23" s="135">
        <v>2.4066533345166201</v>
      </c>
      <c r="V23" s="135">
        <v>0</v>
      </c>
      <c r="W23" s="135">
        <v>0</v>
      </c>
      <c r="X23" s="135">
        <v>0</v>
      </c>
      <c r="Y23" s="135">
        <v>0</v>
      </c>
      <c r="Z23" s="135">
        <v>0</v>
      </c>
      <c r="AA23" s="135">
        <v>0</v>
      </c>
      <c r="AB23" s="135">
        <v>0</v>
      </c>
      <c r="AC23" s="135">
        <v>0</v>
      </c>
      <c r="AD23" s="135">
        <v>0.85787769158564997</v>
      </c>
      <c r="AE23" s="135">
        <v>0</v>
      </c>
      <c r="AF23" s="135">
        <v>3.08713805899259E-2</v>
      </c>
      <c r="AG23" s="135">
        <v>0</v>
      </c>
      <c r="AH23" s="135">
        <v>0.56811904541236402</v>
      </c>
      <c r="AI23" s="135">
        <v>0</v>
      </c>
      <c r="AJ23" s="135">
        <v>0</v>
      </c>
      <c r="AK23" s="135">
        <v>0</v>
      </c>
      <c r="AL23" s="135">
        <v>0</v>
      </c>
      <c r="AM23" s="135">
        <v>11.092235957150899</v>
      </c>
      <c r="AN23" s="135">
        <v>0</v>
      </c>
      <c r="AO23" s="135">
        <v>0</v>
      </c>
      <c r="AP23" s="135">
        <v>0</v>
      </c>
      <c r="AQ23" s="135">
        <v>0</v>
      </c>
      <c r="AR23" s="136">
        <v>0</v>
      </c>
    </row>
    <row r="24" spans="2:44" ht="12" customHeight="1" x14ac:dyDescent="0.25">
      <c r="B24" s="134" t="s">
        <v>22</v>
      </c>
      <c r="C24" s="135" t="s">
        <v>32</v>
      </c>
      <c r="D24" s="135" t="s">
        <v>24</v>
      </c>
      <c r="E24" s="135" t="s">
        <v>24</v>
      </c>
      <c r="F24" s="135" t="s">
        <v>25</v>
      </c>
      <c r="G24" s="135" t="s">
        <v>34</v>
      </c>
      <c r="H24" s="135" t="s">
        <v>78</v>
      </c>
      <c r="I24" s="135" t="s">
        <v>25</v>
      </c>
      <c r="J24" s="135">
        <v>21.11</v>
      </c>
      <c r="K24" s="135">
        <v>11.66</v>
      </c>
      <c r="L24" s="135">
        <v>0.46412423299815098</v>
      </c>
      <c r="M24" s="135">
        <v>0</v>
      </c>
      <c r="N24" s="135">
        <v>0</v>
      </c>
      <c r="O24" s="135">
        <v>0</v>
      </c>
      <c r="P24" s="135">
        <v>0</v>
      </c>
      <c r="Q24" s="135">
        <v>15.3286695078172</v>
      </c>
      <c r="R24" s="135">
        <v>3.3692861785590602</v>
      </c>
      <c r="S24" s="135">
        <v>0</v>
      </c>
      <c r="T24" s="135">
        <v>0.57429353923982096</v>
      </c>
      <c r="U24" s="135">
        <v>0.48133066690332399</v>
      </c>
      <c r="V24" s="135">
        <v>0</v>
      </c>
      <c r="W24" s="135">
        <v>0</v>
      </c>
      <c r="X24" s="135">
        <v>0</v>
      </c>
      <c r="Y24" s="135">
        <v>0</v>
      </c>
      <c r="Z24" s="135">
        <v>0</v>
      </c>
      <c r="AA24" s="135">
        <v>0</v>
      </c>
      <c r="AB24" s="135">
        <v>0</v>
      </c>
      <c r="AC24" s="135">
        <v>0</v>
      </c>
      <c r="AD24" s="135">
        <v>0.85787769158564997</v>
      </c>
      <c r="AE24" s="135">
        <v>0</v>
      </c>
      <c r="AF24" s="135">
        <v>3.08713805899259E-2</v>
      </c>
      <c r="AG24" s="135">
        <v>0</v>
      </c>
      <c r="AH24" s="135">
        <v>0.56811904541236402</v>
      </c>
      <c r="AI24" s="135">
        <v>0</v>
      </c>
      <c r="AJ24" s="135">
        <v>0</v>
      </c>
      <c r="AK24" s="135">
        <v>0</v>
      </c>
      <c r="AL24" s="135">
        <v>0</v>
      </c>
      <c r="AM24" s="135">
        <v>11.092235957150899</v>
      </c>
      <c r="AN24" s="135">
        <v>0</v>
      </c>
      <c r="AO24" s="135">
        <v>0</v>
      </c>
      <c r="AP24" s="135">
        <v>0</v>
      </c>
      <c r="AQ24" s="135">
        <v>0</v>
      </c>
      <c r="AR24" s="136">
        <v>0</v>
      </c>
    </row>
    <row r="25" spans="2:44" ht="12" customHeight="1" x14ac:dyDescent="0.25">
      <c r="B25" s="134" t="s">
        <v>22</v>
      </c>
      <c r="C25" s="135" t="s">
        <v>23</v>
      </c>
      <c r="D25" s="135" t="s">
        <v>24</v>
      </c>
      <c r="E25" s="135" t="s">
        <v>1245</v>
      </c>
      <c r="F25" s="135" t="s">
        <v>25</v>
      </c>
      <c r="G25" s="135" t="s">
        <v>25</v>
      </c>
      <c r="H25" s="135" t="s">
        <v>78</v>
      </c>
      <c r="I25" s="135" t="s">
        <v>25</v>
      </c>
      <c r="J25" s="135">
        <v>4.09</v>
      </c>
      <c r="K25" s="135">
        <v>12.33</v>
      </c>
      <c r="L25" s="135">
        <v>0</v>
      </c>
      <c r="M25" s="135">
        <v>0</v>
      </c>
      <c r="N25" s="135">
        <v>0</v>
      </c>
      <c r="O25" s="135">
        <v>0</v>
      </c>
      <c r="P25" s="135">
        <v>0</v>
      </c>
      <c r="Q25" s="135">
        <v>0</v>
      </c>
      <c r="R25" s="135">
        <v>0</v>
      </c>
      <c r="S25" s="135">
        <v>0</v>
      </c>
      <c r="T25" s="135">
        <v>1.74027156311786</v>
      </c>
      <c r="U25" s="135">
        <v>1.4585798183008201</v>
      </c>
      <c r="V25" s="135">
        <v>0</v>
      </c>
      <c r="W25" s="135">
        <v>0</v>
      </c>
      <c r="X25" s="135">
        <v>0</v>
      </c>
      <c r="Y25" s="135">
        <v>0</v>
      </c>
      <c r="Z25" s="135">
        <v>0</v>
      </c>
      <c r="AA25" s="135">
        <v>0</v>
      </c>
      <c r="AB25" s="135">
        <v>0</v>
      </c>
      <c r="AC25" s="135">
        <v>0</v>
      </c>
      <c r="AD25" s="135">
        <v>0.85787769158564997</v>
      </c>
      <c r="AE25" s="135">
        <v>0</v>
      </c>
      <c r="AF25" s="135">
        <v>3.08713805899259E-2</v>
      </c>
      <c r="AG25" s="135">
        <v>0</v>
      </c>
      <c r="AH25" s="135">
        <v>0.56811904541236402</v>
      </c>
      <c r="AI25" s="135">
        <v>0</v>
      </c>
      <c r="AJ25" s="135">
        <v>0</v>
      </c>
      <c r="AK25" s="135">
        <v>0</v>
      </c>
      <c r="AL25" s="135">
        <v>0</v>
      </c>
      <c r="AM25" s="135">
        <v>11.75777011458</v>
      </c>
      <c r="AN25" s="135">
        <v>0</v>
      </c>
      <c r="AO25" s="135">
        <v>0</v>
      </c>
      <c r="AP25" s="135">
        <v>0</v>
      </c>
      <c r="AQ25" s="135">
        <v>0</v>
      </c>
      <c r="AR25" s="136">
        <v>0</v>
      </c>
    </row>
    <row r="26" spans="2:44" ht="12" customHeight="1" x14ac:dyDescent="0.25">
      <c r="B26" s="134" t="s">
        <v>22</v>
      </c>
      <c r="C26" s="135" t="s">
        <v>23</v>
      </c>
      <c r="D26" s="135" t="s">
        <v>24</v>
      </c>
      <c r="E26" s="135" t="s">
        <v>24</v>
      </c>
      <c r="F26" s="135" t="s">
        <v>25</v>
      </c>
      <c r="G26" s="135" t="s">
        <v>25</v>
      </c>
      <c r="H26" s="135" t="s">
        <v>78</v>
      </c>
      <c r="I26" s="135" t="s">
        <v>25</v>
      </c>
      <c r="J26" s="135">
        <v>23.25</v>
      </c>
      <c r="K26" s="135">
        <v>12.33</v>
      </c>
      <c r="L26" s="135">
        <v>0.46412423299815098</v>
      </c>
      <c r="M26" s="135">
        <v>0</v>
      </c>
      <c r="N26" s="135">
        <v>0</v>
      </c>
      <c r="O26" s="135">
        <v>0</v>
      </c>
      <c r="P26" s="135">
        <v>0</v>
      </c>
      <c r="Q26" s="135">
        <v>15.3286695078172</v>
      </c>
      <c r="R26" s="135">
        <v>3.3692861785590602</v>
      </c>
      <c r="S26" s="135">
        <v>0</v>
      </c>
      <c r="T26" s="135">
        <v>1.74027156311786</v>
      </c>
      <c r="U26" s="135">
        <v>1.4585798183008201</v>
      </c>
      <c r="V26" s="135">
        <v>0</v>
      </c>
      <c r="W26" s="135">
        <v>0</v>
      </c>
      <c r="X26" s="135">
        <v>0</v>
      </c>
      <c r="Y26" s="135">
        <v>0</v>
      </c>
      <c r="Z26" s="135">
        <v>0</v>
      </c>
      <c r="AA26" s="135">
        <v>0</v>
      </c>
      <c r="AB26" s="135">
        <v>0</v>
      </c>
      <c r="AC26" s="135">
        <v>0</v>
      </c>
      <c r="AD26" s="135">
        <v>0.85787769158564997</v>
      </c>
      <c r="AE26" s="135">
        <v>0</v>
      </c>
      <c r="AF26" s="135">
        <v>3.08713805899259E-2</v>
      </c>
      <c r="AG26" s="135">
        <v>0</v>
      </c>
      <c r="AH26" s="135">
        <v>0.56811904541236402</v>
      </c>
      <c r="AI26" s="135">
        <v>0</v>
      </c>
      <c r="AJ26" s="135">
        <v>0</v>
      </c>
      <c r="AK26" s="135">
        <v>0</v>
      </c>
      <c r="AL26" s="135">
        <v>0</v>
      </c>
      <c r="AM26" s="135">
        <v>11.75777011458</v>
      </c>
      <c r="AN26" s="135">
        <v>0</v>
      </c>
      <c r="AO26" s="135">
        <v>0</v>
      </c>
      <c r="AP26" s="135">
        <v>0</v>
      </c>
      <c r="AQ26" s="135">
        <v>0</v>
      </c>
      <c r="AR26" s="136">
        <v>0</v>
      </c>
    </row>
    <row r="27" spans="2:44" ht="12" customHeight="1" x14ac:dyDescent="0.25">
      <c r="B27" s="134" t="s">
        <v>22</v>
      </c>
      <c r="C27" s="135" t="s">
        <v>94</v>
      </c>
      <c r="D27" s="135" t="s">
        <v>24</v>
      </c>
      <c r="E27" s="135" t="s">
        <v>1245</v>
      </c>
      <c r="F27" s="135" t="s">
        <v>25</v>
      </c>
      <c r="G27" s="135" t="s">
        <v>25</v>
      </c>
      <c r="H27" s="135" t="s">
        <v>78</v>
      </c>
      <c r="I27" s="135" t="s">
        <v>25</v>
      </c>
      <c r="J27" s="135">
        <v>4.09</v>
      </c>
      <c r="K27" s="135">
        <v>12.33</v>
      </c>
      <c r="L27" s="135">
        <v>0</v>
      </c>
      <c r="M27" s="135">
        <v>0</v>
      </c>
      <c r="N27" s="135">
        <v>0</v>
      </c>
      <c r="O27" s="135">
        <v>0</v>
      </c>
      <c r="P27" s="135">
        <v>0</v>
      </c>
      <c r="Q27" s="135">
        <v>0</v>
      </c>
      <c r="R27" s="135">
        <v>0</v>
      </c>
      <c r="S27" s="135">
        <v>0</v>
      </c>
      <c r="T27" s="135">
        <v>1.74027156311786</v>
      </c>
      <c r="U27" s="135">
        <v>1.4585798183008201</v>
      </c>
      <c r="V27" s="135">
        <v>0</v>
      </c>
      <c r="W27" s="135">
        <v>0</v>
      </c>
      <c r="X27" s="135">
        <v>0</v>
      </c>
      <c r="Y27" s="135">
        <v>0</v>
      </c>
      <c r="Z27" s="135">
        <v>0</v>
      </c>
      <c r="AA27" s="135">
        <v>0</v>
      </c>
      <c r="AB27" s="135">
        <v>0</v>
      </c>
      <c r="AC27" s="135">
        <v>0</v>
      </c>
      <c r="AD27" s="135">
        <v>0.85787769158564997</v>
      </c>
      <c r="AE27" s="135">
        <v>0</v>
      </c>
      <c r="AF27" s="135">
        <v>3.08713805899259E-2</v>
      </c>
      <c r="AG27" s="135">
        <v>0</v>
      </c>
      <c r="AH27" s="135">
        <v>0.56811904541236402</v>
      </c>
      <c r="AI27" s="135">
        <v>0</v>
      </c>
      <c r="AJ27" s="135">
        <v>0</v>
      </c>
      <c r="AK27" s="135">
        <v>0</v>
      </c>
      <c r="AL27" s="135">
        <v>0</v>
      </c>
      <c r="AM27" s="135">
        <v>11.75777011458</v>
      </c>
      <c r="AN27" s="135">
        <v>0</v>
      </c>
      <c r="AO27" s="135">
        <v>0</v>
      </c>
      <c r="AP27" s="135">
        <v>0</v>
      </c>
      <c r="AQ27" s="135">
        <v>0</v>
      </c>
      <c r="AR27" s="136">
        <v>0</v>
      </c>
    </row>
    <row r="28" spans="2:44" ht="12" customHeight="1" x14ac:dyDescent="0.25">
      <c r="B28" s="134" t="s">
        <v>22</v>
      </c>
      <c r="C28" s="135" t="s">
        <v>94</v>
      </c>
      <c r="D28" s="135" t="s">
        <v>24</v>
      </c>
      <c r="E28" s="135" t="s">
        <v>24</v>
      </c>
      <c r="F28" s="135" t="s">
        <v>25</v>
      </c>
      <c r="G28" s="135" t="s">
        <v>25</v>
      </c>
      <c r="H28" s="135" t="s">
        <v>78</v>
      </c>
      <c r="I28" s="135" t="s">
        <v>25</v>
      </c>
      <c r="J28" s="135">
        <v>23.25</v>
      </c>
      <c r="K28" s="135">
        <v>12.33</v>
      </c>
      <c r="L28" s="135">
        <v>0.46412423299815098</v>
      </c>
      <c r="M28" s="135">
        <v>0</v>
      </c>
      <c r="N28" s="135">
        <v>0</v>
      </c>
      <c r="O28" s="135">
        <v>0</v>
      </c>
      <c r="P28" s="135">
        <v>0</v>
      </c>
      <c r="Q28" s="135">
        <v>15.3286695078172</v>
      </c>
      <c r="R28" s="135">
        <v>3.3692861785590602</v>
      </c>
      <c r="S28" s="135">
        <v>0</v>
      </c>
      <c r="T28" s="135">
        <v>1.74027156311786</v>
      </c>
      <c r="U28" s="135">
        <v>1.4585798183008201</v>
      </c>
      <c r="V28" s="135">
        <v>0</v>
      </c>
      <c r="W28" s="135">
        <v>0</v>
      </c>
      <c r="X28" s="135">
        <v>0</v>
      </c>
      <c r="Y28" s="135">
        <v>0</v>
      </c>
      <c r="Z28" s="135">
        <v>0</v>
      </c>
      <c r="AA28" s="135">
        <v>0</v>
      </c>
      <c r="AB28" s="135">
        <v>0</v>
      </c>
      <c r="AC28" s="135">
        <v>0</v>
      </c>
      <c r="AD28" s="135">
        <v>0.85787769158564997</v>
      </c>
      <c r="AE28" s="135">
        <v>0</v>
      </c>
      <c r="AF28" s="135">
        <v>3.08713805899259E-2</v>
      </c>
      <c r="AG28" s="135">
        <v>0</v>
      </c>
      <c r="AH28" s="135">
        <v>0.56811904541236402</v>
      </c>
      <c r="AI28" s="135">
        <v>0</v>
      </c>
      <c r="AJ28" s="135">
        <v>0</v>
      </c>
      <c r="AK28" s="135">
        <v>0</v>
      </c>
      <c r="AL28" s="135">
        <v>0</v>
      </c>
      <c r="AM28" s="135">
        <v>11.75777011458</v>
      </c>
      <c r="AN28" s="135">
        <v>0</v>
      </c>
      <c r="AO28" s="135">
        <v>0</v>
      </c>
      <c r="AP28" s="135">
        <v>0</v>
      </c>
      <c r="AQ28" s="135">
        <v>0</v>
      </c>
      <c r="AR28" s="136">
        <v>0</v>
      </c>
    </row>
    <row r="29" spans="2:44" ht="12" customHeight="1" x14ac:dyDescent="0.25">
      <c r="B29" s="134" t="s">
        <v>42</v>
      </c>
      <c r="C29" s="135" t="s">
        <v>32</v>
      </c>
      <c r="D29" s="135" t="s">
        <v>43</v>
      </c>
      <c r="E29" s="135" t="s">
        <v>95</v>
      </c>
      <c r="F29" s="135" t="s">
        <v>25</v>
      </c>
      <c r="G29" s="135" t="s">
        <v>33</v>
      </c>
      <c r="H29" s="135" t="s">
        <v>78</v>
      </c>
      <c r="I29" s="135" t="s">
        <v>25</v>
      </c>
      <c r="J29" s="135">
        <v>28.77</v>
      </c>
      <c r="K29" s="135">
        <v>18.47</v>
      </c>
      <c r="L29" s="135">
        <v>0.43627677901826201</v>
      </c>
      <c r="M29" s="135">
        <v>0</v>
      </c>
      <c r="N29" s="135">
        <v>0</v>
      </c>
      <c r="O29" s="135">
        <v>0</v>
      </c>
      <c r="P29" s="135">
        <v>0</v>
      </c>
      <c r="Q29" s="135">
        <v>14.408949337348201</v>
      </c>
      <c r="R29" s="135">
        <v>3.1671290078455101</v>
      </c>
      <c r="S29" s="135">
        <v>0</v>
      </c>
      <c r="T29" s="135">
        <v>5.3983352166394996</v>
      </c>
      <c r="U29" s="135">
        <v>4.5245173081453904</v>
      </c>
      <c r="V29" s="135">
        <v>0</v>
      </c>
      <c r="W29" s="135">
        <v>0</v>
      </c>
      <c r="X29" s="135">
        <v>0</v>
      </c>
      <c r="Y29" s="135">
        <v>0</v>
      </c>
      <c r="Z29" s="135">
        <v>0</v>
      </c>
      <c r="AA29" s="135">
        <v>0</v>
      </c>
      <c r="AB29" s="135">
        <v>0</v>
      </c>
      <c r="AC29" s="135">
        <v>0</v>
      </c>
      <c r="AD29" s="135">
        <v>0.80640503009051101</v>
      </c>
      <c r="AE29" s="135">
        <v>0</v>
      </c>
      <c r="AF29" s="135">
        <v>2.90190977545303E-2</v>
      </c>
      <c r="AG29" s="135">
        <v>0</v>
      </c>
      <c r="AH29" s="135">
        <v>0.53403190268762202</v>
      </c>
      <c r="AI29" s="135">
        <v>0</v>
      </c>
      <c r="AJ29" s="135">
        <v>0</v>
      </c>
      <c r="AK29" s="135">
        <v>0</v>
      </c>
      <c r="AL29" s="135">
        <v>0</v>
      </c>
      <c r="AM29" s="135">
        <v>17.9339270955216</v>
      </c>
      <c r="AN29" s="135">
        <v>0</v>
      </c>
      <c r="AO29" s="135">
        <v>0</v>
      </c>
      <c r="AP29" s="135">
        <v>0</v>
      </c>
      <c r="AQ29" s="135">
        <v>0</v>
      </c>
      <c r="AR29" s="136">
        <v>0</v>
      </c>
    </row>
    <row r="30" spans="2:44" ht="12" customHeight="1" x14ac:dyDescent="0.25">
      <c r="B30" s="134" t="s">
        <v>42</v>
      </c>
      <c r="C30" s="135" t="s">
        <v>32</v>
      </c>
      <c r="D30" s="135" t="s">
        <v>43</v>
      </c>
      <c r="E30" s="135" t="s">
        <v>95</v>
      </c>
      <c r="F30" s="135" t="s">
        <v>25</v>
      </c>
      <c r="G30" s="135" t="s">
        <v>35</v>
      </c>
      <c r="H30" s="135" t="s">
        <v>78</v>
      </c>
      <c r="I30" s="135" t="s">
        <v>25</v>
      </c>
      <c r="J30" s="135">
        <v>22.82</v>
      </c>
      <c r="K30" s="135">
        <v>10.96</v>
      </c>
      <c r="L30" s="135">
        <v>0.43627677901826201</v>
      </c>
      <c r="M30" s="135">
        <v>0</v>
      </c>
      <c r="N30" s="135">
        <v>0</v>
      </c>
      <c r="O30" s="135">
        <v>0</v>
      </c>
      <c r="P30" s="135">
        <v>0</v>
      </c>
      <c r="Q30" s="135">
        <v>14.408949337348201</v>
      </c>
      <c r="R30" s="135">
        <v>3.1671290078455101</v>
      </c>
      <c r="S30" s="135">
        <v>0</v>
      </c>
      <c r="T30" s="135">
        <v>2.1593356901367899</v>
      </c>
      <c r="U30" s="135">
        <v>1.8098033075565001</v>
      </c>
      <c r="V30" s="135">
        <v>0</v>
      </c>
      <c r="W30" s="135">
        <v>0</v>
      </c>
      <c r="X30" s="135">
        <v>0</v>
      </c>
      <c r="Y30" s="135">
        <v>0</v>
      </c>
      <c r="Z30" s="135">
        <v>0</v>
      </c>
      <c r="AA30" s="135">
        <v>0</v>
      </c>
      <c r="AB30" s="135">
        <v>0</v>
      </c>
      <c r="AC30" s="135">
        <v>0</v>
      </c>
      <c r="AD30" s="135">
        <v>0.80640503009051101</v>
      </c>
      <c r="AE30" s="135">
        <v>0</v>
      </c>
      <c r="AF30" s="135">
        <v>2.90190977545303E-2</v>
      </c>
      <c r="AG30" s="135">
        <v>0</v>
      </c>
      <c r="AH30" s="135">
        <v>0.53403190268762202</v>
      </c>
      <c r="AI30" s="135">
        <v>0</v>
      </c>
      <c r="AJ30" s="135">
        <v>0</v>
      </c>
      <c r="AK30" s="135">
        <v>0</v>
      </c>
      <c r="AL30" s="135">
        <v>0</v>
      </c>
      <c r="AM30" s="135">
        <v>10.426701799721901</v>
      </c>
      <c r="AN30" s="135">
        <v>0</v>
      </c>
      <c r="AO30" s="135">
        <v>0</v>
      </c>
      <c r="AP30" s="135">
        <v>0</v>
      </c>
      <c r="AQ30" s="135">
        <v>0</v>
      </c>
      <c r="AR30" s="136">
        <v>0</v>
      </c>
    </row>
    <row r="31" spans="2:44" ht="12" customHeight="1" x14ac:dyDescent="0.25">
      <c r="B31" s="134" t="s">
        <v>42</v>
      </c>
      <c r="C31" s="135" t="s">
        <v>32</v>
      </c>
      <c r="D31" s="135" t="s">
        <v>43</v>
      </c>
      <c r="E31" s="135" t="s">
        <v>95</v>
      </c>
      <c r="F31" s="135" t="s">
        <v>25</v>
      </c>
      <c r="G31" s="135" t="s">
        <v>34</v>
      </c>
      <c r="H31" s="135" t="s">
        <v>78</v>
      </c>
      <c r="I31" s="135" t="s">
        <v>25</v>
      </c>
      <c r="J31" s="135">
        <v>20.83</v>
      </c>
      <c r="K31" s="135">
        <v>10.96</v>
      </c>
      <c r="L31" s="135">
        <v>0.43627677901826201</v>
      </c>
      <c r="M31" s="135">
        <v>0</v>
      </c>
      <c r="N31" s="135">
        <v>0</v>
      </c>
      <c r="O31" s="135">
        <v>0</v>
      </c>
      <c r="P31" s="135">
        <v>0</v>
      </c>
      <c r="Q31" s="135">
        <v>14.408949337348201</v>
      </c>
      <c r="R31" s="135">
        <v>3.1671290078455101</v>
      </c>
      <c r="S31" s="135">
        <v>0</v>
      </c>
      <c r="T31" s="135">
        <v>1.0796638363659199</v>
      </c>
      <c r="U31" s="135">
        <v>0.90490165377824905</v>
      </c>
      <c r="V31" s="135">
        <v>0</v>
      </c>
      <c r="W31" s="135">
        <v>0</v>
      </c>
      <c r="X31" s="135">
        <v>0</v>
      </c>
      <c r="Y31" s="135">
        <v>0</v>
      </c>
      <c r="Z31" s="135">
        <v>0</v>
      </c>
      <c r="AA31" s="135">
        <v>0</v>
      </c>
      <c r="AB31" s="135">
        <v>0</v>
      </c>
      <c r="AC31" s="135">
        <v>0</v>
      </c>
      <c r="AD31" s="135">
        <v>0.80640503009051101</v>
      </c>
      <c r="AE31" s="135">
        <v>0</v>
      </c>
      <c r="AF31" s="135">
        <v>2.90190977545303E-2</v>
      </c>
      <c r="AG31" s="135">
        <v>0</v>
      </c>
      <c r="AH31" s="135">
        <v>0.53403190268762202</v>
      </c>
      <c r="AI31" s="135">
        <v>0</v>
      </c>
      <c r="AJ31" s="135">
        <v>0</v>
      </c>
      <c r="AK31" s="135">
        <v>0</v>
      </c>
      <c r="AL31" s="135">
        <v>0</v>
      </c>
      <c r="AM31" s="135">
        <v>10.426701799721901</v>
      </c>
      <c r="AN31" s="135">
        <v>0</v>
      </c>
      <c r="AO31" s="135">
        <v>0</v>
      </c>
      <c r="AP31" s="135">
        <v>0</v>
      </c>
      <c r="AQ31" s="135">
        <v>0</v>
      </c>
      <c r="AR31" s="136">
        <v>0</v>
      </c>
    </row>
    <row r="32" spans="2:44" ht="12" customHeight="1" x14ac:dyDescent="0.25">
      <c r="B32" s="134" t="s">
        <v>42</v>
      </c>
      <c r="C32" s="135" t="s">
        <v>32</v>
      </c>
      <c r="D32" s="135" t="s">
        <v>43</v>
      </c>
      <c r="E32" s="135" t="s">
        <v>25</v>
      </c>
      <c r="F32" s="135" t="s">
        <v>25</v>
      </c>
      <c r="G32" s="135" t="s">
        <v>33</v>
      </c>
      <c r="H32" s="135" t="s">
        <v>78</v>
      </c>
      <c r="I32" s="135" t="s">
        <v>25</v>
      </c>
      <c r="J32" s="135">
        <v>28.77</v>
      </c>
      <c r="K32" s="135">
        <v>18.47</v>
      </c>
      <c r="L32" s="135">
        <v>0.43627677901826201</v>
      </c>
      <c r="M32" s="135">
        <v>0</v>
      </c>
      <c r="N32" s="135">
        <v>0</v>
      </c>
      <c r="O32" s="135">
        <v>0</v>
      </c>
      <c r="P32" s="135">
        <v>0</v>
      </c>
      <c r="Q32" s="135">
        <v>14.408949337348201</v>
      </c>
      <c r="R32" s="135">
        <v>3.1671290078455101</v>
      </c>
      <c r="S32" s="135">
        <v>0</v>
      </c>
      <c r="T32" s="135">
        <v>5.3983352166394996</v>
      </c>
      <c r="U32" s="135">
        <v>4.5245173081453904</v>
      </c>
      <c r="V32" s="135">
        <v>0</v>
      </c>
      <c r="W32" s="135">
        <v>0</v>
      </c>
      <c r="X32" s="135">
        <v>0</v>
      </c>
      <c r="Y32" s="135">
        <v>0</v>
      </c>
      <c r="Z32" s="135">
        <v>0</v>
      </c>
      <c r="AA32" s="135">
        <v>0</v>
      </c>
      <c r="AB32" s="135">
        <v>0</v>
      </c>
      <c r="AC32" s="135">
        <v>0</v>
      </c>
      <c r="AD32" s="135">
        <v>0.80640503009051101</v>
      </c>
      <c r="AE32" s="135">
        <v>0</v>
      </c>
      <c r="AF32" s="135">
        <v>2.90190977545303E-2</v>
      </c>
      <c r="AG32" s="135">
        <v>0</v>
      </c>
      <c r="AH32" s="135">
        <v>0.53403190268762202</v>
      </c>
      <c r="AI32" s="135">
        <v>0</v>
      </c>
      <c r="AJ32" s="135">
        <v>0</v>
      </c>
      <c r="AK32" s="135">
        <v>0</v>
      </c>
      <c r="AL32" s="135">
        <v>0</v>
      </c>
      <c r="AM32" s="135">
        <v>17.9339270955216</v>
      </c>
      <c r="AN32" s="135">
        <v>0</v>
      </c>
      <c r="AO32" s="135">
        <v>0</v>
      </c>
      <c r="AP32" s="135">
        <v>0</v>
      </c>
      <c r="AQ32" s="135">
        <v>0</v>
      </c>
      <c r="AR32" s="136">
        <v>0</v>
      </c>
    </row>
    <row r="33" spans="2:44" ht="12" customHeight="1" x14ac:dyDescent="0.25">
      <c r="B33" s="134" t="s">
        <v>42</v>
      </c>
      <c r="C33" s="135" t="s">
        <v>32</v>
      </c>
      <c r="D33" s="135" t="s">
        <v>43</v>
      </c>
      <c r="E33" s="135" t="s">
        <v>25</v>
      </c>
      <c r="F33" s="135" t="s">
        <v>25</v>
      </c>
      <c r="G33" s="135" t="s">
        <v>35</v>
      </c>
      <c r="H33" s="135" t="s">
        <v>78</v>
      </c>
      <c r="I33" s="135" t="s">
        <v>25</v>
      </c>
      <c r="J33" s="135">
        <v>22.82</v>
      </c>
      <c r="K33" s="135">
        <v>10.96</v>
      </c>
      <c r="L33" s="135">
        <v>0.43627677901826201</v>
      </c>
      <c r="M33" s="135">
        <v>0</v>
      </c>
      <c r="N33" s="135">
        <v>0</v>
      </c>
      <c r="O33" s="135">
        <v>0</v>
      </c>
      <c r="P33" s="135">
        <v>0</v>
      </c>
      <c r="Q33" s="135">
        <v>14.408949337348201</v>
      </c>
      <c r="R33" s="135">
        <v>3.1671290078455101</v>
      </c>
      <c r="S33" s="135">
        <v>0</v>
      </c>
      <c r="T33" s="135">
        <v>2.1593356901367899</v>
      </c>
      <c r="U33" s="135">
        <v>1.8098033075565001</v>
      </c>
      <c r="V33" s="135">
        <v>0</v>
      </c>
      <c r="W33" s="135">
        <v>0</v>
      </c>
      <c r="X33" s="135">
        <v>0</v>
      </c>
      <c r="Y33" s="135">
        <v>0</v>
      </c>
      <c r="Z33" s="135">
        <v>0</v>
      </c>
      <c r="AA33" s="135">
        <v>0</v>
      </c>
      <c r="AB33" s="135">
        <v>0</v>
      </c>
      <c r="AC33" s="135">
        <v>0</v>
      </c>
      <c r="AD33" s="135">
        <v>0.80640503009051101</v>
      </c>
      <c r="AE33" s="135">
        <v>0</v>
      </c>
      <c r="AF33" s="135">
        <v>2.90190977545303E-2</v>
      </c>
      <c r="AG33" s="135">
        <v>0</v>
      </c>
      <c r="AH33" s="135">
        <v>0.53403190268762202</v>
      </c>
      <c r="AI33" s="135">
        <v>0</v>
      </c>
      <c r="AJ33" s="135">
        <v>0</v>
      </c>
      <c r="AK33" s="135">
        <v>0</v>
      </c>
      <c r="AL33" s="135">
        <v>0</v>
      </c>
      <c r="AM33" s="135">
        <v>10.426701799721901</v>
      </c>
      <c r="AN33" s="135">
        <v>0</v>
      </c>
      <c r="AO33" s="135">
        <v>0</v>
      </c>
      <c r="AP33" s="135">
        <v>0</v>
      </c>
      <c r="AQ33" s="135">
        <v>0</v>
      </c>
      <c r="AR33" s="136">
        <v>0</v>
      </c>
    </row>
    <row r="34" spans="2:44" ht="12" customHeight="1" x14ac:dyDescent="0.25">
      <c r="B34" s="134" t="s">
        <v>42</v>
      </c>
      <c r="C34" s="135" t="s">
        <v>32</v>
      </c>
      <c r="D34" s="135" t="s">
        <v>43</v>
      </c>
      <c r="E34" s="135" t="s">
        <v>25</v>
      </c>
      <c r="F34" s="135" t="s">
        <v>25</v>
      </c>
      <c r="G34" s="135" t="s">
        <v>34</v>
      </c>
      <c r="H34" s="135" t="s">
        <v>78</v>
      </c>
      <c r="I34" s="135" t="s">
        <v>25</v>
      </c>
      <c r="J34" s="135">
        <v>20.83</v>
      </c>
      <c r="K34" s="135">
        <v>10.96</v>
      </c>
      <c r="L34" s="135">
        <v>0.43627677901826201</v>
      </c>
      <c r="M34" s="135">
        <v>0</v>
      </c>
      <c r="N34" s="135">
        <v>0</v>
      </c>
      <c r="O34" s="135">
        <v>0</v>
      </c>
      <c r="P34" s="135">
        <v>0</v>
      </c>
      <c r="Q34" s="135">
        <v>14.408949337348201</v>
      </c>
      <c r="R34" s="135">
        <v>3.1671290078455101</v>
      </c>
      <c r="S34" s="135">
        <v>0</v>
      </c>
      <c r="T34" s="135">
        <v>1.0796638363659199</v>
      </c>
      <c r="U34" s="135">
        <v>0.90490165377824905</v>
      </c>
      <c r="V34" s="135">
        <v>0</v>
      </c>
      <c r="W34" s="135">
        <v>0</v>
      </c>
      <c r="X34" s="135">
        <v>0</v>
      </c>
      <c r="Y34" s="135">
        <v>0</v>
      </c>
      <c r="Z34" s="135">
        <v>0</v>
      </c>
      <c r="AA34" s="135">
        <v>0</v>
      </c>
      <c r="AB34" s="135">
        <v>0</v>
      </c>
      <c r="AC34" s="135">
        <v>0</v>
      </c>
      <c r="AD34" s="135">
        <v>0.80640503009051101</v>
      </c>
      <c r="AE34" s="135">
        <v>0</v>
      </c>
      <c r="AF34" s="135">
        <v>2.90190977545303E-2</v>
      </c>
      <c r="AG34" s="135">
        <v>0</v>
      </c>
      <c r="AH34" s="135">
        <v>0.53403190268762202</v>
      </c>
      <c r="AI34" s="135">
        <v>0</v>
      </c>
      <c r="AJ34" s="135">
        <v>0</v>
      </c>
      <c r="AK34" s="135">
        <v>0</v>
      </c>
      <c r="AL34" s="135">
        <v>0</v>
      </c>
      <c r="AM34" s="135">
        <v>10.426701799721901</v>
      </c>
      <c r="AN34" s="135">
        <v>0</v>
      </c>
      <c r="AO34" s="135">
        <v>0</v>
      </c>
      <c r="AP34" s="135">
        <v>0</v>
      </c>
      <c r="AQ34" s="135">
        <v>0</v>
      </c>
      <c r="AR34" s="136">
        <v>0</v>
      </c>
    </row>
    <row r="35" spans="2:44" ht="12" customHeight="1" x14ac:dyDescent="0.25">
      <c r="B35" s="134" t="s">
        <v>42</v>
      </c>
      <c r="C35" s="135" t="s">
        <v>32</v>
      </c>
      <c r="D35" s="135" t="s">
        <v>43</v>
      </c>
      <c r="E35" s="135" t="s">
        <v>96</v>
      </c>
      <c r="F35" s="135" t="s">
        <v>25</v>
      </c>
      <c r="G35" s="135" t="s">
        <v>33</v>
      </c>
      <c r="H35" s="135" t="s">
        <v>78</v>
      </c>
      <c r="I35" s="135" t="s">
        <v>25</v>
      </c>
      <c r="J35" s="135">
        <v>28.16</v>
      </c>
      <c r="K35" s="135">
        <v>18.079999999999998</v>
      </c>
      <c r="L35" s="135">
        <v>0.426994294358299</v>
      </c>
      <c r="M35" s="135">
        <v>0</v>
      </c>
      <c r="N35" s="135">
        <v>0</v>
      </c>
      <c r="O35" s="135">
        <v>0</v>
      </c>
      <c r="P35" s="135">
        <v>0</v>
      </c>
      <c r="Q35" s="135">
        <v>14.1023759471919</v>
      </c>
      <c r="R35" s="135">
        <v>3.09974328427433</v>
      </c>
      <c r="S35" s="135">
        <v>0</v>
      </c>
      <c r="T35" s="135">
        <v>5.2834770205407802</v>
      </c>
      <c r="U35" s="135">
        <v>4.4282509824401703</v>
      </c>
      <c r="V35" s="135">
        <v>0</v>
      </c>
      <c r="W35" s="135">
        <v>0</v>
      </c>
      <c r="X35" s="135">
        <v>0</v>
      </c>
      <c r="Y35" s="135">
        <v>0</v>
      </c>
      <c r="Z35" s="135">
        <v>0</v>
      </c>
      <c r="AA35" s="135">
        <v>0</v>
      </c>
      <c r="AB35" s="135">
        <v>0</v>
      </c>
      <c r="AC35" s="135">
        <v>0</v>
      </c>
      <c r="AD35" s="135">
        <v>0.78924747625879799</v>
      </c>
      <c r="AE35" s="135">
        <v>0</v>
      </c>
      <c r="AF35" s="135">
        <v>2.8401670142731799E-2</v>
      </c>
      <c r="AG35" s="135">
        <v>0</v>
      </c>
      <c r="AH35" s="135">
        <v>0.52266952177937498</v>
      </c>
      <c r="AI35" s="135">
        <v>0</v>
      </c>
      <c r="AJ35" s="135">
        <v>0</v>
      </c>
      <c r="AK35" s="135">
        <v>0</v>
      </c>
      <c r="AL35" s="135">
        <v>0</v>
      </c>
      <c r="AM35" s="135">
        <v>17.5523541785956</v>
      </c>
      <c r="AN35" s="135">
        <v>0</v>
      </c>
      <c r="AO35" s="135">
        <v>0</v>
      </c>
      <c r="AP35" s="135">
        <v>0</v>
      </c>
      <c r="AQ35" s="135">
        <v>0</v>
      </c>
      <c r="AR35" s="136">
        <v>0</v>
      </c>
    </row>
    <row r="36" spans="2:44" ht="12" customHeight="1" x14ac:dyDescent="0.25">
      <c r="B36" s="134" t="s">
        <v>42</v>
      </c>
      <c r="C36" s="135" t="s">
        <v>32</v>
      </c>
      <c r="D36" s="135" t="s">
        <v>43</v>
      </c>
      <c r="E36" s="135" t="s">
        <v>96</v>
      </c>
      <c r="F36" s="135" t="s">
        <v>25</v>
      </c>
      <c r="G36" s="135" t="s">
        <v>35</v>
      </c>
      <c r="H36" s="135" t="s">
        <v>78</v>
      </c>
      <c r="I36" s="135" t="s">
        <v>25</v>
      </c>
      <c r="J36" s="135">
        <v>22.33</v>
      </c>
      <c r="K36" s="135">
        <v>10.73</v>
      </c>
      <c r="L36" s="135">
        <v>0.426994294358299</v>
      </c>
      <c r="M36" s="135">
        <v>0</v>
      </c>
      <c r="N36" s="135">
        <v>0</v>
      </c>
      <c r="O36" s="135">
        <v>0</v>
      </c>
      <c r="P36" s="135">
        <v>0</v>
      </c>
      <c r="Q36" s="135">
        <v>14.1023759471919</v>
      </c>
      <c r="R36" s="135">
        <v>3.09974328427433</v>
      </c>
      <c r="S36" s="135">
        <v>0</v>
      </c>
      <c r="T36" s="135">
        <v>2.1133923775806802</v>
      </c>
      <c r="U36" s="135">
        <v>1.77129685420423</v>
      </c>
      <c r="V36" s="135">
        <v>0</v>
      </c>
      <c r="W36" s="135">
        <v>0</v>
      </c>
      <c r="X36" s="135">
        <v>0</v>
      </c>
      <c r="Y36" s="135">
        <v>0</v>
      </c>
      <c r="Z36" s="135">
        <v>0</v>
      </c>
      <c r="AA36" s="135">
        <v>0</v>
      </c>
      <c r="AB36" s="135">
        <v>0</v>
      </c>
      <c r="AC36" s="135">
        <v>0</v>
      </c>
      <c r="AD36" s="135">
        <v>0.78924747625879799</v>
      </c>
      <c r="AE36" s="135">
        <v>0</v>
      </c>
      <c r="AF36" s="135">
        <v>2.8401670142731799E-2</v>
      </c>
      <c r="AG36" s="135">
        <v>0</v>
      </c>
      <c r="AH36" s="135">
        <v>0.52266952177937498</v>
      </c>
      <c r="AI36" s="135">
        <v>0</v>
      </c>
      <c r="AJ36" s="135">
        <v>0</v>
      </c>
      <c r="AK36" s="135">
        <v>0</v>
      </c>
      <c r="AL36" s="135">
        <v>0</v>
      </c>
      <c r="AM36" s="135">
        <v>10.204857080578901</v>
      </c>
      <c r="AN36" s="135">
        <v>0</v>
      </c>
      <c r="AO36" s="135">
        <v>0</v>
      </c>
      <c r="AP36" s="135">
        <v>0</v>
      </c>
      <c r="AQ36" s="135">
        <v>0</v>
      </c>
      <c r="AR36" s="136">
        <v>0</v>
      </c>
    </row>
    <row r="37" spans="2:44" ht="12" customHeight="1" x14ac:dyDescent="0.25">
      <c r="B37" s="134" t="s">
        <v>42</v>
      </c>
      <c r="C37" s="135" t="s">
        <v>32</v>
      </c>
      <c r="D37" s="135" t="s">
        <v>43</v>
      </c>
      <c r="E37" s="135" t="s">
        <v>96</v>
      </c>
      <c r="F37" s="135" t="s">
        <v>25</v>
      </c>
      <c r="G37" s="135" t="s">
        <v>34</v>
      </c>
      <c r="H37" s="135" t="s">
        <v>78</v>
      </c>
      <c r="I37" s="135" t="s">
        <v>25</v>
      </c>
      <c r="J37" s="135">
        <v>20.39</v>
      </c>
      <c r="K37" s="135">
        <v>10.73</v>
      </c>
      <c r="L37" s="135">
        <v>0.426994294358299</v>
      </c>
      <c r="M37" s="135">
        <v>0</v>
      </c>
      <c r="N37" s="135">
        <v>0</v>
      </c>
      <c r="O37" s="135">
        <v>0</v>
      </c>
      <c r="P37" s="135">
        <v>0</v>
      </c>
      <c r="Q37" s="135">
        <v>14.1023759471919</v>
      </c>
      <c r="R37" s="135">
        <v>3.09974328427433</v>
      </c>
      <c r="S37" s="135">
        <v>0</v>
      </c>
      <c r="T37" s="135">
        <v>1.05669226537941</v>
      </c>
      <c r="U37" s="135">
        <v>0.885648427102116</v>
      </c>
      <c r="V37" s="135">
        <v>0</v>
      </c>
      <c r="W37" s="135">
        <v>0</v>
      </c>
      <c r="X37" s="135">
        <v>0</v>
      </c>
      <c r="Y37" s="135">
        <v>0</v>
      </c>
      <c r="Z37" s="135">
        <v>0</v>
      </c>
      <c r="AA37" s="135">
        <v>0</v>
      </c>
      <c r="AB37" s="135">
        <v>0</v>
      </c>
      <c r="AC37" s="135">
        <v>0</v>
      </c>
      <c r="AD37" s="135">
        <v>0.78924747625879799</v>
      </c>
      <c r="AE37" s="135">
        <v>0</v>
      </c>
      <c r="AF37" s="135">
        <v>2.8401670142731799E-2</v>
      </c>
      <c r="AG37" s="135">
        <v>0</v>
      </c>
      <c r="AH37" s="135">
        <v>0.52266952177937498</v>
      </c>
      <c r="AI37" s="135">
        <v>0</v>
      </c>
      <c r="AJ37" s="135">
        <v>0</v>
      </c>
      <c r="AK37" s="135">
        <v>0</v>
      </c>
      <c r="AL37" s="135">
        <v>0</v>
      </c>
      <c r="AM37" s="135">
        <v>10.204857080578901</v>
      </c>
      <c r="AN37" s="135">
        <v>0</v>
      </c>
      <c r="AO37" s="135">
        <v>0</v>
      </c>
      <c r="AP37" s="135">
        <v>0</v>
      </c>
      <c r="AQ37" s="135">
        <v>0</v>
      </c>
      <c r="AR37" s="136">
        <v>0</v>
      </c>
    </row>
    <row r="38" spans="2:44" ht="12" customHeight="1" x14ac:dyDescent="0.25">
      <c r="B38" s="134" t="s">
        <v>42</v>
      </c>
      <c r="C38" s="135" t="s">
        <v>23</v>
      </c>
      <c r="D38" s="135" t="s">
        <v>43</v>
      </c>
      <c r="E38" s="135" t="s">
        <v>95</v>
      </c>
      <c r="F38" s="135" t="s">
        <v>25</v>
      </c>
      <c r="G38" s="135" t="s">
        <v>25</v>
      </c>
      <c r="H38" s="135" t="s">
        <v>78</v>
      </c>
      <c r="I38" s="135" t="s">
        <v>25</v>
      </c>
      <c r="J38" s="135">
        <v>21.85</v>
      </c>
      <c r="K38" s="135">
        <v>11.59</v>
      </c>
      <c r="L38" s="135">
        <v>0.43627677901826201</v>
      </c>
      <c r="M38" s="135">
        <v>0</v>
      </c>
      <c r="N38" s="135">
        <v>0</v>
      </c>
      <c r="O38" s="135">
        <v>0</v>
      </c>
      <c r="P38" s="135">
        <v>0</v>
      </c>
      <c r="Q38" s="135">
        <v>14.408949337348201</v>
      </c>
      <c r="R38" s="135">
        <v>3.1671290078455101</v>
      </c>
      <c r="S38" s="135">
        <v>0</v>
      </c>
      <c r="T38" s="135">
        <v>1.63585526933078</v>
      </c>
      <c r="U38" s="135">
        <v>1.37106502920277</v>
      </c>
      <c r="V38" s="135">
        <v>0</v>
      </c>
      <c r="W38" s="135">
        <v>0</v>
      </c>
      <c r="X38" s="135">
        <v>0</v>
      </c>
      <c r="Y38" s="135">
        <v>0</v>
      </c>
      <c r="Z38" s="135">
        <v>0</v>
      </c>
      <c r="AA38" s="135">
        <v>0</v>
      </c>
      <c r="AB38" s="135">
        <v>0</v>
      </c>
      <c r="AC38" s="135">
        <v>0</v>
      </c>
      <c r="AD38" s="135">
        <v>0.80640503009051101</v>
      </c>
      <c r="AE38" s="135">
        <v>0</v>
      </c>
      <c r="AF38" s="135">
        <v>2.90190977545303E-2</v>
      </c>
      <c r="AG38" s="135">
        <v>0</v>
      </c>
      <c r="AH38" s="135">
        <v>0.53403190268762202</v>
      </c>
      <c r="AI38" s="135">
        <v>0</v>
      </c>
      <c r="AJ38" s="135">
        <v>0</v>
      </c>
      <c r="AK38" s="135">
        <v>0</v>
      </c>
      <c r="AL38" s="135">
        <v>0</v>
      </c>
      <c r="AM38" s="135">
        <v>11.0523039077052</v>
      </c>
      <c r="AN38" s="135">
        <v>0</v>
      </c>
      <c r="AO38" s="135">
        <v>0</v>
      </c>
      <c r="AP38" s="135">
        <v>0</v>
      </c>
      <c r="AQ38" s="135">
        <v>0</v>
      </c>
      <c r="AR38" s="136">
        <v>0</v>
      </c>
    </row>
    <row r="39" spans="2:44" ht="12" customHeight="1" x14ac:dyDescent="0.25">
      <c r="B39" s="134" t="s">
        <v>42</v>
      </c>
      <c r="C39" s="135" t="s">
        <v>23</v>
      </c>
      <c r="D39" s="135" t="s">
        <v>43</v>
      </c>
      <c r="E39" s="135" t="s">
        <v>25</v>
      </c>
      <c r="F39" s="135" t="s">
        <v>25</v>
      </c>
      <c r="G39" s="135" t="s">
        <v>25</v>
      </c>
      <c r="H39" s="135" t="s">
        <v>78</v>
      </c>
      <c r="I39" s="135" t="s">
        <v>25</v>
      </c>
      <c r="J39" s="135">
        <v>21.85</v>
      </c>
      <c r="K39" s="135">
        <v>11.59</v>
      </c>
      <c r="L39" s="135">
        <v>0.43627677901826201</v>
      </c>
      <c r="M39" s="135">
        <v>0</v>
      </c>
      <c r="N39" s="135">
        <v>0</v>
      </c>
      <c r="O39" s="135">
        <v>0</v>
      </c>
      <c r="P39" s="135">
        <v>0</v>
      </c>
      <c r="Q39" s="135">
        <v>14.408949337348201</v>
      </c>
      <c r="R39" s="135">
        <v>3.1671290078455101</v>
      </c>
      <c r="S39" s="135">
        <v>0</v>
      </c>
      <c r="T39" s="135">
        <v>1.63585526933078</v>
      </c>
      <c r="U39" s="135">
        <v>1.37106502920277</v>
      </c>
      <c r="V39" s="135">
        <v>0</v>
      </c>
      <c r="W39" s="135">
        <v>0</v>
      </c>
      <c r="X39" s="135">
        <v>0</v>
      </c>
      <c r="Y39" s="135">
        <v>0</v>
      </c>
      <c r="Z39" s="135">
        <v>0</v>
      </c>
      <c r="AA39" s="135">
        <v>0</v>
      </c>
      <c r="AB39" s="135">
        <v>0</v>
      </c>
      <c r="AC39" s="135">
        <v>0</v>
      </c>
      <c r="AD39" s="135">
        <v>0.80640503009051101</v>
      </c>
      <c r="AE39" s="135">
        <v>0</v>
      </c>
      <c r="AF39" s="135">
        <v>2.90190977545303E-2</v>
      </c>
      <c r="AG39" s="135">
        <v>0</v>
      </c>
      <c r="AH39" s="135">
        <v>0.53403190268762202</v>
      </c>
      <c r="AI39" s="135">
        <v>0</v>
      </c>
      <c r="AJ39" s="135">
        <v>0</v>
      </c>
      <c r="AK39" s="135">
        <v>0</v>
      </c>
      <c r="AL39" s="135">
        <v>0</v>
      </c>
      <c r="AM39" s="135">
        <v>11.0523039077052</v>
      </c>
      <c r="AN39" s="135">
        <v>0</v>
      </c>
      <c r="AO39" s="135">
        <v>0</v>
      </c>
      <c r="AP39" s="135">
        <v>0</v>
      </c>
      <c r="AQ39" s="135">
        <v>0</v>
      </c>
      <c r="AR39" s="136">
        <v>0</v>
      </c>
    </row>
    <row r="40" spans="2:44" ht="12" customHeight="1" x14ac:dyDescent="0.25">
      <c r="B40" s="134" t="s">
        <v>42</v>
      </c>
      <c r="C40" s="135" t="s">
        <v>23</v>
      </c>
      <c r="D40" s="135" t="s">
        <v>43</v>
      </c>
      <c r="E40" s="135" t="s">
        <v>96</v>
      </c>
      <c r="F40" s="135" t="s">
        <v>25</v>
      </c>
      <c r="G40" s="135" t="s">
        <v>25</v>
      </c>
      <c r="H40" s="135" t="s">
        <v>78</v>
      </c>
      <c r="I40" s="135" t="s">
        <v>25</v>
      </c>
      <c r="J40" s="135">
        <v>21.39</v>
      </c>
      <c r="K40" s="135">
        <v>11.34</v>
      </c>
      <c r="L40" s="135">
        <v>0.426994294358299</v>
      </c>
      <c r="M40" s="135">
        <v>0</v>
      </c>
      <c r="N40" s="135">
        <v>0</v>
      </c>
      <c r="O40" s="135">
        <v>0</v>
      </c>
      <c r="P40" s="135">
        <v>0</v>
      </c>
      <c r="Q40" s="135">
        <v>14.1023759471919</v>
      </c>
      <c r="R40" s="135">
        <v>3.09974328427433</v>
      </c>
      <c r="S40" s="135">
        <v>0</v>
      </c>
      <c r="T40" s="135">
        <v>1.6010498380684299</v>
      </c>
      <c r="U40" s="135">
        <v>1.34189343283675</v>
      </c>
      <c r="V40" s="135">
        <v>0</v>
      </c>
      <c r="W40" s="135">
        <v>0</v>
      </c>
      <c r="X40" s="135">
        <v>0</v>
      </c>
      <c r="Y40" s="135">
        <v>0</v>
      </c>
      <c r="Z40" s="135">
        <v>0</v>
      </c>
      <c r="AA40" s="135">
        <v>0</v>
      </c>
      <c r="AB40" s="135">
        <v>0</v>
      </c>
      <c r="AC40" s="135">
        <v>0</v>
      </c>
      <c r="AD40" s="135">
        <v>0.78924747625879799</v>
      </c>
      <c r="AE40" s="135">
        <v>0</v>
      </c>
      <c r="AF40" s="135">
        <v>2.8401670142731799E-2</v>
      </c>
      <c r="AG40" s="135">
        <v>0</v>
      </c>
      <c r="AH40" s="135">
        <v>0.52266952177937498</v>
      </c>
      <c r="AI40" s="135">
        <v>0</v>
      </c>
      <c r="AJ40" s="135">
        <v>0</v>
      </c>
      <c r="AK40" s="135">
        <v>0</v>
      </c>
      <c r="AL40" s="135">
        <v>0</v>
      </c>
      <c r="AM40" s="135">
        <v>10.8171485054136</v>
      </c>
      <c r="AN40" s="135">
        <v>0</v>
      </c>
      <c r="AO40" s="135">
        <v>0</v>
      </c>
      <c r="AP40" s="135">
        <v>0</v>
      </c>
      <c r="AQ40" s="135">
        <v>0</v>
      </c>
      <c r="AR40" s="136">
        <v>0</v>
      </c>
    </row>
    <row r="41" spans="2:44" ht="12" customHeight="1" x14ac:dyDescent="0.25">
      <c r="B41" s="134" t="s">
        <v>42</v>
      </c>
      <c r="C41" s="135" t="s">
        <v>94</v>
      </c>
      <c r="D41" s="135" t="s">
        <v>43</v>
      </c>
      <c r="E41" s="135" t="s">
        <v>95</v>
      </c>
      <c r="F41" s="135" t="s">
        <v>25</v>
      </c>
      <c r="G41" s="135" t="s">
        <v>25</v>
      </c>
      <c r="H41" s="135" t="s">
        <v>78</v>
      </c>
      <c r="I41" s="135" t="s">
        <v>25</v>
      </c>
      <c r="J41" s="135">
        <v>21.85</v>
      </c>
      <c r="K41" s="135">
        <v>11.59</v>
      </c>
      <c r="L41" s="135">
        <v>0.43627677901826201</v>
      </c>
      <c r="M41" s="135">
        <v>0</v>
      </c>
      <c r="N41" s="135">
        <v>0</v>
      </c>
      <c r="O41" s="135">
        <v>0</v>
      </c>
      <c r="P41" s="135">
        <v>0</v>
      </c>
      <c r="Q41" s="135">
        <v>14.408949337348201</v>
      </c>
      <c r="R41" s="135">
        <v>3.1671290078455101</v>
      </c>
      <c r="S41" s="135">
        <v>0</v>
      </c>
      <c r="T41" s="135">
        <v>1.63585526933078</v>
      </c>
      <c r="U41" s="135">
        <v>1.37106502920277</v>
      </c>
      <c r="V41" s="135">
        <v>0</v>
      </c>
      <c r="W41" s="135">
        <v>0</v>
      </c>
      <c r="X41" s="135">
        <v>0</v>
      </c>
      <c r="Y41" s="135">
        <v>0</v>
      </c>
      <c r="Z41" s="135">
        <v>0</v>
      </c>
      <c r="AA41" s="135">
        <v>0</v>
      </c>
      <c r="AB41" s="135">
        <v>0</v>
      </c>
      <c r="AC41" s="135">
        <v>0</v>
      </c>
      <c r="AD41" s="135">
        <v>0.80640503009051101</v>
      </c>
      <c r="AE41" s="135">
        <v>0</v>
      </c>
      <c r="AF41" s="135">
        <v>2.90190977545303E-2</v>
      </c>
      <c r="AG41" s="135">
        <v>0</v>
      </c>
      <c r="AH41" s="135">
        <v>0.53403190268762202</v>
      </c>
      <c r="AI41" s="135">
        <v>0</v>
      </c>
      <c r="AJ41" s="135">
        <v>0</v>
      </c>
      <c r="AK41" s="135">
        <v>0</v>
      </c>
      <c r="AL41" s="135">
        <v>0</v>
      </c>
      <c r="AM41" s="135">
        <v>11.0523039077052</v>
      </c>
      <c r="AN41" s="135">
        <v>0</v>
      </c>
      <c r="AO41" s="135">
        <v>0</v>
      </c>
      <c r="AP41" s="135">
        <v>0</v>
      </c>
      <c r="AQ41" s="135">
        <v>0</v>
      </c>
      <c r="AR41" s="136">
        <v>0</v>
      </c>
    </row>
    <row r="42" spans="2:44" ht="12" customHeight="1" x14ac:dyDescent="0.25">
      <c r="B42" s="134" t="s">
        <v>42</v>
      </c>
      <c r="C42" s="135" t="s">
        <v>94</v>
      </c>
      <c r="D42" s="135" t="s">
        <v>43</v>
      </c>
      <c r="E42" s="135" t="s">
        <v>25</v>
      </c>
      <c r="F42" s="135" t="s">
        <v>25</v>
      </c>
      <c r="G42" s="135" t="s">
        <v>25</v>
      </c>
      <c r="H42" s="135" t="s">
        <v>78</v>
      </c>
      <c r="I42" s="135" t="s">
        <v>25</v>
      </c>
      <c r="J42" s="135">
        <v>21.85</v>
      </c>
      <c r="K42" s="135">
        <v>11.59</v>
      </c>
      <c r="L42" s="135">
        <v>0.43627677901826201</v>
      </c>
      <c r="M42" s="135">
        <v>0</v>
      </c>
      <c r="N42" s="135">
        <v>0</v>
      </c>
      <c r="O42" s="135">
        <v>0</v>
      </c>
      <c r="P42" s="135">
        <v>0</v>
      </c>
      <c r="Q42" s="135">
        <v>14.408949337348201</v>
      </c>
      <c r="R42" s="135">
        <v>3.1671290078455101</v>
      </c>
      <c r="S42" s="135">
        <v>0</v>
      </c>
      <c r="T42" s="135">
        <v>1.63585526933078</v>
      </c>
      <c r="U42" s="135">
        <v>1.37106502920277</v>
      </c>
      <c r="V42" s="135">
        <v>0</v>
      </c>
      <c r="W42" s="135">
        <v>0</v>
      </c>
      <c r="X42" s="135">
        <v>0</v>
      </c>
      <c r="Y42" s="135">
        <v>0</v>
      </c>
      <c r="Z42" s="135">
        <v>0</v>
      </c>
      <c r="AA42" s="135">
        <v>0</v>
      </c>
      <c r="AB42" s="135">
        <v>0</v>
      </c>
      <c r="AC42" s="135">
        <v>0</v>
      </c>
      <c r="AD42" s="135">
        <v>0.80640503009051101</v>
      </c>
      <c r="AE42" s="135">
        <v>0</v>
      </c>
      <c r="AF42" s="135">
        <v>2.90190977545303E-2</v>
      </c>
      <c r="AG42" s="135">
        <v>0</v>
      </c>
      <c r="AH42" s="135">
        <v>0.53403190268762202</v>
      </c>
      <c r="AI42" s="135">
        <v>0</v>
      </c>
      <c r="AJ42" s="135">
        <v>0</v>
      </c>
      <c r="AK42" s="135">
        <v>0</v>
      </c>
      <c r="AL42" s="135">
        <v>0</v>
      </c>
      <c r="AM42" s="135">
        <v>11.0523039077052</v>
      </c>
      <c r="AN42" s="135">
        <v>0</v>
      </c>
      <c r="AO42" s="135">
        <v>0</v>
      </c>
      <c r="AP42" s="135">
        <v>0</v>
      </c>
      <c r="AQ42" s="135">
        <v>0</v>
      </c>
      <c r="AR42" s="136">
        <v>0</v>
      </c>
    </row>
    <row r="43" spans="2:44" ht="12" customHeight="1" x14ac:dyDescent="0.25">
      <c r="B43" s="134" t="s">
        <v>42</v>
      </c>
      <c r="C43" s="135" t="s">
        <v>94</v>
      </c>
      <c r="D43" s="135" t="s">
        <v>43</v>
      </c>
      <c r="E43" s="135" t="s">
        <v>96</v>
      </c>
      <c r="F43" s="135" t="s">
        <v>25</v>
      </c>
      <c r="G43" s="135" t="s">
        <v>25</v>
      </c>
      <c r="H43" s="135" t="s">
        <v>78</v>
      </c>
      <c r="I43" s="135" t="s">
        <v>25</v>
      </c>
      <c r="J43" s="135">
        <v>21.39</v>
      </c>
      <c r="K43" s="135">
        <v>11.34</v>
      </c>
      <c r="L43" s="135">
        <v>0.426994294358299</v>
      </c>
      <c r="M43" s="135">
        <v>0</v>
      </c>
      <c r="N43" s="135">
        <v>0</v>
      </c>
      <c r="O43" s="135">
        <v>0</v>
      </c>
      <c r="P43" s="135">
        <v>0</v>
      </c>
      <c r="Q43" s="135">
        <v>14.1023759471919</v>
      </c>
      <c r="R43" s="135">
        <v>3.09974328427433</v>
      </c>
      <c r="S43" s="135">
        <v>0</v>
      </c>
      <c r="T43" s="135">
        <v>1.6010498380684299</v>
      </c>
      <c r="U43" s="135">
        <v>1.34189343283675</v>
      </c>
      <c r="V43" s="135">
        <v>0</v>
      </c>
      <c r="W43" s="135">
        <v>0</v>
      </c>
      <c r="X43" s="135">
        <v>0</v>
      </c>
      <c r="Y43" s="135">
        <v>0</v>
      </c>
      <c r="Z43" s="135">
        <v>0</v>
      </c>
      <c r="AA43" s="135">
        <v>0</v>
      </c>
      <c r="AB43" s="135">
        <v>0</v>
      </c>
      <c r="AC43" s="135">
        <v>0</v>
      </c>
      <c r="AD43" s="135">
        <v>0.78924747625879799</v>
      </c>
      <c r="AE43" s="135">
        <v>0</v>
      </c>
      <c r="AF43" s="135">
        <v>2.8401670142731799E-2</v>
      </c>
      <c r="AG43" s="135">
        <v>0</v>
      </c>
      <c r="AH43" s="135">
        <v>0.52266952177937498</v>
      </c>
      <c r="AI43" s="135">
        <v>0</v>
      </c>
      <c r="AJ43" s="135">
        <v>0</v>
      </c>
      <c r="AK43" s="135">
        <v>0</v>
      </c>
      <c r="AL43" s="135">
        <v>0</v>
      </c>
      <c r="AM43" s="135">
        <v>10.8171485054136</v>
      </c>
      <c r="AN43" s="135">
        <v>0</v>
      </c>
      <c r="AO43" s="135">
        <v>0</v>
      </c>
      <c r="AP43" s="135">
        <v>0</v>
      </c>
      <c r="AQ43" s="135">
        <v>0</v>
      </c>
      <c r="AR43" s="136">
        <v>0</v>
      </c>
    </row>
    <row r="44" spans="2:44" ht="12" customHeight="1" x14ac:dyDescent="0.25">
      <c r="B44" s="134" t="s">
        <v>36</v>
      </c>
      <c r="C44" s="135" t="s">
        <v>32</v>
      </c>
      <c r="D44" s="135" t="s">
        <v>25</v>
      </c>
      <c r="E44" s="135" t="s">
        <v>25</v>
      </c>
      <c r="F44" s="135" t="s">
        <v>25</v>
      </c>
      <c r="G44" s="135" t="s">
        <v>33</v>
      </c>
      <c r="H44" s="135" t="s">
        <v>78</v>
      </c>
      <c r="I44" s="135" t="s">
        <v>25</v>
      </c>
      <c r="J44" s="135">
        <v>31.89</v>
      </c>
      <c r="K44" s="135">
        <v>19.649999999999999</v>
      </c>
      <c r="L44" s="135">
        <v>0.46412423299815098</v>
      </c>
      <c r="M44" s="135">
        <v>0</v>
      </c>
      <c r="N44" s="135">
        <v>0</v>
      </c>
      <c r="O44" s="135">
        <v>0</v>
      </c>
      <c r="P44" s="135">
        <v>0</v>
      </c>
      <c r="Q44" s="135">
        <v>15.3286695078172</v>
      </c>
      <c r="R44" s="135">
        <v>3.3692861785590602</v>
      </c>
      <c r="S44" s="135">
        <v>0</v>
      </c>
      <c r="T44" s="135">
        <v>6.4390167243519398</v>
      </c>
      <c r="U44" s="135">
        <v>5.3967424428446904</v>
      </c>
      <c r="V44" s="135">
        <v>0</v>
      </c>
      <c r="W44" s="135">
        <v>0</v>
      </c>
      <c r="X44" s="135">
        <v>0</v>
      </c>
      <c r="Y44" s="135">
        <v>0</v>
      </c>
      <c r="Z44" s="135">
        <v>0</v>
      </c>
      <c r="AA44" s="135">
        <v>0</v>
      </c>
      <c r="AB44" s="135">
        <v>0</v>
      </c>
      <c r="AC44" s="135">
        <v>0</v>
      </c>
      <c r="AD44" s="135">
        <v>0.85787769158564997</v>
      </c>
      <c r="AE44" s="135">
        <v>0</v>
      </c>
      <c r="AF44" s="135">
        <v>3.08713805899259E-2</v>
      </c>
      <c r="AG44" s="135">
        <v>0</v>
      </c>
      <c r="AH44" s="135">
        <v>0.56811904541236402</v>
      </c>
      <c r="AI44" s="135">
        <v>0</v>
      </c>
      <c r="AJ44" s="135">
        <v>0</v>
      </c>
      <c r="AK44" s="135">
        <v>0</v>
      </c>
      <c r="AL44" s="135">
        <v>0</v>
      </c>
      <c r="AM44" s="135">
        <v>19.078645846299601</v>
      </c>
      <c r="AN44" s="135">
        <v>0</v>
      </c>
      <c r="AO44" s="135">
        <v>0</v>
      </c>
      <c r="AP44" s="135">
        <v>0</v>
      </c>
      <c r="AQ44" s="135">
        <v>0</v>
      </c>
      <c r="AR44" s="136">
        <v>0</v>
      </c>
    </row>
    <row r="45" spans="2:44" ht="12" customHeight="1" x14ac:dyDescent="0.25">
      <c r="B45" s="134" t="s">
        <v>36</v>
      </c>
      <c r="C45" s="135" t="s">
        <v>32</v>
      </c>
      <c r="D45" s="135" t="s">
        <v>25</v>
      </c>
      <c r="E45" s="135" t="s">
        <v>25</v>
      </c>
      <c r="F45" s="135" t="s">
        <v>25</v>
      </c>
      <c r="G45" s="135" t="s">
        <v>35</v>
      </c>
      <c r="H45" s="135" t="s">
        <v>78</v>
      </c>
      <c r="I45" s="135" t="s">
        <v>25</v>
      </c>
      <c r="J45" s="135">
        <v>22.42</v>
      </c>
      <c r="K45" s="135">
        <v>11.66</v>
      </c>
      <c r="L45" s="135">
        <v>0.46412423299815098</v>
      </c>
      <c r="M45" s="135">
        <v>0</v>
      </c>
      <c r="N45" s="135">
        <v>0</v>
      </c>
      <c r="O45" s="135">
        <v>0</v>
      </c>
      <c r="P45" s="135">
        <v>0</v>
      </c>
      <c r="Q45" s="135">
        <v>15.3286695078172</v>
      </c>
      <c r="R45" s="135">
        <v>3.3692861785590602</v>
      </c>
      <c r="S45" s="135">
        <v>0</v>
      </c>
      <c r="T45" s="135">
        <v>1.28779993320871</v>
      </c>
      <c r="U45" s="135">
        <v>1.0793446420778099</v>
      </c>
      <c r="V45" s="135">
        <v>0</v>
      </c>
      <c r="W45" s="135">
        <v>0</v>
      </c>
      <c r="X45" s="135">
        <v>0</v>
      </c>
      <c r="Y45" s="135">
        <v>0</v>
      </c>
      <c r="Z45" s="135">
        <v>0</v>
      </c>
      <c r="AA45" s="135">
        <v>0</v>
      </c>
      <c r="AB45" s="135">
        <v>0</v>
      </c>
      <c r="AC45" s="135">
        <v>0</v>
      </c>
      <c r="AD45" s="135">
        <v>0.85787769158564997</v>
      </c>
      <c r="AE45" s="135">
        <v>0</v>
      </c>
      <c r="AF45" s="135">
        <v>3.08713805899259E-2</v>
      </c>
      <c r="AG45" s="135">
        <v>0</v>
      </c>
      <c r="AH45" s="135">
        <v>0.56811904541236402</v>
      </c>
      <c r="AI45" s="135">
        <v>0</v>
      </c>
      <c r="AJ45" s="135">
        <v>0</v>
      </c>
      <c r="AK45" s="135">
        <v>0</v>
      </c>
      <c r="AL45" s="135">
        <v>0</v>
      </c>
      <c r="AM45" s="135">
        <v>11.092235957150899</v>
      </c>
      <c r="AN45" s="135">
        <v>0</v>
      </c>
      <c r="AO45" s="135">
        <v>0</v>
      </c>
      <c r="AP45" s="135">
        <v>0</v>
      </c>
      <c r="AQ45" s="135">
        <v>0</v>
      </c>
      <c r="AR45" s="136">
        <v>0</v>
      </c>
    </row>
    <row r="46" spans="2:44" ht="12" customHeight="1" x14ac:dyDescent="0.25">
      <c r="B46" s="134" t="s">
        <v>36</v>
      </c>
      <c r="C46" s="135" t="s">
        <v>32</v>
      </c>
      <c r="D46" s="135" t="s">
        <v>25</v>
      </c>
      <c r="E46" s="135" t="s">
        <v>25</v>
      </c>
      <c r="F46" s="135" t="s">
        <v>25</v>
      </c>
      <c r="G46" s="135" t="s">
        <v>34</v>
      </c>
      <c r="H46" s="135" t="s">
        <v>78</v>
      </c>
      <c r="I46" s="135" t="s">
        <v>25</v>
      </c>
      <c r="J46" s="135">
        <v>22.42</v>
      </c>
      <c r="K46" s="135">
        <v>11.66</v>
      </c>
      <c r="L46" s="135">
        <v>0.46412423299815098</v>
      </c>
      <c r="M46" s="135">
        <v>0</v>
      </c>
      <c r="N46" s="135">
        <v>0</v>
      </c>
      <c r="O46" s="135">
        <v>0</v>
      </c>
      <c r="P46" s="135">
        <v>0</v>
      </c>
      <c r="Q46" s="135">
        <v>15.3286695078172</v>
      </c>
      <c r="R46" s="135">
        <v>3.3692861785590602</v>
      </c>
      <c r="S46" s="135">
        <v>0</v>
      </c>
      <c r="T46" s="135">
        <v>1.28779993320871</v>
      </c>
      <c r="U46" s="135">
        <v>1.0793446420778099</v>
      </c>
      <c r="V46" s="135">
        <v>0</v>
      </c>
      <c r="W46" s="135">
        <v>0</v>
      </c>
      <c r="X46" s="135">
        <v>0</v>
      </c>
      <c r="Y46" s="135">
        <v>0</v>
      </c>
      <c r="Z46" s="135">
        <v>0</v>
      </c>
      <c r="AA46" s="135">
        <v>0</v>
      </c>
      <c r="AB46" s="135">
        <v>0</v>
      </c>
      <c r="AC46" s="135">
        <v>0</v>
      </c>
      <c r="AD46" s="135">
        <v>0.85787769158564997</v>
      </c>
      <c r="AE46" s="135">
        <v>0</v>
      </c>
      <c r="AF46" s="135">
        <v>3.08713805899259E-2</v>
      </c>
      <c r="AG46" s="135">
        <v>0</v>
      </c>
      <c r="AH46" s="135">
        <v>0.56811904541236402</v>
      </c>
      <c r="AI46" s="135">
        <v>0</v>
      </c>
      <c r="AJ46" s="135">
        <v>0</v>
      </c>
      <c r="AK46" s="135">
        <v>0</v>
      </c>
      <c r="AL46" s="135">
        <v>0</v>
      </c>
      <c r="AM46" s="135">
        <v>11.092235957150899</v>
      </c>
      <c r="AN46" s="135">
        <v>0</v>
      </c>
      <c r="AO46" s="135">
        <v>0</v>
      </c>
      <c r="AP46" s="135">
        <v>0</v>
      </c>
      <c r="AQ46" s="135">
        <v>0</v>
      </c>
      <c r="AR46" s="136">
        <v>0</v>
      </c>
    </row>
    <row r="47" spans="2:44" ht="12" customHeight="1" x14ac:dyDescent="0.25">
      <c r="B47" s="134" t="s">
        <v>36</v>
      </c>
      <c r="C47" s="135" t="s">
        <v>23</v>
      </c>
      <c r="D47" s="135" t="s">
        <v>25</v>
      </c>
      <c r="E47" s="135" t="s">
        <v>25</v>
      </c>
      <c r="F47" s="135" t="s">
        <v>25</v>
      </c>
      <c r="G47" s="135" t="s">
        <v>25</v>
      </c>
      <c r="H47" s="135" t="s">
        <v>78</v>
      </c>
      <c r="I47" s="135" t="s">
        <v>25</v>
      </c>
      <c r="J47" s="135">
        <v>23.25</v>
      </c>
      <c r="K47" s="135">
        <v>12.33</v>
      </c>
      <c r="L47" s="135">
        <v>0.46412423299815098</v>
      </c>
      <c r="M47" s="135">
        <v>0</v>
      </c>
      <c r="N47" s="135">
        <v>0</v>
      </c>
      <c r="O47" s="135">
        <v>0</v>
      </c>
      <c r="P47" s="135">
        <v>0</v>
      </c>
      <c r="Q47" s="135">
        <v>15.3286695078172</v>
      </c>
      <c r="R47" s="135">
        <v>3.3692861785590602</v>
      </c>
      <c r="S47" s="135">
        <v>0</v>
      </c>
      <c r="T47" s="135">
        <v>1.74027156311786</v>
      </c>
      <c r="U47" s="135">
        <v>1.4585798183008201</v>
      </c>
      <c r="V47" s="135">
        <v>0</v>
      </c>
      <c r="W47" s="135">
        <v>0</v>
      </c>
      <c r="X47" s="135">
        <v>0</v>
      </c>
      <c r="Y47" s="135">
        <v>0</v>
      </c>
      <c r="Z47" s="135">
        <v>0</v>
      </c>
      <c r="AA47" s="135">
        <v>0</v>
      </c>
      <c r="AB47" s="135">
        <v>0</v>
      </c>
      <c r="AC47" s="135">
        <v>0</v>
      </c>
      <c r="AD47" s="135">
        <v>0.85787769158564997</v>
      </c>
      <c r="AE47" s="135">
        <v>0</v>
      </c>
      <c r="AF47" s="135">
        <v>3.08713805899259E-2</v>
      </c>
      <c r="AG47" s="135">
        <v>0</v>
      </c>
      <c r="AH47" s="135">
        <v>0.56811904541236402</v>
      </c>
      <c r="AI47" s="135">
        <v>0</v>
      </c>
      <c r="AJ47" s="135">
        <v>0</v>
      </c>
      <c r="AK47" s="135">
        <v>0</v>
      </c>
      <c r="AL47" s="135">
        <v>0</v>
      </c>
      <c r="AM47" s="135">
        <v>11.75777011458</v>
      </c>
      <c r="AN47" s="135">
        <v>0</v>
      </c>
      <c r="AO47" s="135">
        <v>0</v>
      </c>
      <c r="AP47" s="135">
        <v>0</v>
      </c>
      <c r="AQ47" s="135">
        <v>0</v>
      </c>
      <c r="AR47" s="136">
        <v>0</v>
      </c>
    </row>
    <row r="48" spans="2:44" ht="12" customHeight="1" x14ac:dyDescent="0.25">
      <c r="B48" s="134" t="s">
        <v>36</v>
      </c>
      <c r="C48" s="135" t="s">
        <v>94</v>
      </c>
      <c r="D48" s="135" t="s">
        <v>25</v>
      </c>
      <c r="E48" s="135" t="s">
        <v>25</v>
      </c>
      <c r="F48" s="135" t="s">
        <v>25</v>
      </c>
      <c r="G48" s="135" t="s">
        <v>25</v>
      </c>
      <c r="H48" s="135" t="s">
        <v>78</v>
      </c>
      <c r="I48" s="135" t="s">
        <v>25</v>
      </c>
      <c r="J48" s="135">
        <v>23.25</v>
      </c>
      <c r="K48" s="135">
        <v>12.33</v>
      </c>
      <c r="L48" s="135">
        <v>0.46412423299815098</v>
      </c>
      <c r="M48" s="135">
        <v>0</v>
      </c>
      <c r="N48" s="135">
        <v>0</v>
      </c>
      <c r="O48" s="135">
        <v>0</v>
      </c>
      <c r="P48" s="135">
        <v>0</v>
      </c>
      <c r="Q48" s="135">
        <v>15.3286695078172</v>
      </c>
      <c r="R48" s="135">
        <v>3.3692861785590602</v>
      </c>
      <c r="S48" s="135">
        <v>0</v>
      </c>
      <c r="T48" s="135">
        <v>1.74027156311786</v>
      </c>
      <c r="U48" s="135">
        <v>1.4585798183008201</v>
      </c>
      <c r="V48" s="135">
        <v>0</v>
      </c>
      <c r="W48" s="135">
        <v>0</v>
      </c>
      <c r="X48" s="135">
        <v>0</v>
      </c>
      <c r="Y48" s="135">
        <v>0</v>
      </c>
      <c r="Z48" s="135">
        <v>0</v>
      </c>
      <c r="AA48" s="135">
        <v>0</v>
      </c>
      <c r="AB48" s="135">
        <v>0</v>
      </c>
      <c r="AC48" s="135">
        <v>0</v>
      </c>
      <c r="AD48" s="135">
        <v>0.85787769158564997</v>
      </c>
      <c r="AE48" s="135">
        <v>0</v>
      </c>
      <c r="AF48" s="135">
        <v>3.08713805899259E-2</v>
      </c>
      <c r="AG48" s="135">
        <v>0</v>
      </c>
      <c r="AH48" s="135">
        <v>0.56811904541236402</v>
      </c>
      <c r="AI48" s="135">
        <v>0</v>
      </c>
      <c r="AJ48" s="135">
        <v>0</v>
      </c>
      <c r="AK48" s="135">
        <v>0</v>
      </c>
      <c r="AL48" s="135">
        <v>0</v>
      </c>
      <c r="AM48" s="135">
        <v>11.75777011458</v>
      </c>
      <c r="AN48" s="135">
        <v>0</v>
      </c>
      <c r="AO48" s="135">
        <v>0</v>
      </c>
      <c r="AP48" s="135">
        <v>0</v>
      </c>
      <c r="AQ48" s="135">
        <v>0</v>
      </c>
      <c r="AR48" s="136">
        <v>0</v>
      </c>
    </row>
    <row r="49" spans="2:44" ht="12" customHeight="1" x14ac:dyDescent="0.25">
      <c r="B49" s="134" t="s">
        <v>45</v>
      </c>
      <c r="C49" s="135" t="s">
        <v>23</v>
      </c>
      <c r="D49" s="135" t="s">
        <v>46</v>
      </c>
      <c r="E49" s="135" t="s">
        <v>47</v>
      </c>
      <c r="F49" s="135" t="s">
        <v>25</v>
      </c>
      <c r="G49" s="135" t="s">
        <v>25</v>
      </c>
      <c r="H49" s="135" t="s">
        <v>78</v>
      </c>
      <c r="I49" s="135" t="s">
        <v>25</v>
      </c>
      <c r="J49" s="135">
        <v>12.79</v>
      </c>
      <c r="K49" s="135">
        <v>6.78</v>
      </c>
      <c r="L49" s="135">
        <v>0.25526832814898298</v>
      </c>
      <c r="M49" s="135">
        <v>0</v>
      </c>
      <c r="N49" s="135">
        <v>0</v>
      </c>
      <c r="O49" s="135">
        <v>0</v>
      </c>
      <c r="P49" s="135">
        <v>0</v>
      </c>
      <c r="Q49" s="135">
        <v>8.4307682292994794</v>
      </c>
      <c r="R49" s="135">
        <v>1.8531073982074799</v>
      </c>
      <c r="S49" s="135">
        <v>0</v>
      </c>
      <c r="T49" s="135">
        <v>0.95714935971482096</v>
      </c>
      <c r="U49" s="135">
        <v>0.80221890006545105</v>
      </c>
      <c r="V49" s="135">
        <v>0</v>
      </c>
      <c r="W49" s="135">
        <v>0</v>
      </c>
      <c r="X49" s="135">
        <v>0</v>
      </c>
      <c r="Y49" s="135">
        <v>0</v>
      </c>
      <c r="Z49" s="135">
        <v>0</v>
      </c>
      <c r="AA49" s="135">
        <v>0</v>
      </c>
      <c r="AB49" s="135">
        <v>0</v>
      </c>
      <c r="AC49" s="135">
        <v>0</v>
      </c>
      <c r="AD49" s="135">
        <v>0.47183273037210799</v>
      </c>
      <c r="AE49" s="135">
        <v>0</v>
      </c>
      <c r="AF49" s="135">
        <v>1.6979259324459199E-2</v>
      </c>
      <c r="AG49" s="135">
        <v>0</v>
      </c>
      <c r="AH49" s="135">
        <v>0.3124654749768</v>
      </c>
      <c r="AI49" s="135">
        <v>0</v>
      </c>
      <c r="AJ49" s="135">
        <v>0</v>
      </c>
      <c r="AK49" s="135">
        <v>0</v>
      </c>
      <c r="AL49" s="135">
        <v>0</v>
      </c>
      <c r="AM49" s="135">
        <v>6.4667735630189904</v>
      </c>
      <c r="AN49" s="135">
        <v>0</v>
      </c>
      <c r="AO49" s="135">
        <v>0</v>
      </c>
      <c r="AP49" s="135">
        <v>0</v>
      </c>
      <c r="AQ49" s="135">
        <v>0</v>
      </c>
      <c r="AR49" s="136">
        <v>0</v>
      </c>
    </row>
    <row r="50" spans="2:44" ht="12" customHeight="1" x14ac:dyDescent="0.25">
      <c r="B50" s="137" t="s">
        <v>45</v>
      </c>
      <c r="C50" s="138" t="s">
        <v>23</v>
      </c>
      <c r="D50" s="138" t="s">
        <v>46</v>
      </c>
      <c r="E50" s="138" t="s">
        <v>97</v>
      </c>
      <c r="F50" s="138" t="s">
        <v>25</v>
      </c>
      <c r="G50" s="138" t="s">
        <v>25</v>
      </c>
      <c r="H50" s="138" t="s">
        <v>78</v>
      </c>
      <c r="I50" s="138" t="s">
        <v>25</v>
      </c>
      <c r="J50" s="138">
        <v>13.95</v>
      </c>
      <c r="K50" s="138">
        <v>7.4</v>
      </c>
      <c r="L50" s="138">
        <v>0.27847453979889097</v>
      </c>
      <c r="M50" s="138">
        <v>0</v>
      </c>
      <c r="N50" s="138">
        <v>0</v>
      </c>
      <c r="O50" s="138">
        <v>0</v>
      </c>
      <c r="P50" s="138">
        <v>0</v>
      </c>
      <c r="Q50" s="138">
        <v>9.1972017046903396</v>
      </c>
      <c r="R50" s="138">
        <v>2.02157170713543</v>
      </c>
      <c r="S50" s="138">
        <v>0</v>
      </c>
      <c r="T50" s="138">
        <v>1.04416293787071</v>
      </c>
      <c r="U50" s="138">
        <v>0.87514789098049195</v>
      </c>
      <c r="V50" s="138">
        <v>0</v>
      </c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38">
        <v>0</v>
      </c>
      <c r="AD50" s="138">
        <v>0.51472661495139005</v>
      </c>
      <c r="AE50" s="138">
        <v>0</v>
      </c>
      <c r="AF50" s="138">
        <v>1.8522828353955498E-2</v>
      </c>
      <c r="AG50" s="138">
        <v>0</v>
      </c>
      <c r="AH50" s="138">
        <v>0.34087142724741798</v>
      </c>
      <c r="AI50" s="138">
        <v>0</v>
      </c>
      <c r="AJ50" s="138">
        <v>0</v>
      </c>
      <c r="AK50" s="138">
        <v>0</v>
      </c>
      <c r="AL50" s="138">
        <v>0</v>
      </c>
      <c r="AM50" s="138">
        <v>7.05466206874799</v>
      </c>
      <c r="AN50" s="138">
        <v>0</v>
      </c>
      <c r="AO50" s="138">
        <v>0</v>
      </c>
      <c r="AP50" s="138">
        <v>0</v>
      </c>
      <c r="AQ50" s="138">
        <v>0</v>
      </c>
      <c r="AR50" s="139">
        <v>0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3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34</vt:i4>
      </vt:variant>
    </vt:vector>
  </HeadingPairs>
  <TitlesOfParts>
    <vt:vector size="34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TUSD BF_350</vt:lpstr>
      <vt:lpstr>TE BF_350</vt:lpstr>
      <vt:lpstr>EFEITO_350</vt:lpstr>
      <vt:lpstr>TarifaMedia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2022-06-29T14:34:44Z</dcterms:created>
  <dcterms:modified xsi:type="dcterms:W3CDTF">2022-07-15T19:05:54Z</dcterms:modified>
</cp:coreProperties>
</file>